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\csepulvedaa\Documents\REM\REM24\DICCIONARIOS\REM A\"/>
    </mc:Choice>
  </mc:AlternateContent>
  <xr:revisionPtr revIDLastSave="0" documentId="13_ncr:1_{E9D8BE4A-7309-4DA1-B51C-8C9F645B754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08" yWindow="-108" windowWidth="23256" windowHeight="12576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5" i="27" l="1"/>
  <c r="E255" i="27"/>
  <c r="D259" i="27"/>
  <c r="E259" i="27"/>
  <c r="D264" i="27"/>
  <c r="E264" i="27"/>
  <c r="CL38" i="32" l="1"/>
  <c r="CB38" i="32"/>
  <c r="CM114" i="24" l="1"/>
  <c r="CM115" i="24"/>
  <c r="CM113" i="24"/>
  <c r="CE114" i="24"/>
  <c r="CE115" i="24"/>
  <c r="CE113" i="24"/>
  <c r="DN140" i="47" l="1"/>
  <c r="DN139" i="47"/>
  <c r="DN138" i="47"/>
  <c r="DN135" i="47"/>
  <c r="DN131" i="47"/>
  <c r="DN118" i="47"/>
  <c r="DN117" i="47"/>
  <c r="DN116" i="47"/>
  <c r="DN113" i="47"/>
  <c r="DN109" i="47"/>
  <c r="DN96" i="47"/>
  <c r="DN95" i="47"/>
  <c r="DN94" i="47"/>
  <c r="DN91" i="47"/>
  <c r="DN87" i="47"/>
  <c r="DN74" i="47"/>
  <c r="DN73" i="47"/>
  <c r="DN72" i="47"/>
  <c r="DN69" i="47"/>
  <c r="DN65" i="47"/>
  <c r="DN52" i="47"/>
  <c r="DN51" i="47"/>
  <c r="DN50" i="47"/>
  <c r="DN47" i="47"/>
  <c r="DN29" i="47"/>
  <c r="DN30" i="47"/>
  <c r="DN28" i="47"/>
  <c r="DN25" i="47"/>
  <c r="DN21" i="47"/>
  <c r="DN43" i="47"/>
  <c r="CN211" i="24" l="1"/>
  <c r="CN210" i="24"/>
  <c r="CF211" i="24"/>
  <c r="CF210" i="24"/>
  <c r="CE121" i="24"/>
  <c r="CB138" i="39"/>
  <c r="CB139" i="39"/>
  <c r="CB137" i="39"/>
  <c r="CB134" i="39"/>
  <c r="CB135" i="39"/>
  <c r="CB133" i="39"/>
  <c r="CB71" i="39"/>
  <c r="CB72" i="39"/>
  <c r="CB70" i="39"/>
  <c r="CJ109" i="37"/>
  <c r="CK109" i="37"/>
  <c r="CJ110" i="37"/>
  <c r="CK110" i="37"/>
  <c r="CA109" i="37"/>
  <c r="CB109" i="37"/>
  <c r="CA110" i="37"/>
  <c r="CB110" i="37"/>
  <c r="CK108" i="37"/>
  <c r="CJ108" i="37"/>
  <c r="CA108" i="37"/>
  <c r="CB108" i="37"/>
  <c r="CP47" i="37"/>
  <c r="CP48" i="37"/>
  <c r="CP49" i="37"/>
  <c r="CP50" i="37"/>
  <c r="CP51" i="37"/>
  <c r="CP52" i="37"/>
  <c r="CP53" i="37"/>
  <c r="CP54" i="37"/>
  <c r="CP55" i="37"/>
  <c r="CP56" i="37"/>
  <c r="CP57" i="37"/>
  <c r="CP58" i="37"/>
  <c r="CP59" i="37"/>
  <c r="CP60" i="37"/>
  <c r="CP61" i="37"/>
  <c r="CP62" i="37"/>
  <c r="CP63" i="37"/>
  <c r="CP64" i="37"/>
  <c r="CP65" i="37"/>
  <c r="CP66" i="37"/>
  <c r="CP67" i="37"/>
  <c r="CP68" i="37"/>
  <c r="CP69" i="37"/>
  <c r="CP70" i="37"/>
  <c r="CP71" i="37"/>
  <c r="CP72" i="37"/>
  <c r="CP73" i="37"/>
  <c r="CP74" i="37"/>
  <c r="CP75" i="37"/>
  <c r="CP76" i="37"/>
  <c r="CP46" i="37"/>
  <c r="CG47" i="37"/>
  <c r="CG48" i="37"/>
  <c r="CG49" i="37"/>
  <c r="CG50" i="37"/>
  <c r="CG51" i="37"/>
  <c r="CG52" i="37"/>
  <c r="CG53" i="37"/>
  <c r="CG54" i="37"/>
  <c r="CG55" i="37"/>
  <c r="CG56" i="37"/>
  <c r="CG57" i="37"/>
  <c r="CG58" i="37"/>
  <c r="CG59" i="37"/>
  <c r="CG60" i="37"/>
  <c r="CG61" i="37"/>
  <c r="CG62" i="37"/>
  <c r="CG63" i="37"/>
  <c r="CG64" i="37"/>
  <c r="CG65" i="37"/>
  <c r="CG66" i="37"/>
  <c r="CG67" i="37"/>
  <c r="CG68" i="37"/>
  <c r="CG69" i="37"/>
  <c r="CG70" i="37"/>
  <c r="CG71" i="37"/>
  <c r="CG72" i="37"/>
  <c r="CG73" i="37"/>
  <c r="CG74" i="37"/>
  <c r="CG75" i="37"/>
  <c r="CG76" i="37"/>
  <c r="CG46" i="37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CV210" i="47"/>
  <c r="CV209" i="47"/>
  <c r="CV208" i="47"/>
  <c r="CV207" i="47"/>
  <c r="CV206" i="47"/>
  <c r="CV205" i="47"/>
  <c r="CV204" i="47"/>
  <c r="CV203" i="47"/>
  <c r="CV202" i="47"/>
  <c r="CV201" i="47"/>
  <c r="CV200" i="47"/>
  <c r="CV189" i="47"/>
  <c r="CV190" i="47"/>
  <c r="CV191" i="47"/>
  <c r="CV192" i="47"/>
  <c r="CV193" i="47"/>
  <c r="CV194" i="47"/>
  <c r="CV195" i="47"/>
  <c r="CV196" i="47"/>
  <c r="CV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I30" i="47"/>
  <c r="CH30" i="47"/>
  <c r="CL13" i="47"/>
  <c r="CG21" i="47"/>
  <c r="DJ310" i="13" l="1"/>
  <c r="DJ311" i="13"/>
  <c r="DJ312" i="13"/>
  <c r="DJ313" i="13"/>
  <c r="DJ309" i="13"/>
  <c r="CY310" i="13"/>
  <c r="CY311" i="13"/>
  <c r="CY312" i="13"/>
  <c r="CY313" i="13"/>
  <c r="CY309" i="13"/>
  <c r="DK220" i="13"/>
  <c r="DK221" i="13"/>
  <c r="DK222" i="13"/>
  <c r="DK223" i="13"/>
  <c r="DK224" i="13"/>
  <c r="DK225" i="13"/>
  <c r="DK226" i="13"/>
  <c r="DK227" i="13"/>
  <c r="DK228" i="13"/>
  <c r="DK229" i="13"/>
  <c r="DK230" i="13"/>
  <c r="DK231" i="13"/>
  <c r="DK232" i="13"/>
  <c r="DK233" i="13"/>
  <c r="DK234" i="13"/>
  <c r="DK235" i="13"/>
  <c r="DK236" i="13"/>
  <c r="DK237" i="13"/>
  <c r="DK238" i="13"/>
  <c r="DK257" i="13"/>
  <c r="DK258" i="13"/>
  <c r="DK259" i="13"/>
  <c r="DK260" i="13"/>
  <c r="DK261" i="13"/>
  <c r="DK262" i="13"/>
  <c r="DK263" i="13"/>
  <c r="DK264" i="13"/>
  <c r="DK265" i="13"/>
  <c r="DK266" i="13"/>
  <c r="DK267" i="13"/>
  <c r="DK268" i="13"/>
  <c r="DK269" i="13"/>
  <c r="DK270" i="13"/>
  <c r="DK271" i="13"/>
  <c r="DK272" i="13"/>
  <c r="DK273" i="13"/>
  <c r="DK274" i="13"/>
  <c r="DK275" i="13"/>
  <c r="DK276" i="13"/>
  <c r="DK277" i="13"/>
  <c r="DK278" i="13"/>
  <c r="DK279" i="13"/>
  <c r="DK280" i="13"/>
  <c r="DK281" i="13"/>
  <c r="DK282" i="13"/>
  <c r="DK283" i="13"/>
  <c r="DK284" i="13"/>
  <c r="DK285" i="13"/>
  <c r="DK286" i="13"/>
  <c r="DK287" i="13"/>
  <c r="DK288" i="13"/>
  <c r="DK289" i="13"/>
  <c r="DK290" i="13"/>
  <c r="DK291" i="13"/>
  <c r="DK292" i="13"/>
  <c r="DK293" i="13"/>
  <c r="DK294" i="13"/>
  <c r="DK295" i="13"/>
  <c r="DK296" i="13"/>
  <c r="DK297" i="13"/>
  <c r="DK298" i="13"/>
  <c r="DK219" i="13"/>
  <c r="DA220" i="13"/>
  <c r="DA221" i="13"/>
  <c r="DA222" i="13"/>
  <c r="DA223" i="13"/>
  <c r="DA224" i="13"/>
  <c r="DA225" i="13"/>
  <c r="DA226" i="13"/>
  <c r="DA227" i="13"/>
  <c r="DA228" i="13"/>
  <c r="DA229" i="13"/>
  <c r="DA230" i="13"/>
  <c r="DA231" i="13"/>
  <c r="DA232" i="13"/>
  <c r="DA233" i="13"/>
  <c r="DA234" i="13"/>
  <c r="DA235" i="13"/>
  <c r="DA236" i="13"/>
  <c r="DA237" i="13"/>
  <c r="DA238" i="13"/>
  <c r="DA257" i="13"/>
  <c r="DA258" i="13"/>
  <c r="DA259" i="13"/>
  <c r="DA260" i="13"/>
  <c r="DA261" i="13"/>
  <c r="DA262" i="13"/>
  <c r="DA263" i="13"/>
  <c r="DA264" i="13"/>
  <c r="DA265" i="13"/>
  <c r="DA266" i="13"/>
  <c r="DA267" i="13"/>
  <c r="DA268" i="13"/>
  <c r="DA269" i="13"/>
  <c r="DA270" i="13"/>
  <c r="DA271" i="13"/>
  <c r="DA272" i="13"/>
  <c r="DA273" i="13"/>
  <c r="DA274" i="13"/>
  <c r="DA275" i="13"/>
  <c r="DA276" i="13"/>
  <c r="DA277" i="13"/>
  <c r="DA278" i="13"/>
  <c r="DA279" i="13"/>
  <c r="DA280" i="13"/>
  <c r="DA281" i="13"/>
  <c r="DA282" i="13"/>
  <c r="DA283" i="13"/>
  <c r="DA284" i="13"/>
  <c r="DA285" i="13"/>
  <c r="DA286" i="13"/>
  <c r="DA287" i="13"/>
  <c r="DA288" i="13"/>
  <c r="DA289" i="13"/>
  <c r="DA290" i="13"/>
  <c r="DA291" i="13"/>
  <c r="DA292" i="13"/>
  <c r="DA293" i="13"/>
  <c r="DA294" i="13"/>
  <c r="DA295" i="13"/>
  <c r="DA296" i="13"/>
  <c r="DA297" i="13"/>
  <c r="DA298" i="13"/>
  <c r="DA219" i="13"/>
  <c r="DK147" i="13"/>
  <c r="DK148" i="13"/>
  <c r="DK149" i="13"/>
  <c r="DK150" i="13"/>
  <c r="DK151" i="13"/>
  <c r="DK152" i="13"/>
  <c r="DK153" i="13"/>
  <c r="DK154" i="13"/>
  <c r="DK146" i="13"/>
  <c r="DA147" i="13"/>
  <c r="DA148" i="13"/>
  <c r="DA149" i="13"/>
  <c r="DA150" i="13"/>
  <c r="DA151" i="13"/>
  <c r="DA152" i="13"/>
  <c r="DA153" i="13"/>
  <c r="DA154" i="13"/>
  <c r="DA146" i="13"/>
  <c r="DH147" i="13"/>
  <c r="DH148" i="13"/>
  <c r="DH149" i="13"/>
  <c r="DH150" i="13"/>
  <c r="DH151" i="13"/>
  <c r="DH152" i="13"/>
  <c r="DH153" i="13"/>
  <c r="DH154" i="13"/>
  <c r="DH146" i="13"/>
  <c r="CX147" i="13"/>
  <c r="CX148" i="13"/>
  <c r="CX149" i="13"/>
  <c r="CX150" i="13"/>
  <c r="CX151" i="13"/>
  <c r="CX152" i="13"/>
  <c r="CX153" i="13"/>
  <c r="CX154" i="13"/>
  <c r="CX146" i="13"/>
  <c r="DK140" i="13"/>
  <c r="DK139" i="13"/>
  <c r="DK138" i="13"/>
  <c r="DK137" i="13"/>
  <c r="DK136" i="13"/>
  <c r="DK135" i="13"/>
  <c r="DK134" i="13"/>
  <c r="DK133" i="13"/>
  <c r="DK132" i="13"/>
  <c r="DK131" i="13"/>
  <c r="DK130" i="13"/>
  <c r="DK129" i="13"/>
  <c r="DK128" i="13"/>
  <c r="DK127" i="13"/>
  <c r="DK126" i="13"/>
  <c r="DK125" i="13"/>
  <c r="DK124" i="13"/>
  <c r="DK123" i="13"/>
  <c r="DK122" i="13"/>
  <c r="DK121" i="13"/>
  <c r="DK120" i="13"/>
  <c r="DK119" i="13"/>
  <c r="DK118" i="13"/>
  <c r="DK117" i="13"/>
  <c r="DK116" i="13"/>
  <c r="DK115" i="13"/>
  <c r="DK114" i="13"/>
  <c r="DK113" i="13"/>
  <c r="DK112" i="13"/>
  <c r="DK111" i="13"/>
  <c r="DK110" i="13"/>
  <c r="DK109" i="13"/>
  <c r="DK108" i="13"/>
  <c r="DK107" i="13"/>
  <c r="DK106" i="13"/>
  <c r="DK105" i="13"/>
  <c r="DK104" i="13"/>
  <c r="DK103" i="13"/>
  <c r="DK102" i="13"/>
  <c r="DK101" i="13"/>
  <c r="DK100" i="13"/>
  <c r="DK99" i="13"/>
  <c r="DK89" i="13"/>
  <c r="DK90" i="13"/>
  <c r="DK91" i="13"/>
  <c r="DK92" i="13"/>
  <c r="DK93" i="13"/>
  <c r="DK94" i="13"/>
  <c r="DK95" i="13"/>
  <c r="DK96" i="13"/>
  <c r="DK97" i="13"/>
  <c r="DK88" i="13"/>
  <c r="DH140" i="13"/>
  <c r="DH139" i="13"/>
  <c r="DH138" i="13"/>
  <c r="DH137" i="13"/>
  <c r="DH136" i="13"/>
  <c r="DH135" i="13"/>
  <c r="DH134" i="13"/>
  <c r="DH133" i="13"/>
  <c r="DH132" i="13"/>
  <c r="DH131" i="13"/>
  <c r="DH130" i="13"/>
  <c r="DH129" i="13"/>
  <c r="DH128" i="13"/>
  <c r="DH127" i="13"/>
  <c r="DH126" i="13"/>
  <c r="DH118" i="13"/>
  <c r="DH116" i="13"/>
  <c r="DH115" i="13"/>
  <c r="DH114" i="13"/>
  <c r="DH113" i="13"/>
  <c r="DH112" i="13"/>
  <c r="DH111" i="13"/>
  <c r="DH110" i="13"/>
  <c r="DH109" i="13"/>
  <c r="DH108" i="13"/>
  <c r="DH107" i="13"/>
  <c r="DH106" i="13"/>
  <c r="DH105" i="13"/>
  <c r="DH104" i="13"/>
  <c r="DH103" i="13"/>
  <c r="DH102" i="13"/>
  <c r="DH101" i="13"/>
  <c r="DH100" i="13"/>
  <c r="DH99" i="13"/>
  <c r="DH98" i="13"/>
  <c r="DH96" i="13"/>
  <c r="DH95" i="13"/>
  <c r="DH94" i="13"/>
  <c r="DH92" i="13"/>
  <c r="DH91" i="13"/>
  <c r="DH90" i="13"/>
  <c r="DH89" i="13"/>
  <c r="DH88" i="13"/>
  <c r="DA140" i="13"/>
  <c r="DA139" i="13"/>
  <c r="DA138" i="13"/>
  <c r="DA137" i="13"/>
  <c r="DA136" i="13"/>
  <c r="DA135" i="13"/>
  <c r="DA134" i="13"/>
  <c r="DA133" i="13"/>
  <c r="DA132" i="13"/>
  <c r="DA131" i="13"/>
  <c r="DA130" i="13"/>
  <c r="DA129" i="13"/>
  <c r="DA128" i="13"/>
  <c r="DA127" i="13"/>
  <c r="DA126" i="13"/>
  <c r="DA125" i="13"/>
  <c r="DA124" i="13"/>
  <c r="DA123" i="13"/>
  <c r="DA122" i="13"/>
  <c r="DA121" i="13"/>
  <c r="DA120" i="13"/>
  <c r="DA119" i="13"/>
  <c r="DA118" i="13"/>
  <c r="DA117" i="13"/>
  <c r="DA116" i="13"/>
  <c r="DA115" i="13"/>
  <c r="DA114" i="13"/>
  <c r="DA113" i="13"/>
  <c r="DA112" i="13"/>
  <c r="DA111" i="13"/>
  <c r="DA110" i="13"/>
  <c r="DA109" i="13"/>
  <c r="DA108" i="13"/>
  <c r="DA107" i="13"/>
  <c r="DA106" i="13"/>
  <c r="DA105" i="13"/>
  <c r="DA104" i="13"/>
  <c r="DA103" i="13"/>
  <c r="DA102" i="13"/>
  <c r="DA101" i="13"/>
  <c r="DA100" i="13"/>
  <c r="DA99" i="13"/>
  <c r="DA89" i="13"/>
  <c r="DA90" i="13"/>
  <c r="DA91" i="13"/>
  <c r="DA92" i="13"/>
  <c r="DA93" i="13"/>
  <c r="DA94" i="13"/>
  <c r="DA95" i="13"/>
  <c r="DA96" i="13"/>
  <c r="DA97" i="13"/>
  <c r="DA88" i="13"/>
  <c r="CX140" i="13"/>
  <c r="CX139" i="13"/>
  <c r="CX138" i="13"/>
  <c r="CX137" i="13"/>
  <c r="CX136" i="13"/>
  <c r="CX135" i="13"/>
  <c r="CX134" i="13"/>
  <c r="CX133" i="13"/>
  <c r="CX132" i="13"/>
  <c r="CX131" i="13"/>
  <c r="CX130" i="13"/>
  <c r="CX129" i="13"/>
  <c r="CX128" i="13"/>
  <c r="CX127" i="13"/>
  <c r="CX126" i="13"/>
  <c r="CX118" i="13"/>
  <c r="CX116" i="13"/>
  <c r="CX115" i="13"/>
  <c r="CX114" i="13"/>
  <c r="CX113" i="13"/>
  <c r="CX112" i="13"/>
  <c r="CX111" i="13"/>
  <c r="CX110" i="13"/>
  <c r="CX109" i="13"/>
  <c r="CX108" i="13"/>
  <c r="CX107" i="13"/>
  <c r="CX106" i="13"/>
  <c r="CX105" i="13"/>
  <c r="CX104" i="13"/>
  <c r="CX103" i="13"/>
  <c r="CX102" i="13"/>
  <c r="CX101" i="13"/>
  <c r="CX100" i="13"/>
  <c r="CX99" i="13"/>
  <c r="CX98" i="13"/>
  <c r="CX96" i="13"/>
  <c r="CX95" i="13"/>
  <c r="CX94" i="13"/>
  <c r="CX89" i="13"/>
  <c r="CX90" i="13"/>
  <c r="CX91" i="13"/>
  <c r="CX92" i="13"/>
  <c r="CX88" i="13"/>
  <c r="DK63" i="13" l="1"/>
  <c r="DK62" i="13"/>
  <c r="DK61" i="13"/>
  <c r="DK59" i="13"/>
  <c r="DK58" i="13"/>
  <c r="DK57" i="13"/>
  <c r="DK56" i="13"/>
  <c r="DK55" i="13"/>
  <c r="DK53" i="13"/>
  <c r="DK52" i="13"/>
  <c r="DK51" i="13"/>
  <c r="DK50" i="13"/>
  <c r="DK49" i="13"/>
  <c r="DK48" i="13"/>
  <c r="DK47" i="13"/>
  <c r="DK44" i="13"/>
  <c r="DK41" i="13"/>
  <c r="DH63" i="13"/>
  <c r="DH62" i="13"/>
  <c r="DH61" i="13"/>
  <c r="DH59" i="13"/>
  <c r="DH58" i="13"/>
  <c r="DH57" i="13"/>
  <c r="DH56" i="13"/>
  <c r="DH55" i="13"/>
  <c r="DH53" i="13"/>
  <c r="DH52" i="13"/>
  <c r="DH51" i="13"/>
  <c r="DH50" i="13"/>
  <c r="DH49" i="13"/>
  <c r="DH48" i="13"/>
  <c r="DH47" i="13"/>
  <c r="DH45" i="13"/>
  <c r="DH44" i="13"/>
  <c r="DH42" i="13"/>
  <c r="DH41" i="13"/>
  <c r="DA63" i="13"/>
  <c r="DA62" i="13"/>
  <c r="DA61" i="13"/>
  <c r="DA59" i="13"/>
  <c r="DA58" i="13"/>
  <c r="DA57" i="13"/>
  <c r="DA56" i="13"/>
  <c r="DA55" i="13"/>
  <c r="DA53" i="13"/>
  <c r="DA52" i="13"/>
  <c r="DA51" i="13"/>
  <c r="DA50" i="13"/>
  <c r="DA49" i="13"/>
  <c r="DA48" i="13"/>
  <c r="DA47" i="13"/>
  <c r="DA44" i="13"/>
  <c r="DA41" i="13"/>
  <c r="CX63" i="13"/>
  <c r="CX62" i="13"/>
  <c r="CX61" i="13"/>
  <c r="CX59" i="13"/>
  <c r="CX58" i="13"/>
  <c r="CX57" i="13"/>
  <c r="CX56" i="13"/>
  <c r="CX55" i="13"/>
  <c r="CX53" i="13"/>
  <c r="CX52" i="13"/>
  <c r="CX51" i="13"/>
  <c r="CX50" i="13"/>
  <c r="CX49" i="13"/>
  <c r="CX48" i="13"/>
  <c r="CX47" i="13"/>
  <c r="CX45" i="13"/>
  <c r="CX44" i="13"/>
  <c r="CX42" i="13"/>
  <c r="CX41" i="13"/>
  <c r="DK20" i="13"/>
  <c r="DK21" i="13"/>
  <c r="DK22" i="13"/>
  <c r="DK23" i="13"/>
  <c r="DK24" i="13"/>
  <c r="DK25" i="13"/>
  <c r="DK26" i="13"/>
  <c r="DK27" i="13"/>
  <c r="DK28" i="13"/>
  <c r="DK29" i="13"/>
  <c r="DK30" i="13"/>
  <c r="DK31" i="13"/>
  <c r="DK32" i="13"/>
  <c r="DK33" i="13"/>
  <c r="DK34" i="13"/>
  <c r="DK35" i="13"/>
  <c r="DK19" i="13"/>
  <c r="DH35" i="13"/>
  <c r="DH34" i="13"/>
  <c r="DH33" i="13"/>
  <c r="DH32" i="13"/>
  <c r="DH31" i="13"/>
  <c r="DH30" i="13"/>
  <c r="DH29" i="13"/>
  <c r="DH28" i="13"/>
  <c r="DH27" i="13"/>
  <c r="DH26" i="13"/>
  <c r="DH25" i="13"/>
  <c r="DH24" i="13"/>
  <c r="DH23" i="13"/>
  <c r="DH22" i="13"/>
  <c r="DH21" i="13"/>
  <c r="DH20" i="13"/>
  <c r="DH19" i="13"/>
  <c r="DA20" i="13"/>
  <c r="DA21" i="13"/>
  <c r="DA22" i="13"/>
  <c r="DA23" i="13"/>
  <c r="DA24" i="13"/>
  <c r="DA25" i="13"/>
  <c r="DA26" i="13"/>
  <c r="DA27" i="13"/>
  <c r="DA28" i="13"/>
  <c r="DA29" i="13"/>
  <c r="DA30" i="13"/>
  <c r="DA31" i="13"/>
  <c r="DA32" i="13"/>
  <c r="DA33" i="13"/>
  <c r="DA34" i="13"/>
  <c r="DA35" i="13"/>
  <c r="DA19" i="13"/>
  <c r="CX20" i="13"/>
  <c r="CX21" i="13"/>
  <c r="CX22" i="13"/>
  <c r="CX23" i="13"/>
  <c r="CX24" i="13"/>
  <c r="CX25" i="13"/>
  <c r="CX26" i="13"/>
  <c r="CX27" i="13"/>
  <c r="CX28" i="13"/>
  <c r="CX29" i="13"/>
  <c r="CX30" i="13"/>
  <c r="CX31" i="13"/>
  <c r="CX32" i="13"/>
  <c r="CX33" i="13"/>
  <c r="CX34" i="13"/>
  <c r="CX35" i="13"/>
  <c r="CX19" i="13"/>
  <c r="DK13" i="13"/>
  <c r="DK14" i="13"/>
  <c r="DK15" i="13"/>
  <c r="DK12" i="13"/>
  <c r="DH13" i="13"/>
  <c r="DH14" i="13"/>
  <c r="DH15" i="13"/>
  <c r="DH12" i="13"/>
  <c r="CX13" i="13"/>
  <c r="CX14" i="13"/>
  <c r="CX15" i="13"/>
  <c r="DA13" i="13"/>
  <c r="DA14" i="13"/>
  <c r="DA15" i="13"/>
  <c r="DA12" i="13"/>
  <c r="CX12" i="13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EA237" i="47"/>
  <c r="EB237" i="47"/>
  <c r="CW238" i="47"/>
  <c r="CX238" i="47"/>
  <c r="CW239" i="47"/>
  <c r="CX239" i="47"/>
  <c r="CW240" i="47"/>
  <c r="CX240" i="47"/>
  <c r="CW241" i="47"/>
  <c r="CX241" i="47"/>
  <c r="CW242" i="47"/>
  <c r="CX242" i="47"/>
  <c r="CW243" i="47"/>
  <c r="CX243" i="47"/>
  <c r="CW244" i="47"/>
  <c r="CX244" i="47"/>
  <c r="CW245" i="47"/>
  <c r="CX245" i="47"/>
  <c r="CW246" i="47"/>
  <c r="CX246" i="47"/>
  <c r="CW247" i="47"/>
  <c r="CX247" i="47"/>
  <c r="CW248" i="47"/>
  <c r="CX248" i="47"/>
  <c r="CW249" i="47"/>
  <c r="CX249" i="47"/>
  <c r="CW250" i="47"/>
  <c r="CX250" i="47"/>
  <c r="CW251" i="47"/>
  <c r="CX251" i="47"/>
  <c r="CW252" i="47"/>
  <c r="CX252" i="47"/>
  <c r="CW253" i="47"/>
  <c r="CX253" i="47"/>
  <c r="CW254" i="47"/>
  <c r="CX254" i="47"/>
  <c r="CW255" i="47"/>
  <c r="CX255" i="47"/>
  <c r="CW256" i="47"/>
  <c r="CX256" i="47"/>
  <c r="CW257" i="47"/>
  <c r="CX257" i="47"/>
  <c r="CW258" i="47"/>
  <c r="CX258" i="47"/>
  <c r="CW259" i="47"/>
  <c r="CX259" i="47"/>
  <c r="CX237" i="47"/>
  <c r="CW237" i="47"/>
  <c r="EB183" i="47"/>
  <c r="EA183" i="47"/>
  <c r="EB182" i="47"/>
  <c r="EA182" i="47"/>
  <c r="EB181" i="47"/>
  <c r="EA181" i="47"/>
  <c r="EB180" i="47"/>
  <c r="EA180" i="47"/>
  <c r="EB179" i="47"/>
  <c r="EA179" i="47"/>
  <c r="EB178" i="47"/>
  <c r="EA178" i="47"/>
  <c r="EB177" i="47"/>
  <c r="EA177" i="47"/>
  <c r="EB176" i="47"/>
  <c r="EA176" i="47"/>
  <c r="EB175" i="47"/>
  <c r="EA175" i="47"/>
  <c r="EB174" i="47"/>
  <c r="EA174" i="47"/>
  <c r="EB173" i="47"/>
  <c r="EA173" i="47"/>
  <c r="EA162" i="47"/>
  <c r="EB162" i="47"/>
  <c r="EA163" i="47"/>
  <c r="EB163" i="47"/>
  <c r="EA164" i="47"/>
  <c r="EB164" i="47"/>
  <c r="EA165" i="47"/>
  <c r="EB165" i="47"/>
  <c r="EA166" i="47"/>
  <c r="EB166" i="47"/>
  <c r="EA167" i="47"/>
  <c r="EB167" i="47"/>
  <c r="EA168" i="47"/>
  <c r="EB168" i="47"/>
  <c r="EA169" i="47"/>
  <c r="EB169" i="47"/>
  <c r="EB161" i="47"/>
  <c r="EA161" i="47"/>
  <c r="CX183" i="47"/>
  <c r="CW183" i="47"/>
  <c r="CX182" i="47"/>
  <c r="CW182" i="47"/>
  <c r="CX181" i="47"/>
  <c r="CW181" i="47"/>
  <c r="CX180" i="47"/>
  <c r="CW180" i="47"/>
  <c r="CX179" i="47"/>
  <c r="CW179" i="47"/>
  <c r="CX178" i="47"/>
  <c r="CW178" i="47"/>
  <c r="CX177" i="47"/>
  <c r="CW177" i="47"/>
  <c r="CX176" i="47"/>
  <c r="CW176" i="47"/>
  <c r="CX175" i="47"/>
  <c r="CW175" i="47"/>
  <c r="CX174" i="47"/>
  <c r="CW174" i="47"/>
  <c r="CX173" i="47"/>
  <c r="CW173" i="47"/>
  <c r="CW162" i="47"/>
  <c r="CX162" i="47"/>
  <c r="CW163" i="47"/>
  <c r="CX163" i="47"/>
  <c r="CW164" i="47"/>
  <c r="CX164" i="47"/>
  <c r="CW165" i="47"/>
  <c r="CX165" i="47"/>
  <c r="CW166" i="47"/>
  <c r="CX166" i="47"/>
  <c r="CW167" i="47"/>
  <c r="CX167" i="47"/>
  <c r="CW168" i="47"/>
  <c r="CX168" i="47"/>
  <c r="CW169" i="47"/>
  <c r="CX169" i="47"/>
  <c r="CX161" i="47"/>
  <c r="CW161" i="47"/>
  <c r="CU161" i="47"/>
  <c r="DY161" i="47"/>
  <c r="BX39" i="22"/>
  <c r="BY39" i="22"/>
  <c r="BX40" i="22"/>
  <c r="BY40" i="22"/>
  <c r="BX41" i="22"/>
  <c r="BY41" i="22"/>
  <c r="BY38" i="22"/>
  <c r="BX38" i="22"/>
  <c r="BR39" i="22"/>
  <c r="BS39" i="22"/>
  <c r="BR40" i="22"/>
  <c r="BS40" i="22"/>
  <c r="BR41" i="22"/>
  <c r="BS41" i="22"/>
  <c r="BS38" i="22"/>
  <c r="BR38" i="22"/>
  <c r="DM67" i="13"/>
  <c r="DC67" i="13"/>
  <c r="DB67" i="13"/>
  <c r="DA67" i="13"/>
  <c r="CZ68" i="13"/>
  <c r="CZ69" i="13"/>
  <c r="CZ70" i="13"/>
  <c r="CZ71" i="13"/>
  <c r="CZ72" i="13"/>
  <c r="CZ73" i="13"/>
  <c r="CZ74" i="13"/>
  <c r="CZ75" i="13"/>
  <c r="CZ76" i="13"/>
  <c r="CZ77" i="13"/>
  <c r="CZ78" i="13"/>
  <c r="CZ67" i="13"/>
  <c r="CY67" i="13"/>
  <c r="CX67" i="13"/>
  <c r="CC37" i="11" l="1"/>
  <c r="CB37" i="11"/>
  <c r="CE13" i="38" l="1"/>
  <c r="CF13" i="38"/>
  <c r="CE14" i="38"/>
  <c r="CF14" i="38"/>
  <c r="CE15" i="38"/>
  <c r="CF15" i="38"/>
  <c r="CE16" i="38"/>
  <c r="CF16" i="38"/>
  <c r="CE17" i="38"/>
  <c r="CF17" i="38"/>
  <c r="CE18" i="38"/>
  <c r="CF18" i="38"/>
  <c r="CE19" i="38"/>
  <c r="CF19" i="38"/>
  <c r="CE20" i="38"/>
  <c r="CF20" i="38"/>
  <c r="CE21" i="38"/>
  <c r="CF21" i="38"/>
  <c r="CE22" i="38"/>
  <c r="CF22" i="38"/>
  <c r="CE23" i="38"/>
  <c r="CF23" i="38"/>
  <c r="CE24" i="38"/>
  <c r="CF24" i="38"/>
  <c r="CE25" i="38"/>
  <c r="CF25" i="38"/>
  <c r="CE26" i="38"/>
  <c r="CF26" i="38"/>
  <c r="CE27" i="38"/>
  <c r="CF27" i="38"/>
  <c r="CE28" i="38"/>
  <c r="CF28" i="38"/>
  <c r="CE29" i="38"/>
  <c r="CF29" i="38"/>
  <c r="CE12" i="38"/>
  <c r="CB13" i="38"/>
  <c r="CC13" i="38"/>
  <c r="CB14" i="38"/>
  <c r="CC14" i="38"/>
  <c r="CB15" i="38"/>
  <c r="CC15" i="38"/>
  <c r="CB16" i="38"/>
  <c r="CC16" i="38"/>
  <c r="CB17" i="38"/>
  <c r="CC17" i="38"/>
  <c r="CB18" i="38"/>
  <c r="CC18" i="38"/>
  <c r="CB19" i="38"/>
  <c r="M19" i="38" s="1"/>
  <c r="CC19" i="38"/>
  <c r="CB20" i="38"/>
  <c r="CC20" i="38"/>
  <c r="CB21" i="38"/>
  <c r="CC21" i="38"/>
  <c r="CB22" i="38"/>
  <c r="CC22" i="38"/>
  <c r="CB23" i="38"/>
  <c r="M23" i="38" s="1"/>
  <c r="CC23" i="38"/>
  <c r="CB24" i="38"/>
  <c r="CC24" i="38"/>
  <c r="CB25" i="38"/>
  <c r="CC25" i="38"/>
  <c r="CB26" i="38"/>
  <c r="CC26" i="38"/>
  <c r="CB27" i="38"/>
  <c r="M27" i="38" s="1"/>
  <c r="CC27" i="38"/>
  <c r="CB28" i="38"/>
  <c r="CC28" i="38"/>
  <c r="CB29" i="38"/>
  <c r="CC29" i="38"/>
  <c r="CC12" i="38"/>
  <c r="CB12" i="38"/>
  <c r="M29" i="38" l="1"/>
  <c r="M25" i="38"/>
  <c r="M24" i="38"/>
  <c r="M22" i="38"/>
  <c r="M18" i="38"/>
  <c r="M21" i="38"/>
  <c r="M20" i="38"/>
  <c r="M17" i="38"/>
  <c r="M16" i="38"/>
  <c r="M15" i="38"/>
  <c r="M26" i="38"/>
  <c r="M28" i="38"/>
  <c r="BW124" i="4" l="1"/>
  <c r="BV124" i="4"/>
  <c r="BU124" i="4"/>
  <c r="BT124" i="4"/>
  <c r="BS124" i="4"/>
  <c r="BP124" i="4"/>
  <c r="CF12" i="38"/>
  <c r="CB96" i="36" l="1"/>
  <c r="CB95" i="36"/>
  <c r="CB92" i="36"/>
  <c r="CB91" i="36"/>
  <c r="CB57" i="36"/>
  <c r="CB58" i="36"/>
  <c r="CB59" i="36"/>
  <c r="CB56" i="36"/>
  <c r="CB51" i="36"/>
  <c r="CB52" i="36"/>
  <c r="CB53" i="36"/>
  <c r="CB50" i="36"/>
  <c r="CB36" i="36"/>
  <c r="CB35" i="36"/>
  <c r="CB23" i="36"/>
  <c r="CB22" i="36"/>
  <c r="CN39" i="32" l="1"/>
  <c r="CD39" i="32"/>
  <c r="CM38" i="32"/>
  <c r="CL39" i="32"/>
  <c r="CB39" i="32"/>
  <c r="CD37" i="32"/>
  <c r="CC38" i="32"/>
  <c r="CC37" i="32"/>
  <c r="CC36" i="32"/>
  <c r="CL36" i="32"/>
  <c r="CM13" i="32"/>
  <c r="CQ13" i="32" l="1"/>
  <c r="CP13" i="32"/>
  <c r="CS13" i="32"/>
  <c r="CR13" i="32"/>
  <c r="BR61" i="28"/>
  <c r="BR60" i="28"/>
  <c r="BR58" i="28"/>
  <c r="BR57" i="28"/>
  <c r="CC113" i="24"/>
  <c r="AT80" i="5"/>
  <c r="AT81" i="5"/>
  <c r="AT82" i="5"/>
  <c r="AT83" i="5"/>
  <c r="AT84" i="5"/>
  <c r="AT85" i="5"/>
  <c r="AT86" i="5"/>
  <c r="AT87" i="5"/>
  <c r="AT88" i="5"/>
  <c r="AT89" i="5"/>
  <c r="AT90" i="5"/>
  <c r="AT91" i="5"/>
  <c r="AT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79" i="5"/>
  <c r="CM120" i="24"/>
  <c r="CD114" i="24"/>
  <c r="CD115" i="24"/>
  <c r="CL114" i="24"/>
  <c r="CL115" i="24"/>
  <c r="CL113" i="24"/>
  <c r="CD113" i="24"/>
  <c r="CE120" i="24"/>
  <c r="CS113" i="24" l="1"/>
  <c r="DY246" i="47"/>
  <c r="DZ246" i="47"/>
  <c r="DY247" i="47"/>
  <c r="DZ247" i="47"/>
  <c r="DY248" i="47"/>
  <c r="DZ248" i="47"/>
  <c r="CU246" i="47"/>
  <c r="CV246" i="47"/>
  <c r="CU247" i="47"/>
  <c r="CV247" i="47"/>
  <c r="CU248" i="47"/>
  <c r="CV248" i="47"/>
  <c r="CD237" i="47"/>
  <c r="DZ259" i="47"/>
  <c r="DY259" i="47"/>
  <c r="DH259" i="47"/>
  <c r="DG259" i="47"/>
  <c r="CV259" i="47"/>
  <c r="CU259" i="47"/>
  <c r="CD259" i="47"/>
  <c r="CC259" i="47"/>
  <c r="DZ258" i="47"/>
  <c r="DY258" i="47"/>
  <c r="DH258" i="47"/>
  <c r="DG258" i="47"/>
  <c r="CV258" i="47"/>
  <c r="CU258" i="47"/>
  <c r="CD258" i="47"/>
  <c r="CC258" i="47"/>
  <c r="DZ257" i="47"/>
  <c r="DY257" i="47"/>
  <c r="DH257" i="47"/>
  <c r="DG257" i="47"/>
  <c r="CV257" i="47"/>
  <c r="CU257" i="47"/>
  <c r="CD257" i="47"/>
  <c r="CC257" i="47"/>
  <c r="DZ256" i="47"/>
  <c r="DY256" i="47"/>
  <c r="DH256" i="47"/>
  <c r="DG256" i="47"/>
  <c r="CV256" i="47"/>
  <c r="CU256" i="47"/>
  <c r="CD256" i="47"/>
  <c r="CC256" i="47"/>
  <c r="DZ255" i="47"/>
  <c r="DY255" i="47"/>
  <c r="DH255" i="47"/>
  <c r="DG255" i="47"/>
  <c r="CV255" i="47"/>
  <c r="CU255" i="47"/>
  <c r="CD255" i="47"/>
  <c r="CC255" i="47"/>
  <c r="DZ254" i="47"/>
  <c r="DY254" i="47"/>
  <c r="DH254" i="47"/>
  <c r="DG254" i="47"/>
  <c r="CV254" i="47"/>
  <c r="CU254" i="47"/>
  <c r="CD254" i="47"/>
  <c r="CC254" i="47"/>
  <c r="DZ253" i="47"/>
  <c r="DY253" i="47"/>
  <c r="DH253" i="47"/>
  <c r="DG253" i="47"/>
  <c r="CV253" i="47"/>
  <c r="CU253" i="47"/>
  <c r="CD253" i="47"/>
  <c r="CC253" i="47"/>
  <c r="DZ252" i="47"/>
  <c r="DY252" i="47"/>
  <c r="DH252" i="47"/>
  <c r="DG252" i="47"/>
  <c r="CV252" i="47"/>
  <c r="CU252" i="47"/>
  <c r="CD252" i="47"/>
  <c r="CC252" i="47"/>
  <c r="DZ251" i="47"/>
  <c r="DY251" i="47"/>
  <c r="DH251" i="47"/>
  <c r="DG251" i="47"/>
  <c r="CV251" i="47"/>
  <c r="CU251" i="47"/>
  <c r="CD251" i="47"/>
  <c r="CC251" i="47"/>
  <c r="DZ250" i="47"/>
  <c r="DY250" i="47"/>
  <c r="DH250" i="47"/>
  <c r="DG250" i="47"/>
  <c r="CV250" i="47"/>
  <c r="CU250" i="47"/>
  <c r="CD250" i="47"/>
  <c r="CC250" i="47"/>
  <c r="DZ249" i="47"/>
  <c r="DY249" i="47"/>
  <c r="DH249" i="47"/>
  <c r="DG249" i="47"/>
  <c r="CV249" i="47"/>
  <c r="CU249" i="47"/>
  <c r="CD249" i="47"/>
  <c r="CC249" i="47"/>
  <c r="DH248" i="47"/>
  <c r="DG248" i="47"/>
  <c r="CD248" i="47"/>
  <c r="CC248" i="47"/>
  <c r="DH247" i="47"/>
  <c r="DG247" i="47"/>
  <c r="CD247" i="47"/>
  <c r="CC247" i="47"/>
  <c r="DH246" i="47"/>
  <c r="DG246" i="47"/>
  <c r="CD246" i="47"/>
  <c r="CC246" i="47"/>
  <c r="DZ245" i="47"/>
  <c r="DY245" i="47"/>
  <c r="DH245" i="47"/>
  <c r="DG245" i="47"/>
  <c r="CV245" i="47"/>
  <c r="CU245" i="47"/>
  <c r="CD245" i="47"/>
  <c r="CC245" i="47"/>
  <c r="DZ244" i="47"/>
  <c r="DY244" i="47"/>
  <c r="DH244" i="47"/>
  <c r="DG244" i="47"/>
  <c r="CV244" i="47"/>
  <c r="CU244" i="47"/>
  <c r="CD244" i="47"/>
  <c r="CC244" i="47"/>
  <c r="DZ243" i="47"/>
  <c r="DY243" i="47"/>
  <c r="DH243" i="47"/>
  <c r="DG243" i="47"/>
  <c r="CV243" i="47"/>
  <c r="CU243" i="47"/>
  <c r="CD243" i="47"/>
  <c r="CC243" i="47"/>
  <c r="DZ242" i="47"/>
  <c r="DY242" i="47"/>
  <c r="DH242" i="47"/>
  <c r="DG242" i="47"/>
  <c r="CV242" i="47"/>
  <c r="CU242" i="47"/>
  <c r="CD242" i="47"/>
  <c r="CC242" i="47"/>
  <c r="DZ241" i="47"/>
  <c r="DY241" i="47"/>
  <c r="DH241" i="47"/>
  <c r="DG241" i="47"/>
  <c r="CV241" i="47"/>
  <c r="CU241" i="47"/>
  <c r="CD241" i="47"/>
  <c r="CC241" i="47"/>
  <c r="DZ240" i="47"/>
  <c r="DY240" i="47"/>
  <c r="DH240" i="47"/>
  <c r="DG240" i="47"/>
  <c r="CV240" i="47"/>
  <c r="CU240" i="47"/>
  <c r="CD240" i="47"/>
  <c r="CC240" i="47"/>
  <c r="DZ239" i="47"/>
  <c r="DY239" i="47"/>
  <c r="DH239" i="47"/>
  <c r="CV239" i="47"/>
  <c r="CU239" i="47"/>
  <c r="CD239" i="47"/>
  <c r="DZ238" i="47"/>
  <c r="DY238" i="47"/>
  <c r="DH238" i="47"/>
  <c r="CV238" i="47"/>
  <c r="CU238" i="47"/>
  <c r="CD238" i="47"/>
  <c r="DZ237" i="47"/>
  <c r="DY237" i="47"/>
  <c r="DH237" i="47"/>
  <c r="CV237" i="47"/>
  <c r="CU237" i="47"/>
  <c r="DH210" i="47"/>
  <c r="DG210" i="47"/>
  <c r="CD210" i="47"/>
  <c r="CC210" i="47"/>
  <c r="DH209" i="47"/>
  <c r="DG209" i="47"/>
  <c r="CD209" i="47"/>
  <c r="CC209" i="47"/>
  <c r="DH208" i="47"/>
  <c r="DG208" i="47"/>
  <c r="CD208" i="47"/>
  <c r="CC208" i="47"/>
  <c r="DH207" i="47"/>
  <c r="DG207" i="47"/>
  <c r="CD207" i="47"/>
  <c r="CC207" i="47"/>
  <c r="DH206" i="47"/>
  <c r="DG206" i="47"/>
  <c r="CD206" i="47"/>
  <c r="CC206" i="47"/>
  <c r="DH205" i="47"/>
  <c r="DG205" i="47"/>
  <c r="CD205" i="47"/>
  <c r="CC205" i="47"/>
  <c r="DH204" i="47"/>
  <c r="DG204" i="47"/>
  <c r="CD204" i="47"/>
  <c r="CC204" i="47"/>
  <c r="DH203" i="47"/>
  <c r="DG203" i="47"/>
  <c r="CD203" i="47"/>
  <c r="CC203" i="47"/>
  <c r="DH202" i="47"/>
  <c r="DG202" i="47"/>
  <c r="CD202" i="47"/>
  <c r="CC202" i="47"/>
  <c r="DH201" i="47"/>
  <c r="DG201" i="47"/>
  <c r="CD201" i="47"/>
  <c r="CC201" i="47"/>
  <c r="DH200" i="47"/>
  <c r="DG200" i="47"/>
  <c r="CD200" i="47"/>
  <c r="CC200" i="47"/>
  <c r="DH199" i="47"/>
  <c r="DG199" i="47"/>
  <c r="CD199" i="47"/>
  <c r="CC199" i="47"/>
  <c r="DH198" i="47"/>
  <c r="DG198" i="47"/>
  <c r="CD198" i="47"/>
  <c r="CC198" i="47"/>
  <c r="DH197" i="47"/>
  <c r="DG197" i="47"/>
  <c r="CD197" i="47"/>
  <c r="CC197" i="47"/>
  <c r="DH196" i="47"/>
  <c r="DG196" i="47"/>
  <c r="CD196" i="47"/>
  <c r="CC196" i="47"/>
  <c r="DH195" i="47"/>
  <c r="DG195" i="47"/>
  <c r="CD195" i="47"/>
  <c r="CC195" i="47"/>
  <c r="DH194" i="47"/>
  <c r="DG194" i="47"/>
  <c r="CD194" i="47"/>
  <c r="CC194" i="47"/>
  <c r="DH193" i="47"/>
  <c r="DG193" i="47"/>
  <c r="CD193" i="47"/>
  <c r="CC193" i="47"/>
  <c r="DH192" i="47"/>
  <c r="DG192" i="47"/>
  <c r="CD192" i="47"/>
  <c r="CC192" i="47"/>
  <c r="DH191" i="47"/>
  <c r="DG191" i="47"/>
  <c r="CD191" i="47"/>
  <c r="CC191" i="47"/>
  <c r="DH190" i="47"/>
  <c r="CD190" i="47"/>
  <c r="DH189" i="47"/>
  <c r="CD189" i="47"/>
  <c r="DH188" i="47"/>
  <c r="CD188" i="47"/>
  <c r="DZ162" i="47"/>
  <c r="DZ163" i="47"/>
  <c r="DZ164" i="47"/>
  <c r="DZ165" i="47"/>
  <c r="DZ166" i="47"/>
  <c r="DZ167" i="47"/>
  <c r="DZ168" i="47"/>
  <c r="DZ169" i="47"/>
  <c r="DZ173" i="47"/>
  <c r="DZ174" i="47"/>
  <c r="DZ175" i="47"/>
  <c r="DZ176" i="47"/>
  <c r="DZ177" i="47"/>
  <c r="DZ178" i="47"/>
  <c r="DZ179" i="47"/>
  <c r="DZ180" i="47"/>
  <c r="DZ181" i="47"/>
  <c r="DZ182" i="47"/>
  <c r="DZ183" i="47"/>
  <c r="DZ161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CD161" i="47"/>
  <c r="CU162" i="47"/>
  <c r="CV162" i="47"/>
  <c r="CU163" i="47"/>
  <c r="CV163" i="47"/>
  <c r="CU164" i="47"/>
  <c r="CV164" i="47"/>
  <c r="CU165" i="47"/>
  <c r="CV165" i="47"/>
  <c r="CU166" i="47"/>
  <c r="CV166" i="47"/>
  <c r="CU167" i="47"/>
  <c r="CV167" i="47"/>
  <c r="CU168" i="47"/>
  <c r="CV168" i="47"/>
  <c r="CU169" i="47"/>
  <c r="CV169" i="47"/>
  <c r="CU173" i="47"/>
  <c r="CV173" i="47"/>
  <c r="CU174" i="47"/>
  <c r="CV174" i="47"/>
  <c r="CU175" i="47"/>
  <c r="CV175" i="47"/>
  <c r="CU176" i="47"/>
  <c r="CV176" i="47"/>
  <c r="CU177" i="47"/>
  <c r="CV177" i="47"/>
  <c r="CU178" i="47"/>
  <c r="CV178" i="47"/>
  <c r="CU179" i="47"/>
  <c r="CV179" i="47"/>
  <c r="CU180" i="47"/>
  <c r="CV180" i="47"/>
  <c r="CU181" i="47"/>
  <c r="CV181" i="47"/>
  <c r="CU182" i="47"/>
  <c r="CV182" i="47"/>
  <c r="CU183" i="47"/>
  <c r="CV183" i="47"/>
  <c r="CV161" i="47"/>
  <c r="CL30" i="48"/>
  <c r="CF30" i="48" s="1"/>
  <c r="CK30" i="48"/>
  <c r="CE30" i="48" s="1"/>
  <c r="CJ30" i="48"/>
  <c r="CD30" i="48" s="1"/>
  <c r="CI30" i="48"/>
  <c r="CC30" i="48" s="1"/>
  <c r="K79" i="5"/>
  <c r="BJ124" i="4"/>
  <c r="BK124" i="4"/>
  <c r="BL124" i="4"/>
  <c r="BM124" i="4"/>
  <c r="BN124" i="4"/>
  <c r="BG124" i="4"/>
  <c r="BS123" i="4"/>
  <c r="BW123" i="4"/>
  <c r="BV123" i="4"/>
  <c r="BU123" i="4"/>
  <c r="BT123" i="4"/>
  <c r="BP123" i="4"/>
  <c r="BG123" i="4"/>
  <c r="BN123" i="4"/>
  <c r="BM123" i="4"/>
  <c r="BL123" i="4"/>
  <c r="BK123" i="4"/>
  <c r="BJ123" i="4"/>
  <c r="BJ128" i="4"/>
  <c r="CB231" i="34"/>
  <c r="CC231" i="34"/>
  <c r="CD231" i="34"/>
  <c r="CE231" i="34"/>
  <c r="CB232" i="34"/>
  <c r="CC232" i="34"/>
  <c r="CD232" i="34"/>
  <c r="CE232" i="34"/>
  <c r="CB233" i="34"/>
  <c r="CC233" i="34"/>
  <c r="CD233" i="34"/>
  <c r="CE233" i="34"/>
  <c r="CB234" i="34"/>
  <c r="CC234" i="34"/>
  <c r="CD234" i="34"/>
  <c r="CE234" i="34"/>
  <c r="CB235" i="34"/>
  <c r="CC235" i="34"/>
  <c r="CD235" i="34"/>
  <c r="CE235" i="34"/>
  <c r="CO235" i="34"/>
  <c r="CN235" i="34"/>
  <c r="CM235" i="34"/>
  <c r="CL235" i="34"/>
  <c r="CO234" i="34"/>
  <c r="CN234" i="34"/>
  <c r="CM234" i="34"/>
  <c r="CL234" i="34"/>
  <c r="CO233" i="34"/>
  <c r="CN233" i="34"/>
  <c r="CM233" i="34"/>
  <c r="CL233" i="34"/>
  <c r="CO232" i="34"/>
  <c r="CN232" i="34"/>
  <c r="CM232" i="34"/>
  <c r="CL232" i="34"/>
  <c r="CO231" i="34"/>
  <c r="CN231" i="34"/>
  <c r="CM231" i="34"/>
  <c r="CL231" i="34"/>
  <c r="CO230" i="34"/>
  <c r="CN230" i="34"/>
  <c r="CM230" i="34"/>
  <c r="CL230" i="34"/>
  <c r="CC230" i="34"/>
  <c r="CB230" i="34"/>
  <c r="CE230" i="34"/>
  <c r="CD230" i="34"/>
  <c r="CL218" i="34"/>
  <c r="CM218" i="34"/>
  <c r="CN218" i="34"/>
  <c r="CO218" i="34"/>
  <c r="CL219" i="34"/>
  <c r="CM219" i="34"/>
  <c r="CN219" i="34"/>
  <c r="CO219" i="34"/>
  <c r="CL220" i="34"/>
  <c r="CM220" i="34"/>
  <c r="CN220" i="34"/>
  <c r="CO220" i="34"/>
  <c r="CL221" i="34"/>
  <c r="CM221" i="34"/>
  <c r="CN221" i="34"/>
  <c r="CO221" i="34"/>
  <c r="CL222" i="34"/>
  <c r="CM222" i="34"/>
  <c r="CN222" i="34"/>
  <c r="CO222" i="34"/>
  <c r="CL223" i="34"/>
  <c r="CM223" i="34"/>
  <c r="CN223" i="34"/>
  <c r="CO223" i="34"/>
  <c r="CL224" i="34"/>
  <c r="CM224" i="34"/>
  <c r="CN224" i="34"/>
  <c r="CO224" i="34"/>
  <c r="CL225" i="34"/>
  <c r="CM225" i="34"/>
  <c r="CN225" i="34"/>
  <c r="CO225" i="34"/>
  <c r="CM217" i="34"/>
  <c r="CL217" i="34"/>
  <c r="CB218" i="34"/>
  <c r="CC218" i="34"/>
  <c r="CD218" i="34"/>
  <c r="CE218" i="34"/>
  <c r="CB219" i="34"/>
  <c r="CC219" i="34"/>
  <c r="CD219" i="34"/>
  <c r="CE219" i="34"/>
  <c r="CB220" i="34"/>
  <c r="CC220" i="34"/>
  <c r="CD220" i="34"/>
  <c r="CE220" i="34"/>
  <c r="CB221" i="34"/>
  <c r="CC221" i="34"/>
  <c r="CD221" i="34"/>
  <c r="CE221" i="34"/>
  <c r="CB222" i="34"/>
  <c r="CC222" i="34"/>
  <c r="CD222" i="34"/>
  <c r="CE222" i="34"/>
  <c r="CB223" i="34"/>
  <c r="CC223" i="34"/>
  <c r="CD223" i="34"/>
  <c r="CE223" i="34"/>
  <c r="CB224" i="34"/>
  <c r="CC224" i="34"/>
  <c r="CD224" i="34"/>
  <c r="CE224" i="34"/>
  <c r="CB225" i="34"/>
  <c r="CC225" i="34"/>
  <c r="CD225" i="34"/>
  <c r="CE225" i="34"/>
  <c r="CB217" i="34"/>
  <c r="CC217" i="34"/>
  <c r="BR293" i="29"/>
  <c r="BR294" i="29"/>
  <c r="BR295" i="29"/>
  <c r="BR296" i="29"/>
  <c r="BR297" i="29"/>
  <c r="BR298" i="29"/>
  <c r="BR299" i="29"/>
  <c r="BR300" i="29"/>
  <c r="BR301" i="29"/>
  <c r="BR302" i="29"/>
  <c r="BR303" i="29"/>
  <c r="BR304" i="29"/>
  <c r="BR305" i="29"/>
  <c r="BR306" i="29"/>
  <c r="BR307" i="29"/>
  <c r="BR308" i="29"/>
  <c r="BR309" i="29"/>
  <c r="BR292" i="29"/>
  <c r="H233" i="34" l="1"/>
  <c r="H232" i="34"/>
  <c r="H225" i="34"/>
  <c r="H223" i="34"/>
  <c r="H218" i="34"/>
  <c r="H221" i="34"/>
  <c r="H219" i="34"/>
  <c r="BS130" i="28"/>
  <c r="BP130" i="28"/>
  <c r="H220" i="34"/>
  <c r="H222" i="34"/>
  <c r="H224" i="34"/>
  <c r="H235" i="34"/>
  <c r="H231" i="34"/>
  <c r="H234" i="34"/>
  <c r="H230" i="34"/>
  <c r="BR24" i="29"/>
  <c r="BR19" i="29"/>
  <c r="BR20" i="29"/>
  <c r="BR21" i="29"/>
  <c r="BR22" i="29"/>
  <c r="BR23" i="29"/>
  <c r="BR25" i="29"/>
  <c r="BR26" i="29"/>
  <c r="BR27" i="29"/>
  <c r="BR28" i="29"/>
  <c r="BR29" i="29"/>
  <c r="BR30" i="29"/>
  <c r="BR31" i="29"/>
  <c r="BR18" i="29"/>
  <c r="BS19" i="29"/>
  <c r="BT19" i="29"/>
  <c r="BS20" i="29"/>
  <c r="BT20" i="29"/>
  <c r="BS21" i="29"/>
  <c r="BT21" i="29"/>
  <c r="BS22" i="29"/>
  <c r="BT22" i="29"/>
  <c r="BS23" i="29"/>
  <c r="BT23" i="29"/>
  <c r="BS24" i="29"/>
  <c r="BT24" i="29"/>
  <c r="BS25" i="29"/>
  <c r="BT25" i="29"/>
  <c r="BS26" i="29"/>
  <c r="BT26" i="29"/>
  <c r="BS27" i="29"/>
  <c r="BT27" i="29"/>
  <c r="BS28" i="29"/>
  <c r="BT28" i="29"/>
  <c r="BS29" i="29"/>
  <c r="BT29" i="29"/>
  <c r="BS30" i="29"/>
  <c r="BT30" i="29"/>
  <c r="BS31" i="29"/>
  <c r="BT31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BT18" i="29"/>
  <c r="BS18" i="29"/>
  <c r="CL37" i="32"/>
  <c r="CM37" i="32"/>
  <c r="CN37" i="32"/>
  <c r="CN36" i="32"/>
  <c r="CM36" i="32"/>
  <c r="CD36" i="32"/>
  <c r="CB36" i="32"/>
  <c r="P370" i="29"/>
  <c r="F370" i="29"/>
  <c r="G370" i="29"/>
  <c r="H370" i="29"/>
  <c r="I370" i="29"/>
  <c r="J370" i="29"/>
  <c r="K370" i="29"/>
  <c r="L370" i="29"/>
  <c r="M370" i="29"/>
  <c r="N370" i="29"/>
  <c r="O370" i="29"/>
  <c r="E370" i="29"/>
  <c r="D370" i="29"/>
  <c r="H27" i="29" l="1"/>
  <c r="H29" i="29"/>
  <c r="H20" i="29"/>
  <c r="H28" i="29"/>
  <c r="H19" i="29"/>
  <c r="H22" i="29"/>
  <c r="H31" i="29"/>
  <c r="H25" i="29"/>
  <c r="H23" i="29"/>
  <c r="H30" i="29"/>
  <c r="H24" i="29"/>
  <c r="H26" i="29"/>
  <c r="H21" i="29"/>
  <c r="H18" i="29"/>
  <c r="CE70" i="39"/>
  <c r="CE71" i="39"/>
  <c r="CE72" i="39"/>
  <c r="CP71" i="39"/>
  <c r="CP72" i="39"/>
  <c r="CP70" i="39"/>
  <c r="CO14" i="39"/>
  <c r="CO15" i="39"/>
  <c r="CO16" i="39"/>
  <c r="CO17" i="39"/>
  <c r="CO18" i="39"/>
  <c r="CO19" i="39"/>
  <c r="CO20" i="39"/>
  <c r="CO21" i="39"/>
  <c r="CO22" i="39"/>
  <c r="CO13" i="39"/>
  <c r="CD14" i="39"/>
  <c r="CD15" i="39"/>
  <c r="CD16" i="39"/>
  <c r="CD17" i="39"/>
  <c r="CD18" i="39"/>
  <c r="CD19" i="39"/>
  <c r="CD20" i="39"/>
  <c r="CD21" i="39"/>
  <c r="CD22" i="39"/>
  <c r="CD13" i="39"/>
  <c r="M13" i="38"/>
  <c r="M14" i="38"/>
  <c r="M12" i="38"/>
  <c r="CB100" i="37"/>
  <c r="CM67" i="37" l="1"/>
  <c r="CD67" i="37"/>
  <c r="CM66" i="37"/>
  <c r="CD66" i="37"/>
  <c r="CM65" i="37"/>
  <c r="CD65" i="37"/>
  <c r="CM64" i="37"/>
  <c r="CD64" i="37"/>
  <c r="CM63" i="37"/>
  <c r="CD63" i="37"/>
  <c r="CL86" i="34"/>
  <c r="CB86" i="34" s="1"/>
  <c r="CN86" i="34"/>
  <c r="CM86" i="34"/>
  <c r="CH120" i="48"/>
  <c r="CC120" i="48" l="1"/>
  <c r="CC309" i="29"/>
  <c r="CC308" i="29"/>
  <c r="CC307" i="29"/>
  <c r="CC306" i="29"/>
  <c r="CC305" i="29"/>
  <c r="CC304" i="29"/>
  <c r="CC303" i="29"/>
  <c r="CC302" i="29"/>
  <c r="CC301" i="29"/>
  <c r="CC300" i="29"/>
  <c r="CC299" i="29"/>
  <c r="CC298" i="29"/>
  <c r="CC297" i="29"/>
  <c r="CC296" i="29"/>
  <c r="CC295" i="29"/>
  <c r="CC294" i="29"/>
  <c r="CC293" i="29"/>
  <c r="CE245" i="29"/>
  <c r="CM87" i="34"/>
  <c r="CC87" i="34" s="1"/>
  <c r="CL87" i="34"/>
  <c r="CB87" i="34" s="1"/>
  <c r="CN87" i="34"/>
  <c r="CD87" i="34" s="1"/>
  <c r="CD86" i="34"/>
  <c r="CC86" i="34"/>
  <c r="G86" i="34" l="1"/>
  <c r="G87" i="34"/>
  <c r="BO156" i="4" l="1"/>
  <c r="BO157" i="4"/>
  <c r="BO158" i="4"/>
  <c r="BO159" i="4"/>
  <c r="BO160" i="4"/>
  <c r="BO155" i="4"/>
  <c r="BJ156" i="4"/>
  <c r="H156" i="4" s="1"/>
  <c r="BJ157" i="4"/>
  <c r="H157" i="4" s="1"/>
  <c r="BJ158" i="4"/>
  <c r="H158" i="4" s="1"/>
  <c r="BJ159" i="4"/>
  <c r="H159" i="4" s="1"/>
  <c r="BJ160" i="4"/>
  <c r="H160" i="4" s="1"/>
  <c r="BJ155" i="4"/>
  <c r="H155" i="4" s="1"/>
  <c r="BF12" i="46" l="1"/>
  <c r="BG12" i="46"/>
  <c r="BN12" i="46"/>
  <c r="CD107" i="39"/>
  <c r="CD108" i="39"/>
  <c r="CD109" i="39"/>
  <c r="CD110" i="39"/>
  <c r="CD111" i="39"/>
  <c r="CD106" i="39"/>
  <c r="CE107" i="39"/>
  <c r="CE108" i="39"/>
  <c r="CE109" i="39"/>
  <c r="CE110" i="39"/>
  <c r="CE111" i="39"/>
  <c r="CE106" i="39"/>
  <c r="AI205" i="13" l="1"/>
  <c r="AI206" i="13"/>
  <c r="BX61" i="28"/>
  <c r="BX60" i="28"/>
  <c r="BX58" i="28"/>
  <c r="BX57" i="28"/>
  <c r="CC59" i="41" l="1"/>
  <c r="CC63" i="41"/>
  <c r="CC64" i="41"/>
  <c r="CI96" i="36" l="1"/>
  <c r="CH96" i="36"/>
  <c r="CI95" i="36"/>
  <c r="CH95" i="36"/>
  <c r="CC96" i="36"/>
  <c r="CC95" i="36"/>
  <c r="CI92" i="36"/>
  <c r="CI91" i="36"/>
  <c r="CH92" i="36"/>
  <c r="CH91" i="36"/>
  <c r="CC92" i="36"/>
  <c r="CC91" i="36"/>
  <c r="CI57" i="36"/>
  <c r="CI58" i="36"/>
  <c r="CI59" i="36"/>
  <c r="CI56" i="36"/>
  <c r="CH57" i="36"/>
  <c r="CH58" i="36"/>
  <c r="CH59" i="36"/>
  <c r="CH56" i="36"/>
  <c r="CC57" i="36"/>
  <c r="CC58" i="36"/>
  <c r="CC59" i="36"/>
  <c r="CC56" i="36"/>
  <c r="CI51" i="36"/>
  <c r="CI52" i="36"/>
  <c r="CI53" i="36"/>
  <c r="CI50" i="36"/>
  <c r="CH51" i="36"/>
  <c r="CH52" i="36"/>
  <c r="CH53" i="36"/>
  <c r="CH50" i="36"/>
  <c r="CC51" i="36"/>
  <c r="CC52" i="36"/>
  <c r="CC53" i="36"/>
  <c r="CC50" i="36"/>
  <c r="CI36" i="36"/>
  <c r="CI35" i="36"/>
  <c r="CH36" i="36"/>
  <c r="CH35" i="36"/>
  <c r="CC36" i="36"/>
  <c r="F36" i="36" s="1"/>
  <c r="CC35" i="36"/>
  <c r="F35" i="36" s="1"/>
  <c r="CI23" i="36"/>
  <c r="CI22" i="36"/>
  <c r="CH23" i="36"/>
  <c r="CH22" i="36"/>
  <c r="CC23" i="36"/>
  <c r="CC22" i="36"/>
  <c r="CX68" i="13"/>
  <c r="CX69" i="13"/>
  <c r="CX70" i="13"/>
  <c r="CX71" i="13"/>
  <c r="CX72" i="13"/>
  <c r="CX73" i="13"/>
  <c r="CX74" i="13"/>
  <c r="CX75" i="13"/>
  <c r="CX76" i="13"/>
  <c r="CX77" i="13"/>
  <c r="CX78" i="13"/>
  <c r="DM68" i="13"/>
  <c r="DM69" i="13"/>
  <c r="DM70" i="13"/>
  <c r="DM71" i="13"/>
  <c r="DM72" i="13"/>
  <c r="DM73" i="13"/>
  <c r="DM74" i="13"/>
  <c r="DM75" i="13"/>
  <c r="DM76" i="13"/>
  <c r="DM77" i="13"/>
  <c r="DM78" i="13"/>
  <c r="DL68" i="13"/>
  <c r="DL69" i="13"/>
  <c r="DL70" i="13"/>
  <c r="DL71" i="13"/>
  <c r="DL72" i="13"/>
  <c r="DL73" i="13"/>
  <c r="DL74" i="13"/>
  <c r="DL75" i="13"/>
  <c r="DL76" i="13"/>
  <c r="DL77" i="13"/>
  <c r="DL78" i="13"/>
  <c r="DL67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C68" i="13"/>
  <c r="DC69" i="13"/>
  <c r="DC70" i="13"/>
  <c r="DC71" i="13"/>
  <c r="DC72" i="13"/>
  <c r="DC73" i="13"/>
  <c r="DC74" i="13"/>
  <c r="DC75" i="13"/>
  <c r="DC76" i="13"/>
  <c r="DC77" i="13"/>
  <c r="DC78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Y68" i="13"/>
  <c r="CY69" i="13"/>
  <c r="CY70" i="13"/>
  <c r="CY71" i="13"/>
  <c r="CY72" i="13"/>
  <c r="CY73" i="13"/>
  <c r="CY74" i="13"/>
  <c r="CY75" i="13"/>
  <c r="CY76" i="13"/>
  <c r="CY77" i="13"/>
  <c r="CY78" i="13"/>
  <c r="L77" i="13" l="1"/>
  <c r="L72" i="13"/>
  <c r="L75" i="13"/>
  <c r="L74" i="13"/>
  <c r="L71" i="13"/>
  <c r="L68" i="13"/>
  <c r="L76" i="13"/>
  <c r="L70" i="13"/>
  <c r="L73" i="13"/>
  <c r="L78" i="13"/>
  <c r="L69" i="13"/>
  <c r="L67" i="13"/>
  <c r="CC292" i="29" l="1"/>
  <c r="CE19" i="29" l="1"/>
  <c r="CE20" i="29"/>
  <c r="CE21" i="29"/>
  <c r="CE22" i="29"/>
  <c r="CE23" i="29"/>
  <c r="CE24" i="29"/>
  <c r="CE25" i="29"/>
  <c r="CE26" i="29"/>
  <c r="CE27" i="29"/>
  <c r="CE28" i="29"/>
  <c r="CE29" i="29"/>
  <c r="CE30" i="29"/>
  <c r="CE31" i="29"/>
  <c r="CE18" i="29"/>
  <c r="CD19" i="29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P107" i="39" l="1"/>
  <c r="CP108" i="39"/>
  <c r="CP109" i="39"/>
  <c r="CP110" i="39"/>
  <c r="CP111" i="39"/>
  <c r="CP106" i="39"/>
  <c r="CO107" i="39"/>
  <c r="CO108" i="39"/>
  <c r="CO109" i="39"/>
  <c r="CO110" i="39"/>
  <c r="CO111" i="39"/>
  <c r="CO106" i="39"/>
  <c r="G108" i="39"/>
  <c r="G109" i="39"/>
  <c r="G110" i="39"/>
  <c r="CD71" i="39"/>
  <c r="CD72" i="39"/>
  <c r="CD70" i="39"/>
  <c r="CO71" i="39"/>
  <c r="CO72" i="39"/>
  <c r="CO70" i="39"/>
  <c r="CN71" i="39"/>
  <c r="CN72" i="39"/>
  <c r="CN70" i="39"/>
  <c r="CC71" i="39"/>
  <c r="CC72" i="39"/>
  <c r="CC70" i="39"/>
  <c r="CM71" i="39"/>
  <c r="CM72" i="39"/>
  <c r="CM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G106" i="39" l="1"/>
  <c r="V72" i="39"/>
  <c r="V71" i="39"/>
  <c r="V70" i="39"/>
  <c r="CN107" i="39" l="1"/>
  <c r="CM107" i="39"/>
  <c r="CB107" i="39"/>
  <c r="CC107" i="39"/>
  <c r="CN111" i="39"/>
  <c r="CM111" i="39"/>
  <c r="CC111" i="39"/>
  <c r="G107" i="39" l="1"/>
  <c r="CB111" i="39"/>
  <c r="G111" i="39" s="1"/>
  <c r="DG153" i="47" l="1"/>
  <c r="DG154" i="47"/>
  <c r="DG155" i="47"/>
  <c r="DG156" i="47"/>
  <c r="DG152" i="47"/>
  <c r="DG145" i="47"/>
  <c r="DG146" i="47"/>
  <c r="DG147" i="47"/>
  <c r="DG148" i="47"/>
  <c r="DG144" i="47"/>
  <c r="AP99" i="5" l="1"/>
  <c r="I99" i="5" s="1"/>
  <c r="AT99" i="5"/>
  <c r="F57" i="36"/>
  <c r="F58" i="36"/>
  <c r="F59" i="36"/>
  <c r="F51" i="36"/>
  <c r="F52" i="36"/>
  <c r="F53" i="36"/>
  <c r="F23" i="36"/>
  <c r="O14" i="36"/>
  <c r="O17" i="36"/>
  <c r="F91" i="36" l="1"/>
  <c r="F96" i="36"/>
  <c r="F56" i="36"/>
  <c r="F92" i="36"/>
  <c r="F95" i="36"/>
  <c r="F50" i="36"/>
  <c r="F22" i="36"/>
  <c r="S59" i="29"/>
  <c r="R59" i="29"/>
  <c r="S35" i="29"/>
  <c r="T35" i="29"/>
  <c r="U35" i="29"/>
  <c r="V35" i="29"/>
  <c r="R35" i="29"/>
  <c r="N35" i="29" l="1"/>
  <c r="B5" i="11" l="1"/>
  <c r="B4" i="11"/>
  <c r="B3" i="11"/>
  <c r="B2" i="11"/>
  <c r="B5" i="24"/>
  <c r="B4" i="24"/>
  <c r="B3" i="24"/>
  <c r="B2" i="24"/>
  <c r="B5" i="23"/>
  <c r="B4" i="23"/>
  <c r="B3" i="23"/>
  <c r="B2" i="23"/>
  <c r="B5" i="43"/>
  <c r="B4" i="43"/>
  <c r="B3" i="43"/>
  <c r="B2" i="43"/>
  <c r="B5" i="42"/>
  <c r="B4" i="42"/>
  <c r="B3" i="42"/>
  <c r="B2" i="42"/>
  <c r="B5" i="41"/>
  <c r="B4" i="41"/>
  <c r="B3" i="41"/>
  <c r="B2" i="41"/>
  <c r="B5" i="48"/>
  <c r="B4" i="48"/>
  <c r="B3" i="48"/>
  <c r="B2" i="48"/>
  <c r="B5" i="31"/>
  <c r="B4" i="31"/>
  <c r="B3" i="31"/>
  <c r="B2" i="31"/>
  <c r="B5" i="22"/>
  <c r="B4" i="22"/>
  <c r="B3" i="22"/>
  <c r="B2" i="22"/>
  <c r="B5" i="27"/>
  <c r="B4" i="27"/>
  <c r="B3" i="27"/>
  <c r="B2" i="27"/>
  <c r="B5" i="39"/>
  <c r="B4" i="39"/>
  <c r="B3" i="39"/>
  <c r="B2" i="39"/>
  <c r="B5" i="19"/>
  <c r="B4" i="19"/>
  <c r="B3" i="19"/>
  <c r="B2" i="19"/>
  <c r="B5" i="5"/>
  <c r="B4" i="5"/>
  <c r="B3" i="5"/>
  <c r="B2" i="5"/>
  <c r="B5" i="38"/>
  <c r="B4" i="38"/>
  <c r="B3" i="38"/>
  <c r="B2" i="38"/>
  <c r="B5" i="37"/>
  <c r="B4" i="37"/>
  <c r="B3" i="37"/>
  <c r="B2" i="37"/>
  <c r="B5" i="36"/>
  <c r="B4" i="36"/>
  <c r="B3" i="36"/>
  <c r="B2" i="36"/>
  <c r="B5" i="47"/>
  <c r="B4" i="47"/>
  <c r="B3" i="47"/>
  <c r="B2" i="47"/>
  <c r="B5" i="13"/>
  <c r="B4" i="13"/>
  <c r="B3" i="13"/>
  <c r="B2" i="13"/>
  <c r="B5" i="4"/>
  <c r="B4" i="4"/>
  <c r="B3" i="4"/>
  <c r="B2" i="4"/>
  <c r="B5" i="46"/>
  <c r="B4" i="46"/>
  <c r="B3" i="46"/>
  <c r="B2" i="46"/>
  <c r="B5" i="45"/>
  <c r="B4" i="45"/>
  <c r="B3" i="45"/>
  <c r="B2" i="45"/>
  <c r="B5" i="29"/>
  <c r="B4" i="29"/>
  <c r="B3" i="29"/>
  <c r="B2" i="29"/>
  <c r="B5" i="28"/>
  <c r="B4" i="28"/>
  <c r="B3" i="28"/>
  <c r="B2" i="28"/>
  <c r="B5" i="34"/>
  <c r="B4" i="34"/>
  <c r="B3" i="34"/>
  <c r="B2" i="34"/>
  <c r="B5" i="33"/>
  <c r="B4" i="33"/>
  <c r="B3" i="33"/>
  <c r="B2" i="33"/>
  <c r="B5" i="32"/>
  <c r="B4" i="32"/>
  <c r="B3" i="32"/>
  <c r="B2" i="32"/>
  <c r="G229" i="34" l="1"/>
  <c r="F229" i="34"/>
  <c r="E229" i="34"/>
  <c r="D229" i="34"/>
  <c r="D59" i="48"/>
  <c r="E59" i="48"/>
  <c r="F59" i="48"/>
  <c r="G59" i="48"/>
  <c r="H59" i="48"/>
  <c r="I59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AA67" i="48"/>
  <c r="CE71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AA75" i="48"/>
  <c r="C95" i="48"/>
  <c r="D95" i="48"/>
  <c r="E95" i="48"/>
  <c r="F95" i="48"/>
  <c r="C103" i="48"/>
  <c r="D103" i="48"/>
  <c r="E103" i="48"/>
  <c r="F103" i="48"/>
  <c r="C111" i="48"/>
  <c r="D111" i="48"/>
  <c r="E111" i="48"/>
  <c r="F111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Y193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Y204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Y213" i="48"/>
  <c r="C247" i="48"/>
  <c r="CC267" i="47"/>
  <c r="CC266" i="47"/>
  <c r="CC265" i="47"/>
  <c r="CC264" i="47"/>
  <c r="CC263" i="47"/>
  <c r="CL259" i="47"/>
  <c r="CL258" i="47"/>
  <c r="CL257" i="47"/>
  <c r="CL256" i="47"/>
  <c r="CL255" i="47"/>
  <c r="CL254" i="47"/>
  <c r="CL253" i="47"/>
  <c r="CL252" i="47"/>
  <c r="CL251" i="47"/>
  <c r="CL250" i="47"/>
  <c r="CL249" i="47"/>
  <c r="CL248" i="47"/>
  <c r="CL247" i="47"/>
  <c r="CL246" i="47"/>
  <c r="CL245" i="47"/>
  <c r="CL244" i="47"/>
  <c r="CL243" i="47"/>
  <c r="CL242" i="47"/>
  <c r="CL241" i="47"/>
  <c r="CL240" i="47"/>
  <c r="CL239" i="47"/>
  <c r="CL238" i="47"/>
  <c r="CL237" i="47"/>
  <c r="DK221" i="47"/>
  <c r="CG221" i="47" s="1"/>
  <c r="DK220" i="47"/>
  <c r="CG220" i="47" s="1"/>
  <c r="DK219" i="47"/>
  <c r="CG219" i="47" s="1"/>
  <c r="DK218" i="47"/>
  <c r="CG218" i="47" s="1"/>
  <c r="DK217" i="47"/>
  <c r="CG217" i="47" s="1"/>
  <c r="DK216" i="47"/>
  <c r="CG216" i="47" s="1"/>
  <c r="DK215" i="47"/>
  <c r="CG215" i="47" s="1"/>
  <c r="DH183" i="47"/>
  <c r="DG183" i="47"/>
  <c r="CD183" i="47"/>
  <c r="CC183" i="47"/>
  <c r="DH182" i="47"/>
  <c r="DG182" i="47"/>
  <c r="CD182" i="47"/>
  <c r="CC182" i="47"/>
  <c r="DH181" i="47"/>
  <c r="DG181" i="47"/>
  <c r="CD181" i="47"/>
  <c r="CC181" i="47"/>
  <c r="DH180" i="47"/>
  <c r="DG180" i="47"/>
  <c r="CD180" i="47"/>
  <c r="CC180" i="47"/>
  <c r="DH179" i="47"/>
  <c r="DG179" i="47"/>
  <c r="CD179" i="47"/>
  <c r="CC179" i="47"/>
  <c r="DH178" i="47"/>
  <c r="DG178" i="47"/>
  <c r="CD178" i="47"/>
  <c r="CC178" i="47"/>
  <c r="DH177" i="47"/>
  <c r="DG177" i="47"/>
  <c r="CD177" i="47"/>
  <c r="CC177" i="47"/>
  <c r="DH176" i="47"/>
  <c r="DG176" i="47"/>
  <c r="CD176" i="47"/>
  <c r="CC176" i="47"/>
  <c r="DH175" i="47"/>
  <c r="DG175" i="47"/>
  <c r="CD175" i="47"/>
  <c r="CC175" i="47"/>
  <c r="DH174" i="47"/>
  <c r="DG174" i="47"/>
  <c r="CD174" i="47"/>
  <c r="CC174" i="47"/>
  <c r="DH173" i="47"/>
  <c r="DG173" i="47"/>
  <c r="CD173" i="47"/>
  <c r="CC173" i="47"/>
  <c r="DH172" i="47"/>
  <c r="DG172" i="47"/>
  <c r="CD172" i="47"/>
  <c r="CC172" i="47"/>
  <c r="DH171" i="47"/>
  <c r="DG171" i="47"/>
  <c r="CD171" i="47"/>
  <c r="CC171" i="47"/>
  <c r="DH170" i="47"/>
  <c r="DG170" i="47"/>
  <c r="CD170" i="47"/>
  <c r="CC170" i="47"/>
  <c r="DH169" i="47"/>
  <c r="DG169" i="47"/>
  <c r="CD169" i="47"/>
  <c r="CC169" i="47"/>
  <c r="DH168" i="47"/>
  <c r="DG168" i="47"/>
  <c r="CD168" i="47"/>
  <c r="CC168" i="47"/>
  <c r="DH167" i="47"/>
  <c r="DG167" i="47"/>
  <c r="CD167" i="47"/>
  <c r="CC167" i="47"/>
  <c r="DH166" i="47"/>
  <c r="DG166" i="47"/>
  <c r="CD166" i="47"/>
  <c r="CC166" i="47"/>
  <c r="DH165" i="47"/>
  <c r="DG165" i="47"/>
  <c r="CD165" i="47"/>
  <c r="CC165" i="47"/>
  <c r="DH164" i="47"/>
  <c r="DG164" i="47"/>
  <c r="CD164" i="47"/>
  <c r="CC164" i="47"/>
  <c r="DH163" i="47"/>
  <c r="CD163" i="47"/>
  <c r="DH162" i="47"/>
  <c r="CD162" i="47"/>
  <c r="DH161" i="47"/>
  <c r="DN156" i="47"/>
  <c r="DM156" i="47"/>
  <c r="DL156" i="47"/>
  <c r="DK156" i="47"/>
  <c r="DJ156" i="47"/>
  <c r="DI156" i="47"/>
  <c r="DH156" i="47"/>
  <c r="DF156" i="47"/>
  <c r="CJ156" i="47"/>
  <c r="CI156" i="47"/>
  <c r="CH156" i="47"/>
  <c r="CG156" i="47"/>
  <c r="CF156" i="47"/>
  <c r="CE156" i="47"/>
  <c r="CD156" i="47"/>
  <c r="CC156" i="47"/>
  <c r="CB156" i="47"/>
  <c r="DN155" i="47"/>
  <c r="DM155" i="47"/>
  <c r="DL155" i="47"/>
  <c r="DK155" i="47"/>
  <c r="DJ155" i="47"/>
  <c r="DI155" i="47"/>
  <c r="DH155" i="47"/>
  <c r="DF155" i="47"/>
  <c r="CJ155" i="47"/>
  <c r="CI155" i="47"/>
  <c r="CH155" i="47"/>
  <c r="CG155" i="47"/>
  <c r="CF155" i="47"/>
  <c r="CE155" i="47"/>
  <c r="CD155" i="47"/>
  <c r="CC155" i="47"/>
  <c r="CB155" i="47"/>
  <c r="DN154" i="47"/>
  <c r="DM154" i="47"/>
  <c r="DL154" i="47"/>
  <c r="DK154" i="47"/>
  <c r="DJ154" i="47"/>
  <c r="DI154" i="47"/>
  <c r="DH154" i="47"/>
  <c r="DF154" i="47"/>
  <c r="CJ154" i="47"/>
  <c r="CI154" i="47"/>
  <c r="CH154" i="47"/>
  <c r="CG154" i="47"/>
  <c r="CF154" i="47"/>
  <c r="CE154" i="47"/>
  <c r="CD154" i="47"/>
  <c r="CC154" i="47"/>
  <c r="CB154" i="47"/>
  <c r="DN153" i="47"/>
  <c r="DM153" i="47"/>
  <c r="DL153" i="47"/>
  <c r="DK153" i="47"/>
  <c r="DJ153" i="47"/>
  <c r="DI153" i="47"/>
  <c r="DH153" i="47"/>
  <c r="DF153" i="47"/>
  <c r="CJ153" i="47"/>
  <c r="CI153" i="47"/>
  <c r="CH153" i="47"/>
  <c r="CG153" i="47"/>
  <c r="CF153" i="47"/>
  <c r="CE153" i="47"/>
  <c r="CD153" i="47"/>
  <c r="CC153" i="47"/>
  <c r="CB153" i="47"/>
  <c r="DN152" i="47"/>
  <c r="DM152" i="47"/>
  <c r="DL152" i="47"/>
  <c r="DK152" i="47"/>
  <c r="DJ152" i="47"/>
  <c r="DI152" i="47"/>
  <c r="DH152" i="47"/>
  <c r="DF152" i="47"/>
  <c r="CJ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J148" i="47"/>
  <c r="CI148" i="47"/>
  <c r="CH148" i="47"/>
  <c r="CG148" i="47"/>
  <c r="CF148" i="47"/>
  <c r="CE148" i="47"/>
  <c r="CD148" i="47"/>
  <c r="CC148" i="47"/>
  <c r="CB148" i="47"/>
  <c r="DN147" i="47"/>
  <c r="DM147" i="47"/>
  <c r="DL147" i="47"/>
  <c r="DK147" i="47"/>
  <c r="DJ147" i="47"/>
  <c r="DI147" i="47"/>
  <c r="DH147" i="47"/>
  <c r="DF147" i="47"/>
  <c r="CJ147" i="47"/>
  <c r="CI147" i="47"/>
  <c r="CH147" i="47"/>
  <c r="CG147" i="47"/>
  <c r="CF147" i="47"/>
  <c r="CE147" i="47"/>
  <c r="CD147" i="47"/>
  <c r="CC147" i="47"/>
  <c r="CB147" i="47"/>
  <c r="DN146" i="47"/>
  <c r="DM146" i="47"/>
  <c r="DL146" i="47"/>
  <c r="DK146" i="47"/>
  <c r="DJ146" i="47"/>
  <c r="DI146" i="47"/>
  <c r="DH146" i="47"/>
  <c r="DF146" i="47"/>
  <c r="CJ146" i="47"/>
  <c r="CI146" i="47"/>
  <c r="CH146" i="47"/>
  <c r="CG146" i="47"/>
  <c r="CF146" i="47"/>
  <c r="CE146" i="47"/>
  <c r="CD146" i="47"/>
  <c r="CC146" i="47"/>
  <c r="CB146" i="47"/>
  <c r="DN145" i="47"/>
  <c r="DM145" i="47"/>
  <c r="DL145" i="47"/>
  <c r="DK145" i="47"/>
  <c r="DJ145" i="47"/>
  <c r="DI145" i="47"/>
  <c r="DH145" i="47"/>
  <c r="DF145" i="47"/>
  <c r="CJ145" i="47"/>
  <c r="CI145" i="47"/>
  <c r="CH145" i="47"/>
  <c r="CG145" i="47"/>
  <c r="CF145" i="47"/>
  <c r="CE145" i="47"/>
  <c r="CD145" i="47"/>
  <c r="CC145" i="47"/>
  <c r="CB145" i="47"/>
  <c r="DN144" i="47"/>
  <c r="DM144" i="47"/>
  <c r="DL144" i="47"/>
  <c r="DK144" i="47"/>
  <c r="DJ144" i="47"/>
  <c r="DI144" i="47"/>
  <c r="DH144" i="47"/>
  <c r="DF144" i="47"/>
  <c r="CJ144" i="47"/>
  <c r="CI144" i="47"/>
  <c r="CH144" i="47"/>
  <c r="CG144" i="47"/>
  <c r="CF144" i="47"/>
  <c r="CE144" i="47"/>
  <c r="CD144" i="47"/>
  <c r="CC144" i="47"/>
  <c r="CB144" i="47"/>
  <c r="EC140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M140" i="47"/>
  <c r="DL140" i="47"/>
  <c r="DK140" i="47"/>
  <c r="CY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EC139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M139" i="47"/>
  <c r="DL139" i="47"/>
  <c r="DK139" i="47"/>
  <c r="CY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EC138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M138" i="47"/>
  <c r="DL138" i="47"/>
  <c r="DK138" i="47"/>
  <c r="CY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DY137" i="47"/>
  <c r="DX137" i="47"/>
  <c r="DW137" i="47"/>
  <c r="DV137" i="47"/>
  <c r="DU137" i="47"/>
  <c r="DT137" i="47"/>
  <c r="DS137" i="47"/>
  <c r="DR137" i="47"/>
  <c r="DQ137" i="47"/>
  <c r="CU137" i="47"/>
  <c r="CT137" i="47"/>
  <c r="CS137" i="47"/>
  <c r="CR137" i="47"/>
  <c r="CQ137" i="47"/>
  <c r="CP137" i="47"/>
  <c r="CO137" i="47"/>
  <c r="CN137" i="47"/>
  <c r="CM137" i="47"/>
  <c r="EC136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CY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EC135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M135" i="47"/>
  <c r="DL135" i="47"/>
  <c r="DK135" i="47"/>
  <c r="CY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EC134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CY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EC133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CY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DM132" i="47"/>
  <c r="DL132" i="47"/>
  <c r="DK132" i="47"/>
  <c r="CI132" i="47"/>
  <c r="CH132" i="47"/>
  <c r="CG132" i="47"/>
  <c r="EC131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M131" i="47"/>
  <c r="DL131" i="47"/>
  <c r="DK131" i="47"/>
  <c r="CY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EC130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CY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EC129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CY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EC128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CY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EC127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CY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EC126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CY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EC125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CY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EC124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CY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EC123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CY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EC118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M118" i="47"/>
  <c r="DL118" i="47"/>
  <c r="DK118" i="47"/>
  <c r="CY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EC117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M117" i="47"/>
  <c r="DL117" i="47"/>
  <c r="DK117" i="47"/>
  <c r="CY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EC116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M116" i="47"/>
  <c r="DL116" i="47"/>
  <c r="DK116" i="47"/>
  <c r="CY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DY115" i="47"/>
  <c r="DX115" i="47"/>
  <c r="DW115" i="47"/>
  <c r="DV115" i="47"/>
  <c r="DU115" i="47"/>
  <c r="DT115" i="47"/>
  <c r="DS115" i="47"/>
  <c r="DR115" i="47"/>
  <c r="DQ115" i="47"/>
  <c r="CU115" i="47"/>
  <c r="CT115" i="47"/>
  <c r="CS115" i="47"/>
  <c r="CR115" i="47"/>
  <c r="CQ115" i="47"/>
  <c r="CP115" i="47"/>
  <c r="CO115" i="47"/>
  <c r="CN115" i="47"/>
  <c r="CM115" i="47"/>
  <c r="EC114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CY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EC113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M113" i="47"/>
  <c r="DL113" i="47"/>
  <c r="DK113" i="47"/>
  <c r="CY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EC112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CY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EC111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CY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DM110" i="47"/>
  <c r="DL110" i="47"/>
  <c r="DK110" i="47"/>
  <c r="CI110" i="47"/>
  <c r="CH110" i="47"/>
  <c r="CG110" i="47"/>
  <c r="EC109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M109" i="47"/>
  <c r="DL109" i="47"/>
  <c r="DK109" i="47"/>
  <c r="CY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EC108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CY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EC107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CY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EC106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CY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EC105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CY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EC104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CY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EC103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CY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EC102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CY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EC101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CY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EC96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M96" i="47"/>
  <c r="DL96" i="47"/>
  <c r="DK96" i="47"/>
  <c r="CY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EC95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M95" i="47"/>
  <c r="DL95" i="47"/>
  <c r="DK95" i="47"/>
  <c r="CY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EC94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M94" i="47"/>
  <c r="DL94" i="47"/>
  <c r="DK94" i="47"/>
  <c r="CY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DY93" i="47"/>
  <c r="DX93" i="47"/>
  <c r="DW93" i="47"/>
  <c r="DV93" i="47"/>
  <c r="DU93" i="47"/>
  <c r="DT93" i="47"/>
  <c r="DS93" i="47"/>
  <c r="DR93" i="47"/>
  <c r="DQ93" i="47"/>
  <c r="CU93" i="47"/>
  <c r="CT93" i="47"/>
  <c r="CS93" i="47"/>
  <c r="CR93" i="47"/>
  <c r="CQ93" i="47"/>
  <c r="CP93" i="47"/>
  <c r="CO93" i="47"/>
  <c r="CN93" i="47"/>
  <c r="CM93" i="47"/>
  <c r="EC92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CY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EC91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M91" i="47"/>
  <c r="DL91" i="47"/>
  <c r="DK91" i="47"/>
  <c r="CY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EC90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CY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EC89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CY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DM88" i="47"/>
  <c r="DL88" i="47"/>
  <c r="DK88" i="47"/>
  <c r="CI88" i="47"/>
  <c r="CH88" i="47"/>
  <c r="CG88" i="47"/>
  <c r="EC87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M87" i="47"/>
  <c r="DL87" i="47"/>
  <c r="DK87" i="47"/>
  <c r="CY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EC86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CY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EC85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CY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EC84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CY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EC83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CY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EC82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CY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EC81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CY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EC80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CY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EC79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CY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EC74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M74" i="47"/>
  <c r="DL74" i="47"/>
  <c r="DK74" i="47"/>
  <c r="CY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EC73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M73" i="47"/>
  <c r="DL73" i="47"/>
  <c r="DK73" i="47"/>
  <c r="CY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EC72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M72" i="47"/>
  <c r="DL72" i="47"/>
  <c r="DK72" i="47"/>
  <c r="CY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DY71" i="47"/>
  <c r="DX71" i="47"/>
  <c r="DW71" i="47"/>
  <c r="DV71" i="47"/>
  <c r="DU71" i="47"/>
  <c r="DT71" i="47"/>
  <c r="DS71" i="47"/>
  <c r="DR71" i="47"/>
  <c r="DQ71" i="47"/>
  <c r="CU71" i="47"/>
  <c r="CT71" i="47"/>
  <c r="CS71" i="47"/>
  <c r="CR71" i="47"/>
  <c r="CQ71" i="47"/>
  <c r="CP71" i="47"/>
  <c r="CO71" i="47"/>
  <c r="CN71" i="47"/>
  <c r="CM71" i="47"/>
  <c r="EC70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CY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EC69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M69" i="47"/>
  <c r="DL69" i="47"/>
  <c r="DK69" i="47"/>
  <c r="CY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EC68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CY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EC67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CY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DM66" i="47"/>
  <c r="DL66" i="47"/>
  <c r="DK66" i="47"/>
  <c r="CI66" i="47"/>
  <c r="CH66" i="47"/>
  <c r="CG66" i="47"/>
  <c r="EC65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M65" i="47"/>
  <c r="DL65" i="47"/>
  <c r="DK65" i="47"/>
  <c r="CY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EC64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CY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EC63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CY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EC62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CY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EC61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CY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EC60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CY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EC59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CY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EC58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CY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EC57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CY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EC52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M52" i="47"/>
  <c r="DL52" i="47"/>
  <c r="DK52" i="47"/>
  <c r="CY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EC51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M51" i="47"/>
  <c r="DL51" i="47"/>
  <c r="DK51" i="47"/>
  <c r="CY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EC50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M50" i="47"/>
  <c r="DL50" i="47"/>
  <c r="DK50" i="47"/>
  <c r="CY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DY49" i="47"/>
  <c r="DX49" i="47"/>
  <c r="DW49" i="47"/>
  <c r="DV49" i="47"/>
  <c r="DU49" i="47"/>
  <c r="DT49" i="47"/>
  <c r="DS49" i="47"/>
  <c r="DR49" i="47"/>
  <c r="DQ49" i="47"/>
  <c r="CU49" i="47"/>
  <c r="CT49" i="47"/>
  <c r="CS49" i="47"/>
  <c r="CR49" i="47"/>
  <c r="CQ49" i="47"/>
  <c r="CP49" i="47"/>
  <c r="CO49" i="47"/>
  <c r="CN49" i="47"/>
  <c r="CM49" i="47"/>
  <c r="EC48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CY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EC47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M47" i="47"/>
  <c r="DL47" i="47"/>
  <c r="DK47" i="47"/>
  <c r="CY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EC46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CY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EC45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CY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DM44" i="47"/>
  <c r="DL44" i="47"/>
  <c r="DK44" i="47"/>
  <c r="CI44" i="47"/>
  <c r="CH44" i="47"/>
  <c r="CG44" i="47"/>
  <c r="EC43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M43" i="47"/>
  <c r="DL43" i="47"/>
  <c r="DK43" i="47"/>
  <c r="CY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EC42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CY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EC41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CY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EC40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CY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EC39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CY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EC38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CY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EC37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CY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EC36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CY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EC35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CY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EC30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M30" i="47"/>
  <c r="DL30" i="47"/>
  <c r="DK30" i="47"/>
  <c r="CY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G30" i="47"/>
  <c r="EC29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M29" i="47"/>
  <c r="DL29" i="47"/>
  <c r="DK29" i="47"/>
  <c r="CY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EC28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M28" i="47"/>
  <c r="DL28" i="47"/>
  <c r="DK28" i="47"/>
  <c r="CY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DY27" i="47"/>
  <c r="DX27" i="47"/>
  <c r="DW27" i="47"/>
  <c r="DV27" i="47"/>
  <c r="DU27" i="47"/>
  <c r="DT27" i="47"/>
  <c r="DS27" i="47"/>
  <c r="DR27" i="47"/>
  <c r="DQ27" i="47"/>
  <c r="CU27" i="47"/>
  <c r="CT27" i="47"/>
  <c r="CS27" i="47"/>
  <c r="CR27" i="47"/>
  <c r="CQ27" i="47"/>
  <c r="CP27" i="47"/>
  <c r="CO27" i="47"/>
  <c r="CN27" i="47"/>
  <c r="CM27" i="47"/>
  <c r="EC26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CY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EC25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M25" i="47"/>
  <c r="DL25" i="47"/>
  <c r="DK25" i="47"/>
  <c r="CY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EC24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CY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EC23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CY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DM22" i="47"/>
  <c r="DL22" i="47"/>
  <c r="DK22" i="47"/>
  <c r="CI22" i="47"/>
  <c r="CH22" i="47"/>
  <c r="CG22" i="47"/>
  <c r="EC21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M21" i="47"/>
  <c r="DL21" i="47"/>
  <c r="DK21" i="47"/>
  <c r="CY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EC20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CY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EC19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CY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EC18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CY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EC17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CY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EC16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CY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EC15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CY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EC14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CY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EC13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CY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AR171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V155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AJ136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N136" i="46"/>
  <c r="M136" i="46"/>
  <c r="L136" i="46"/>
  <c r="J136" i="46"/>
  <c r="I136" i="46"/>
  <c r="H136" i="46"/>
  <c r="F136" i="46"/>
  <c r="E136" i="46"/>
  <c r="D136" i="46"/>
  <c r="AG72" i="46"/>
  <c r="AF72" i="46"/>
  <c r="AE72" i="46"/>
  <c r="AD72" i="46"/>
  <c r="AC72" i="46"/>
  <c r="AA72" i="46"/>
  <c r="Z72" i="46"/>
  <c r="Y72" i="46"/>
  <c r="W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AS130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G101" i="45"/>
  <c r="F101" i="45"/>
  <c r="E101" i="45"/>
  <c r="D101" i="45"/>
  <c r="C101" i="45"/>
  <c r="N38" i="45"/>
  <c r="M38" i="45"/>
  <c r="L38" i="45"/>
  <c r="K38" i="45"/>
  <c r="J38" i="45"/>
  <c r="I38" i="45"/>
  <c r="H38" i="45"/>
  <c r="G38" i="45"/>
  <c r="E38" i="45"/>
  <c r="D38" i="45"/>
  <c r="AV32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E32" i="45"/>
  <c r="D32" i="45"/>
  <c r="BF147" i="46" l="1"/>
  <c r="BG147" i="46"/>
  <c r="BM147" i="46"/>
  <c r="BN147" i="46"/>
  <c r="BN140" i="46"/>
  <c r="BG140" i="46"/>
  <c r="BF140" i="46"/>
  <c r="BM140" i="46"/>
  <c r="BN148" i="46"/>
  <c r="BF148" i="46"/>
  <c r="BG148" i="46"/>
  <c r="BM148" i="46"/>
  <c r="BN141" i="46"/>
  <c r="BF141" i="46"/>
  <c r="BM141" i="46"/>
  <c r="BG141" i="46"/>
  <c r="BN149" i="46"/>
  <c r="BF149" i="46"/>
  <c r="BG149" i="46"/>
  <c r="BM149" i="46"/>
  <c r="BM142" i="46"/>
  <c r="BN142" i="46"/>
  <c r="BG142" i="46"/>
  <c r="BF142" i="46"/>
  <c r="BM150" i="46"/>
  <c r="BN150" i="46"/>
  <c r="BG150" i="46"/>
  <c r="BF150" i="46"/>
  <c r="BF146" i="46"/>
  <c r="BN146" i="46"/>
  <c r="BG146" i="46"/>
  <c r="BM146" i="46"/>
  <c r="BG143" i="46"/>
  <c r="BM143" i="46"/>
  <c r="BN143" i="46"/>
  <c r="BF143" i="46"/>
  <c r="BG151" i="46"/>
  <c r="BM151" i="46"/>
  <c r="BN151" i="46"/>
  <c r="BF151" i="46"/>
  <c r="BH21" i="46"/>
  <c r="BH29" i="46"/>
  <c r="BH37" i="46"/>
  <c r="BH45" i="46"/>
  <c r="BH53" i="46"/>
  <c r="BH61" i="46"/>
  <c r="BF144" i="46"/>
  <c r="BG144" i="46"/>
  <c r="BM144" i="46"/>
  <c r="BN144" i="46"/>
  <c r="BF152" i="46"/>
  <c r="BG152" i="46"/>
  <c r="BM152" i="46"/>
  <c r="BN152" i="46"/>
  <c r="BF154" i="46"/>
  <c r="BG154" i="46"/>
  <c r="BM154" i="46"/>
  <c r="BN154" i="46"/>
  <c r="BF145" i="46"/>
  <c r="BG145" i="46"/>
  <c r="BM145" i="46"/>
  <c r="BN145" i="46"/>
  <c r="BF153" i="46"/>
  <c r="BG153" i="46"/>
  <c r="BM153" i="46"/>
  <c r="BN153" i="46"/>
  <c r="BM139" i="46"/>
  <c r="BN139" i="46"/>
  <c r="BF139" i="46"/>
  <c r="BG139" i="46"/>
  <c r="CP164" i="47"/>
  <c r="DT164" i="47"/>
  <c r="CP165" i="47"/>
  <c r="DT165" i="47"/>
  <c r="CP166" i="47"/>
  <c r="DT166" i="47"/>
  <c r="CP167" i="47"/>
  <c r="DT167" i="47"/>
  <c r="CP168" i="47"/>
  <c r="DT168" i="47"/>
  <c r="CP169" i="47"/>
  <c r="DT169" i="47"/>
  <c r="DT170" i="47"/>
  <c r="CP170" i="47"/>
  <c r="DT171" i="47"/>
  <c r="CP171" i="47"/>
  <c r="CP172" i="47"/>
  <c r="DT172" i="47"/>
  <c r="CP173" i="47"/>
  <c r="DT173" i="47"/>
  <c r="CP174" i="47"/>
  <c r="DT174" i="47"/>
  <c r="CP175" i="47"/>
  <c r="DT175" i="47"/>
  <c r="CP176" i="47"/>
  <c r="DT176" i="47"/>
  <c r="CP177" i="47"/>
  <c r="DT177" i="47"/>
  <c r="DT178" i="47"/>
  <c r="CP178" i="47"/>
  <c r="DT179" i="47"/>
  <c r="CP179" i="47"/>
  <c r="CP180" i="47"/>
  <c r="DT180" i="47"/>
  <c r="CP181" i="47"/>
  <c r="DT181" i="47"/>
  <c r="CP182" i="47"/>
  <c r="DT182" i="47"/>
  <c r="CP183" i="47"/>
  <c r="DT183" i="47"/>
  <c r="DT163" i="47"/>
  <c r="CP163" i="47"/>
  <c r="DT162" i="47"/>
  <c r="CP162" i="47"/>
  <c r="CP161" i="47"/>
  <c r="DT161" i="47"/>
  <c r="CJ249" i="47"/>
  <c r="DN249" i="47"/>
  <c r="CJ245" i="47"/>
  <c r="DN245" i="47"/>
  <c r="DN238" i="47"/>
  <c r="CJ238" i="47"/>
  <c r="CJ242" i="47"/>
  <c r="DN242" i="47"/>
  <c r="DN246" i="47"/>
  <c r="CJ246" i="47"/>
  <c r="CJ250" i="47"/>
  <c r="DN250" i="47"/>
  <c r="DN254" i="47"/>
  <c r="CJ254" i="47"/>
  <c r="CJ258" i="47"/>
  <c r="DN258" i="47"/>
  <c r="CJ257" i="47"/>
  <c r="DN257" i="47"/>
  <c r="CJ239" i="47"/>
  <c r="DN239" i="47"/>
  <c r="CJ243" i="47"/>
  <c r="DN243" i="47"/>
  <c r="CJ247" i="47"/>
  <c r="DN247" i="47"/>
  <c r="DN251" i="47"/>
  <c r="CJ251" i="47"/>
  <c r="CJ255" i="47"/>
  <c r="DN255" i="47"/>
  <c r="DN259" i="47"/>
  <c r="CJ259" i="47"/>
  <c r="CJ253" i="47"/>
  <c r="DN253" i="47"/>
  <c r="CJ237" i="47"/>
  <c r="DN237" i="47"/>
  <c r="CJ240" i="47"/>
  <c r="DN240" i="47"/>
  <c r="CJ244" i="47"/>
  <c r="DN244" i="47"/>
  <c r="CJ248" i="47"/>
  <c r="DN248" i="47"/>
  <c r="CJ252" i="47"/>
  <c r="DN252" i="47"/>
  <c r="CJ256" i="47"/>
  <c r="DN256" i="47"/>
  <c r="CJ241" i="47"/>
  <c r="DN241" i="47"/>
  <c r="DM219" i="47"/>
  <c r="CH219" i="47"/>
  <c r="DM217" i="47"/>
  <c r="CH217" i="47"/>
  <c r="CH220" i="47"/>
  <c r="DM220" i="47"/>
  <c r="CH215" i="47"/>
  <c r="DM215" i="47"/>
  <c r="DM218" i="47"/>
  <c r="CH218" i="47"/>
  <c r="CH221" i="47"/>
  <c r="DM221" i="47"/>
  <c r="DH229" i="47"/>
  <c r="DF229" i="47"/>
  <c r="CD229" i="47"/>
  <c r="CD226" i="47"/>
  <c r="DH226" i="47"/>
  <c r="DF226" i="47"/>
  <c r="CD230" i="47"/>
  <c r="DH230" i="47"/>
  <c r="DF230" i="47"/>
  <c r="DF227" i="47"/>
  <c r="DH227" i="47"/>
  <c r="CD227" i="47"/>
  <c r="CD231" i="47"/>
  <c r="DH231" i="47"/>
  <c r="DF231" i="47"/>
  <c r="DH228" i="47"/>
  <c r="DF228" i="47"/>
  <c r="CD228" i="47"/>
  <c r="DF232" i="47"/>
  <c r="CD232" i="47"/>
  <c r="DH232" i="47"/>
  <c r="CH216" i="47"/>
  <c r="DM216" i="47"/>
  <c r="CI219" i="47"/>
  <c r="CJ219" i="47"/>
  <c r="CJ216" i="47"/>
  <c r="CI216" i="47"/>
  <c r="CJ217" i="47"/>
  <c r="CI217" i="47"/>
  <c r="CI220" i="47"/>
  <c r="CJ220" i="47"/>
  <c r="CJ218" i="47"/>
  <c r="CI218" i="47"/>
  <c r="CI221" i="47"/>
  <c r="CJ221" i="47"/>
  <c r="CI215" i="47"/>
  <c r="CJ215" i="47"/>
  <c r="CQ173" i="47"/>
  <c r="CR173" i="47"/>
  <c r="CR174" i="47"/>
  <c r="CQ174" i="47"/>
  <c r="CR175" i="47"/>
  <c r="CQ175" i="47"/>
  <c r="CQ176" i="47"/>
  <c r="CR176" i="47"/>
  <c r="CQ177" i="47"/>
  <c r="CR177" i="47"/>
  <c r="CQ178" i="47"/>
  <c r="CR178" i="47"/>
  <c r="CQ179" i="47"/>
  <c r="CR179" i="47"/>
  <c r="CQ180" i="47"/>
  <c r="CR180" i="47"/>
  <c r="CR181" i="47"/>
  <c r="CQ181" i="47"/>
  <c r="CR182" i="47"/>
  <c r="CQ182" i="47"/>
  <c r="CR183" i="47"/>
  <c r="CQ183" i="47"/>
  <c r="CD37" i="47"/>
  <c r="CE37" i="47"/>
  <c r="CF37" i="47"/>
  <c r="CD41" i="47"/>
  <c r="CE41" i="47"/>
  <c r="CF41" i="47"/>
  <c r="CE46" i="47"/>
  <c r="CF46" i="47"/>
  <c r="CD46" i="47"/>
  <c r="CD88" i="47"/>
  <c r="CE88" i="47"/>
  <c r="CF88" i="47"/>
  <c r="DH88" i="47"/>
  <c r="DH115" i="47"/>
  <c r="CD115" i="47"/>
  <c r="CE115" i="47"/>
  <c r="CF115" i="47"/>
  <c r="CJ161" i="47"/>
  <c r="CO161" i="47"/>
  <c r="CO163" i="47"/>
  <c r="CJ163" i="47"/>
  <c r="CQ161" i="47"/>
  <c r="CR161" i="47"/>
  <c r="CQ163" i="47"/>
  <c r="CR163" i="47"/>
  <c r="CD27" i="47"/>
  <c r="CF27" i="47"/>
  <c r="CE27" i="47"/>
  <c r="DH27" i="47"/>
  <c r="CD36" i="47"/>
  <c r="CE36" i="47"/>
  <c r="CF36" i="47"/>
  <c r="CD40" i="47"/>
  <c r="CE40" i="47"/>
  <c r="CF40" i="47"/>
  <c r="CD49" i="47"/>
  <c r="CE49" i="47"/>
  <c r="CF49" i="47"/>
  <c r="DH49" i="47"/>
  <c r="CD110" i="47"/>
  <c r="CE110" i="47"/>
  <c r="CF110" i="47"/>
  <c r="DH110" i="47"/>
  <c r="DH137" i="47"/>
  <c r="CD137" i="47"/>
  <c r="CE137" i="47"/>
  <c r="CF137" i="47"/>
  <c r="CO162" i="47"/>
  <c r="CJ162" i="47"/>
  <c r="CE22" i="47"/>
  <c r="CF22" i="47"/>
  <c r="DH22" i="47"/>
  <c r="CD22" i="47"/>
  <c r="CF35" i="47"/>
  <c r="CE35" i="47"/>
  <c r="CD35" i="47"/>
  <c r="CD39" i="47"/>
  <c r="CE39" i="47"/>
  <c r="CF39" i="47"/>
  <c r="CF43" i="47"/>
  <c r="CE43" i="47"/>
  <c r="CD43" i="47"/>
  <c r="CD44" i="47"/>
  <c r="DH44" i="47"/>
  <c r="CE44" i="47"/>
  <c r="CF44" i="47"/>
  <c r="CD45" i="47"/>
  <c r="CE45" i="47"/>
  <c r="CF45" i="47"/>
  <c r="CF71" i="47"/>
  <c r="DH71" i="47"/>
  <c r="CE71" i="47"/>
  <c r="CD71" i="47"/>
  <c r="CD132" i="47"/>
  <c r="DH132" i="47"/>
  <c r="CE132" i="47"/>
  <c r="CF132" i="47"/>
  <c r="CQ162" i="47"/>
  <c r="CR162" i="47"/>
  <c r="CE38" i="47"/>
  <c r="CF38" i="47"/>
  <c r="CD38" i="47"/>
  <c r="CD42" i="47"/>
  <c r="CE42" i="47"/>
  <c r="CF42" i="47"/>
  <c r="CD47" i="47"/>
  <c r="CE47" i="47"/>
  <c r="CF47" i="47"/>
  <c r="CF48" i="47"/>
  <c r="CD48" i="47"/>
  <c r="CE48" i="47"/>
  <c r="CD50" i="47"/>
  <c r="CE50" i="47"/>
  <c r="CF50" i="47"/>
  <c r="CF51" i="47"/>
  <c r="CD51" i="47"/>
  <c r="CE51" i="47"/>
  <c r="CD52" i="47"/>
  <c r="CE52" i="47"/>
  <c r="CF52" i="47"/>
  <c r="DH66" i="47"/>
  <c r="CD66" i="47"/>
  <c r="CE66" i="47"/>
  <c r="CF66" i="47"/>
  <c r="DH93" i="47"/>
  <c r="CD93" i="47"/>
  <c r="CE93" i="47"/>
  <c r="CF93" i="47"/>
  <c r="CJ164" i="47"/>
  <c r="CO164" i="47"/>
  <c r="CJ165" i="47"/>
  <c r="CO165" i="47"/>
  <c r="CJ166" i="47"/>
  <c r="CO166" i="47"/>
  <c r="CJ167" i="47"/>
  <c r="CO167" i="47"/>
  <c r="CJ168" i="47"/>
  <c r="CO168" i="47"/>
  <c r="CJ169" i="47"/>
  <c r="CO169" i="47"/>
  <c r="CO170" i="47"/>
  <c r="CJ170" i="47"/>
  <c r="CO171" i="47"/>
  <c r="CJ171" i="47"/>
  <c r="CJ172" i="47"/>
  <c r="CO172" i="47"/>
  <c r="CJ173" i="47"/>
  <c r="CO173" i="47"/>
  <c r="CJ174" i="47"/>
  <c r="CO174" i="47"/>
  <c r="CJ175" i="47"/>
  <c r="CO175" i="47"/>
  <c r="CJ176" i="47"/>
  <c r="CO176" i="47"/>
  <c r="CJ177" i="47"/>
  <c r="CO177" i="47"/>
  <c r="CO178" i="47"/>
  <c r="CJ178" i="47"/>
  <c r="CO179" i="47"/>
  <c r="CJ179" i="47"/>
  <c r="CJ180" i="47"/>
  <c r="CO180" i="47"/>
  <c r="CJ181" i="47"/>
  <c r="CO181" i="47"/>
  <c r="CJ182" i="47"/>
  <c r="CO182" i="47"/>
  <c r="CJ183" i="47"/>
  <c r="CO183" i="47"/>
  <c r="CP204" i="47"/>
  <c r="CQ204" i="47"/>
  <c r="CB204" i="47"/>
  <c r="CR204" i="47"/>
  <c r="CJ189" i="47"/>
  <c r="CN189" i="47"/>
  <c r="DN189" i="47"/>
  <c r="CO189" i="47"/>
  <c r="CO193" i="47"/>
  <c r="DN193" i="47"/>
  <c r="CN193" i="47"/>
  <c r="CJ193" i="47"/>
  <c r="CJ197" i="47"/>
  <c r="CN197" i="47"/>
  <c r="CO197" i="47"/>
  <c r="DN197" i="47"/>
  <c r="DN201" i="47"/>
  <c r="CJ201" i="47"/>
  <c r="CN201" i="47"/>
  <c r="CO201" i="47"/>
  <c r="CJ205" i="47"/>
  <c r="DN205" i="47"/>
  <c r="CN205" i="47"/>
  <c r="CO205" i="47"/>
  <c r="CN209" i="47"/>
  <c r="DN209" i="47"/>
  <c r="CO209" i="47"/>
  <c r="CJ209" i="47"/>
  <c r="CR200" i="47"/>
  <c r="CB200" i="47"/>
  <c r="CP200" i="47"/>
  <c r="CQ200" i="47"/>
  <c r="CR189" i="47"/>
  <c r="CB189" i="47"/>
  <c r="CP189" i="47"/>
  <c r="CQ189" i="47"/>
  <c r="CQ193" i="47"/>
  <c r="CR193" i="47"/>
  <c r="CB193" i="47"/>
  <c r="CP193" i="47"/>
  <c r="CB197" i="47"/>
  <c r="CP197" i="47"/>
  <c r="CQ197" i="47"/>
  <c r="CR197" i="47"/>
  <c r="CQ201" i="47"/>
  <c r="CR201" i="47"/>
  <c r="CP201" i="47"/>
  <c r="CB201" i="47"/>
  <c r="CR205" i="47"/>
  <c r="CP205" i="47"/>
  <c r="CQ205" i="47"/>
  <c r="CB205" i="47"/>
  <c r="CQ209" i="47"/>
  <c r="CR209" i="47"/>
  <c r="CP209" i="47"/>
  <c r="CB209" i="47"/>
  <c r="CJ190" i="47"/>
  <c r="CN190" i="47"/>
  <c r="CO190" i="47"/>
  <c r="DN190" i="47"/>
  <c r="CN194" i="47"/>
  <c r="DN194" i="47"/>
  <c r="CO194" i="47"/>
  <c r="CJ194" i="47"/>
  <c r="DN198" i="47"/>
  <c r="CJ198" i="47"/>
  <c r="CN198" i="47"/>
  <c r="CO198" i="47"/>
  <c r="CO202" i="47"/>
  <c r="CJ202" i="47"/>
  <c r="CN202" i="47"/>
  <c r="DN202" i="47"/>
  <c r="CJ206" i="47"/>
  <c r="CN206" i="47"/>
  <c r="CO206" i="47"/>
  <c r="DN206" i="47"/>
  <c r="CN210" i="47"/>
  <c r="CJ210" i="47"/>
  <c r="DN210" i="47"/>
  <c r="CO210" i="47"/>
  <c r="CR192" i="47"/>
  <c r="CP192" i="47"/>
  <c r="CB192" i="47"/>
  <c r="CQ192" i="47"/>
  <c r="CB190" i="47"/>
  <c r="CQ190" i="47"/>
  <c r="CP190" i="47"/>
  <c r="CR190" i="47"/>
  <c r="CP194" i="47"/>
  <c r="CQ194" i="47"/>
  <c r="CR194" i="47"/>
  <c r="CB194" i="47"/>
  <c r="CB198" i="47"/>
  <c r="CQ198" i="47"/>
  <c r="CR198" i="47"/>
  <c r="CP198" i="47"/>
  <c r="CP202" i="47"/>
  <c r="CQ202" i="47"/>
  <c r="CR202" i="47"/>
  <c r="CB202" i="47"/>
  <c r="CB206" i="47"/>
  <c r="CR206" i="47"/>
  <c r="CQ206" i="47"/>
  <c r="CP206" i="47"/>
  <c r="CP210" i="47"/>
  <c r="CQ210" i="47"/>
  <c r="CR210" i="47"/>
  <c r="CB210" i="47"/>
  <c r="CR208" i="47"/>
  <c r="CQ208" i="47"/>
  <c r="CB208" i="47"/>
  <c r="CP208" i="47"/>
  <c r="DN191" i="47"/>
  <c r="CJ191" i="47"/>
  <c r="CN191" i="47"/>
  <c r="CO191" i="47"/>
  <c r="CO195" i="47"/>
  <c r="CN195" i="47"/>
  <c r="CJ195" i="47"/>
  <c r="DN195" i="47"/>
  <c r="DN199" i="47"/>
  <c r="CJ199" i="47"/>
  <c r="CN199" i="47"/>
  <c r="CO199" i="47"/>
  <c r="CO203" i="47"/>
  <c r="CN203" i="47"/>
  <c r="DN203" i="47"/>
  <c r="CJ203" i="47"/>
  <c r="DN207" i="47"/>
  <c r="CJ207" i="47"/>
  <c r="CN207" i="47"/>
  <c r="CO207" i="47"/>
  <c r="CB196" i="47"/>
  <c r="CP196" i="47"/>
  <c r="CQ196" i="47"/>
  <c r="CR196" i="47"/>
  <c r="CB191" i="47"/>
  <c r="CQ191" i="47"/>
  <c r="CP191" i="47"/>
  <c r="CR191" i="47"/>
  <c r="CP195" i="47"/>
  <c r="CQ195" i="47"/>
  <c r="CR195" i="47"/>
  <c r="CB195" i="47"/>
  <c r="CP199" i="47"/>
  <c r="CR199" i="47"/>
  <c r="CB199" i="47"/>
  <c r="CQ199" i="47"/>
  <c r="CB203" i="47"/>
  <c r="CP203" i="47"/>
  <c r="CQ203" i="47"/>
  <c r="CR203" i="47"/>
  <c r="CB207" i="47"/>
  <c r="CR207" i="47"/>
  <c r="CP207" i="47"/>
  <c r="CQ207" i="47"/>
  <c r="CP188" i="47"/>
  <c r="CQ188" i="47"/>
  <c r="CR188" i="47"/>
  <c r="CB188" i="47"/>
  <c r="CO188" i="47"/>
  <c r="CN188" i="47"/>
  <c r="CJ188" i="47"/>
  <c r="DN188" i="47"/>
  <c r="DN192" i="47"/>
  <c r="CO192" i="47"/>
  <c r="CJ192" i="47"/>
  <c r="CN192" i="47"/>
  <c r="CN196" i="47"/>
  <c r="DN196" i="47"/>
  <c r="CO196" i="47"/>
  <c r="CJ196" i="47"/>
  <c r="CO200" i="47"/>
  <c r="DN200" i="47"/>
  <c r="CJ200" i="47"/>
  <c r="CN200" i="47"/>
  <c r="CN204" i="47"/>
  <c r="CO204" i="47"/>
  <c r="DN204" i="47"/>
  <c r="CJ204" i="47"/>
  <c r="DN208" i="47"/>
  <c r="CO208" i="47"/>
  <c r="CJ208" i="47"/>
  <c r="CN208" i="47"/>
  <c r="CB174" i="47"/>
  <c r="DN174" i="47"/>
  <c r="CN174" i="47"/>
  <c r="CB175" i="47"/>
  <c r="DN175" i="47"/>
  <c r="CN175" i="47"/>
  <c r="CB176" i="47"/>
  <c r="DN176" i="47"/>
  <c r="CN176" i="47"/>
  <c r="CN177" i="47"/>
  <c r="CB177" i="47"/>
  <c r="DN177" i="47"/>
  <c r="CN178" i="47"/>
  <c r="CB178" i="47"/>
  <c r="DN178" i="47"/>
  <c r="CN179" i="47"/>
  <c r="CB179" i="47"/>
  <c r="DN179" i="47"/>
  <c r="DN180" i="47"/>
  <c r="CN180" i="47"/>
  <c r="CB180" i="47"/>
  <c r="DN181" i="47"/>
  <c r="CN181" i="47"/>
  <c r="CB181" i="47"/>
  <c r="CB182" i="47"/>
  <c r="DN182" i="47"/>
  <c r="CN182" i="47"/>
  <c r="CB183" i="47"/>
  <c r="DN183" i="47"/>
  <c r="CN183" i="47"/>
  <c r="CB173" i="47"/>
  <c r="CN173" i="47"/>
  <c r="DN173" i="47"/>
  <c r="CR165" i="47"/>
  <c r="CB165" i="47"/>
  <c r="CQ165" i="47"/>
  <c r="CR166" i="47"/>
  <c r="CB166" i="47"/>
  <c r="CQ166" i="47"/>
  <c r="CR167" i="47"/>
  <c r="CQ167" i="47"/>
  <c r="CB167" i="47"/>
  <c r="CQ168" i="47"/>
  <c r="CB168" i="47"/>
  <c r="CR168" i="47"/>
  <c r="CB169" i="47"/>
  <c r="CQ169" i="47"/>
  <c r="CR169" i="47"/>
  <c r="CN164" i="47"/>
  <c r="DN164" i="47"/>
  <c r="CN165" i="47"/>
  <c r="DN165" i="47"/>
  <c r="CN166" i="47"/>
  <c r="DN166" i="47"/>
  <c r="DN167" i="47"/>
  <c r="CN167" i="47"/>
  <c r="DN168" i="47"/>
  <c r="CN168" i="47"/>
  <c r="DN169" i="47"/>
  <c r="CN169" i="47"/>
  <c r="CB161" i="47"/>
  <c r="CN161" i="47"/>
  <c r="CN163" i="47"/>
  <c r="CB163" i="47"/>
  <c r="CN162" i="47"/>
  <c r="CB162" i="47"/>
  <c r="CB164" i="47"/>
  <c r="CR164" i="47"/>
  <c r="CQ164" i="47"/>
  <c r="CN172" i="47"/>
  <c r="DN172" i="47"/>
  <c r="CN171" i="47"/>
  <c r="DN171" i="47"/>
  <c r="CN170" i="47"/>
  <c r="DN170" i="47"/>
  <c r="CR172" i="47"/>
  <c r="CB172" i="47"/>
  <c r="CQ172" i="47"/>
  <c r="CR171" i="47"/>
  <c r="CB171" i="47"/>
  <c r="CQ171" i="47"/>
  <c r="CR170" i="47"/>
  <c r="CB170" i="47"/>
  <c r="CQ170" i="47"/>
  <c r="DN163" i="47"/>
  <c r="DN162" i="47"/>
  <c r="DN161" i="47"/>
  <c r="CF138" i="47"/>
  <c r="DH138" i="47"/>
  <c r="CD138" i="47"/>
  <c r="CE138" i="47"/>
  <c r="CD139" i="47"/>
  <c r="CE139" i="47"/>
  <c r="DH139" i="47"/>
  <c r="CF139" i="47"/>
  <c r="DH140" i="47"/>
  <c r="CD140" i="47"/>
  <c r="CE140" i="47"/>
  <c r="CF140" i="47"/>
  <c r="CF134" i="47"/>
  <c r="DH134" i="47"/>
  <c r="CD134" i="47"/>
  <c r="CE134" i="47"/>
  <c r="CD133" i="47"/>
  <c r="CE133" i="47"/>
  <c r="DH133" i="47"/>
  <c r="CF133" i="47"/>
  <c r="CD135" i="47"/>
  <c r="CE135" i="47"/>
  <c r="CF135" i="47"/>
  <c r="DH135" i="47"/>
  <c r="CD136" i="47"/>
  <c r="DH136" i="47"/>
  <c r="CE136" i="47"/>
  <c r="CF136" i="47"/>
  <c r="CD125" i="47"/>
  <c r="CE125" i="47"/>
  <c r="DH125" i="47"/>
  <c r="CF125" i="47"/>
  <c r="CE129" i="47"/>
  <c r="CF129" i="47"/>
  <c r="CD129" i="47"/>
  <c r="DH129" i="47"/>
  <c r="CD124" i="47"/>
  <c r="DH124" i="47"/>
  <c r="CE124" i="47"/>
  <c r="CF124" i="47"/>
  <c r="DH128" i="47"/>
  <c r="CD128" i="47"/>
  <c r="CF128" i="47"/>
  <c r="CE128" i="47"/>
  <c r="DH123" i="47"/>
  <c r="CF123" i="47"/>
  <c r="CE123" i="47"/>
  <c r="CD123" i="47"/>
  <c r="CD127" i="47"/>
  <c r="DH127" i="47"/>
  <c r="CE127" i="47"/>
  <c r="CF127" i="47"/>
  <c r="CF131" i="47"/>
  <c r="CE131" i="47"/>
  <c r="CD131" i="47"/>
  <c r="DH131" i="47"/>
  <c r="CF126" i="47"/>
  <c r="DH126" i="47"/>
  <c r="CD126" i="47"/>
  <c r="CE126" i="47"/>
  <c r="CD130" i="47"/>
  <c r="CE130" i="47"/>
  <c r="CF130" i="47"/>
  <c r="DH130" i="47"/>
  <c r="CF116" i="47"/>
  <c r="CD116" i="47"/>
  <c r="CE116" i="47"/>
  <c r="DH116" i="47"/>
  <c r="CF117" i="47"/>
  <c r="CD117" i="47"/>
  <c r="CE117" i="47"/>
  <c r="DH117" i="47"/>
  <c r="CE118" i="47"/>
  <c r="CF118" i="47"/>
  <c r="CD118" i="47"/>
  <c r="DH118" i="47"/>
  <c r="CD111" i="47"/>
  <c r="CE111" i="47"/>
  <c r="DH111" i="47"/>
  <c r="CF111" i="47"/>
  <c r="DH113" i="47"/>
  <c r="CD113" i="47"/>
  <c r="CE113" i="47"/>
  <c r="CF113" i="47"/>
  <c r="DH114" i="47"/>
  <c r="CF114" i="47"/>
  <c r="CD114" i="47"/>
  <c r="CE114" i="47"/>
  <c r="CE112" i="47"/>
  <c r="CF112" i="47"/>
  <c r="CD112" i="47"/>
  <c r="DH112" i="47"/>
  <c r="DH102" i="47"/>
  <c r="CD102" i="47"/>
  <c r="CE102" i="47"/>
  <c r="CF102" i="47"/>
  <c r="CF106" i="47"/>
  <c r="DH106" i="47"/>
  <c r="CD106" i="47"/>
  <c r="CE106" i="47"/>
  <c r="DH101" i="47"/>
  <c r="CD101" i="47"/>
  <c r="CF101" i="47"/>
  <c r="CE101" i="47"/>
  <c r="CF105" i="47"/>
  <c r="CD105" i="47"/>
  <c r="DH105" i="47"/>
  <c r="CE105" i="47"/>
  <c r="CE109" i="47"/>
  <c r="CF109" i="47"/>
  <c r="CD109" i="47"/>
  <c r="DH109" i="47"/>
  <c r="CD104" i="47"/>
  <c r="CE104" i="47"/>
  <c r="CF104" i="47"/>
  <c r="DH104" i="47"/>
  <c r="CE108" i="47"/>
  <c r="CD108" i="47"/>
  <c r="CF108" i="47"/>
  <c r="DH108" i="47"/>
  <c r="DH103" i="47"/>
  <c r="CD103" i="47"/>
  <c r="CE103" i="47"/>
  <c r="CF103" i="47"/>
  <c r="DH107" i="47"/>
  <c r="CD107" i="47"/>
  <c r="CE107" i="47"/>
  <c r="CF107" i="47"/>
  <c r="DH94" i="47"/>
  <c r="CF94" i="47"/>
  <c r="CD94" i="47"/>
  <c r="CE94" i="47"/>
  <c r="CF95" i="47"/>
  <c r="DH95" i="47"/>
  <c r="CD95" i="47"/>
  <c r="CE95" i="47"/>
  <c r="CD96" i="47"/>
  <c r="DH96" i="47"/>
  <c r="CE96" i="47"/>
  <c r="CF96" i="47"/>
  <c r="CD89" i="47"/>
  <c r="CF89" i="47"/>
  <c r="CE89" i="47"/>
  <c r="DH89" i="47"/>
  <c r="CD91" i="47"/>
  <c r="CE91" i="47"/>
  <c r="DH91" i="47"/>
  <c r="CF91" i="47"/>
  <c r="CE92" i="47"/>
  <c r="CD92" i="47"/>
  <c r="CF92" i="47"/>
  <c r="DH92" i="47"/>
  <c r="CF90" i="47"/>
  <c r="CD90" i="47"/>
  <c r="CE90" i="47"/>
  <c r="DH90" i="47"/>
  <c r="CE79" i="47"/>
  <c r="CD79" i="47"/>
  <c r="CF79" i="47"/>
  <c r="DH79" i="47"/>
  <c r="DH83" i="47"/>
  <c r="CD83" i="47"/>
  <c r="CE83" i="47"/>
  <c r="CF83" i="47"/>
  <c r="CD87" i="47"/>
  <c r="DH87" i="47"/>
  <c r="CE87" i="47"/>
  <c r="CF87" i="47"/>
  <c r="CF82" i="47"/>
  <c r="CD82" i="47"/>
  <c r="CE82" i="47"/>
  <c r="DH82" i="47"/>
  <c r="CF86" i="47"/>
  <c r="CD86" i="47"/>
  <c r="CE86" i="47"/>
  <c r="DH86" i="47"/>
  <c r="CD81" i="47"/>
  <c r="CE81" i="47"/>
  <c r="CF81" i="47"/>
  <c r="DH81" i="47"/>
  <c r="CE85" i="47"/>
  <c r="CF85" i="47"/>
  <c r="DH85" i="47"/>
  <c r="CD85" i="47"/>
  <c r="CD80" i="47"/>
  <c r="DH80" i="47"/>
  <c r="CE80" i="47"/>
  <c r="CF80" i="47"/>
  <c r="DH84" i="47"/>
  <c r="CE84" i="47"/>
  <c r="CD84" i="47"/>
  <c r="CF84" i="47"/>
  <c r="CF72" i="47"/>
  <c r="CE72" i="47"/>
  <c r="DH72" i="47"/>
  <c r="CD72" i="47"/>
  <c r="CD73" i="47"/>
  <c r="CE73" i="47"/>
  <c r="CF73" i="47"/>
  <c r="DH73" i="47"/>
  <c r="DH74" i="47"/>
  <c r="CE74" i="47"/>
  <c r="CD74" i="47"/>
  <c r="CF74" i="47"/>
  <c r="CD69" i="47"/>
  <c r="CE69" i="47"/>
  <c r="CF69" i="47"/>
  <c r="DH69" i="47"/>
  <c r="DH70" i="47"/>
  <c r="CF70" i="47"/>
  <c r="CD70" i="47"/>
  <c r="CE70" i="47"/>
  <c r="CF68" i="47"/>
  <c r="CE68" i="47"/>
  <c r="CD68" i="47"/>
  <c r="DH68" i="47"/>
  <c r="DH67" i="47"/>
  <c r="CD67" i="47"/>
  <c r="CE67" i="47"/>
  <c r="CF67" i="47"/>
  <c r="CD60" i="47"/>
  <c r="DH60" i="47"/>
  <c r="CE60" i="47"/>
  <c r="CF60" i="47"/>
  <c r="CE64" i="47"/>
  <c r="CD64" i="47"/>
  <c r="DH64" i="47"/>
  <c r="CF64" i="47"/>
  <c r="CD59" i="47"/>
  <c r="CE59" i="47"/>
  <c r="CF59" i="47"/>
  <c r="DH59" i="47"/>
  <c r="CF63" i="47"/>
  <c r="DH63" i="47"/>
  <c r="CE63" i="47"/>
  <c r="CD63" i="47"/>
  <c r="CD58" i="47"/>
  <c r="CE58" i="47"/>
  <c r="CF58" i="47"/>
  <c r="DH58" i="47"/>
  <c r="CD62" i="47"/>
  <c r="CE62" i="47"/>
  <c r="DH62" i="47"/>
  <c r="CF62" i="47"/>
  <c r="CE57" i="47"/>
  <c r="CF57" i="47"/>
  <c r="CD57" i="47"/>
  <c r="DH57" i="47"/>
  <c r="CD61" i="47"/>
  <c r="CF61" i="47"/>
  <c r="CE61" i="47"/>
  <c r="DH61" i="47"/>
  <c r="DH65" i="47"/>
  <c r="CD65" i="47"/>
  <c r="CE65" i="47"/>
  <c r="CF65" i="47"/>
  <c r="DH52" i="47"/>
  <c r="DH51" i="47"/>
  <c r="DH50" i="47"/>
  <c r="DH48" i="47"/>
  <c r="DH47" i="47"/>
  <c r="DH46" i="47"/>
  <c r="DH45" i="47"/>
  <c r="DH43" i="47"/>
  <c r="CC42" i="47"/>
  <c r="DH42" i="47"/>
  <c r="DH41" i="47"/>
  <c r="DH40" i="47"/>
  <c r="DH38" i="47"/>
  <c r="DH39" i="47"/>
  <c r="DH37" i="47"/>
  <c r="DH36" i="47"/>
  <c r="DH35" i="47"/>
  <c r="CE28" i="47"/>
  <c r="DH28" i="47"/>
  <c r="CF28" i="47"/>
  <c r="CD28" i="47"/>
  <c r="DH29" i="47"/>
  <c r="CE29" i="47"/>
  <c r="CF29" i="47"/>
  <c r="CD29" i="47"/>
  <c r="CD30" i="47"/>
  <c r="DH30" i="47"/>
  <c r="CE30" i="47"/>
  <c r="CF30" i="47"/>
  <c r="CF24" i="47"/>
  <c r="CD24" i="47"/>
  <c r="DH24" i="47"/>
  <c r="CE24" i="47"/>
  <c r="DH23" i="47"/>
  <c r="CF23" i="47"/>
  <c r="CD23" i="47"/>
  <c r="CE23" i="47"/>
  <c r="CD25" i="47"/>
  <c r="CF25" i="47"/>
  <c r="DH25" i="47"/>
  <c r="CE25" i="47"/>
  <c r="DH26" i="47"/>
  <c r="CD26" i="47"/>
  <c r="CE26" i="47"/>
  <c r="CF26" i="47"/>
  <c r="CE16" i="47"/>
  <c r="CF16" i="47"/>
  <c r="DH16" i="47"/>
  <c r="CD16" i="47"/>
  <c r="CF15" i="47"/>
  <c r="CD15" i="47"/>
  <c r="CE15" i="47"/>
  <c r="DH15" i="47"/>
  <c r="DH19" i="47"/>
  <c r="CE19" i="47"/>
  <c r="CD19" i="47"/>
  <c r="CF19" i="47"/>
  <c r="CF20" i="47"/>
  <c r="CD20" i="47"/>
  <c r="CE20" i="47"/>
  <c r="DH20" i="47"/>
  <c r="CD14" i="47"/>
  <c r="DH14" i="47"/>
  <c r="CE14" i="47"/>
  <c r="CF14" i="47"/>
  <c r="DH18" i="47"/>
  <c r="CE18" i="47"/>
  <c r="CF18" i="47"/>
  <c r="CD18" i="47"/>
  <c r="CF17" i="47"/>
  <c r="CD17" i="47"/>
  <c r="CE17" i="47"/>
  <c r="DH17" i="47"/>
  <c r="CE21" i="47"/>
  <c r="CF21" i="47"/>
  <c r="DH21" i="47"/>
  <c r="CD21" i="47"/>
  <c r="DH13" i="47"/>
  <c r="CD13" i="47"/>
  <c r="CE13" i="47"/>
  <c r="CF13" i="47"/>
  <c r="BH18" i="46"/>
  <c r="BH26" i="46"/>
  <c r="BH34" i="46"/>
  <c r="BH42" i="46"/>
  <c r="BH50" i="46"/>
  <c r="BH58" i="46"/>
  <c r="BH66" i="46"/>
  <c r="BH14" i="46"/>
  <c r="BH38" i="46"/>
  <c r="BH46" i="46"/>
  <c r="BH62" i="46"/>
  <c r="BH22" i="46"/>
  <c r="BH30" i="46"/>
  <c r="BH54" i="46"/>
  <c r="BH17" i="46"/>
  <c r="BH25" i="46"/>
  <c r="BH33" i="46"/>
  <c r="BH41" i="46"/>
  <c r="BH49" i="46"/>
  <c r="BH57" i="46"/>
  <c r="BH65" i="46"/>
  <c r="BH162" i="46"/>
  <c r="BG162" i="46"/>
  <c r="BH13" i="46"/>
  <c r="BH69" i="46"/>
  <c r="BH70" i="46"/>
  <c r="BH16" i="46"/>
  <c r="BH20" i="46"/>
  <c r="BH24" i="46"/>
  <c r="BH28" i="46"/>
  <c r="BH32" i="46"/>
  <c r="BH36" i="46"/>
  <c r="BH40" i="46"/>
  <c r="BH44" i="46"/>
  <c r="BH48" i="46"/>
  <c r="BH52" i="46"/>
  <c r="BH56" i="46"/>
  <c r="BH60" i="46"/>
  <c r="BH64" i="46"/>
  <c r="BH68" i="46"/>
  <c r="BH12" i="46"/>
  <c r="BH15" i="46"/>
  <c r="BH19" i="46"/>
  <c r="BH23" i="46"/>
  <c r="BH27" i="46"/>
  <c r="BH31" i="46"/>
  <c r="BH35" i="46"/>
  <c r="BH39" i="46"/>
  <c r="BH43" i="46"/>
  <c r="BH47" i="46"/>
  <c r="BH51" i="46"/>
  <c r="BH55" i="46"/>
  <c r="BH59" i="46"/>
  <c r="BH63" i="46"/>
  <c r="BH67" i="46"/>
  <c r="BH71" i="46"/>
  <c r="BX67" i="45"/>
  <c r="BX55" i="45"/>
  <c r="CN237" i="47"/>
  <c r="CN241" i="47"/>
  <c r="CN245" i="47"/>
  <c r="CN249" i="47"/>
  <c r="CN253" i="47"/>
  <c r="CN257" i="47"/>
  <c r="CP237" i="47"/>
  <c r="CQ237" i="47"/>
  <c r="CR237" i="47"/>
  <c r="CP241" i="47"/>
  <c r="CQ241" i="47"/>
  <c r="CR241" i="47"/>
  <c r="CP245" i="47"/>
  <c r="CQ245" i="47"/>
  <c r="CR245" i="47"/>
  <c r="CP249" i="47"/>
  <c r="CQ249" i="47"/>
  <c r="CR249" i="47"/>
  <c r="CP253" i="47"/>
  <c r="CQ253" i="47"/>
  <c r="CR253" i="47"/>
  <c r="CP257" i="47"/>
  <c r="CQ257" i="47"/>
  <c r="CR257" i="47"/>
  <c r="BX64" i="45"/>
  <c r="CN238" i="47"/>
  <c r="CN242" i="47"/>
  <c r="CN246" i="47"/>
  <c r="CN250" i="47"/>
  <c r="CN254" i="47"/>
  <c r="CN258" i="47"/>
  <c r="CP238" i="47"/>
  <c r="CQ238" i="47"/>
  <c r="CR238" i="47"/>
  <c r="CR242" i="47"/>
  <c r="CP242" i="47"/>
  <c r="CQ242" i="47"/>
  <c r="CP246" i="47"/>
  <c r="CQ246" i="47"/>
  <c r="CR246" i="47"/>
  <c r="CR250" i="47"/>
  <c r="CQ250" i="47"/>
  <c r="CP250" i="47"/>
  <c r="CP254" i="47"/>
  <c r="CQ254" i="47"/>
  <c r="CR254" i="47"/>
  <c r="CR258" i="47"/>
  <c r="CQ258" i="47"/>
  <c r="CP258" i="47"/>
  <c r="CN239" i="47"/>
  <c r="CN243" i="47"/>
  <c r="CN247" i="47"/>
  <c r="CN251" i="47"/>
  <c r="CN255" i="47"/>
  <c r="CN259" i="47"/>
  <c r="CR239" i="47"/>
  <c r="CP239" i="47"/>
  <c r="CQ239" i="47"/>
  <c r="CQ243" i="47"/>
  <c r="CR243" i="47"/>
  <c r="CP243" i="47"/>
  <c r="CR247" i="47"/>
  <c r="CP247" i="47"/>
  <c r="CQ247" i="47"/>
  <c r="CQ251" i="47"/>
  <c r="CR251" i="47"/>
  <c r="CP251" i="47"/>
  <c r="CR255" i="47"/>
  <c r="CP255" i="47"/>
  <c r="CQ255" i="47"/>
  <c r="CQ259" i="47"/>
  <c r="CR259" i="47"/>
  <c r="CP259" i="47"/>
  <c r="CN240" i="47"/>
  <c r="CN244" i="47"/>
  <c r="CN248" i="47"/>
  <c r="CN252" i="47"/>
  <c r="CN256" i="47"/>
  <c r="CQ240" i="47"/>
  <c r="CP240" i="47"/>
  <c r="CR240" i="47"/>
  <c r="CP244" i="47"/>
  <c r="CQ244" i="47"/>
  <c r="CR244" i="47"/>
  <c r="CP248" i="47"/>
  <c r="CQ248" i="47"/>
  <c r="CR248" i="47"/>
  <c r="CP252" i="47"/>
  <c r="CQ252" i="47"/>
  <c r="CR252" i="47"/>
  <c r="CQ256" i="47"/>
  <c r="CP256" i="47"/>
  <c r="CR256" i="47"/>
  <c r="CE20" i="45"/>
  <c r="CN20" i="45"/>
  <c r="BH184" i="46"/>
  <c r="BP184" i="46"/>
  <c r="DF188" i="47"/>
  <c r="DV188" i="47"/>
  <c r="CM188" i="47"/>
  <c r="DU188" i="47"/>
  <c r="DT188" i="47"/>
  <c r="DQ188" i="47"/>
  <c r="DT204" i="47"/>
  <c r="DQ204" i="47"/>
  <c r="DV204" i="47"/>
  <c r="CM204" i="47"/>
  <c r="DU204" i="47"/>
  <c r="DF204" i="47"/>
  <c r="DS249" i="47"/>
  <c r="DR249" i="47"/>
  <c r="DP249" i="47"/>
  <c r="CO249" i="47"/>
  <c r="CH212" i="48"/>
  <c r="CC212" i="48"/>
  <c r="Z212" i="48" s="1"/>
  <c r="CE72" i="48"/>
  <c r="CD72" i="48"/>
  <c r="CI72" i="48"/>
  <c r="CH72" i="48"/>
  <c r="DP189" i="47"/>
  <c r="CL189" i="47"/>
  <c r="DS189" i="47"/>
  <c r="DR189" i="47"/>
  <c r="DS193" i="47"/>
  <c r="DR193" i="47"/>
  <c r="DP193" i="47"/>
  <c r="CL193" i="47"/>
  <c r="DP197" i="47"/>
  <c r="CL197" i="47"/>
  <c r="DS197" i="47"/>
  <c r="DR197" i="47"/>
  <c r="CL201" i="47"/>
  <c r="DS201" i="47"/>
  <c r="DR201" i="47"/>
  <c r="DP201" i="47"/>
  <c r="DP205" i="47"/>
  <c r="CL205" i="47"/>
  <c r="DS205" i="47"/>
  <c r="DR205" i="47"/>
  <c r="DP209" i="47"/>
  <c r="DS209" i="47"/>
  <c r="DR209" i="47"/>
  <c r="CL209" i="47"/>
  <c r="DU241" i="47"/>
  <c r="CM241" i="47"/>
  <c r="DT241" i="47"/>
  <c r="CB241" i="47"/>
  <c r="DQ241" i="47"/>
  <c r="DV241" i="47"/>
  <c r="DF241" i="47"/>
  <c r="DQ245" i="47"/>
  <c r="DV245" i="47"/>
  <c r="DF245" i="47"/>
  <c r="DU245" i="47"/>
  <c r="CM245" i="47"/>
  <c r="CB245" i="47"/>
  <c r="DT245" i="47"/>
  <c r="DV249" i="47"/>
  <c r="DF249" i="47"/>
  <c r="DU249" i="47"/>
  <c r="CM249" i="47"/>
  <c r="DT249" i="47"/>
  <c r="CB249" i="47"/>
  <c r="DQ249" i="47"/>
  <c r="DQ253" i="47"/>
  <c r="DV253" i="47"/>
  <c r="DF253" i="47"/>
  <c r="CB253" i="47"/>
  <c r="DU253" i="47"/>
  <c r="DT253" i="47"/>
  <c r="CM253" i="47"/>
  <c r="DV257" i="47"/>
  <c r="DF257" i="47"/>
  <c r="DU257" i="47"/>
  <c r="CM257" i="47"/>
  <c r="DT257" i="47"/>
  <c r="CB257" i="47"/>
  <c r="DQ257" i="47"/>
  <c r="CH211" i="48"/>
  <c r="CC211" i="48"/>
  <c r="CC189" i="48"/>
  <c r="CH189" i="48"/>
  <c r="BH176" i="46"/>
  <c r="BP176" i="46"/>
  <c r="DU208" i="47"/>
  <c r="CM208" i="47"/>
  <c r="DQ208" i="47"/>
  <c r="DF208" i="47"/>
  <c r="DV208" i="47"/>
  <c r="DT208" i="47"/>
  <c r="CH210" i="48"/>
  <c r="CC210" i="48"/>
  <c r="Z210" i="48" s="1"/>
  <c r="CD21" i="45"/>
  <c r="CM21" i="45"/>
  <c r="BG177" i="46"/>
  <c r="BO177" i="46"/>
  <c r="BO181" i="46"/>
  <c r="BG181" i="46"/>
  <c r="BG185" i="46"/>
  <c r="BO185" i="46"/>
  <c r="DS190" i="47"/>
  <c r="DR190" i="47"/>
  <c r="DP190" i="47"/>
  <c r="CL190" i="47"/>
  <c r="DS194" i="47"/>
  <c r="DR194" i="47"/>
  <c r="CL194" i="47"/>
  <c r="DP194" i="47"/>
  <c r="DS198" i="47"/>
  <c r="DR198" i="47"/>
  <c r="CL198" i="47"/>
  <c r="DP198" i="47"/>
  <c r="CL202" i="47"/>
  <c r="DS202" i="47"/>
  <c r="DR202" i="47"/>
  <c r="DP202" i="47"/>
  <c r="DP206" i="47"/>
  <c r="CL206" i="47"/>
  <c r="DR206" i="47"/>
  <c r="DS206" i="47"/>
  <c r="DP210" i="47"/>
  <c r="DS210" i="47"/>
  <c r="CL210" i="47"/>
  <c r="DR210" i="47"/>
  <c r="DQ238" i="47"/>
  <c r="DF238" i="47"/>
  <c r="DU238" i="47"/>
  <c r="CB238" i="47"/>
  <c r="DV238" i="47"/>
  <c r="CM238" i="47"/>
  <c r="DT238" i="47"/>
  <c r="DV242" i="47"/>
  <c r="DF242" i="47"/>
  <c r="DU242" i="47"/>
  <c r="CM242" i="47"/>
  <c r="DT242" i="47"/>
  <c r="CB242" i="47"/>
  <c r="DQ242" i="47"/>
  <c r="DU246" i="47"/>
  <c r="DT246" i="47"/>
  <c r="DQ246" i="47"/>
  <c r="DV246" i="47"/>
  <c r="DF246" i="47"/>
  <c r="CM246" i="47"/>
  <c r="CB246" i="47"/>
  <c r="DV250" i="47"/>
  <c r="DF250" i="47"/>
  <c r="DU250" i="47"/>
  <c r="CM250" i="47"/>
  <c r="DT250" i="47"/>
  <c r="CB250" i="47"/>
  <c r="DQ250" i="47"/>
  <c r="CB254" i="47"/>
  <c r="DQ254" i="47"/>
  <c r="DU254" i="47"/>
  <c r="DT254" i="47"/>
  <c r="DF254" i="47"/>
  <c r="DV254" i="47"/>
  <c r="CM254" i="47"/>
  <c r="DV258" i="47"/>
  <c r="DF258" i="47"/>
  <c r="DU258" i="47"/>
  <c r="CM258" i="47"/>
  <c r="DT258" i="47"/>
  <c r="CB258" i="47"/>
  <c r="DQ258" i="47"/>
  <c r="CH202" i="48"/>
  <c r="CC202" i="48"/>
  <c r="CH187" i="48"/>
  <c r="CC187" i="48"/>
  <c r="CH65" i="48"/>
  <c r="CI65" i="48"/>
  <c r="CE65" i="48"/>
  <c r="CD65" i="48"/>
  <c r="CE16" i="45"/>
  <c r="CN16" i="45"/>
  <c r="CL158" i="45"/>
  <c r="CC158" i="45"/>
  <c r="CM174" i="47"/>
  <c r="CM177" i="47"/>
  <c r="DQ192" i="47"/>
  <c r="DV192" i="47"/>
  <c r="DF192" i="47"/>
  <c r="CM192" i="47"/>
  <c r="DU192" i="47"/>
  <c r="DT192" i="47"/>
  <c r="DR253" i="47"/>
  <c r="DP253" i="47"/>
  <c r="CO253" i="47"/>
  <c r="DS253" i="47"/>
  <c r="CE13" i="45"/>
  <c r="CN13" i="45"/>
  <c r="BH177" i="46"/>
  <c r="BP177" i="46"/>
  <c r="DQ197" i="47"/>
  <c r="CM197" i="47"/>
  <c r="DV197" i="47"/>
  <c r="DF197" i="47"/>
  <c r="DT197" i="47"/>
  <c r="DU197" i="47"/>
  <c r="DU209" i="47"/>
  <c r="CM209" i="47"/>
  <c r="DV209" i="47"/>
  <c r="DT209" i="47"/>
  <c r="DQ209" i="47"/>
  <c r="DF209" i="47"/>
  <c r="DP238" i="47"/>
  <c r="CO238" i="47"/>
  <c r="DS238" i="47"/>
  <c r="DR238" i="47"/>
  <c r="DS254" i="47"/>
  <c r="DR254" i="47"/>
  <c r="DP254" i="47"/>
  <c r="CO254" i="47"/>
  <c r="CH203" i="48"/>
  <c r="CC203" i="48"/>
  <c r="CH188" i="48"/>
  <c r="CC188" i="48"/>
  <c r="Z188" i="48" s="1"/>
  <c r="CE14" i="45"/>
  <c r="CN14" i="45"/>
  <c r="BP178" i="46"/>
  <c r="BH178" i="46"/>
  <c r="BP186" i="46"/>
  <c r="BH186" i="46"/>
  <c r="DQ190" i="47"/>
  <c r="DV190" i="47"/>
  <c r="CM190" i="47"/>
  <c r="DF190" i="47"/>
  <c r="DU190" i="47"/>
  <c r="DT190" i="47"/>
  <c r="DV194" i="47"/>
  <c r="DF194" i="47"/>
  <c r="DU194" i="47"/>
  <c r="DT194" i="47"/>
  <c r="DQ194" i="47"/>
  <c r="CM194" i="47"/>
  <c r="DU198" i="47"/>
  <c r="DT198" i="47"/>
  <c r="DF198" i="47"/>
  <c r="DQ198" i="47"/>
  <c r="CM198" i="47"/>
  <c r="DV198" i="47"/>
  <c r="DT202" i="47"/>
  <c r="DQ202" i="47"/>
  <c r="DF202" i="47"/>
  <c r="DV202" i="47"/>
  <c r="CM202" i="47"/>
  <c r="DU202" i="47"/>
  <c r="DU206" i="47"/>
  <c r="CM206" i="47"/>
  <c r="DQ206" i="47"/>
  <c r="DF206" i="47"/>
  <c r="DV206" i="47"/>
  <c r="DT206" i="47"/>
  <c r="DQ210" i="47"/>
  <c r="DU210" i="47"/>
  <c r="CM210" i="47"/>
  <c r="DV210" i="47"/>
  <c r="DT210" i="47"/>
  <c r="DF210" i="47"/>
  <c r="DS239" i="47"/>
  <c r="DR239" i="47"/>
  <c r="DP239" i="47"/>
  <c r="CO239" i="47"/>
  <c r="CO243" i="47"/>
  <c r="DS243" i="47"/>
  <c r="DP243" i="47"/>
  <c r="DR243" i="47"/>
  <c r="DS247" i="47"/>
  <c r="DR247" i="47"/>
  <c r="CO247" i="47"/>
  <c r="DP247" i="47"/>
  <c r="DP251" i="47"/>
  <c r="CO251" i="47"/>
  <c r="DS251" i="47"/>
  <c r="DR251" i="47"/>
  <c r="DS255" i="47"/>
  <c r="DR255" i="47"/>
  <c r="DP255" i="47"/>
  <c r="CO255" i="47"/>
  <c r="DP259" i="47"/>
  <c r="CO259" i="47"/>
  <c r="DR259" i="47"/>
  <c r="DS259" i="47"/>
  <c r="CH201" i="48"/>
  <c r="CC201" i="48"/>
  <c r="CD64" i="48"/>
  <c r="CE64" i="48"/>
  <c r="CH64" i="48"/>
  <c r="CI64" i="48"/>
  <c r="CD24" i="45"/>
  <c r="CM24" i="45"/>
  <c r="CE17" i="45"/>
  <c r="CN17" i="45"/>
  <c r="BH181" i="46"/>
  <c r="BP181" i="46"/>
  <c r="DQ189" i="47"/>
  <c r="DF189" i="47"/>
  <c r="DV189" i="47"/>
  <c r="CM189" i="47"/>
  <c r="DU189" i="47"/>
  <c r="DT189" i="47"/>
  <c r="DU205" i="47"/>
  <c r="DV205" i="47"/>
  <c r="DT205" i="47"/>
  <c r="DQ205" i="47"/>
  <c r="DF205" i="47"/>
  <c r="CM205" i="47"/>
  <c r="DS246" i="47"/>
  <c r="DR246" i="47"/>
  <c r="CO246" i="47"/>
  <c r="DP246" i="47"/>
  <c r="CD17" i="45"/>
  <c r="CM17" i="45"/>
  <c r="CE18" i="45"/>
  <c r="CN18" i="45"/>
  <c r="CD153" i="45"/>
  <c r="CM153" i="45"/>
  <c r="BP182" i="46"/>
  <c r="BH182" i="46"/>
  <c r="CD14" i="45"/>
  <c r="CM14" i="45"/>
  <c r="CD18" i="45"/>
  <c r="CM18" i="45"/>
  <c r="CM26" i="45"/>
  <c r="CD26" i="45"/>
  <c r="CL153" i="45"/>
  <c r="CC153" i="45"/>
  <c r="CD157" i="45"/>
  <c r="CM157" i="45"/>
  <c r="CC160" i="45"/>
  <c r="CL160" i="45"/>
  <c r="BG178" i="46"/>
  <c r="BO178" i="46"/>
  <c r="BG182" i="46"/>
  <c r="BO182" i="46"/>
  <c r="BG186" i="46"/>
  <c r="BO186" i="46"/>
  <c r="DS191" i="47"/>
  <c r="DR191" i="47"/>
  <c r="DP191" i="47"/>
  <c r="CL191" i="47"/>
  <c r="DS195" i="47"/>
  <c r="DP195" i="47"/>
  <c r="DR195" i="47"/>
  <c r="CL195" i="47"/>
  <c r="DR199" i="47"/>
  <c r="DP199" i="47"/>
  <c r="CL199" i="47"/>
  <c r="DS199" i="47"/>
  <c r="CL203" i="47"/>
  <c r="DS203" i="47"/>
  <c r="DR203" i="47"/>
  <c r="DP203" i="47"/>
  <c r="DP207" i="47"/>
  <c r="DS207" i="47"/>
  <c r="DR207" i="47"/>
  <c r="CL207" i="47"/>
  <c r="DT239" i="47"/>
  <c r="DU239" i="47"/>
  <c r="DQ239" i="47"/>
  <c r="DF239" i="47"/>
  <c r="DV239" i="47"/>
  <c r="CB239" i="47"/>
  <c r="CM239" i="47"/>
  <c r="DV243" i="47"/>
  <c r="DF243" i="47"/>
  <c r="DU243" i="47"/>
  <c r="CM243" i="47"/>
  <c r="DT243" i="47"/>
  <c r="CB243" i="47"/>
  <c r="DQ243" i="47"/>
  <c r="DQ247" i="47"/>
  <c r="CM247" i="47"/>
  <c r="DF247" i="47"/>
  <c r="DV247" i="47"/>
  <c r="DU247" i="47"/>
  <c r="DT247" i="47"/>
  <c r="CB247" i="47"/>
  <c r="DV251" i="47"/>
  <c r="DF251" i="47"/>
  <c r="DU251" i="47"/>
  <c r="CM251" i="47"/>
  <c r="DT251" i="47"/>
  <c r="CB251" i="47"/>
  <c r="DQ251" i="47"/>
  <c r="DT255" i="47"/>
  <c r="CB255" i="47"/>
  <c r="DQ255" i="47"/>
  <c r="DF255" i="47"/>
  <c r="DV255" i="47"/>
  <c r="CM255" i="47"/>
  <c r="DU255" i="47"/>
  <c r="DV259" i="47"/>
  <c r="DF259" i="47"/>
  <c r="DU259" i="47"/>
  <c r="CM259" i="47"/>
  <c r="DT259" i="47"/>
  <c r="DQ259" i="47"/>
  <c r="CB259" i="47"/>
  <c r="CH200" i="48"/>
  <c r="CC200" i="48"/>
  <c r="DV196" i="47"/>
  <c r="DF196" i="47"/>
  <c r="DT196" i="47"/>
  <c r="CM196" i="47"/>
  <c r="DQ196" i="47"/>
  <c r="DU196" i="47"/>
  <c r="DP245" i="47"/>
  <c r="CO245" i="47"/>
  <c r="DS245" i="47"/>
  <c r="DR245" i="47"/>
  <c r="CC190" i="48"/>
  <c r="CH190" i="48"/>
  <c r="CD20" i="45"/>
  <c r="CM20" i="45"/>
  <c r="BG184" i="46"/>
  <c r="BO184" i="46"/>
  <c r="CN25" i="45"/>
  <c r="CE25" i="45"/>
  <c r="DT201" i="47"/>
  <c r="DQ201" i="47"/>
  <c r="DV201" i="47"/>
  <c r="CM201" i="47"/>
  <c r="DU201" i="47"/>
  <c r="DF201" i="47"/>
  <c r="CO250" i="47"/>
  <c r="DS250" i="47"/>
  <c r="DP250" i="47"/>
  <c r="DR250" i="47"/>
  <c r="CD13" i="45"/>
  <c r="CM13" i="45"/>
  <c r="CC156" i="45"/>
  <c r="CL156" i="45"/>
  <c r="CE15" i="45"/>
  <c r="CN15" i="45"/>
  <c r="CE19" i="45"/>
  <c r="CN19" i="45"/>
  <c r="CN23" i="45"/>
  <c r="CE23" i="45"/>
  <c r="CM154" i="45"/>
  <c r="CD154" i="45"/>
  <c r="CC157" i="45"/>
  <c r="CL157" i="45"/>
  <c r="BH179" i="46"/>
  <c r="BP179" i="46"/>
  <c r="BH183" i="46"/>
  <c r="BP183" i="46"/>
  <c r="DQ191" i="47"/>
  <c r="DF191" i="47"/>
  <c r="DV191" i="47"/>
  <c r="CM191" i="47"/>
  <c r="DU191" i="47"/>
  <c r="DT191" i="47"/>
  <c r="DV195" i="47"/>
  <c r="DF195" i="47"/>
  <c r="DU195" i="47"/>
  <c r="DT195" i="47"/>
  <c r="CM195" i="47"/>
  <c r="DQ195" i="47"/>
  <c r="DQ199" i="47"/>
  <c r="CM199" i="47"/>
  <c r="DV199" i="47"/>
  <c r="DF199" i="47"/>
  <c r="DT199" i="47"/>
  <c r="DU199" i="47"/>
  <c r="DT203" i="47"/>
  <c r="DQ203" i="47"/>
  <c r="DV203" i="47"/>
  <c r="CM203" i="47"/>
  <c r="DU203" i="47"/>
  <c r="DF203" i="47"/>
  <c r="DU207" i="47"/>
  <c r="CM207" i="47"/>
  <c r="DV207" i="47"/>
  <c r="DT207" i="47"/>
  <c r="DQ207" i="47"/>
  <c r="DF207" i="47"/>
  <c r="DS240" i="47"/>
  <c r="DR240" i="47"/>
  <c r="DP240" i="47"/>
  <c r="CO240" i="47"/>
  <c r="DP244" i="47"/>
  <c r="CO244" i="47"/>
  <c r="DS244" i="47"/>
  <c r="DR244" i="47"/>
  <c r="DS248" i="47"/>
  <c r="DR248" i="47"/>
  <c r="CO248" i="47"/>
  <c r="DP248" i="47"/>
  <c r="DP252" i="47"/>
  <c r="CO252" i="47"/>
  <c r="DS252" i="47"/>
  <c r="DR252" i="47"/>
  <c r="DS256" i="47"/>
  <c r="DR256" i="47"/>
  <c r="CO256" i="47"/>
  <c r="DP256" i="47"/>
  <c r="CC199" i="48"/>
  <c r="CH199" i="48"/>
  <c r="CC192" i="48"/>
  <c r="Z192" i="48" s="1"/>
  <c r="CH192" i="48"/>
  <c r="CH122" i="48"/>
  <c r="CC122" i="48"/>
  <c r="CE74" i="48"/>
  <c r="CD74" i="48"/>
  <c r="CH74" i="48"/>
  <c r="CI74" i="48"/>
  <c r="CE24" i="45"/>
  <c r="CN24" i="45"/>
  <c r="BH180" i="46"/>
  <c r="BP180" i="46"/>
  <c r="DT200" i="47"/>
  <c r="DQ200" i="47"/>
  <c r="DV200" i="47"/>
  <c r="CM200" i="47"/>
  <c r="DU200" i="47"/>
  <c r="DF200" i="47"/>
  <c r="DS241" i="47"/>
  <c r="DR241" i="47"/>
  <c r="DP241" i="47"/>
  <c r="CO241" i="47"/>
  <c r="DS257" i="47"/>
  <c r="DR257" i="47"/>
  <c r="DP257" i="47"/>
  <c r="CO257" i="47"/>
  <c r="CD16" i="45"/>
  <c r="CM16" i="45"/>
  <c r="BG180" i="46"/>
  <c r="BO180" i="46"/>
  <c r="CE21" i="45"/>
  <c r="CN21" i="45"/>
  <c r="BP185" i="46"/>
  <c r="BH185" i="46"/>
  <c r="DQ193" i="47"/>
  <c r="DF193" i="47"/>
  <c r="DV193" i="47"/>
  <c r="DU193" i="47"/>
  <c r="DT193" i="47"/>
  <c r="CM193" i="47"/>
  <c r="DS242" i="47"/>
  <c r="DR242" i="47"/>
  <c r="DP242" i="47"/>
  <c r="CO242" i="47"/>
  <c r="CO258" i="47"/>
  <c r="DS258" i="47"/>
  <c r="DR258" i="47"/>
  <c r="DP258" i="47"/>
  <c r="CE66" i="48"/>
  <c r="CD66" i="48"/>
  <c r="CH66" i="48"/>
  <c r="CI66" i="48"/>
  <c r="CM25" i="45"/>
  <c r="CD25" i="45"/>
  <c r="CD156" i="45"/>
  <c r="CM156" i="45"/>
  <c r="CN26" i="45"/>
  <c r="CE26" i="45"/>
  <c r="CD160" i="45"/>
  <c r="CM160" i="45"/>
  <c r="CD15" i="45"/>
  <c r="CM15" i="45"/>
  <c r="CD19" i="45"/>
  <c r="CM19" i="45"/>
  <c r="CM23" i="45"/>
  <c r="CD23" i="45"/>
  <c r="CL154" i="45"/>
  <c r="CC154" i="45"/>
  <c r="CM158" i="45"/>
  <c r="CD158" i="45"/>
  <c r="BG179" i="46"/>
  <c r="BO179" i="46"/>
  <c r="BG183" i="46"/>
  <c r="BO183" i="46"/>
  <c r="CL188" i="47"/>
  <c r="DS188" i="47"/>
  <c r="DR188" i="47"/>
  <c r="DP188" i="47"/>
  <c r="DS192" i="47"/>
  <c r="DR192" i="47"/>
  <c r="DP192" i="47"/>
  <c r="CL192" i="47"/>
  <c r="DS196" i="47"/>
  <c r="DR196" i="47"/>
  <c r="CL196" i="47"/>
  <c r="DP196" i="47"/>
  <c r="CL200" i="47"/>
  <c r="DS200" i="47"/>
  <c r="DR200" i="47"/>
  <c r="DP200" i="47"/>
  <c r="CL204" i="47"/>
  <c r="DS204" i="47"/>
  <c r="DR204" i="47"/>
  <c r="DP204" i="47"/>
  <c r="DP208" i="47"/>
  <c r="CL208" i="47"/>
  <c r="DS208" i="47"/>
  <c r="DR208" i="47"/>
  <c r="DT240" i="47"/>
  <c r="CB240" i="47"/>
  <c r="DQ240" i="47"/>
  <c r="DV240" i="47"/>
  <c r="DU240" i="47"/>
  <c r="CM240" i="47"/>
  <c r="DF240" i="47"/>
  <c r="DV244" i="47"/>
  <c r="DF244" i="47"/>
  <c r="DU244" i="47"/>
  <c r="CM244" i="47"/>
  <c r="DT244" i="47"/>
  <c r="CB244" i="47"/>
  <c r="DQ244" i="47"/>
  <c r="CM248" i="47"/>
  <c r="DQ248" i="47"/>
  <c r="DF248" i="47"/>
  <c r="CB248" i="47"/>
  <c r="DT248" i="47"/>
  <c r="DV248" i="47"/>
  <c r="DU248" i="47"/>
  <c r="DQ252" i="47"/>
  <c r="DV252" i="47"/>
  <c r="DF252" i="47"/>
  <c r="DU252" i="47"/>
  <c r="CM252" i="47"/>
  <c r="CB252" i="47"/>
  <c r="DT252" i="47"/>
  <c r="DU256" i="47"/>
  <c r="CM256" i="47"/>
  <c r="DT256" i="47"/>
  <c r="CB256" i="47"/>
  <c r="DQ256" i="47"/>
  <c r="DV256" i="47"/>
  <c r="DF256" i="47"/>
  <c r="CH191" i="48"/>
  <c r="CC191" i="48"/>
  <c r="CH121" i="48"/>
  <c r="CC121" i="48"/>
  <c r="CH73" i="48"/>
  <c r="CI73" i="48"/>
  <c r="CE73" i="48"/>
  <c r="CD73" i="48"/>
  <c r="CE12" i="45"/>
  <c r="CN12" i="45"/>
  <c r="CM161" i="47"/>
  <c r="CL161" i="47"/>
  <c r="CM237" i="47"/>
  <c r="DT237" i="47"/>
  <c r="DQ237" i="47"/>
  <c r="DU237" i="47"/>
  <c r="DV237" i="47"/>
  <c r="DS237" i="47"/>
  <c r="DR237" i="47"/>
  <c r="DP237" i="47"/>
  <c r="CO237" i="47"/>
  <c r="CB237" i="47"/>
  <c r="DF237" i="47"/>
  <c r="BG176" i="46"/>
  <c r="BO176" i="46"/>
  <c r="CC152" i="45"/>
  <c r="CL152" i="45"/>
  <c r="CM152" i="45"/>
  <c r="CD152" i="45"/>
  <c r="CM12" i="45"/>
  <c r="CD12" i="45"/>
  <c r="CH209" i="48"/>
  <c r="CC209" i="48"/>
  <c r="CC198" i="48"/>
  <c r="CH198" i="48"/>
  <c r="CC186" i="48"/>
  <c r="CH186" i="48"/>
  <c r="CI71" i="48"/>
  <c r="CH71" i="48"/>
  <c r="CD71" i="48"/>
  <c r="AB71" i="48" s="1"/>
  <c r="CH63" i="48"/>
  <c r="CI63" i="48"/>
  <c r="CE63" i="48"/>
  <c r="CD63" i="48"/>
  <c r="DQ177" i="47"/>
  <c r="CC228" i="47"/>
  <c r="CC232" i="47"/>
  <c r="CC229" i="47"/>
  <c r="DF298" i="47"/>
  <c r="CC226" i="47"/>
  <c r="CC230" i="47"/>
  <c r="CC231" i="47"/>
  <c r="DG13" i="47"/>
  <c r="CC13" i="47"/>
  <c r="CC227" i="47"/>
  <c r="DS168" i="47"/>
  <c r="DR168" i="47"/>
  <c r="DS171" i="47"/>
  <c r="DR171" i="47"/>
  <c r="DS180" i="47"/>
  <c r="DR180" i="47"/>
  <c r="CB275" i="47"/>
  <c r="DF275" i="47"/>
  <c r="DG275" i="47"/>
  <c r="CC275" i="47"/>
  <c r="BG13" i="46"/>
  <c r="BN13" i="46"/>
  <c r="BN17" i="46"/>
  <c r="BG17" i="46"/>
  <c r="BM21" i="46"/>
  <c r="BN21" i="46"/>
  <c r="BG21" i="46"/>
  <c r="BN25" i="46"/>
  <c r="BG25" i="46"/>
  <c r="BF31" i="46"/>
  <c r="BG31" i="46"/>
  <c r="BN31" i="46"/>
  <c r="BN37" i="46"/>
  <c r="BG37" i="46"/>
  <c r="BM43" i="46"/>
  <c r="BN43" i="46"/>
  <c r="BG43" i="46"/>
  <c r="BG49" i="46"/>
  <c r="BN49" i="46"/>
  <c r="BN55" i="46"/>
  <c r="BG55" i="46"/>
  <c r="BF61" i="46"/>
  <c r="BN61" i="46"/>
  <c r="BG61" i="46"/>
  <c r="BF67" i="46"/>
  <c r="BG67" i="46"/>
  <c r="BN67" i="46"/>
  <c r="BH140" i="46"/>
  <c r="BO140" i="46"/>
  <c r="BH152" i="46"/>
  <c r="BO15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DG263" i="47"/>
  <c r="CB263" i="47"/>
  <c r="DF263" i="47"/>
  <c r="DF272" i="47"/>
  <c r="DG272" i="47"/>
  <c r="CB272" i="47"/>
  <c r="CC272" i="47"/>
  <c r="BM14" i="46"/>
  <c r="BN14" i="46"/>
  <c r="BG14" i="46"/>
  <c r="BG16" i="46"/>
  <c r="BN16" i="46"/>
  <c r="BM18" i="46"/>
  <c r="BN18" i="46"/>
  <c r="BG18" i="46"/>
  <c r="BN20" i="46"/>
  <c r="BG20" i="46"/>
  <c r="BF22" i="46"/>
  <c r="BN22" i="46"/>
  <c r="BG22" i="46"/>
  <c r="BM24" i="46"/>
  <c r="BN24" i="46"/>
  <c r="BG24" i="46"/>
  <c r="BN26" i="46"/>
  <c r="BG26" i="46"/>
  <c r="BG28" i="46"/>
  <c r="BN28" i="46"/>
  <c r="BM30" i="46"/>
  <c r="BN30" i="46"/>
  <c r="BG30" i="46"/>
  <c r="BN32" i="46"/>
  <c r="BG32" i="46"/>
  <c r="BG34" i="46"/>
  <c r="BN34" i="46"/>
  <c r="BM36" i="46"/>
  <c r="BN36" i="46"/>
  <c r="BG36" i="46"/>
  <c r="BN38" i="46"/>
  <c r="BG38" i="46"/>
  <c r="BN40" i="46"/>
  <c r="BG40" i="46"/>
  <c r="BM42" i="46"/>
  <c r="BN42" i="46"/>
  <c r="BG42" i="46"/>
  <c r="BN44" i="46"/>
  <c r="BG44" i="46"/>
  <c r="BF46" i="46"/>
  <c r="BG46" i="46"/>
  <c r="BN46" i="46"/>
  <c r="BN48" i="46"/>
  <c r="BG48" i="46"/>
  <c r="BN50" i="46"/>
  <c r="BG50" i="46"/>
  <c r="BG52" i="46"/>
  <c r="BN52" i="46"/>
  <c r="BN54" i="46"/>
  <c r="BG54" i="46"/>
  <c r="BN56" i="46"/>
  <c r="BG56" i="46"/>
  <c r="BF58" i="46"/>
  <c r="BN58" i="46"/>
  <c r="BG58" i="46"/>
  <c r="BN60" i="46"/>
  <c r="BG60" i="46"/>
  <c r="BN62" i="46"/>
  <c r="BG62" i="46"/>
  <c r="BF64" i="46"/>
  <c r="BG64" i="46"/>
  <c r="BN64" i="46"/>
  <c r="BN66" i="46"/>
  <c r="BG66" i="46"/>
  <c r="BN68" i="46"/>
  <c r="BG68" i="46"/>
  <c r="BG70" i="46"/>
  <c r="BN70" i="46"/>
  <c r="BH141" i="46"/>
  <c r="BO141" i="46"/>
  <c r="BH147" i="46"/>
  <c r="BO147" i="46"/>
  <c r="BH153" i="46"/>
  <c r="BO153" i="46"/>
  <c r="DP161" i="47"/>
  <c r="DR161" i="47"/>
  <c r="DS161" i="47"/>
  <c r="CM163" i="47"/>
  <c r="DV163" i="47"/>
  <c r="DU163" i="47"/>
  <c r="CM165" i="47"/>
  <c r="DU165" i="47"/>
  <c r="DV165" i="47"/>
  <c r="DF166" i="47"/>
  <c r="DU166" i="47"/>
  <c r="DV166" i="47"/>
  <c r="DR169" i="47"/>
  <c r="DS169" i="47"/>
  <c r="DR172" i="47"/>
  <c r="DS172" i="47"/>
  <c r="CM179" i="47"/>
  <c r="DR181" i="47"/>
  <c r="DS181" i="47"/>
  <c r="CB264" i="47"/>
  <c r="DF264" i="47"/>
  <c r="DG264" i="47"/>
  <c r="CC273" i="47"/>
  <c r="DF273" i="47"/>
  <c r="CB273" i="47"/>
  <c r="DG273" i="47"/>
  <c r="CG55" i="45"/>
  <c r="BY55" i="45"/>
  <c r="CH55" i="45"/>
  <c r="CH67" i="45"/>
  <c r="BY67" i="45"/>
  <c r="CG67" i="45"/>
  <c r="BO149" i="46"/>
  <c r="BH149" i="46"/>
  <c r="DF176" i="47"/>
  <c r="DV176" i="47"/>
  <c r="DU176" i="47"/>
  <c r="DQ176" i="47"/>
  <c r="DR179" i="47"/>
  <c r="DS179" i="47"/>
  <c r="DF266" i="47"/>
  <c r="DG266" i="47"/>
  <c r="CB266" i="47"/>
  <c r="BM15" i="46"/>
  <c r="BN15" i="46"/>
  <c r="BG15" i="46"/>
  <c r="BN23" i="46"/>
  <c r="BG23" i="46"/>
  <c r="BN29" i="46"/>
  <c r="BG29" i="46"/>
  <c r="BN35" i="46"/>
  <c r="BG35" i="46"/>
  <c r="BM41" i="46"/>
  <c r="BN41" i="46"/>
  <c r="BG41" i="46"/>
  <c r="BN47" i="46"/>
  <c r="BG47" i="46"/>
  <c r="BF51" i="46"/>
  <c r="BN51" i="46"/>
  <c r="BG51" i="46"/>
  <c r="BN57" i="46"/>
  <c r="BG57" i="46"/>
  <c r="BN63" i="46"/>
  <c r="BG63" i="46"/>
  <c r="BF69" i="46"/>
  <c r="BN69" i="46"/>
  <c r="BG69" i="46"/>
  <c r="BN71" i="46"/>
  <c r="BG71" i="46"/>
  <c r="BO150" i="46"/>
  <c r="BH150" i="46"/>
  <c r="CC37" i="47"/>
  <c r="BH146" i="46"/>
  <c r="BO146" i="46"/>
  <c r="BX108" i="45"/>
  <c r="BH142" i="46"/>
  <c r="BO142" i="46"/>
  <c r="BH148" i="46"/>
  <c r="BO148" i="46"/>
  <c r="BH154" i="46"/>
  <c r="BO154" i="46"/>
  <c r="CC16" i="47"/>
  <c r="AY16" i="47" s="1"/>
  <c r="DG37" i="47"/>
  <c r="CC64" i="47"/>
  <c r="AY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M182" i="47"/>
  <c r="DG265" i="47"/>
  <c r="DF265" i="47"/>
  <c r="CB265" i="47"/>
  <c r="CB274" i="47"/>
  <c r="CC274" i="47"/>
  <c r="DG274" i="47"/>
  <c r="DF274" i="47"/>
  <c r="CG64" i="45"/>
  <c r="CH64" i="45"/>
  <c r="BY64" i="45"/>
  <c r="BO143" i="46"/>
  <c r="BH143" i="46"/>
  <c r="DS162" i="47"/>
  <c r="DR162" i="47"/>
  <c r="DQ164" i="47"/>
  <c r="DV164" i="47"/>
  <c r="DU164" i="47"/>
  <c r="BF19" i="46"/>
  <c r="BN19" i="46"/>
  <c r="BG19" i="46"/>
  <c r="BM27" i="46"/>
  <c r="BN27" i="46"/>
  <c r="BG27" i="46"/>
  <c r="BM33" i="46"/>
  <c r="BN33" i="46"/>
  <c r="BG33" i="46"/>
  <c r="BM39" i="46"/>
  <c r="BN39" i="46"/>
  <c r="BG39" i="46"/>
  <c r="BN45" i="46"/>
  <c r="BG45" i="46"/>
  <c r="BN53" i="46"/>
  <c r="BG53" i="46"/>
  <c r="BN59" i="46"/>
  <c r="BG59" i="46"/>
  <c r="BN65" i="46"/>
  <c r="BG65" i="46"/>
  <c r="BO144" i="46"/>
  <c r="BH14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DF267" i="47"/>
  <c r="CB267" i="47"/>
  <c r="DG267" i="47"/>
  <c r="CH47" i="48"/>
  <c r="CB47" i="48" s="1"/>
  <c r="BX62" i="45"/>
  <c r="BX65" i="45"/>
  <c r="BX68" i="45"/>
  <c r="BX71" i="45"/>
  <c r="BO145" i="46"/>
  <c r="BH145" i="46"/>
  <c r="BO151" i="46"/>
  <c r="BH15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CC271" i="47"/>
  <c r="DF271" i="47"/>
  <c r="CB271" i="47"/>
  <c r="DG271" i="47"/>
  <c r="CB226" i="47"/>
  <c r="DO216" i="47"/>
  <c r="DN216" i="47"/>
  <c r="DO218" i="47"/>
  <c r="DN218" i="47"/>
  <c r="DG220" i="47"/>
  <c r="CC220" i="47" s="1"/>
  <c r="DN220" i="47"/>
  <c r="DO220" i="47"/>
  <c r="DG226" i="47"/>
  <c r="CE226" i="47"/>
  <c r="DI226" i="47"/>
  <c r="CF226" i="47"/>
  <c r="DJ226" i="47"/>
  <c r="DI230" i="47"/>
  <c r="CF230" i="47"/>
  <c r="DJ230" i="47"/>
  <c r="CE230" i="47"/>
  <c r="DG230" i="47"/>
  <c r="CF229" i="47"/>
  <c r="DI229" i="47"/>
  <c r="DJ229" i="47"/>
  <c r="CE229" i="47"/>
  <c r="DG229" i="47"/>
  <c r="DN215" i="47"/>
  <c r="DO215" i="47"/>
  <c r="DG227" i="47"/>
  <c r="DJ227" i="47"/>
  <c r="CE227" i="47"/>
  <c r="CF227" i="47"/>
  <c r="DI227" i="47"/>
  <c r="CE231" i="47"/>
  <c r="DI231" i="47"/>
  <c r="CF231" i="47"/>
  <c r="DJ231" i="47"/>
  <c r="DG231" i="47"/>
  <c r="DO217" i="47"/>
  <c r="DN217" i="47"/>
  <c r="DN219" i="47"/>
  <c r="DO219" i="47"/>
  <c r="DN221" i="47"/>
  <c r="DO221" i="47"/>
  <c r="DJ228" i="47"/>
  <c r="CF228" i="47"/>
  <c r="DG228" i="47"/>
  <c r="DI228" i="47"/>
  <c r="CE228" i="47"/>
  <c r="DG232" i="47"/>
  <c r="CE232" i="47"/>
  <c r="DI232" i="47"/>
  <c r="CF232" i="47"/>
  <c r="DJ232" i="47"/>
  <c r="BH139" i="46"/>
  <c r="W139" i="46" s="1"/>
  <c r="BO139" i="46"/>
  <c r="BN162" i="46"/>
  <c r="BO162" i="46"/>
  <c r="BP162" i="46"/>
  <c r="BI162" i="46"/>
  <c r="BO45" i="46"/>
  <c r="BF162" i="46"/>
  <c r="BM162" i="46"/>
  <c r="BF36" i="46"/>
  <c r="BX76" i="45"/>
  <c r="BX106" i="45"/>
  <c r="DG44" i="47"/>
  <c r="DJ44" i="47"/>
  <c r="DI44" i="47"/>
  <c r="DJ46" i="47"/>
  <c r="DI46" i="47"/>
  <c r="DJ47" i="47"/>
  <c r="DI47" i="47"/>
  <c r="DI52" i="47"/>
  <c r="DJ52" i="47"/>
  <c r="DJ65" i="47"/>
  <c r="DI65" i="47"/>
  <c r="DJ67" i="47"/>
  <c r="DI67" i="47"/>
  <c r="DJ71" i="47"/>
  <c r="DI71" i="47"/>
  <c r="DJ73" i="47"/>
  <c r="DI73" i="47"/>
  <c r="DQ161" i="47"/>
  <c r="DQ166" i="47"/>
  <c r="CM167" i="47"/>
  <c r="DQ171" i="47"/>
  <c r="CM172" i="47"/>
  <c r="DQ182" i="47"/>
  <c r="CM183" i="47"/>
  <c r="CB232" i="47"/>
  <c r="BO18" i="46"/>
  <c r="BM62" i="46"/>
  <c r="DJ17" i="47"/>
  <c r="DI17" i="47"/>
  <c r="DJ22" i="47"/>
  <c r="DI22" i="47"/>
  <c r="DI24" i="47"/>
  <c r="DJ24" i="47"/>
  <c r="DJ25" i="47"/>
  <c r="DI25" i="47"/>
  <c r="DJ30" i="47"/>
  <c r="DI30" i="47"/>
  <c r="DJ38" i="47"/>
  <c r="DI38" i="47"/>
  <c r="DJ39" i="47"/>
  <c r="DI39" i="47"/>
  <c r="DI40" i="47"/>
  <c r="DJ40" i="47"/>
  <c r="DJ41" i="47"/>
  <c r="DI41" i="47"/>
  <c r="DI42" i="47"/>
  <c r="DJ42" i="47"/>
  <c r="DJ88" i="47"/>
  <c r="DI88" i="47"/>
  <c r="DJ90" i="47"/>
  <c r="DI90" i="47"/>
  <c r="DG91" i="47"/>
  <c r="DJ91" i="47"/>
  <c r="DI91" i="47"/>
  <c r="DJ96" i="47"/>
  <c r="DI96" i="47"/>
  <c r="DJ104" i="47"/>
  <c r="DI104" i="47"/>
  <c r="DJ110" i="47"/>
  <c r="DI110" i="47"/>
  <c r="DJ112" i="47"/>
  <c r="DI112" i="47"/>
  <c r="DJ113" i="47"/>
  <c r="DI113" i="47"/>
  <c r="DJ118" i="47"/>
  <c r="DI118" i="47"/>
  <c r="DJ136" i="47"/>
  <c r="DI136" i="47"/>
  <c r="DJ138" i="47"/>
  <c r="DI138" i="47"/>
  <c r="DF172" i="47"/>
  <c r="CB290" i="47"/>
  <c r="DI18" i="47"/>
  <c r="DJ18" i="47"/>
  <c r="DJ43" i="47"/>
  <c r="DI43" i="47"/>
  <c r="DJ45" i="47"/>
  <c r="DI45" i="47"/>
  <c r="DJ49" i="47"/>
  <c r="DI49" i="47"/>
  <c r="DJ51" i="47"/>
  <c r="DI51" i="47"/>
  <c r="DJ70" i="47"/>
  <c r="DI70" i="47"/>
  <c r="DJ72" i="47"/>
  <c r="DI72" i="47"/>
  <c r="DJ79" i="47"/>
  <c r="DI79" i="47"/>
  <c r="DJ80" i="47"/>
  <c r="DI80" i="47"/>
  <c r="DJ81" i="47"/>
  <c r="DI81" i="47"/>
  <c r="DJ105" i="47"/>
  <c r="DI105" i="47"/>
  <c r="DJ106" i="47"/>
  <c r="DI106" i="47"/>
  <c r="BO21" i="46"/>
  <c r="DJ19" i="47"/>
  <c r="DI19" i="47"/>
  <c r="DJ20" i="47"/>
  <c r="DI20" i="47"/>
  <c r="DJ21" i="47"/>
  <c r="DI21" i="47"/>
  <c r="DJ23" i="47"/>
  <c r="DI23" i="47"/>
  <c r="DJ27" i="47"/>
  <c r="DI27" i="47"/>
  <c r="DJ29" i="47"/>
  <c r="DI29" i="47"/>
  <c r="DJ82" i="47"/>
  <c r="DI82" i="47"/>
  <c r="DJ83" i="47"/>
  <c r="DI83" i="47"/>
  <c r="DJ84" i="47"/>
  <c r="DI84" i="47"/>
  <c r="DJ85" i="47"/>
  <c r="DI85" i="47"/>
  <c r="DJ86" i="47"/>
  <c r="DI86" i="47"/>
  <c r="DJ87" i="47"/>
  <c r="DI87" i="47"/>
  <c r="DJ89" i="47"/>
  <c r="DI89" i="47"/>
  <c r="DJ93" i="47"/>
  <c r="DI93" i="47"/>
  <c r="DJ95" i="47"/>
  <c r="DI95" i="47"/>
  <c r="DJ107" i="47"/>
  <c r="DI107" i="47"/>
  <c r="DJ108" i="47"/>
  <c r="DI108" i="47"/>
  <c r="DJ109" i="47"/>
  <c r="DI109" i="47"/>
  <c r="DJ111" i="47"/>
  <c r="DI111" i="47"/>
  <c r="DG115" i="47"/>
  <c r="DJ115" i="47"/>
  <c r="DI115" i="47"/>
  <c r="DJ117" i="47"/>
  <c r="DI117" i="47"/>
  <c r="DJ132" i="47"/>
  <c r="DI132" i="47"/>
  <c r="DJ134" i="47"/>
  <c r="DI134" i="47"/>
  <c r="DJ135" i="47"/>
  <c r="DI135" i="47"/>
  <c r="DJ140" i="47"/>
  <c r="DI140" i="47"/>
  <c r="DQ178" i="47"/>
  <c r="DQ183" i="47"/>
  <c r="CB216" i="47"/>
  <c r="CB227" i="47"/>
  <c r="CH41" i="48"/>
  <c r="CB41" i="48" s="1"/>
  <c r="CM22" i="48"/>
  <c r="BO42" i="46"/>
  <c r="CC18" i="47"/>
  <c r="AY18" i="47" s="1"/>
  <c r="DJ48" i="47"/>
  <c r="DI48" i="47"/>
  <c r="DJ50" i="47"/>
  <c r="DI50" i="47"/>
  <c r="DJ57" i="47"/>
  <c r="DI57" i="47"/>
  <c r="DJ58" i="47"/>
  <c r="DI58" i="47"/>
  <c r="DJ59" i="47"/>
  <c r="DI59" i="47"/>
  <c r="DJ60" i="47"/>
  <c r="DI60" i="47"/>
  <c r="DJ61" i="47"/>
  <c r="DI61" i="47"/>
  <c r="DI62" i="47"/>
  <c r="DJ62" i="47"/>
  <c r="DG66" i="47"/>
  <c r="DJ66" i="47"/>
  <c r="DI66" i="47"/>
  <c r="DI68" i="47"/>
  <c r="DJ68" i="47"/>
  <c r="DJ69" i="47"/>
  <c r="DI69" i="47"/>
  <c r="DI74" i="47"/>
  <c r="DJ74" i="47"/>
  <c r="CM171" i="47"/>
  <c r="DQ172" i="47"/>
  <c r="DJ13" i="47"/>
  <c r="DI13" i="47"/>
  <c r="DI14" i="47"/>
  <c r="DJ14" i="47"/>
  <c r="DJ15" i="47"/>
  <c r="DI15" i="47"/>
  <c r="DJ16" i="47"/>
  <c r="DI16" i="47"/>
  <c r="DI26" i="47"/>
  <c r="DJ26" i="47"/>
  <c r="DJ28" i="47"/>
  <c r="DI28" i="47"/>
  <c r="DJ35" i="47"/>
  <c r="DI35" i="47"/>
  <c r="DJ36" i="47"/>
  <c r="DI36" i="47"/>
  <c r="DJ37" i="47"/>
  <c r="DI37" i="47"/>
  <c r="DJ63" i="47"/>
  <c r="DI63" i="47"/>
  <c r="DJ64" i="47"/>
  <c r="DI64" i="47"/>
  <c r="DJ92" i="47"/>
  <c r="DI92" i="47"/>
  <c r="DJ94" i="47"/>
  <c r="DI94" i="47"/>
  <c r="DG101" i="47"/>
  <c r="DJ101" i="47"/>
  <c r="DI101" i="47"/>
  <c r="DJ102" i="47"/>
  <c r="DI102" i="47"/>
  <c r="DJ103" i="47"/>
  <c r="DI103" i="47"/>
  <c r="DJ114" i="47"/>
  <c r="DI114" i="47"/>
  <c r="DJ116" i="47"/>
  <c r="DI116" i="47"/>
  <c r="DJ123" i="47"/>
  <c r="DI123" i="47"/>
  <c r="DJ124" i="47"/>
  <c r="DI124" i="47"/>
  <c r="DJ125" i="47"/>
  <c r="DI125" i="47"/>
  <c r="DJ126" i="47"/>
  <c r="DI126" i="47"/>
  <c r="DJ127" i="47"/>
  <c r="DI127" i="47"/>
  <c r="DJ128" i="47"/>
  <c r="DI128" i="47"/>
  <c r="DJ129" i="47"/>
  <c r="DI129" i="47"/>
  <c r="DJ130" i="47"/>
  <c r="DI130" i="47"/>
  <c r="DJ131" i="47"/>
  <c r="DI131" i="47"/>
  <c r="DJ133" i="47"/>
  <c r="DI133" i="47"/>
  <c r="DJ137" i="47"/>
  <c r="DI137" i="47"/>
  <c r="DG139" i="47"/>
  <c r="DJ139" i="47"/>
  <c r="DI139" i="47"/>
  <c r="R156" i="47"/>
  <c r="DQ173" i="47"/>
  <c r="CM176" i="47"/>
  <c r="DG221" i="47"/>
  <c r="CC221" i="47" s="1"/>
  <c r="CC115" i="47"/>
  <c r="AY115" i="47" s="1"/>
  <c r="DG106" i="47"/>
  <c r="CC106" i="47"/>
  <c r="AY106" i="47" s="1"/>
  <c r="CC117" i="47"/>
  <c r="AY117" i="47" s="1"/>
  <c r="CC36" i="47"/>
  <c r="DG16" i="47"/>
  <c r="CB291" i="47"/>
  <c r="R154" i="47"/>
  <c r="R155" i="47"/>
  <c r="R144" i="47"/>
  <c r="R145" i="47"/>
  <c r="R148" i="47"/>
  <c r="DG133" i="47"/>
  <c r="DG127" i="47"/>
  <c r="CC127" i="47"/>
  <c r="CC111" i="47"/>
  <c r="AY111" i="47" s="1"/>
  <c r="DG218" i="47"/>
  <c r="CC218" i="47" s="1"/>
  <c r="CC84" i="47"/>
  <c r="AY84" i="47" s="1"/>
  <c r="CC124" i="47"/>
  <c r="CC129" i="47"/>
  <c r="DP163" i="47"/>
  <c r="CL163" i="47"/>
  <c r="DP180" i="47"/>
  <c r="DG114" i="47"/>
  <c r="CC114" i="47"/>
  <c r="AY114" i="47" s="1"/>
  <c r="CC133" i="47"/>
  <c r="DQ168" i="47"/>
  <c r="CM169" i="47"/>
  <c r="DQ169" i="47"/>
  <c r="DQ180" i="47"/>
  <c r="CM181" i="47"/>
  <c r="DQ181" i="47"/>
  <c r="DG134" i="47"/>
  <c r="CM175" i="47"/>
  <c r="DQ175" i="47"/>
  <c r="CM164" i="47"/>
  <c r="CM168" i="47"/>
  <c r="CM170" i="47"/>
  <c r="CM180" i="47"/>
  <c r="CC22" i="47"/>
  <c r="DG58" i="47"/>
  <c r="CC123" i="47"/>
  <c r="DG124" i="47"/>
  <c r="CC134" i="47"/>
  <c r="CC139" i="47"/>
  <c r="R147" i="47"/>
  <c r="DF168" i="47"/>
  <c r="DF180" i="47"/>
  <c r="DG215" i="47"/>
  <c r="CC215" i="47" s="1"/>
  <c r="CB229" i="47"/>
  <c r="DG128" i="47"/>
  <c r="DQ165" i="47"/>
  <c r="CM166" i="47"/>
  <c r="CM173" i="47"/>
  <c r="DF174" i="47"/>
  <c r="CM178" i="47"/>
  <c r="CB230" i="47"/>
  <c r="DG138" i="47"/>
  <c r="DG216" i="47"/>
  <c r="CC216" i="47" s="1"/>
  <c r="CC130" i="47"/>
  <c r="DG130" i="47"/>
  <c r="CC138" i="47"/>
  <c r="R153" i="47"/>
  <c r="DF216" i="47"/>
  <c r="DG111" i="47"/>
  <c r="DG104" i="47"/>
  <c r="CC103" i="47"/>
  <c r="DG103" i="47"/>
  <c r="CC105" i="47"/>
  <c r="DG117" i="47"/>
  <c r="DG113" i="47"/>
  <c r="CC113" i="47"/>
  <c r="AY113" i="47" s="1"/>
  <c r="DG109" i="47"/>
  <c r="CC110" i="47"/>
  <c r="AY110" i="47" s="1"/>
  <c r="CC109" i="47"/>
  <c r="AY109" i="47" s="1"/>
  <c r="CC91" i="47"/>
  <c r="AY91" i="47" s="1"/>
  <c r="CC82" i="47"/>
  <c r="DG83" i="47"/>
  <c r="CC79" i="47"/>
  <c r="DG79" i="47"/>
  <c r="CC85" i="47"/>
  <c r="DG85" i="47"/>
  <c r="DG82" i="47"/>
  <c r="CC68" i="47"/>
  <c r="AY68" i="47" s="1"/>
  <c r="CC67" i="47"/>
  <c r="AY67" i="47" s="1"/>
  <c r="DG67" i="47"/>
  <c r="CC74" i="47"/>
  <c r="AY74" i="47" s="1"/>
  <c r="DG68" i="47"/>
  <c r="DG59" i="47"/>
  <c r="DG64" i="47"/>
  <c r="CC60" i="47"/>
  <c r="AY60" i="47" s="1"/>
  <c r="CC58" i="47"/>
  <c r="AY58" i="47" s="1"/>
  <c r="CC61" i="47"/>
  <c r="AY61" i="47" s="1"/>
  <c r="DG61" i="47"/>
  <c r="CC72" i="47"/>
  <c r="AY72" i="47" s="1"/>
  <c r="DG74" i="47"/>
  <c r="DG73" i="47"/>
  <c r="DG72" i="47"/>
  <c r="CC73" i="47"/>
  <c r="AY73" i="47" s="1"/>
  <c r="DG48" i="47"/>
  <c r="CC49" i="47"/>
  <c r="CC48" i="47"/>
  <c r="CC46" i="47"/>
  <c r="CC50" i="47"/>
  <c r="AY50" i="47" s="1"/>
  <c r="DG35" i="47"/>
  <c r="DG41" i="47"/>
  <c r="DG40" i="47"/>
  <c r="CC40" i="47"/>
  <c r="DG52" i="47"/>
  <c r="DG50" i="47"/>
  <c r="CC52" i="47"/>
  <c r="AY52" i="47" s="1"/>
  <c r="CC47" i="47"/>
  <c r="AY47" i="47" s="1"/>
  <c r="DG47" i="47"/>
  <c r="CC44" i="47"/>
  <c r="DG43" i="47"/>
  <c r="CC43" i="47"/>
  <c r="DG26" i="47"/>
  <c r="CC26" i="47"/>
  <c r="CC19" i="47"/>
  <c r="AY19" i="47" s="1"/>
  <c r="DG19" i="47"/>
  <c r="DG17" i="47"/>
  <c r="CH37" i="48"/>
  <c r="CB37" i="48" s="1"/>
  <c r="CH34" i="48"/>
  <c r="CB34" i="48" s="1"/>
  <c r="CH39" i="48"/>
  <c r="CB39" i="48" s="1"/>
  <c r="CH33" i="48"/>
  <c r="CB33" i="48" s="1"/>
  <c r="CH50" i="48"/>
  <c r="CH38" i="48"/>
  <c r="CB38" i="48" s="1"/>
  <c r="CH49" i="48"/>
  <c r="CH43" i="48"/>
  <c r="CB43" i="48" s="1"/>
  <c r="CH32" i="48"/>
  <c r="CB32" i="48" s="1"/>
  <c r="CH35" i="48"/>
  <c r="CB35" i="48" s="1"/>
  <c r="CH44" i="48"/>
  <c r="CB44" i="48" s="1"/>
  <c r="CH48" i="48"/>
  <c r="CB48" i="48" s="1"/>
  <c r="CH46" i="48"/>
  <c r="CB46" i="48" s="1"/>
  <c r="CH42" i="48"/>
  <c r="CB42" i="48" s="1"/>
  <c r="CH31" i="48"/>
  <c r="C193" i="48"/>
  <c r="C67" i="48"/>
  <c r="C59" i="48"/>
  <c r="CH40" i="48"/>
  <c r="CB40" i="48" s="1"/>
  <c r="BF59" i="46"/>
  <c r="BM23" i="46"/>
  <c r="BF37" i="46"/>
  <c r="BF54" i="46"/>
  <c r="BO33" i="46"/>
  <c r="BO69" i="46"/>
  <c r="BO57" i="46"/>
  <c r="BO28" i="46"/>
  <c r="BF30" i="46"/>
  <c r="BO38" i="46"/>
  <c r="BO39" i="46"/>
  <c r="BF41" i="46"/>
  <c r="BF44" i="46"/>
  <c r="BM64" i="46"/>
  <c r="BO66" i="46"/>
  <c r="BF71" i="46"/>
  <c r="BM20" i="46"/>
  <c r="BF27" i="46"/>
  <c r="BF39" i="46"/>
  <c r="BM40" i="46"/>
  <c r="BF53" i="46"/>
  <c r="BF60" i="46"/>
  <c r="BG160" i="46"/>
  <c r="BO51" i="46"/>
  <c r="BO36" i="46"/>
  <c r="BM38" i="46"/>
  <c r="BM46" i="46"/>
  <c r="BO48" i="46"/>
  <c r="BO44" i="46"/>
  <c r="BO15" i="46"/>
  <c r="O136" i="46"/>
  <c r="G136" i="46"/>
  <c r="BO46" i="46"/>
  <c r="BO64" i="46"/>
  <c r="BF15" i="46"/>
  <c r="BO25" i="46"/>
  <c r="BM26" i="46"/>
  <c r="BM52" i="46"/>
  <c r="BM53" i="46"/>
  <c r="BF56" i="46"/>
  <c r="BF57" i="46"/>
  <c r="BM59" i="46"/>
  <c r="BO62" i="46"/>
  <c r="BM70" i="46"/>
  <c r="BM71" i="46"/>
  <c r="BO29" i="46"/>
  <c r="F171" i="46"/>
  <c r="X72" i="46"/>
  <c r="BO22" i="46"/>
  <c r="BF25" i="46"/>
  <c r="BF47" i="46"/>
  <c r="BM49" i="46"/>
  <c r="BF50" i="46"/>
  <c r="BM56" i="46"/>
  <c r="BM58" i="46"/>
  <c r="BF65" i="46"/>
  <c r="BM67" i="46"/>
  <c r="BF68" i="46"/>
  <c r="BF18" i="46"/>
  <c r="BF21" i="46"/>
  <c r="BF24" i="46"/>
  <c r="BF33" i="46"/>
  <c r="BM47" i="46"/>
  <c r="BM50" i="46"/>
  <c r="BF62" i="46"/>
  <c r="BM65" i="46"/>
  <c r="BM68" i="46"/>
  <c r="K136" i="46"/>
  <c r="F38" i="45"/>
  <c r="C32" i="45"/>
  <c r="BX74" i="45"/>
  <c r="BX107" i="45"/>
  <c r="H32" i="45"/>
  <c r="BX57" i="45"/>
  <c r="E130" i="45"/>
  <c r="BX59" i="45"/>
  <c r="F130" i="45"/>
  <c r="G32" i="45"/>
  <c r="BX58" i="45"/>
  <c r="C38" i="45"/>
  <c r="BX56" i="45"/>
  <c r="BX60" i="45"/>
  <c r="BX63" i="45"/>
  <c r="BX66" i="45"/>
  <c r="BX69" i="45"/>
  <c r="BX72" i="45"/>
  <c r="BX75" i="45"/>
  <c r="CK152" i="45"/>
  <c r="C204" i="48"/>
  <c r="Z186" i="48"/>
  <c r="C213" i="48"/>
  <c r="CH45" i="48"/>
  <c r="CB45" i="48" s="1"/>
  <c r="CH36" i="48"/>
  <c r="CB36" i="48" s="1"/>
  <c r="CM23" i="48"/>
  <c r="CN23" i="48"/>
  <c r="C75" i="48"/>
  <c r="DG70" i="47"/>
  <c r="CC70" i="47"/>
  <c r="AY70" i="47" s="1"/>
  <c r="CC80" i="47"/>
  <c r="AY80" i="47" s="1"/>
  <c r="CC86" i="47"/>
  <c r="AY86" i="47" s="1"/>
  <c r="DG108" i="47"/>
  <c r="CC108" i="47"/>
  <c r="AY108" i="47" s="1"/>
  <c r="CC14" i="47"/>
  <c r="AY14" i="47" s="1"/>
  <c r="DG14" i="47"/>
  <c r="CC20" i="47"/>
  <c r="AY20" i="47" s="1"/>
  <c r="DG20" i="47"/>
  <c r="DG25" i="47"/>
  <c r="CC25" i="47"/>
  <c r="AY25" i="47" s="1"/>
  <c r="DG39" i="47"/>
  <c r="CC39" i="47"/>
  <c r="DG57" i="47"/>
  <c r="CC57" i="47"/>
  <c r="DG63" i="47"/>
  <c r="CC63" i="47"/>
  <c r="AY63" i="47" s="1"/>
  <c r="CC27" i="47"/>
  <c r="AY27" i="47" s="1"/>
  <c r="DG92" i="47"/>
  <c r="CC92" i="47"/>
  <c r="AY92" i="47" s="1"/>
  <c r="CC90" i="47"/>
  <c r="AY90" i="47" s="1"/>
  <c r="DG90" i="47"/>
  <c r="CC137" i="47"/>
  <c r="DG137" i="47"/>
  <c r="DP164" i="47"/>
  <c r="CL164" i="47"/>
  <c r="DF164" i="47"/>
  <c r="DG28" i="47"/>
  <c r="CC28" i="47"/>
  <c r="AY28" i="47" s="1"/>
  <c r="DG80" i="47"/>
  <c r="CC24" i="47"/>
  <c r="AY24" i="47" s="1"/>
  <c r="DG24" i="47"/>
  <c r="CC38" i="47"/>
  <c r="DG38" i="47"/>
  <c r="DG45" i="47"/>
  <c r="CC45" i="47"/>
  <c r="DG51" i="47"/>
  <c r="CC51" i="47"/>
  <c r="AY51" i="47" s="1"/>
  <c r="CC62" i="47"/>
  <c r="AY62" i="47" s="1"/>
  <c r="DG62" i="47"/>
  <c r="CC66" i="47"/>
  <c r="AY66" i="47" s="1"/>
  <c r="CC88" i="47"/>
  <c r="AY88" i="47" s="1"/>
  <c r="CC89" i="47"/>
  <c r="DG89" i="47"/>
  <c r="DG15" i="47"/>
  <c r="CC15" i="47"/>
  <c r="AY15" i="47" s="1"/>
  <c r="DG21" i="47"/>
  <c r="CC21" i="47"/>
  <c r="AY21" i="47" s="1"/>
  <c r="DG27" i="47"/>
  <c r="DG86" i="47"/>
  <c r="DG30" i="47"/>
  <c r="CC30" i="47"/>
  <c r="AY30" i="47" s="1"/>
  <c r="DG81" i="47"/>
  <c r="CC81" i="47"/>
  <c r="AY81" i="47" s="1"/>
  <c r="CC87" i="47"/>
  <c r="AY87" i="47" s="1"/>
  <c r="DG87" i="47"/>
  <c r="DG88" i="47"/>
  <c r="CC93" i="47"/>
  <c r="AY93" i="47" s="1"/>
  <c r="DG93" i="47"/>
  <c r="DG116" i="47"/>
  <c r="CC116" i="47"/>
  <c r="AY116" i="47" s="1"/>
  <c r="CC17" i="47"/>
  <c r="AY17" i="47" s="1"/>
  <c r="DG18" i="47"/>
  <c r="CC23" i="47"/>
  <c r="AY23" i="47" s="1"/>
  <c r="DG23" i="47"/>
  <c r="CC29" i="47"/>
  <c r="AY29" i="47" s="1"/>
  <c r="DG29" i="47"/>
  <c r="CC35" i="47"/>
  <c r="DG36" i="47"/>
  <c r="CC41" i="47"/>
  <c r="DG42" i="47"/>
  <c r="DG46" i="47"/>
  <c r="DG49" i="47"/>
  <c r="CC59" i="47"/>
  <c r="AY59" i="47" s="1"/>
  <c r="DG60" i="47"/>
  <c r="CC65" i="47"/>
  <c r="AY65" i="47" s="1"/>
  <c r="DG65" i="47"/>
  <c r="CC69" i="47"/>
  <c r="AY69" i="47" s="1"/>
  <c r="DG69" i="47"/>
  <c r="CC71" i="47"/>
  <c r="AY71" i="47" s="1"/>
  <c r="CC83" i="47"/>
  <c r="AY83" i="47" s="1"/>
  <c r="DG84" i="47"/>
  <c r="DG112" i="47"/>
  <c r="CC112" i="47"/>
  <c r="AY112" i="47" s="1"/>
  <c r="DG126" i="47"/>
  <c r="CC126" i="47"/>
  <c r="DG135" i="47"/>
  <c r="CC135" i="47"/>
  <c r="DP165" i="47"/>
  <c r="CL165" i="47"/>
  <c r="DF165" i="47"/>
  <c r="DG22" i="47"/>
  <c r="CC107" i="47"/>
  <c r="AY107" i="47" s="1"/>
  <c r="DG107" i="47"/>
  <c r="DQ162" i="47"/>
  <c r="CM162" i="47"/>
  <c r="DP170" i="47"/>
  <c r="CL170" i="47"/>
  <c r="DF170" i="47"/>
  <c r="DG71" i="47"/>
  <c r="DG118" i="47"/>
  <c r="CC118" i="47"/>
  <c r="AY118" i="47" s="1"/>
  <c r="CC125" i="47"/>
  <c r="DG125" i="47"/>
  <c r="DG131" i="47"/>
  <c r="CC131" i="47"/>
  <c r="DG95" i="47"/>
  <c r="CC95" i="47"/>
  <c r="CC101" i="47"/>
  <c r="AY101" i="47" s="1"/>
  <c r="DG102" i="47"/>
  <c r="CC102" i="47"/>
  <c r="AY102" i="47" s="1"/>
  <c r="CC140" i="47"/>
  <c r="DG140" i="47"/>
  <c r="DF162" i="47"/>
  <c r="DP171" i="47"/>
  <c r="CL171" i="47"/>
  <c r="DF171" i="47"/>
  <c r="DG217" i="47"/>
  <c r="CC217" i="47" s="1"/>
  <c r="DF217" i="47"/>
  <c r="CC94" i="47"/>
  <c r="DG94" i="47"/>
  <c r="CC96" i="47"/>
  <c r="AY96" i="47" s="1"/>
  <c r="DG96" i="47"/>
  <c r="CC104" i="47"/>
  <c r="AY104" i="47" s="1"/>
  <c r="DG105" i="47"/>
  <c r="DG110" i="47"/>
  <c r="DG123" i="47"/>
  <c r="CC128" i="47"/>
  <c r="DG129" i="47"/>
  <c r="CC132" i="47"/>
  <c r="CC136" i="47"/>
  <c r="DG136" i="47"/>
  <c r="DF161" i="47"/>
  <c r="DP166" i="47"/>
  <c r="CL166" i="47"/>
  <c r="DP172" i="47"/>
  <c r="CL172" i="47"/>
  <c r="CB217" i="47"/>
  <c r="CB218" i="47"/>
  <c r="R146" i="47"/>
  <c r="DP167" i="47"/>
  <c r="CL167" i="47"/>
  <c r="DP173" i="47"/>
  <c r="CL173" i="47"/>
  <c r="DG132" i="47"/>
  <c r="DF163" i="47"/>
  <c r="DP168" i="47"/>
  <c r="CL168" i="47"/>
  <c r="DP174" i="47"/>
  <c r="CL174" i="47"/>
  <c r="CB219" i="47"/>
  <c r="DG219" i="47"/>
  <c r="CC219" i="47" s="1"/>
  <c r="R152" i="47"/>
  <c r="DQ163" i="47"/>
  <c r="DF167" i="47"/>
  <c r="DP169" i="47"/>
  <c r="CL169" i="47"/>
  <c r="DF173" i="47"/>
  <c r="DF175" i="47"/>
  <c r="DP175" i="47"/>
  <c r="CL175" i="47"/>
  <c r="DF177" i="47"/>
  <c r="DP177" i="47"/>
  <c r="CL177" i="47"/>
  <c r="DF179" i="47"/>
  <c r="DP179" i="47"/>
  <c r="CL179" i="47"/>
  <c r="DF181" i="47"/>
  <c r="DP181" i="47"/>
  <c r="CL181" i="47"/>
  <c r="DF183" i="47"/>
  <c r="DP183" i="47"/>
  <c r="CL183" i="47"/>
  <c r="DF218" i="47"/>
  <c r="CL162" i="47"/>
  <c r="DF219" i="47"/>
  <c r="DF220" i="47"/>
  <c r="CB221" i="47"/>
  <c r="DF221" i="47"/>
  <c r="CB220" i="47"/>
  <c r="CL176" i="47"/>
  <c r="CL178" i="47"/>
  <c r="CL180" i="47"/>
  <c r="CL182" i="47"/>
  <c r="CB215" i="47"/>
  <c r="DF215" i="47"/>
  <c r="CB228" i="47"/>
  <c r="CB231" i="47"/>
  <c r="BM13" i="46"/>
  <c r="BF32" i="46"/>
  <c r="BO32" i="46"/>
  <c r="BM34" i="46"/>
  <c r="BO13" i="46"/>
  <c r="BO17" i="46"/>
  <c r="BM19" i="46"/>
  <c r="BF20" i="46"/>
  <c r="BF28" i="46"/>
  <c r="BO31" i="46"/>
  <c r="BO35" i="46"/>
  <c r="BM37" i="46"/>
  <c r="BF38" i="46"/>
  <c r="BO55" i="46"/>
  <c r="C155" i="46"/>
  <c r="BF13" i="46"/>
  <c r="BO16" i="46"/>
  <c r="BO20" i="46"/>
  <c r="BM22" i="46"/>
  <c r="BF23" i="46"/>
  <c r="BO24" i="46"/>
  <c r="BM29" i="46"/>
  <c r="BO34" i="46"/>
  <c r="BF40" i="46"/>
  <c r="BF43" i="46"/>
  <c r="BM45" i="46"/>
  <c r="BF45" i="46"/>
  <c r="BF49" i="46"/>
  <c r="BF52" i="46"/>
  <c r="BF70" i="46"/>
  <c r="E171" i="46"/>
  <c r="BM31" i="46"/>
  <c r="AB72" i="46"/>
  <c r="BM16" i="46"/>
  <c r="BF35" i="46"/>
  <c r="BF55" i="46"/>
  <c r="BM55" i="46"/>
  <c r="BO58" i="46"/>
  <c r="BF16" i="46"/>
  <c r="BO19" i="46"/>
  <c r="BO23" i="46"/>
  <c r="BM25" i="46"/>
  <c r="BF26" i="46"/>
  <c r="BO27" i="46"/>
  <c r="BM32" i="46"/>
  <c r="BF34" i="46"/>
  <c r="BO37" i="46"/>
  <c r="BO40" i="46"/>
  <c r="BO41" i="46"/>
  <c r="BM48" i="46"/>
  <c r="BF48" i="46"/>
  <c r="BM63" i="46"/>
  <c r="BF63" i="46"/>
  <c r="BO63" i="46"/>
  <c r="BM66" i="46"/>
  <c r="BF66" i="46"/>
  <c r="BF14" i="46"/>
  <c r="BO14" i="46"/>
  <c r="BF17" i="46"/>
  <c r="BO12" i="46"/>
  <c r="BM17" i="46"/>
  <c r="BO26" i="46"/>
  <c r="BM28" i="46"/>
  <c r="BF29" i="46"/>
  <c r="BO30" i="46"/>
  <c r="BM35" i="46"/>
  <c r="BO59" i="46"/>
  <c r="BO52" i="46"/>
  <c r="BM60" i="46"/>
  <c r="BF42" i="46"/>
  <c r="BO43" i="46"/>
  <c r="BO49" i="46"/>
  <c r="BO53" i="46"/>
  <c r="BM57" i="46"/>
  <c r="BO60" i="46"/>
  <c r="BM61" i="46"/>
  <c r="BO67" i="46"/>
  <c r="BO71" i="46"/>
  <c r="BO56" i="46"/>
  <c r="BM44" i="46"/>
  <c r="BO50" i="46"/>
  <c r="BM54" i="46"/>
  <c r="BO68" i="46"/>
  <c r="C72" i="46"/>
  <c r="C136" i="46"/>
  <c r="BO70" i="46"/>
  <c r="BM12" i="46"/>
  <c r="BO47" i="46"/>
  <c r="BM51" i="46"/>
  <c r="BO54" i="46"/>
  <c r="BO61" i="46"/>
  <c r="BO65" i="46"/>
  <c r="BM69" i="46"/>
  <c r="W151" i="46" l="1"/>
  <c r="W142" i="46"/>
  <c r="AB74" i="48"/>
  <c r="AB72" i="48"/>
  <c r="AZ183" i="47"/>
  <c r="W153" i="46"/>
  <c r="W154" i="46"/>
  <c r="W144" i="46"/>
  <c r="W140" i="46"/>
  <c r="W141" i="46"/>
  <c r="W146" i="46"/>
  <c r="W143" i="46"/>
  <c r="W150" i="46"/>
  <c r="W145" i="46"/>
  <c r="W152" i="46"/>
  <c r="W149" i="46"/>
  <c r="W148" i="46"/>
  <c r="W147" i="46"/>
  <c r="AY43" i="47"/>
  <c r="AY22" i="47"/>
  <c r="AY26" i="47"/>
  <c r="AY79" i="47"/>
  <c r="AY57" i="47"/>
  <c r="AY13" i="47"/>
  <c r="CH21" i="48"/>
  <c r="CD21" i="48"/>
  <c r="CE21" i="48"/>
  <c r="CC21" i="48"/>
  <c r="CH23" i="48"/>
  <c r="CE23" i="48"/>
  <c r="CC23" i="48"/>
  <c r="CD23" i="48"/>
  <c r="CH24" i="48"/>
  <c r="CE24" i="48"/>
  <c r="CC24" i="48"/>
  <c r="CD24" i="48"/>
  <c r="CH22" i="48"/>
  <c r="CE22" i="48"/>
  <c r="CC22" i="48"/>
  <c r="CD22" i="48"/>
  <c r="CD20" i="48"/>
  <c r="CE20" i="48"/>
  <c r="CC20" i="48"/>
  <c r="CH18" i="48"/>
  <c r="CE18" i="48"/>
  <c r="CD18" i="48"/>
  <c r="CC18" i="48"/>
  <c r="CH13" i="48"/>
  <c r="CE13" i="48"/>
  <c r="CC13" i="48"/>
  <c r="CD13" i="48"/>
  <c r="CH14" i="48"/>
  <c r="CD14" i="48"/>
  <c r="CC14" i="48"/>
  <c r="CE14" i="48"/>
  <c r="CE17" i="48"/>
  <c r="CD17" i="48"/>
  <c r="CC17" i="48"/>
  <c r="CH15" i="48"/>
  <c r="CD15" i="48"/>
  <c r="CC15" i="48"/>
  <c r="CE15" i="48"/>
  <c r="CH16" i="48"/>
  <c r="CD16" i="48"/>
  <c r="CC16" i="48"/>
  <c r="CE16" i="48"/>
  <c r="CL23" i="48"/>
  <c r="AZ256" i="47"/>
  <c r="AZ244" i="47"/>
  <c r="AZ259" i="47"/>
  <c r="AZ171" i="47"/>
  <c r="AZ163" i="47"/>
  <c r="AZ178" i="47"/>
  <c r="AZ175" i="47"/>
  <c r="AZ179" i="47"/>
  <c r="AZ180" i="47"/>
  <c r="AZ174" i="47"/>
  <c r="AY105" i="47"/>
  <c r="AY103" i="47"/>
  <c r="AY95" i="47"/>
  <c r="AY94" i="47"/>
  <c r="AY89" i="47"/>
  <c r="AY82" i="47"/>
  <c r="AY85" i="47"/>
  <c r="AY49" i="47"/>
  <c r="AY44" i="47"/>
  <c r="AY45" i="47"/>
  <c r="AY46" i="47"/>
  <c r="AY48" i="47"/>
  <c r="AY36" i="47"/>
  <c r="AY37" i="47"/>
  <c r="AY39" i="47"/>
  <c r="AY40" i="47"/>
  <c r="AY41" i="47"/>
  <c r="AY38" i="47"/>
  <c r="AY42" i="47"/>
  <c r="AY35" i="47"/>
  <c r="CN20" i="48"/>
  <c r="CH20" i="48"/>
  <c r="AZ240" i="47"/>
  <c r="AZ239" i="47"/>
  <c r="AZ166" i="47"/>
  <c r="CM21" i="48"/>
  <c r="AZ169" i="47"/>
  <c r="AZ252" i="47"/>
  <c r="AZ255" i="47"/>
  <c r="AZ242" i="47"/>
  <c r="AZ241" i="47"/>
  <c r="AZ165" i="47"/>
  <c r="AZ173" i="47"/>
  <c r="AZ167" i="47"/>
  <c r="AZ176" i="47"/>
  <c r="CH73" i="45"/>
  <c r="BX73" i="45"/>
  <c r="AZ254" i="47"/>
  <c r="AZ257" i="47"/>
  <c r="AZ161" i="47"/>
  <c r="AZ162" i="47"/>
  <c r="CG70" i="45"/>
  <c r="BX70" i="45"/>
  <c r="AZ248" i="47"/>
  <c r="AZ258" i="47"/>
  <c r="AZ238" i="47"/>
  <c r="AZ172" i="47"/>
  <c r="AZ164" i="47"/>
  <c r="AZ182" i="47"/>
  <c r="AZ251" i="47"/>
  <c r="AZ247" i="47"/>
  <c r="AZ249" i="47"/>
  <c r="AZ181" i="47"/>
  <c r="AZ177" i="47"/>
  <c r="CB17" i="48"/>
  <c r="CH17" i="48"/>
  <c r="CH28" i="48"/>
  <c r="AZ168" i="47"/>
  <c r="AB66" i="48"/>
  <c r="AZ250" i="47"/>
  <c r="AZ253" i="47"/>
  <c r="AZ245" i="47"/>
  <c r="AZ170" i="47"/>
  <c r="AZ243" i="47"/>
  <c r="BF196" i="46"/>
  <c r="BG196" i="46"/>
  <c r="BF200" i="46"/>
  <c r="BG200" i="46"/>
  <c r="BF193" i="46"/>
  <c r="BG193" i="46"/>
  <c r="BF195" i="46"/>
  <c r="BG195" i="46"/>
  <c r="BF198" i="46"/>
  <c r="BG198" i="46"/>
  <c r="BF192" i="46"/>
  <c r="BG192" i="46"/>
  <c r="BG197" i="46"/>
  <c r="BF197" i="46"/>
  <c r="BF199" i="46"/>
  <c r="BG199" i="46"/>
  <c r="BF194" i="46"/>
  <c r="BG194" i="46"/>
  <c r="BL180" i="46"/>
  <c r="BI180" i="46"/>
  <c r="BL179" i="46"/>
  <c r="BI179" i="46"/>
  <c r="BI177" i="46"/>
  <c r="BL177" i="46"/>
  <c r="BL184" i="46"/>
  <c r="BI184" i="46"/>
  <c r="BI181" i="46"/>
  <c r="BL181" i="46"/>
  <c r="BI186" i="46"/>
  <c r="BL186" i="46"/>
  <c r="BL183" i="46"/>
  <c r="BI183" i="46"/>
  <c r="BI185" i="46"/>
  <c r="BL185" i="46"/>
  <c r="BI182" i="46"/>
  <c r="BL182" i="46"/>
  <c r="BI178" i="46"/>
  <c r="BL178" i="46"/>
  <c r="BG164" i="46"/>
  <c r="BH164" i="46"/>
  <c r="BH170" i="46"/>
  <c r="BG170" i="46"/>
  <c r="BH166" i="46"/>
  <c r="BG166" i="46"/>
  <c r="BG169" i="46"/>
  <c r="BH169" i="46"/>
  <c r="BG167" i="46"/>
  <c r="BH167" i="46"/>
  <c r="BG168" i="46"/>
  <c r="BH168" i="46"/>
  <c r="BG165" i="46"/>
  <c r="BH165" i="46"/>
  <c r="BH163" i="46"/>
  <c r="BG163" i="46"/>
  <c r="BH161" i="46"/>
  <c r="BG161" i="46"/>
  <c r="AH71" i="46"/>
  <c r="CG61" i="45"/>
  <c r="BX61" i="45"/>
  <c r="AZ246" i="47"/>
  <c r="AZ237" i="47"/>
  <c r="BF191" i="46"/>
  <c r="BG191" i="46"/>
  <c r="BI176" i="46"/>
  <c r="BL176" i="46"/>
  <c r="BH160" i="46"/>
  <c r="AB65" i="48"/>
  <c r="AZ206" i="47"/>
  <c r="AZ198" i="47"/>
  <c r="CH157" i="48"/>
  <c r="CC157" i="48"/>
  <c r="BN181" i="46"/>
  <c r="BT181" i="46"/>
  <c r="BK181" i="46"/>
  <c r="BS181" i="46"/>
  <c r="BJ181" i="46"/>
  <c r="BR181" i="46"/>
  <c r="BQ181" i="46"/>
  <c r="BF181" i="46"/>
  <c r="AZ203" i="47"/>
  <c r="AZ199" i="47"/>
  <c r="AZ204" i="47"/>
  <c r="CH153" i="48"/>
  <c r="CC153" i="48"/>
  <c r="CH156" i="48"/>
  <c r="CC156" i="48"/>
  <c r="CA20" i="45"/>
  <c r="CJ20" i="45"/>
  <c r="CB20" i="45"/>
  <c r="CK20" i="45"/>
  <c r="CC20" i="45"/>
  <c r="CL20" i="45"/>
  <c r="CI20" i="45"/>
  <c r="BX20" i="45"/>
  <c r="BY20" i="45"/>
  <c r="CG20" i="45"/>
  <c r="CH20" i="45"/>
  <c r="BZ20" i="45"/>
  <c r="CH167" i="48"/>
  <c r="CC167" i="48"/>
  <c r="CH177" i="48"/>
  <c r="CC177" i="48"/>
  <c r="CH169" i="48"/>
  <c r="CC169" i="48"/>
  <c r="CH181" i="48"/>
  <c r="CC181" i="48"/>
  <c r="CH151" i="48"/>
  <c r="CC151" i="48"/>
  <c r="AQ151" i="48" s="1"/>
  <c r="CH175" i="48"/>
  <c r="CC175" i="48"/>
  <c r="BF178" i="46"/>
  <c r="BN178" i="46"/>
  <c r="BT178" i="46"/>
  <c r="BK178" i="46"/>
  <c r="BR178" i="46"/>
  <c r="BQ178" i="46"/>
  <c r="BS178" i="46"/>
  <c r="BJ178" i="46"/>
  <c r="AZ193" i="47"/>
  <c r="AZ188" i="47"/>
  <c r="CH174" i="48"/>
  <c r="CC174" i="48"/>
  <c r="CA18" i="45"/>
  <c r="CJ18" i="45"/>
  <c r="CB18" i="45"/>
  <c r="CK18" i="45"/>
  <c r="CC18" i="45"/>
  <c r="CL18" i="45"/>
  <c r="BY18" i="45"/>
  <c r="CH18" i="45"/>
  <c r="BZ18" i="45"/>
  <c r="CG18" i="45"/>
  <c r="BX18" i="45"/>
  <c r="CI18" i="45"/>
  <c r="CH156" i="45"/>
  <c r="BX156" i="45"/>
  <c r="CG156" i="45"/>
  <c r="CB156" i="45"/>
  <c r="BY156" i="45"/>
  <c r="CK156" i="45"/>
  <c r="CJ156" i="45"/>
  <c r="CI156" i="45"/>
  <c r="CA156" i="45"/>
  <c r="BZ156" i="45"/>
  <c r="CB49" i="48"/>
  <c r="AS49" i="48" s="1"/>
  <c r="CB50" i="48"/>
  <c r="AS50" i="48" s="1"/>
  <c r="CH154" i="48"/>
  <c r="CC154" i="48"/>
  <c r="CC180" i="48"/>
  <c r="AQ180" i="48" s="1"/>
  <c r="CH180" i="48"/>
  <c r="CB158" i="45"/>
  <c r="CK158" i="45"/>
  <c r="CA158" i="45"/>
  <c r="CJ158" i="45"/>
  <c r="BZ158" i="45"/>
  <c r="CI158" i="45"/>
  <c r="BY158" i="45"/>
  <c r="CH158" i="45"/>
  <c r="BX158" i="45"/>
  <c r="CG158" i="45"/>
  <c r="AZ207" i="47"/>
  <c r="AZ201" i="47"/>
  <c r="AB64" i="48"/>
  <c r="AZ202" i="47"/>
  <c r="AZ194" i="47"/>
  <c r="AZ197" i="47"/>
  <c r="BT184" i="46"/>
  <c r="BK184" i="46"/>
  <c r="BS184" i="46"/>
  <c r="BJ184" i="46"/>
  <c r="BR184" i="46"/>
  <c r="BQ184" i="46"/>
  <c r="BN184" i="46"/>
  <c r="BF184" i="46"/>
  <c r="CG153" i="45"/>
  <c r="BX153" i="45"/>
  <c r="CH153" i="45"/>
  <c r="BY153" i="45"/>
  <c r="CI153" i="45"/>
  <c r="BZ153" i="45"/>
  <c r="CJ153" i="45"/>
  <c r="CA153" i="45"/>
  <c r="CK153" i="45"/>
  <c r="CB153" i="45"/>
  <c r="CC179" i="48"/>
  <c r="CH179" i="48"/>
  <c r="BT180" i="46"/>
  <c r="BK180" i="46"/>
  <c r="BS180" i="46"/>
  <c r="BJ180" i="46"/>
  <c r="BR180" i="46"/>
  <c r="BQ180" i="46"/>
  <c r="BF180" i="46"/>
  <c r="BN180" i="46"/>
  <c r="BN177" i="46"/>
  <c r="BT177" i="46"/>
  <c r="BK177" i="46"/>
  <c r="BS177" i="46"/>
  <c r="BJ177" i="46"/>
  <c r="BR177" i="46"/>
  <c r="BF177" i="46"/>
  <c r="BQ177" i="46"/>
  <c r="CH155" i="48"/>
  <c r="CC155" i="48"/>
  <c r="CA16" i="45"/>
  <c r="CJ16" i="45"/>
  <c r="CB16" i="45"/>
  <c r="CK16" i="45"/>
  <c r="CC16" i="45"/>
  <c r="CL16" i="45"/>
  <c r="CI16" i="45"/>
  <c r="BX16" i="45"/>
  <c r="BY16" i="45"/>
  <c r="BZ16" i="45"/>
  <c r="CG16" i="45"/>
  <c r="CH16" i="45"/>
  <c r="CH149" i="48"/>
  <c r="CC149" i="48"/>
  <c r="CH159" i="48"/>
  <c r="CC159" i="48"/>
  <c r="CC163" i="48"/>
  <c r="AQ163" i="48" s="1"/>
  <c r="CH163" i="48"/>
  <c r="CC152" i="48"/>
  <c r="CH152" i="48"/>
  <c r="AZ191" i="47"/>
  <c r="AZ190" i="47"/>
  <c r="AZ209" i="47"/>
  <c r="AZ208" i="47"/>
  <c r="CH148" i="48"/>
  <c r="CC148" i="48"/>
  <c r="AQ148" i="48" s="1"/>
  <c r="BR183" i="46"/>
  <c r="BQ183" i="46"/>
  <c r="BF183" i="46"/>
  <c r="BN183" i="46"/>
  <c r="BK183" i="46"/>
  <c r="BJ183" i="46"/>
  <c r="BS183" i="46"/>
  <c r="BT183" i="46"/>
  <c r="CA21" i="45"/>
  <c r="CJ21" i="45"/>
  <c r="CB21" i="45"/>
  <c r="CK21" i="45"/>
  <c r="CC21" i="45"/>
  <c r="CL21" i="45"/>
  <c r="BZ21" i="45"/>
  <c r="BX21" i="45"/>
  <c r="BY21" i="45"/>
  <c r="CG21" i="45"/>
  <c r="CH21" i="45"/>
  <c r="CI21" i="45"/>
  <c r="CA14" i="45"/>
  <c r="CJ14" i="45"/>
  <c r="CB14" i="45"/>
  <c r="CK14" i="45"/>
  <c r="CC14" i="45"/>
  <c r="CL14" i="45"/>
  <c r="BY14" i="45"/>
  <c r="BZ14" i="45"/>
  <c r="BX14" i="45"/>
  <c r="CG14" i="45"/>
  <c r="CH14" i="45"/>
  <c r="CI14" i="45"/>
  <c r="CA19" i="45"/>
  <c r="CJ19" i="45"/>
  <c r="CB19" i="45"/>
  <c r="CK19" i="45"/>
  <c r="CC19" i="45"/>
  <c r="CL19" i="45"/>
  <c r="CG19" i="45"/>
  <c r="CH19" i="45"/>
  <c r="BZ19" i="45"/>
  <c r="CI19" i="45"/>
  <c r="BX19" i="45"/>
  <c r="BY19" i="45"/>
  <c r="CH166" i="48"/>
  <c r="CC166" i="48"/>
  <c r="AQ166" i="48" s="1"/>
  <c r="CC173" i="48"/>
  <c r="CH173" i="48"/>
  <c r="CH162" i="48"/>
  <c r="CC162" i="48"/>
  <c r="CH158" i="48"/>
  <c r="CC158" i="48"/>
  <c r="CJ157" i="45"/>
  <c r="BZ157" i="45"/>
  <c r="CI157" i="45"/>
  <c r="BY157" i="45"/>
  <c r="CH157" i="45"/>
  <c r="BX157" i="45"/>
  <c r="CG157" i="45"/>
  <c r="CB157" i="45"/>
  <c r="CA157" i="45"/>
  <c r="CK157" i="45"/>
  <c r="BY154" i="45"/>
  <c r="CI154" i="45"/>
  <c r="BZ154" i="45"/>
  <c r="CJ154" i="45"/>
  <c r="CA154" i="45"/>
  <c r="CK154" i="45"/>
  <c r="CB154" i="45"/>
  <c r="CH154" i="45"/>
  <c r="CG154" i="45"/>
  <c r="BX154" i="45"/>
  <c r="AZ195" i="47"/>
  <c r="AZ205" i="47"/>
  <c r="AZ189" i="47"/>
  <c r="CH168" i="48"/>
  <c r="CC168" i="48"/>
  <c r="AQ168" i="48" s="1"/>
  <c r="CC160" i="48"/>
  <c r="CH160" i="48"/>
  <c r="CH161" i="48"/>
  <c r="CC161" i="48"/>
  <c r="CK23" i="45"/>
  <c r="CB23" i="45"/>
  <c r="CJ23" i="45"/>
  <c r="CA23" i="45"/>
  <c r="CI23" i="45"/>
  <c r="BZ23" i="45"/>
  <c r="CH23" i="45"/>
  <c r="BY23" i="45"/>
  <c r="CG23" i="45"/>
  <c r="BX23" i="45"/>
  <c r="CC23" i="45"/>
  <c r="CL23" i="45"/>
  <c r="CA17" i="45"/>
  <c r="CJ17" i="45"/>
  <c r="CB17" i="45"/>
  <c r="CK17" i="45"/>
  <c r="CC17" i="45"/>
  <c r="CL17" i="45"/>
  <c r="BX17" i="45"/>
  <c r="BY17" i="45"/>
  <c r="BZ17" i="45"/>
  <c r="CG17" i="45"/>
  <c r="CI17" i="45"/>
  <c r="CH17" i="45"/>
  <c r="BF182" i="46"/>
  <c r="BN182" i="46"/>
  <c r="BT182" i="46"/>
  <c r="BK182" i="46"/>
  <c r="BR182" i="46"/>
  <c r="BS182" i="46"/>
  <c r="BQ182" i="46"/>
  <c r="BJ182" i="46"/>
  <c r="CC171" i="48"/>
  <c r="AQ171" i="48" s="1"/>
  <c r="CH171" i="48"/>
  <c r="CH170" i="48"/>
  <c r="CC170" i="48"/>
  <c r="AQ170" i="48" s="1"/>
  <c r="CH172" i="48"/>
  <c r="CC172" i="48"/>
  <c r="AQ172" i="48" s="1"/>
  <c r="AZ196" i="47"/>
  <c r="AZ192" i="47"/>
  <c r="BF186" i="46"/>
  <c r="BN186" i="46"/>
  <c r="BT186" i="46"/>
  <c r="BK186" i="46"/>
  <c r="BJ186" i="46"/>
  <c r="BR186" i="46"/>
  <c r="BQ186" i="46"/>
  <c r="BS186" i="46"/>
  <c r="CH178" i="48"/>
  <c r="CC178" i="48"/>
  <c r="AQ178" i="48" s="1"/>
  <c r="CK26" i="45"/>
  <c r="CB26" i="45"/>
  <c r="CJ26" i="45"/>
  <c r="CA26" i="45"/>
  <c r="CI26" i="45"/>
  <c r="BZ26" i="45"/>
  <c r="CH26" i="45"/>
  <c r="BY26" i="45"/>
  <c r="CG26" i="45"/>
  <c r="BX26" i="45"/>
  <c r="CL26" i="45"/>
  <c r="CC26" i="45"/>
  <c r="BN185" i="46"/>
  <c r="BT185" i="46"/>
  <c r="BK185" i="46"/>
  <c r="BS185" i="46"/>
  <c r="BJ185" i="46"/>
  <c r="BR185" i="46"/>
  <c r="BF185" i="46"/>
  <c r="BQ185" i="46"/>
  <c r="CA13" i="45"/>
  <c r="CJ13" i="45"/>
  <c r="CB13" i="45"/>
  <c r="CK13" i="45"/>
  <c r="CC13" i="45"/>
  <c r="CL13" i="45"/>
  <c r="BZ13" i="45"/>
  <c r="BX13" i="45"/>
  <c r="CI13" i="45"/>
  <c r="BY13" i="45"/>
  <c r="CG13" i="45"/>
  <c r="CH13" i="45"/>
  <c r="CA15" i="45"/>
  <c r="CJ15" i="45"/>
  <c r="CB15" i="45"/>
  <c r="CK15" i="45"/>
  <c r="CC15" i="45"/>
  <c r="CL15" i="45"/>
  <c r="CG15" i="45"/>
  <c r="CH15" i="45"/>
  <c r="CI15" i="45"/>
  <c r="BY15" i="45"/>
  <c r="BZ15" i="45"/>
  <c r="BX15" i="45"/>
  <c r="CK24" i="45"/>
  <c r="CB24" i="45"/>
  <c r="CJ24" i="45"/>
  <c r="CA24" i="45"/>
  <c r="CI24" i="45"/>
  <c r="BZ24" i="45"/>
  <c r="CH24" i="45"/>
  <c r="BY24" i="45"/>
  <c r="CG24" i="45"/>
  <c r="BX24" i="45"/>
  <c r="CL24" i="45"/>
  <c r="CC24" i="45"/>
  <c r="CB160" i="45"/>
  <c r="CK160" i="45"/>
  <c r="CA160" i="45"/>
  <c r="CJ160" i="45"/>
  <c r="BZ160" i="45"/>
  <c r="CI160" i="45"/>
  <c r="CH160" i="45"/>
  <c r="CG160" i="45"/>
  <c r="BY160" i="45"/>
  <c r="BX160" i="45"/>
  <c r="CK25" i="45"/>
  <c r="CB25" i="45"/>
  <c r="CJ25" i="45"/>
  <c r="CA25" i="45"/>
  <c r="CI25" i="45"/>
  <c r="BZ25" i="45"/>
  <c r="CH25" i="45"/>
  <c r="BY25" i="45"/>
  <c r="CG25" i="45"/>
  <c r="BX25" i="45"/>
  <c r="CL25" i="45"/>
  <c r="CC25" i="45"/>
  <c r="BR179" i="46"/>
  <c r="BQ179" i="46"/>
  <c r="BF179" i="46"/>
  <c r="BN179" i="46"/>
  <c r="BS179" i="46"/>
  <c r="BT179" i="46"/>
  <c r="BK179" i="46"/>
  <c r="BJ179" i="46"/>
  <c r="CH150" i="48"/>
  <c r="CC150" i="48"/>
  <c r="AQ150" i="48" s="1"/>
  <c r="CC164" i="48"/>
  <c r="AQ164" i="48" s="1"/>
  <c r="CH164" i="48"/>
  <c r="CC165" i="48"/>
  <c r="CH165" i="48"/>
  <c r="AB73" i="48"/>
  <c r="AZ200" i="47"/>
  <c r="AZ210" i="47"/>
  <c r="CK31" i="45"/>
  <c r="CL31" i="45"/>
  <c r="CB31" i="45"/>
  <c r="CC31" i="45"/>
  <c r="CC30" i="45"/>
  <c r="CB30" i="45"/>
  <c r="CL30" i="45"/>
  <c r="CK30" i="45"/>
  <c r="CH30" i="48"/>
  <c r="CB30" i="48" s="1"/>
  <c r="AS30" i="48" s="1"/>
  <c r="CH29" i="48"/>
  <c r="CB29" i="48" s="1"/>
  <c r="CB31" i="48"/>
  <c r="BY70" i="45"/>
  <c r="CH70" i="45"/>
  <c r="CH147" i="48"/>
  <c r="CC147" i="48"/>
  <c r="AQ147" i="48" s="1"/>
  <c r="AB63" i="48"/>
  <c r="CL22" i="48"/>
  <c r="CB22" i="48"/>
  <c r="Z190" i="48"/>
  <c r="CB21" i="48"/>
  <c r="CB16" i="48"/>
  <c r="CB18" i="48"/>
  <c r="CB23" i="48"/>
  <c r="CB24" i="48"/>
  <c r="CB15" i="48"/>
  <c r="CB20" i="48"/>
  <c r="CB14" i="48"/>
  <c r="CN13" i="48"/>
  <c r="CL13" i="48"/>
  <c r="CB13" i="48"/>
  <c r="AO55" i="45"/>
  <c r="CH61" i="45"/>
  <c r="CM20" i="48"/>
  <c r="Z200" i="48"/>
  <c r="AO67" i="45"/>
  <c r="CG73" i="45"/>
  <c r="AS43" i="48"/>
  <c r="BY73" i="45"/>
  <c r="BY61" i="45"/>
  <c r="AQ152" i="48"/>
  <c r="CB298" i="47"/>
  <c r="DG298" i="47"/>
  <c r="P265" i="47"/>
  <c r="P266" i="47"/>
  <c r="P267" i="47"/>
  <c r="CC298" i="47"/>
  <c r="P264" i="47"/>
  <c r="CL21" i="48"/>
  <c r="Z191" i="48"/>
  <c r="AH56" i="46"/>
  <c r="CL20" i="48"/>
  <c r="AO64" i="45"/>
  <c r="BM196" i="46"/>
  <c r="BN196" i="46"/>
  <c r="CG75" i="45"/>
  <c r="CH75" i="45"/>
  <c r="BY75" i="45"/>
  <c r="CG58" i="45"/>
  <c r="CH58" i="45"/>
  <c r="BY58" i="45"/>
  <c r="AS162" i="46"/>
  <c r="CM24" i="48"/>
  <c r="CH72" i="45"/>
  <c r="BY72" i="45"/>
  <c r="CG72" i="45"/>
  <c r="CI127" i="45"/>
  <c r="CG127" i="45"/>
  <c r="BZ127" i="45"/>
  <c r="CK127" i="45"/>
  <c r="CB127" i="45"/>
  <c r="BX127" i="45"/>
  <c r="CH127" i="45"/>
  <c r="CJ127" i="45"/>
  <c r="CA127" i="45"/>
  <c r="BY127" i="45"/>
  <c r="BM195" i="46"/>
  <c r="BN195" i="46"/>
  <c r="CK128" i="45"/>
  <c r="CI128" i="45"/>
  <c r="CG128" i="45"/>
  <c r="CB128" i="45"/>
  <c r="BZ128" i="45"/>
  <c r="BX128" i="45"/>
  <c r="CJ128" i="45"/>
  <c r="CH128" i="45"/>
  <c r="CA128" i="45"/>
  <c r="BY128" i="45"/>
  <c r="CG106" i="45"/>
  <c r="BY106" i="45"/>
  <c r="CH106" i="45"/>
  <c r="BN194" i="46"/>
  <c r="BM194" i="46"/>
  <c r="BY71" i="45"/>
  <c r="CG71" i="45"/>
  <c r="CH71" i="45"/>
  <c r="CH66" i="45"/>
  <c r="BY66" i="45"/>
  <c r="CG66" i="45"/>
  <c r="CG107" i="45"/>
  <c r="CH107" i="45"/>
  <c r="BY107" i="45"/>
  <c r="CK129" i="45"/>
  <c r="CI129" i="45"/>
  <c r="CG129" i="45"/>
  <c r="CB129" i="45"/>
  <c r="BZ129" i="45"/>
  <c r="BX129" i="45"/>
  <c r="CJ129" i="45"/>
  <c r="CH129" i="45"/>
  <c r="CA129" i="45"/>
  <c r="BY129" i="45"/>
  <c r="CA31" i="45"/>
  <c r="BX31" i="45"/>
  <c r="CI31" i="45"/>
  <c r="CH31" i="45"/>
  <c r="CG31" i="45"/>
  <c r="BZ31" i="45"/>
  <c r="BY31" i="45"/>
  <c r="CJ31" i="45"/>
  <c r="BN197" i="46"/>
  <c r="BM197" i="46"/>
  <c r="BM199" i="46"/>
  <c r="BN199" i="46"/>
  <c r="BM198" i="46"/>
  <c r="BN198" i="46"/>
  <c r="AS33" i="48"/>
  <c r="CG69" i="45"/>
  <c r="CH69" i="45"/>
  <c r="BY69" i="45"/>
  <c r="CG59" i="45"/>
  <c r="CH59" i="45"/>
  <c r="BY59" i="45"/>
  <c r="CG57" i="45"/>
  <c r="CH57" i="45"/>
  <c r="BY57" i="45"/>
  <c r="BM192" i="46"/>
  <c r="BN192" i="46"/>
  <c r="Z209" i="48"/>
  <c r="CG76" i="45"/>
  <c r="CH76" i="45"/>
  <c r="BY76" i="45"/>
  <c r="BM191" i="46"/>
  <c r="BN191" i="46"/>
  <c r="BY68" i="45"/>
  <c r="CH68" i="45"/>
  <c r="CG68" i="45"/>
  <c r="CG65" i="45"/>
  <c r="BY65" i="45"/>
  <c r="CH65" i="45"/>
  <c r="CH74" i="45"/>
  <c r="BY74" i="45"/>
  <c r="CG74" i="45"/>
  <c r="DG290" i="47"/>
  <c r="CC290" i="47"/>
  <c r="DF290" i="47"/>
  <c r="C350" i="47" s="1"/>
  <c r="CH62" i="45"/>
  <c r="CG62" i="45"/>
  <c r="BY62" i="45"/>
  <c r="CG63" i="45"/>
  <c r="CH63" i="45"/>
  <c r="BY63" i="45"/>
  <c r="DF291" i="47"/>
  <c r="CC291" i="47"/>
  <c r="DG291" i="47"/>
  <c r="CN24" i="48"/>
  <c r="CN21" i="48"/>
  <c r="AS41" i="48"/>
  <c r="CH60" i="45"/>
  <c r="BY60" i="45"/>
  <c r="CG60" i="45"/>
  <c r="BN200" i="46"/>
  <c r="BM200" i="46"/>
  <c r="CG108" i="45"/>
  <c r="CH108" i="45"/>
  <c r="BY108" i="45"/>
  <c r="DG297" i="47"/>
  <c r="DF297" i="47"/>
  <c r="CC297" i="47"/>
  <c r="CB297" i="47"/>
  <c r="AS231" i="47"/>
  <c r="AS227" i="47"/>
  <c r="AS226" i="47"/>
  <c r="AS228" i="47"/>
  <c r="AS216" i="47"/>
  <c r="AS219" i="47"/>
  <c r="AS215" i="47"/>
  <c r="AS232" i="47"/>
  <c r="AS221" i="47"/>
  <c r="AS218" i="47"/>
  <c r="AS229" i="47"/>
  <c r="AS220" i="47"/>
  <c r="AS217" i="47"/>
  <c r="AS230" i="47"/>
  <c r="BM193" i="46"/>
  <c r="BN193" i="46"/>
  <c r="BY56" i="45"/>
  <c r="CG56" i="45"/>
  <c r="CH56" i="45"/>
  <c r="BZ50" i="45"/>
  <c r="BY50" i="45"/>
  <c r="CH50" i="45"/>
  <c r="BX50" i="45"/>
  <c r="CG50" i="45"/>
  <c r="CI50" i="45"/>
  <c r="BZ49" i="45"/>
  <c r="CI49" i="45"/>
  <c r="BY49" i="45"/>
  <c r="CG49" i="45"/>
  <c r="CH49" i="45"/>
  <c r="BX49" i="45"/>
  <c r="CJ30" i="45"/>
  <c r="BZ30" i="45"/>
  <c r="CG30" i="45"/>
  <c r="CH30" i="45"/>
  <c r="BX30" i="45"/>
  <c r="CA30" i="45"/>
  <c r="CI30" i="45"/>
  <c r="BY30" i="45"/>
  <c r="BR176" i="46"/>
  <c r="BS176" i="46"/>
  <c r="BT176" i="46"/>
  <c r="CB152" i="45"/>
  <c r="CG152" i="45"/>
  <c r="CJ152" i="45"/>
  <c r="CA152" i="45"/>
  <c r="CI152" i="45"/>
  <c r="BZ152" i="45"/>
  <c r="CH152" i="45"/>
  <c r="BY152" i="45"/>
  <c r="BX152" i="45"/>
  <c r="CA12" i="45"/>
  <c r="CC12" i="45"/>
  <c r="CJ12" i="45"/>
  <c r="BZ12" i="45"/>
  <c r="CK12" i="45"/>
  <c r="CI12" i="45"/>
  <c r="CL12" i="45"/>
  <c r="CB12" i="45"/>
  <c r="BJ176" i="46"/>
  <c r="BK176" i="46"/>
  <c r="AH65" i="46"/>
  <c r="AH69" i="46"/>
  <c r="AH61" i="46"/>
  <c r="AH22" i="46"/>
  <c r="AH44" i="46"/>
  <c r="AH43" i="46"/>
  <c r="BN164" i="46"/>
  <c r="BI164" i="46"/>
  <c r="BO164" i="46"/>
  <c r="BP164" i="46"/>
  <c r="BN167" i="46"/>
  <c r="BO167" i="46"/>
  <c r="BP167" i="46"/>
  <c r="BI167" i="46"/>
  <c r="AH33" i="46"/>
  <c r="BP161" i="46"/>
  <c r="BN161" i="46"/>
  <c r="BO161" i="46"/>
  <c r="BI161" i="46"/>
  <c r="BF176" i="46"/>
  <c r="BN176" i="46"/>
  <c r="BQ176" i="46"/>
  <c r="BP160" i="46"/>
  <c r="BI160" i="46"/>
  <c r="BN160" i="46"/>
  <c r="BO160" i="46"/>
  <c r="BN163" i="46"/>
  <c r="BO163" i="46"/>
  <c r="BP163" i="46"/>
  <c r="BI163" i="46"/>
  <c r="BI170" i="46"/>
  <c r="BN170" i="46"/>
  <c r="BP170" i="46"/>
  <c r="BO170" i="46"/>
  <c r="AH36" i="46"/>
  <c r="BO166" i="46"/>
  <c r="BP166" i="46"/>
  <c r="BI166" i="46"/>
  <c r="BN166" i="46"/>
  <c r="AH67" i="46"/>
  <c r="AH57" i="46"/>
  <c r="AH30" i="46"/>
  <c r="BN168" i="46"/>
  <c r="BO168" i="46"/>
  <c r="BP168" i="46"/>
  <c r="BI168" i="46"/>
  <c r="AH63" i="46"/>
  <c r="AH46" i="46"/>
  <c r="BP165" i="46"/>
  <c r="BI165" i="46"/>
  <c r="BO165" i="46"/>
  <c r="BN165" i="46"/>
  <c r="AH24" i="46"/>
  <c r="AH58" i="46"/>
  <c r="BN169" i="46"/>
  <c r="BO169" i="46"/>
  <c r="BI169" i="46"/>
  <c r="BP169" i="46"/>
  <c r="AH37" i="46"/>
  <c r="BF165" i="46"/>
  <c r="BM165" i="46"/>
  <c r="BF167" i="46"/>
  <c r="BM167" i="46"/>
  <c r="BF166" i="46"/>
  <c r="BM166" i="46"/>
  <c r="BF164" i="46"/>
  <c r="BM164" i="46"/>
  <c r="BF168" i="46"/>
  <c r="BM168" i="46"/>
  <c r="BF169" i="46"/>
  <c r="BM169" i="46"/>
  <c r="BF161" i="46"/>
  <c r="BM161" i="46"/>
  <c r="AH59" i="46"/>
  <c r="AH53" i="46"/>
  <c r="BF170" i="46"/>
  <c r="BM170" i="46"/>
  <c r="BF160" i="46"/>
  <c r="BM160" i="46"/>
  <c r="BM163" i="46"/>
  <c r="BF163" i="46"/>
  <c r="CG12" i="45"/>
  <c r="CH12" i="45"/>
  <c r="BX12" i="45"/>
  <c r="BY12" i="45"/>
  <c r="Z202" i="48"/>
  <c r="AS48" i="48"/>
  <c r="AH19" i="46"/>
  <c r="V274" i="47"/>
  <c r="V275" i="47"/>
  <c r="AH54" i="46"/>
  <c r="V271" i="47"/>
  <c r="B350" i="47"/>
  <c r="E14" i="18" s="1"/>
  <c r="CN22" i="48"/>
  <c r="AH25" i="46"/>
  <c r="M120" i="48"/>
  <c r="AQ174" i="48"/>
  <c r="AH27" i="46"/>
  <c r="F32" i="45"/>
  <c r="V272" i="47"/>
  <c r="V273" i="47"/>
  <c r="P263" i="47"/>
  <c r="AY133" i="47"/>
  <c r="AY136" i="47"/>
  <c r="AY137" i="47"/>
  <c r="AY134" i="47"/>
  <c r="AY138" i="47"/>
  <c r="AY140" i="47"/>
  <c r="AY139" i="47"/>
  <c r="AY135" i="47"/>
  <c r="AY132" i="47"/>
  <c r="AY125" i="47"/>
  <c r="AY124" i="47"/>
  <c r="AY130" i="47"/>
  <c r="AY126" i="47"/>
  <c r="AY127" i="47"/>
  <c r="AY123" i="47"/>
  <c r="AY128" i="47"/>
  <c r="AY131" i="47"/>
  <c r="AY129" i="47"/>
  <c r="Z203" i="48"/>
  <c r="Z199" i="48"/>
  <c r="AQ154" i="48"/>
  <c r="AQ161" i="48"/>
  <c r="AS37" i="48"/>
  <c r="AQ165" i="48"/>
  <c r="CL24" i="48"/>
  <c r="Z201" i="48"/>
  <c r="AQ167" i="48"/>
  <c r="Z211" i="48"/>
  <c r="Z189" i="48"/>
  <c r="Z187" i="48"/>
  <c r="AS42" i="48"/>
  <c r="AS46" i="48"/>
  <c r="AH12" i="46"/>
  <c r="AH45" i="46"/>
  <c r="AH39" i="46"/>
  <c r="AH41" i="46"/>
  <c r="AH48" i="46"/>
  <c r="AH42" i="46"/>
  <c r="AH66" i="46"/>
  <c r="AH51" i="46"/>
  <c r="D171" i="46"/>
  <c r="AH60" i="46"/>
  <c r="AH21" i="46"/>
  <c r="AH28" i="46"/>
  <c r="AH64" i="46"/>
  <c r="AH50" i="46"/>
  <c r="AH18" i="46"/>
  <c r="AH15" i="46"/>
  <c r="AH47" i="46"/>
  <c r="AH62" i="46"/>
  <c r="AH49" i="46"/>
  <c r="AH14" i="46"/>
  <c r="AH23" i="46"/>
  <c r="AH20" i="46"/>
  <c r="AH31" i="46"/>
  <c r="AH68" i="46"/>
  <c r="D130" i="45"/>
  <c r="CL16" i="48"/>
  <c r="CM16" i="48"/>
  <c r="CN16" i="48"/>
  <c r="CL17" i="48"/>
  <c r="CM17" i="48"/>
  <c r="CN17" i="48"/>
  <c r="Z198" i="48"/>
  <c r="AS44" i="48"/>
  <c r="CL18" i="48"/>
  <c r="CM18" i="48"/>
  <c r="CN18" i="48"/>
  <c r="AS34" i="48"/>
  <c r="M122" i="48"/>
  <c r="CL15" i="48"/>
  <c r="CM15" i="48"/>
  <c r="CN15" i="48"/>
  <c r="CM13" i="48"/>
  <c r="CL14" i="48"/>
  <c r="CM14" i="48"/>
  <c r="CN14" i="48"/>
  <c r="AS47" i="48"/>
  <c r="AQ158" i="48"/>
  <c r="M121" i="48"/>
  <c r="AH52" i="46"/>
  <c r="AH29" i="46"/>
  <c r="AH17" i="46"/>
  <c r="AH26" i="46"/>
  <c r="AH16" i="46"/>
  <c r="AH55" i="46"/>
  <c r="AH40" i="46"/>
  <c r="AH32" i="46"/>
  <c r="AH13" i="46"/>
  <c r="AH34" i="46"/>
  <c r="AH35" i="46"/>
  <c r="AH70" i="46"/>
  <c r="AH38" i="46"/>
  <c r="AV184" i="46" l="1"/>
  <c r="AU23" i="48"/>
  <c r="AV179" i="46"/>
  <c r="AV186" i="46"/>
  <c r="C249" i="46"/>
  <c r="D11" i="18" s="1"/>
  <c r="B249" i="46"/>
  <c r="E11" i="18" s="1"/>
  <c r="B197" i="45"/>
  <c r="E10" i="18" s="1"/>
  <c r="AW18" i="45"/>
  <c r="AW15" i="45"/>
  <c r="AW13" i="45"/>
  <c r="AW23" i="45"/>
  <c r="AR200" i="46"/>
  <c r="AO73" i="45"/>
  <c r="AV180" i="46"/>
  <c r="Z152" i="45"/>
  <c r="AV185" i="46"/>
  <c r="AO70" i="45"/>
  <c r="AW19" i="45"/>
  <c r="Z158" i="45"/>
  <c r="AV181" i="46"/>
  <c r="AW14" i="45"/>
  <c r="AR195" i="46"/>
  <c r="Z157" i="45"/>
  <c r="AV183" i="46"/>
  <c r="AV177" i="46"/>
  <c r="AV182" i="46"/>
  <c r="AW24" i="45"/>
  <c r="AW26" i="45"/>
  <c r="AW16" i="45"/>
  <c r="Z153" i="45"/>
  <c r="AU15" i="48"/>
  <c r="AU13" i="48"/>
  <c r="Z154" i="45"/>
  <c r="AW21" i="45"/>
  <c r="Z156" i="45"/>
  <c r="Z160" i="45"/>
  <c r="AW20" i="45"/>
  <c r="AV176" i="46"/>
  <c r="AO61" i="45"/>
  <c r="AW25" i="45"/>
  <c r="AW17" i="45"/>
  <c r="AV178" i="46"/>
  <c r="AW12" i="45"/>
  <c r="CC29" i="48"/>
  <c r="C349" i="48"/>
  <c r="AW31" i="45"/>
  <c r="AW30" i="45"/>
  <c r="D14" i="18"/>
  <c r="C197" i="45"/>
  <c r="D10" i="18" s="1"/>
  <c r="AR191" i="46"/>
  <c r="AO69" i="45"/>
  <c r="AU20" i="48"/>
  <c r="AQ160" i="48"/>
  <c r="AQ175" i="48"/>
  <c r="AQ181" i="48"/>
  <c r="AU21" i="48"/>
  <c r="AQ162" i="48"/>
  <c r="AS38" i="48"/>
  <c r="AR197" i="46"/>
  <c r="R106" i="45"/>
  <c r="AQ173" i="48"/>
  <c r="AS164" i="46"/>
  <c r="AN298" i="47"/>
  <c r="AF290" i="47"/>
  <c r="R108" i="45"/>
  <c r="AO58" i="45"/>
  <c r="AQ179" i="48"/>
  <c r="AU24" i="48"/>
  <c r="AQ169" i="48"/>
  <c r="AS32" i="48"/>
  <c r="AO63" i="45"/>
  <c r="AO62" i="45"/>
  <c r="AT129" i="45"/>
  <c r="AS170" i="46"/>
  <c r="AO65" i="45"/>
  <c r="AO76" i="45"/>
  <c r="AO59" i="45"/>
  <c r="AT128" i="45"/>
  <c r="AS161" i="46"/>
  <c r="AS163" i="46"/>
  <c r="AS169" i="46"/>
  <c r="AS166" i="46"/>
  <c r="AO60" i="45"/>
  <c r="AO68" i="45"/>
  <c r="AO57" i="45"/>
  <c r="AO71" i="45"/>
  <c r="AS40" i="48"/>
  <c r="AS39" i="48"/>
  <c r="AO74" i="45"/>
  <c r="AO75" i="45"/>
  <c r="AS165" i="46"/>
  <c r="AQ177" i="48"/>
  <c r="AS167" i="46"/>
  <c r="AN297" i="47"/>
  <c r="AO66" i="45"/>
  <c r="AT127" i="45"/>
  <c r="AO72" i="45"/>
  <c r="AS168" i="46"/>
  <c r="AO56" i="45"/>
  <c r="AP50" i="45"/>
  <c r="AP49" i="45"/>
  <c r="AS160" i="46"/>
  <c r="AU22" i="48"/>
  <c r="AR192" i="46"/>
  <c r="AR194" i="46"/>
  <c r="AR196" i="46"/>
  <c r="AR193" i="46"/>
  <c r="AR199" i="46"/>
  <c r="AR198" i="46"/>
  <c r="AS31" i="48"/>
  <c r="R107" i="45"/>
  <c r="AF291" i="47"/>
  <c r="AS36" i="48"/>
  <c r="B349" i="48"/>
  <c r="E24" i="18" s="1"/>
  <c r="AS35" i="48"/>
  <c r="AQ153" i="48"/>
  <c r="AQ159" i="48"/>
  <c r="AQ157" i="48"/>
  <c r="AQ155" i="48"/>
  <c r="AS45" i="48"/>
  <c r="AQ149" i="48"/>
  <c r="AU14" i="48"/>
  <c r="AQ156" i="48"/>
  <c r="AU18" i="48"/>
  <c r="AU17" i="48"/>
  <c r="AU16" i="48"/>
  <c r="AS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O217" i="34"/>
  <c r="CN217" i="34"/>
  <c r="CE217" i="34"/>
  <c r="CD217" i="34"/>
  <c r="CB37" i="32"/>
  <c r="H217" i="34" l="1"/>
  <c r="DH232" i="13" l="1"/>
  <c r="CX232" i="13"/>
  <c r="DH244" i="13"/>
  <c r="CX244" i="13"/>
  <c r="CX238" i="13"/>
  <c r="DH238" i="13"/>
  <c r="DH226" i="13"/>
  <c r="CX226" i="13"/>
  <c r="DJ146" i="13"/>
  <c r="DI146" i="13"/>
  <c r="CY146" i="13"/>
  <c r="CZ146" i="13"/>
  <c r="V85" i="42"/>
  <c r="U85" i="42"/>
  <c r="CD70" i="37" l="1"/>
  <c r="CM70" i="37"/>
  <c r="CC74" i="37"/>
  <c r="CL74" i="37"/>
  <c r="CD71" i="37"/>
  <c r="CM71" i="37"/>
  <c r="CD75" i="37"/>
  <c r="CM75" i="37"/>
  <c r="CL69" i="37"/>
  <c r="CC69" i="37"/>
  <c r="CC70" i="37"/>
  <c r="CL70" i="37"/>
  <c r="CD76" i="37"/>
  <c r="CM76" i="37"/>
  <c r="CL73" i="37"/>
  <c r="CC73" i="37"/>
  <c r="CC71" i="37"/>
  <c r="CL71" i="37"/>
  <c r="CC72" i="37"/>
  <c r="CL72" i="37"/>
  <c r="CC76" i="37"/>
  <c r="CL76" i="37"/>
  <c r="CD74" i="37"/>
  <c r="CM74" i="37"/>
  <c r="CC75" i="37"/>
  <c r="CL75" i="37"/>
  <c r="CD72" i="37"/>
  <c r="CM72" i="37"/>
  <c r="CM69" i="37"/>
  <c r="CD69" i="37"/>
  <c r="CM73" i="37"/>
  <c r="CD73" i="37"/>
  <c r="CQ75" i="37" l="1"/>
  <c r="CF75" i="37"/>
  <c r="CO75" i="37"/>
  <c r="CE75" i="37"/>
  <c r="CN75" i="37"/>
  <c r="CB75" i="37"/>
  <c r="CK75" i="37"/>
  <c r="CR75" i="37"/>
  <c r="CI75" i="37"/>
  <c r="CH75" i="37"/>
  <c r="CQ71" i="37"/>
  <c r="CF71" i="37"/>
  <c r="CO71" i="37"/>
  <c r="CE71" i="37"/>
  <c r="CN71" i="37"/>
  <c r="CB71" i="37"/>
  <c r="CK71" i="37"/>
  <c r="CR71" i="37"/>
  <c r="CI71" i="37"/>
  <c r="CH71" i="37"/>
  <c r="CB73" i="37"/>
  <c r="CK73" i="37"/>
  <c r="CI73" i="37"/>
  <c r="CR73" i="37"/>
  <c r="CH73" i="37"/>
  <c r="CQ73" i="37"/>
  <c r="CF73" i="37"/>
  <c r="CO73" i="37"/>
  <c r="CE73" i="37"/>
  <c r="CN73" i="37"/>
  <c r="CI72" i="37"/>
  <c r="CR72" i="37"/>
  <c r="CH72" i="37"/>
  <c r="CQ72" i="37"/>
  <c r="CF72" i="37"/>
  <c r="CO72" i="37"/>
  <c r="CE72" i="37"/>
  <c r="CN72" i="37"/>
  <c r="CB72" i="37"/>
  <c r="CK72" i="37"/>
  <c r="CI76" i="37"/>
  <c r="CR76" i="37"/>
  <c r="CH76" i="37"/>
  <c r="CQ76" i="37"/>
  <c r="CF76" i="37"/>
  <c r="CO76" i="37"/>
  <c r="CE76" i="37"/>
  <c r="CN76" i="37"/>
  <c r="CK76" i="37"/>
  <c r="CB76" i="37"/>
  <c r="CB69" i="37"/>
  <c r="CK69" i="37"/>
  <c r="CI69" i="37"/>
  <c r="CR69" i="37"/>
  <c r="CH69" i="37"/>
  <c r="CQ69" i="37"/>
  <c r="CF69" i="37"/>
  <c r="CO69" i="37"/>
  <c r="CE69" i="37"/>
  <c r="CN69" i="37"/>
  <c r="CN74" i="37"/>
  <c r="CB74" i="37"/>
  <c r="CK74" i="37"/>
  <c r="CI74" i="37"/>
  <c r="CR74" i="37"/>
  <c r="CH74" i="37"/>
  <c r="CF74" i="37"/>
  <c r="CE74" i="37"/>
  <c r="CQ74" i="37"/>
  <c r="CO74" i="37"/>
  <c r="CN70" i="37"/>
  <c r="CB70" i="37"/>
  <c r="CK70" i="37"/>
  <c r="CI70" i="37"/>
  <c r="CR70" i="37"/>
  <c r="CH70" i="37"/>
  <c r="CQ70" i="37"/>
  <c r="CO70" i="37"/>
  <c r="CE70" i="37"/>
  <c r="CF70" i="37"/>
  <c r="AW72" i="37" l="1"/>
  <c r="AW75" i="37"/>
  <c r="AW71" i="37"/>
  <c r="AW70" i="37"/>
  <c r="AW74" i="37"/>
  <c r="AW73" i="37"/>
  <c r="AW69" i="37"/>
  <c r="AW76" i="37"/>
  <c r="BZ192" i="29"/>
  <c r="BZ191" i="29"/>
  <c r="BR191" i="29" l="1"/>
  <c r="BS191" i="29"/>
  <c r="BR192" i="29"/>
  <c r="BS192" i="29"/>
  <c r="BU240" i="29"/>
  <c r="CE240" i="29"/>
  <c r="CF239" i="29"/>
  <c r="CD239" i="29"/>
  <c r="CC239" i="29"/>
  <c r="CD240" i="29"/>
  <c r="CC240" i="29"/>
  <c r="CF240" i="29"/>
  <c r="BU239" i="29"/>
  <c r="CE239" i="29"/>
  <c r="BS240" i="29"/>
  <c r="BV240" i="29"/>
  <c r="BT240" i="29"/>
  <c r="BS239" i="29"/>
  <c r="BT239" i="29"/>
  <c r="BV239" i="29"/>
  <c r="CE191" i="29"/>
  <c r="CI191" i="29"/>
  <c r="BT191" i="29"/>
  <c r="BX191" i="29"/>
  <c r="CK191" i="29"/>
  <c r="CK192" i="29"/>
  <c r="CE192" i="29"/>
  <c r="CI192" i="29"/>
  <c r="BX192" i="29"/>
  <c r="BT192" i="29"/>
  <c r="CF191" i="29"/>
  <c r="CA191" i="29"/>
  <c r="BY191" i="29"/>
  <c r="CD191" i="29"/>
  <c r="CC191" i="29"/>
  <c r="CJ191" i="29"/>
  <c r="BU191" i="29"/>
  <c r="CL191" i="29"/>
  <c r="CL192" i="29"/>
  <c r="CD192" i="29"/>
  <c r="CC192" i="29"/>
  <c r="CJ192" i="29"/>
  <c r="BY192" i="29"/>
  <c r="CF192" i="29"/>
  <c r="BU192" i="29"/>
  <c r="CA192" i="29"/>
  <c r="AD16" i="39" l="1"/>
  <c r="AD17" i="39"/>
  <c r="AD18" i="39"/>
  <c r="AD19" i="39"/>
  <c r="AD20" i="39"/>
  <c r="AD21" i="39"/>
  <c r="AD22" i="39"/>
  <c r="G106" i="29"/>
  <c r="CR11" i="32" l="1"/>
  <c r="CS11" i="32"/>
  <c r="CQ11" i="32"/>
  <c r="CO11" i="32"/>
  <c r="CP11" i="32"/>
  <c r="CB11" i="32"/>
  <c r="CL11" i="32"/>
  <c r="J110" i="43"/>
  <c r="I110" i="43"/>
  <c r="H110" i="43"/>
  <c r="G110" i="43"/>
  <c r="F110" i="43"/>
  <c r="E110" i="43"/>
  <c r="D110" i="43"/>
  <c r="C110" i="43"/>
  <c r="J80" i="43"/>
  <c r="I80" i="43"/>
  <c r="H80" i="43"/>
  <c r="G80" i="43"/>
  <c r="F80" i="43"/>
  <c r="E80" i="43"/>
  <c r="D80" i="43"/>
  <c r="C80" i="43"/>
  <c r="R71" i="43"/>
  <c r="Q71" i="43"/>
  <c r="P71" i="43"/>
  <c r="O71" i="43"/>
  <c r="N71" i="43"/>
  <c r="M71" i="43"/>
  <c r="L71" i="43"/>
  <c r="K71" i="43"/>
  <c r="J71" i="43"/>
  <c r="I71" i="43"/>
  <c r="H71" i="43"/>
  <c r="G71" i="43"/>
  <c r="R62" i="43"/>
  <c r="Q62" i="43"/>
  <c r="P62" i="43"/>
  <c r="O62" i="43"/>
  <c r="N62" i="43"/>
  <c r="M62" i="43"/>
  <c r="L62" i="43"/>
  <c r="K62" i="43"/>
  <c r="J62" i="43"/>
  <c r="I62" i="43"/>
  <c r="H62" i="43"/>
  <c r="G62" i="43"/>
  <c r="R51" i="43"/>
  <c r="Q51" i="43"/>
  <c r="P51" i="43"/>
  <c r="O51" i="43"/>
  <c r="N51" i="43"/>
  <c r="M51" i="43"/>
  <c r="L51" i="43"/>
  <c r="K51" i="43"/>
  <c r="J51" i="43"/>
  <c r="I51" i="43"/>
  <c r="H51" i="43"/>
  <c r="G51" i="43"/>
  <c r="Z42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O129" i="42"/>
  <c r="N129" i="42"/>
  <c r="M129" i="42"/>
  <c r="L129" i="42"/>
  <c r="K129" i="42"/>
  <c r="J129" i="42"/>
  <c r="I129" i="42"/>
  <c r="H129" i="42"/>
  <c r="F129" i="42"/>
  <c r="E129" i="42"/>
  <c r="D129" i="42"/>
  <c r="Q120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AC103" i="42"/>
  <c r="AB103" i="42"/>
  <c r="AA103" i="42"/>
  <c r="Z103" i="42"/>
  <c r="Y103" i="42"/>
  <c r="X103" i="42"/>
  <c r="W103" i="42"/>
  <c r="V103" i="42"/>
  <c r="U103" i="42"/>
  <c r="N103" i="42"/>
  <c r="M103" i="42"/>
  <c r="L103" i="42"/>
  <c r="K103" i="42"/>
  <c r="J103" i="42"/>
  <c r="I103" i="42"/>
  <c r="H103" i="42"/>
  <c r="G103" i="42"/>
  <c r="F103" i="42"/>
  <c r="E103" i="42"/>
  <c r="D103" i="42"/>
  <c r="C103" i="42"/>
  <c r="T85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AL12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N12" i="42"/>
  <c r="M12" i="42"/>
  <c r="L12" i="42"/>
  <c r="K12" i="42"/>
  <c r="J12" i="42"/>
  <c r="I12" i="42"/>
  <c r="H12" i="42"/>
  <c r="G12" i="42"/>
  <c r="F12" i="42"/>
  <c r="E12" i="42"/>
  <c r="D12" i="42"/>
  <c r="C12" i="42"/>
  <c r="E51" i="43" l="1"/>
  <c r="Q103" i="42"/>
  <c r="R103" i="42"/>
  <c r="F42" i="43"/>
  <c r="E29" i="43"/>
  <c r="S12" i="42"/>
  <c r="T103" i="42"/>
  <c r="D42" i="43"/>
  <c r="R12" i="42"/>
  <c r="C71" i="43"/>
  <c r="D62" i="43"/>
  <c r="C42" i="43"/>
  <c r="P103" i="42"/>
  <c r="D51" i="43"/>
  <c r="O12" i="42"/>
  <c r="D15" i="43"/>
  <c r="C29" i="43"/>
  <c r="C62" i="43"/>
  <c r="E71" i="43"/>
  <c r="E62" i="43"/>
  <c r="E42" i="43"/>
  <c r="E15" i="43"/>
  <c r="C15" i="43"/>
  <c r="F62" i="43"/>
  <c r="C51" i="43"/>
  <c r="D71" i="43"/>
  <c r="F71" i="43"/>
  <c r="C129" i="42"/>
  <c r="F29" i="43"/>
  <c r="F51" i="43"/>
  <c r="T12" i="42"/>
  <c r="O103" i="42"/>
  <c r="F15" i="43"/>
  <c r="D29" i="43"/>
  <c r="G129" i="42"/>
  <c r="P12" i="42"/>
  <c r="Q12" i="42"/>
  <c r="S103" i="42"/>
  <c r="C125" i="41"/>
  <c r="CG64" i="41"/>
  <c r="CF64" i="41"/>
  <c r="CB64" i="41"/>
  <c r="CG63" i="41"/>
  <c r="CF63" i="41"/>
  <c r="CB63" i="41"/>
  <c r="CC61" i="41"/>
  <c r="CG59" i="41"/>
  <c r="CF59" i="41"/>
  <c r="CB59" i="41"/>
  <c r="CC57" i="41"/>
  <c r="CC55" i="41"/>
  <c r="CC53" i="41"/>
  <c r="CC51" i="41"/>
  <c r="CC49" i="41"/>
  <c r="CC47" i="41"/>
  <c r="CC45" i="41"/>
  <c r="CC43" i="41"/>
  <c r="CC41" i="41"/>
  <c r="CC39" i="41"/>
  <c r="CC37" i="41"/>
  <c r="CC35" i="41"/>
  <c r="CM139" i="39"/>
  <c r="F139" i="39"/>
  <c r="CM138" i="39"/>
  <c r="F138" i="39"/>
  <c r="CM137" i="39"/>
  <c r="F137" i="39"/>
  <c r="CM135" i="39"/>
  <c r="G135" i="39"/>
  <c r="CM134" i="39"/>
  <c r="G134" i="39"/>
  <c r="CM133" i="39"/>
  <c r="G133" i="39"/>
  <c r="J88" i="39"/>
  <c r="I88" i="39"/>
  <c r="H88" i="39"/>
  <c r="G88" i="39"/>
  <c r="F88" i="39"/>
  <c r="E88" i="39"/>
  <c r="D88" i="39"/>
  <c r="U69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N125" i="39" l="1"/>
  <c r="CC125" i="39"/>
  <c r="CB125" i="39"/>
  <c r="CB93" i="39"/>
  <c r="N93" i="39" s="1"/>
  <c r="B150" i="43"/>
  <c r="E27" i="18" s="1"/>
  <c r="CF34" i="41"/>
  <c r="CC34" i="41"/>
  <c r="CF40" i="41"/>
  <c r="CC40" i="41"/>
  <c r="CF46" i="41"/>
  <c r="CC46" i="41"/>
  <c r="CF52" i="41"/>
  <c r="CC52" i="41"/>
  <c r="CF58" i="41"/>
  <c r="CC58" i="41"/>
  <c r="CF38" i="41"/>
  <c r="CC38" i="41"/>
  <c r="CF44" i="41"/>
  <c r="CC44" i="41"/>
  <c r="CF50" i="41"/>
  <c r="CC50" i="41"/>
  <c r="CF56" i="41"/>
  <c r="CC56" i="41"/>
  <c r="B180" i="42"/>
  <c r="E26" i="18" s="1"/>
  <c r="CF42" i="41"/>
  <c r="CC42" i="41"/>
  <c r="CF48" i="41"/>
  <c r="CC48" i="41"/>
  <c r="CF54" i="41"/>
  <c r="CC54" i="41"/>
  <c r="CG62" i="41"/>
  <c r="CC62" i="41"/>
  <c r="CF36" i="41"/>
  <c r="CC36" i="41"/>
  <c r="CG32" i="41"/>
  <c r="CC32" i="41"/>
  <c r="CG14" i="41"/>
  <c r="CB56" i="41"/>
  <c r="CG56" i="41"/>
  <c r="B160" i="39"/>
  <c r="E20" i="18" s="1"/>
  <c r="S59" i="41"/>
  <c r="CG50" i="41"/>
  <c r="CB58" i="41"/>
  <c r="CB36" i="41"/>
  <c r="CB48" i="41"/>
  <c r="CB52" i="41"/>
  <c r="CB34" i="41"/>
  <c r="CB38" i="41"/>
  <c r="S38" i="41" s="1"/>
  <c r="CG17" i="41"/>
  <c r="CB40" i="41"/>
  <c r="CB44" i="41"/>
  <c r="CG44" i="41"/>
  <c r="S64" i="41"/>
  <c r="CB32" i="41"/>
  <c r="CG38" i="41"/>
  <c r="CB42" i="41"/>
  <c r="CB62" i="41"/>
  <c r="CB46" i="41"/>
  <c r="CB50" i="41"/>
  <c r="S63" i="41"/>
  <c r="CG12" i="41"/>
  <c r="AD15" i="39"/>
  <c r="AD14" i="39"/>
  <c r="CM93" i="39"/>
  <c r="CB20" i="41"/>
  <c r="CG24" i="41"/>
  <c r="CF28" i="41"/>
  <c r="CB54" i="41"/>
  <c r="CG13" i="41"/>
  <c r="CG15" i="41"/>
  <c r="CG18" i="41"/>
  <c r="CC21" i="41"/>
  <c r="CF25" i="41"/>
  <c r="CG36" i="41"/>
  <c r="CG42" i="41"/>
  <c r="CG48" i="41"/>
  <c r="CG54" i="41"/>
  <c r="AD13" i="39"/>
  <c r="CF19" i="41"/>
  <c r="CF22" i="41"/>
  <c r="CF27" i="41"/>
  <c r="CG34" i="41"/>
  <c r="CG40" i="41"/>
  <c r="CG46" i="41"/>
  <c r="CG52" i="41"/>
  <c r="CG58" i="41"/>
  <c r="CC12" i="41"/>
  <c r="CB17" i="41"/>
  <c r="CF43" i="41"/>
  <c r="CF47" i="41"/>
  <c r="CF51" i="41"/>
  <c r="CF57" i="41"/>
  <c r="CF32" i="41"/>
  <c r="CG35" i="41"/>
  <c r="CG37" i="41"/>
  <c r="CG39" i="41"/>
  <c r="CG41" i="41"/>
  <c r="CG43" i="41"/>
  <c r="CG45" i="41"/>
  <c r="CG47" i="41"/>
  <c r="CG49" i="41"/>
  <c r="CG51" i="41"/>
  <c r="CG53" i="41"/>
  <c r="CG55" i="41"/>
  <c r="S56" i="41"/>
  <c r="CG57" i="41"/>
  <c r="CG61" i="41"/>
  <c r="CF35" i="41"/>
  <c r="CF45" i="41"/>
  <c r="CF49" i="41"/>
  <c r="CF55" i="41"/>
  <c r="CF61" i="41"/>
  <c r="CB35" i="41"/>
  <c r="S35" i="41" s="1"/>
  <c r="CB37" i="41"/>
  <c r="S37" i="41" s="1"/>
  <c r="CB39" i="41"/>
  <c r="S39" i="41" s="1"/>
  <c r="CB41" i="41"/>
  <c r="S41" i="41" s="1"/>
  <c r="CB43" i="41"/>
  <c r="S43" i="41" s="1"/>
  <c r="CB45" i="41"/>
  <c r="S45" i="41" s="1"/>
  <c r="CB47" i="41"/>
  <c r="S47" i="41" s="1"/>
  <c r="CB49" i="41"/>
  <c r="S49" i="41" s="1"/>
  <c r="CB51" i="41"/>
  <c r="S51" i="41" s="1"/>
  <c r="CB53" i="41"/>
  <c r="S53" i="41" s="1"/>
  <c r="CB55" i="41"/>
  <c r="S55" i="41" s="1"/>
  <c r="CB57" i="41"/>
  <c r="S57" i="41" s="1"/>
  <c r="CB61" i="41"/>
  <c r="S61" i="41" s="1"/>
  <c r="CF62" i="41"/>
  <c r="CF37" i="41"/>
  <c r="CF39" i="41"/>
  <c r="CF41" i="41"/>
  <c r="CF53" i="41"/>
  <c r="CM125" i="39"/>
  <c r="S44" i="41" l="1"/>
  <c r="CF12" i="41"/>
  <c r="CB12" i="41"/>
  <c r="V12" i="41" s="1"/>
  <c r="CB14" i="41"/>
  <c r="CC14" i="41"/>
  <c r="CF21" i="41"/>
  <c r="S42" i="41"/>
  <c r="CF14" i="41"/>
  <c r="S40" i="41"/>
  <c r="CC13" i="41"/>
  <c r="S36" i="41"/>
  <c r="CB25" i="41"/>
  <c r="CC25" i="41"/>
  <c r="CB21" i="41"/>
  <c r="V21" i="41" s="1"/>
  <c r="CG25" i="41"/>
  <c r="S62" i="41"/>
  <c r="S54" i="41"/>
  <c r="S48" i="41"/>
  <c r="S58" i="41"/>
  <c r="S52" i="41"/>
  <c r="CC27" i="41"/>
  <c r="CC17" i="41"/>
  <c r="V17" i="41" s="1"/>
  <c r="CG21" i="41"/>
  <c r="CF17" i="41"/>
  <c r="S46" i="41"/>
  <c r="S34" i="41"/>
  <c r="CB15" i="41"/>
  <c r="CC15" i="41"/>
  <c r="CG28" i="41"/>
  <c r="CG27" i="41"/>
  <c r="CB28" i="41"/>
  <c r="CB22" i="41"/>
  <c r="CB27" i="41"/>
  <c r="CC28" i="41"/>
  <c r="S32" i="41"/>
  <c r="S50" i="41"/>
  <c r="CB13" i="41"/>
  <c r="CC20" i="41"/>
  <c r="V20" i="41" s="1"/>
  <c r="CC24" i="41"/>
  <c r="CB24" i="41"/>
  <c r="CF24" i="41"/>
  <c r="CB19" i="41"/>
  <c r="CC19" i="41"/>
  <c r="CG19" i="41"/>
  <c r="CG20" i="41"/>
  <c r="CF20" i="41"/>
  <c r="CC18" i="41"/>
  <c r="CF18" i="41"/>
  <c r="B198" i="41"/>
  <c r="E25" i="18" s="1"/>
  <c r="CB18" i="41"/>
  <c r="O125" i="39"/>
  <c r="C160" i="39"/>
  <c r="D20" i="18" s="1"/>
  <c r="CG22" i="41"/>
  <c r="CC22" i="41"/>
  <c r="CF15" i="41"/>
  <c r="CF13" i="41"/>
  <c r="V14" i="41" l="1"/>
  <c r="V13" i="41"/>
  <c r="V27" i="41"/>
  <c r="V24" i="41"/>
  <c r="V22" i="41"/>
  <c r="S60" i="41"/>
  <c r="S33" i="41"/>
  <c r="V25" i="41"/>
  <c r="V15" i="41"/>
  <c r="V28" i="41"/>
  <c r="V19" i="41"/>
  <c r="C198" i="41"/>
  <c r="D25" i="18" s="1"/>
  <c r="V18" i="41"/>
  <c r="L11" i="38" l="1"/>
  <c r="K11" i="38"/>
  <c r="J11" i="38"/>
  <c r="I11" i="38"/>
  <c r="H11" i="38"/>
  <c r="G11" i="38"/>
  <c r="F11" i="38"/>
  <c r="E11" i="38"/>
  <c r="D11" i="38"/>
  <c r="C11" i="38" l="1"/>
  <c r="CJ103" i="37"/>
  <c r="CB103" i="37"/>
  <c r="F103" i="37" s="1"/>
  <c r="CJ102" i="37"/>
  <c r="CB102" i="37"/>
  <c r="F102" i="37" s="1"/>
  <c r="CJ101" i="37"/>
  <c r="CB101" i="37"/>
  <c r="F101" i="37" s="1"/>
  <c r="CJ100" i="37"/>
  <c r="F100" i="37"/>
  <c r="CJ97" i="37"/>
  <c r="CB97" i="37"/>
  <c r="F97" i="37" s="1"/>
  <c r="CJ96" i="37"/>
  <c r="CB96" i="37"/>
  <c r="F96" i="37" s="1"/>
  <c r="CJ95" i="37"/>
  <c r="CB95" i="37"/>
  <c r="F95" i="37" s="1"/>
  <c r="CB92" i="37"/>
  <c r="CC92" i="37"/>
  <c r="CB91" i="37"/>
  <c r="CC91" i="37"/>
  <c r="CB90" i="37"/>
  <c r="CC90" i="37"/>
  <c r="CB89" i="37"/>
  <c r="CC89" i="37"/>
  <c r="CB88" i="37"/>
  <c r="CC88" i="37"/>
  <c r="CB87" i="37"/>
  <c r="CC87" i="37"/>
  <c r="CB86" i="37"/>
  <c r="CC86" i="37"/>
  <c r="CB85" i="37"/>
  <c r="CC85" i="37"/>
  <c r="CB84" i="37"/>
  <c r="CC84" i="37"/>
  <c r="CB83" i="37"/>
  <c r="CC83" i="37"/>
  <c r="CB82" i="37"/>
  <c r="CC82" i="37"/>
  <c r="CB81" i="37"/>
  <c r="CC81" i="37"/>
  <c r="CB88" i="36"/>
  <c r="CB87" i="36"/>
  <c r="CB86" i="36"/>
  <c r="CB84" i="36"/>
  <c r="CB83" i="36"/>
  <c r="CB82" i="36"/>
  <c r="CB80" i="36"/>
  <c r="CB79" i="36"/>
  <c r="CB78" i="36"/>
  <c r="CB73" i="36"/>
  <c r="CB71" i="36"/>
  <c r="CB70" i="36"/>
  <c r="CB68" i="36"/>
  <c r="CB67" i="36"/>
  <c r="CB65" i="36"/>
  <c r="CB64" i="36"/>
  <c r="CB47" i="36"/>
  <c r="CB46" i="36"/>
  <c r="CB45" i="36"/>
  <c r="CB44" i="36"/>
  <c r="CB43" i="36"/>
  <c r="CB42" i="36"/>
  <c r="CB41" i="36"/>
  <c r="CB40" i="36"/>
  <c r="CB32" i="36"/>
  <c r="CB31" i="36"/>
  <c r="CB30" i="36"/>
  <c r="CB29" i="36"/>
  <c r="CB28" i="36"/>
  <c r="CB27" i="36"/>
  <c r="CB19" i="36"/>
  <c r="CB18" i="36"/>
  <c r="CB16" i="36"/>
  <c r="CB15" i="36"/>
  <c r="CB13" i="36"/>
  <c r="CB12" i="36"/>
  <c r="AN320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19" i="34"/>
  <c r="E319" i="34"/>
  <c r="F318" i="34"/>
  <c r="E318" i="34"/>
  <c r="F317" i="34"/>
  <c r="E317" i="34"/>
  <c r="F316" i="34"/>
  <c r="E316" i="34"/>
  <c r="F315" i="34"/>
  <c r="E315" i="34"/>
  <c r="F314" i="34"/>
  <c r="E314" i="34"/>
  <c r="AN313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2" i="34"/>
  <c r="E312" i="34"/>
  <c r="F311" i="34"/>
  <c r="E311" i="34"/>
  <c r="F310" i="34"/>
  <c r="E310" i="34"/>
  <c r="F309" i="34"/>
  <c r="E309" i="34"/>
  <c r="F308" i="34"/>
  <c r="E308" i="34"/>
  <c r="F307" i="34"/>
  <c r="E307" i="34"/>
  <c r="F306" i="34"/>
  <c r="E306" i="34"/>
  <c r="F305" i="34"/>
  <c r="E305" i="34"/>
  <c r="F304" i="34"/>
  <c r="E304" i="34"/>
  <c r="F303" i="34"/>
  <c r="E303" i="34"/>
  <c r="F302" i="34"/>
  <c r="E302" i="34"/>
  <c r="AN301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0" i="34"/>
  <c r="E300" i="34"/>
  <c r="F299" i="34"/>
  <c r="E299" i="34"/>
  <c r="F298" i="34"/>
  <c r="E298" i="34"/>
  <c r="F297" i="34"/>
  <c r="E297" i="34"/>
  <c r="F296" i="34"/>
  <c r="E296" i="34"/>
  <c r="F295" i="34"/>
  <c r="E295" i="34"/>
  <c r="F294" i="34"/>
  <c r="E294" i="34"/>
  <c r="F293" i="34"/>
  <c r="E293" i="34"/>
  <c r="F292" i="34"/>
  <c r="E292" i="34"/>
  <c r="F291" i="34"/>
  <c r="E291" i="34"/>
  <c r="F290" i="34"/>
  <c r="E290" i="34"/>
  <c r="AN289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8" i="34"/>
  <c r="E288" i="34"/>
  <c r="F287" i="34"/>
  <c r="E287" i="34"/>
  <c r="F286" i="34"/>
  <c r="E286" i="34"/>
  <c r="F285" i="34"/>
  <c r="E285" i="34"/>
  <c r="F284" i="34"/>
  <c r="E284" i="34"/>
  <c r="F283" i="34"/>
  <c r="E283" i="34"/>
  <c r="AN282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1" i="34"/>
  <c r="E281" i="34"/>
  <c r="F280" i="34"/>
  <c r="E280" i="34"/>
  <c r="F279" i="34"/>
  <c r="E279" i="34"/>
  <c r="F278" i="34"/>
  <c r="E278" i="34"/>
  <c r="F277" i="34"/>
  <c r="E277" i="34"/>
  <c r="F276" i="34"/>
  <c r="E276" i="34"/>
  <c r="AX275" i="34"/>
  <c r="AX321" i="34" s="1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N275" i="34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4" i="34"/>
  <c r="E274" i="34"/>
  <c r="F273" i="34"/>
  <c r="E273" i="34"/>
  <c r="G216" i="34"/>
  <c r="F216" i="34"/>
  <c r="E216" i="34"/>
  <c r="D216" i="34"/>
  <c r="AJ205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V198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R190" i="34"/>
  <c r="Q190" i="34"/>
  <c r="P190" i="34"/>
  <c r="O190" i="34"/>
  <c r="N190" i="34"/>
  <c r="M190" i="34"/>
  <c r="L190" i="34"/>
  <c r="K190" i="34"/>
  <c r="J190" i="34"/>
  <c r="I190" i="34"/>
  <c r="H190" i="34"/>
  <c r="G190" i="34"/>
  <c r="J97" i="34"/>
  <c r="I97" i="34"/>
  <c r="H97" i="34"/>
  <c r="G97" i="34"/>
  <c r="C79" i="34"/>
  <c r="CL66" i="34"/>
  <c r="CM65" i="34"/>
  <c r="CL64" i="34"/>
  <c r="CM63" i="34"/>
  <c r="CM61" i="34"/>
  <c r="K54" i="34"/>
  <c r="J54" i="34"/>
  <c r="I54" i="34"/>
  <c r="H54" i="34"/>
  <c r="G54" i="34"/>
  <c r="F54" i="34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CC17" i="33"/>
  <c r="CC16" i="33"/>
  <c r="CC15" i="33"/>
  <c r="CC14" i="33"/>
  <c r="CC13" i="33"/>
  <c r="CB12" i="33"/>
  <c r="G11" i="33"/>
  <c r="F11" i="33"/>
  <c r="E11" i="33"/>
  <c r="D11" i="33"/>
  <c r="CN82" i="32"/>
  <c r="CN81" i="32"/>
  <c r="CB78" i="32"/>
  <c r="M74" i="32"/>
  <c r="L74" i="32"/>
  <c r="K74" i="32"/>
  <c r="J74" i="32"/>
  <c r="I74" i="32"/>
  <c r="H74" i="32"/>
  <c r="F74" i="32"/>
  <c r="E74" i="32"/>
  <c r="CC46" i="32"/>
  <c r="CO39" i="32"/>
  <c r="CR36" i="32"/>
  <c r="D277" i="34" l="1"/>
  <c r="CL70" i="32"/>
  <c r="CS26" i="32"/>
  <c r="CP26" i="32"/>
  <c r="CN26" i="32"/>
  <c r="CQ26" i="32"/>
  <c r="CM26" i="32"/>
  <c r="CR26" i="32"/>
  <c r="CO26" i="32"/>
  <c r="CP25" i="32"/>
  <c r="CM25" i="32"/>
  <c r="CQ25" i="32"/>
  <c r="CN25" i="32"/>
  <c r="CO25" i="32"/>
  <c r="CR25" i="32"/>
  <c r="CS25" i="32"/>
  <c r="CO24" i="32"/>
  <c r="CQ24" i="32"/>
  <c r="CR24" i="32"/>
  <c r="CN24" i="32"/>
  <c r="CS24" i="32"/>
  <c r="CM24" i="32"/>
  <c r="CP24" i="32"/>
  <c r="CM23" i="32"/>
  <c r="CO23" i="32"/>
  <c r="CS23" i="32"/>
  <c r="CN23" i="32"/>
  <c r="CP23" i="32"/>
  <c r="CQ23" i="32"/>
  <c r="CR23" i="32"/>
  <c r="CO32" i="32"/>
  <c r="CP32" i="32"/>
  <c r="CR32" i="32"/>
  <c r="CS32" i="32"/>
  <c r="CQ32" i="32"/>
  <c r="CR31" i="32"/>
  <c r="CQ31" i="32"/>
  <c r="CS31" i="32"/>
  <c r="CO31" i="32"/>
  <c r="CP31" i="32"/>
  <c r="CR30" i="32"/>
  <c r="CS30" i="32"/>
  <c r="CS29" i="32"/>
  <c r="CR29" i="32"/>
  <c r="CS28" i="32"/>
  <c r="CP28" i="32"/>
  <c r="CQ28" i="32"/>
  <c r="CO28" i="32"/>
  <c r="CR28" i="32"/>
  <c r="CR27" i="32"/>
  <c r="CO27" i="32"/>
  <c r="CS27" i="32"/>
  <c r="CP27" i="32"/>
  <c r="CQ27" i="32"/>
  <c r="CP22" i="32"/>
  <c r="CR22" i="32"/>
  <c r="CS22" i="32"/>
  <c r="CQ22" i="32"/>
  <c r="CN22" i="32"/>
  <c r="CM22" i="32"/>
  <c r="CR21" i="32"/>
  <c r="CQ21" i="32"/>
  <c r="CM21" i="32"/>
  <c r="CS21" i="32"/>
  <c r="CN21" i="32"/>
  <c r="CP21" i="32"/>
  <c r="CP20" i="32"/>
  <c r="CQ20" i="32"/>
  <c r="CN20" i="32"/>
  <c r="CR20" i="32"/>
  <c r="CM20" i="32"/>
  <c r="CS20" i="32"/>
  <c r="CR19" i="32"/>
  <c r="CN19" i="32"/>
  <c r="CM19" i="32"/>
  <c r="CS19" i="32"/>
  <c r="CP19" i="32"/>
  <c r="CQ19" i="32"/>
  <c r="CR18" i="32"/>
  <c r="CP18" i="32"/>
  <c r="CS18" i="32"/>
  <c r="CQ18" i="32"/>
  <c r="CS17" i="32"/>
  <c r="CP17" i="32"/>
  <c r="CQ17" i="32"/>
  <c r="CR17" i="32"/>
  <c r="CR16" i="32"/>
  <c r="CS16" i="32"/>
  <c r="CP16" i="32"/>
  <c r="CQ16" i="32"/>
  <c r="CR15" i="32"/>
  <c r="CS15" i="32"/>
  <c r="CQ15" i="32"/>
  <c r="CP15" i="32"/>
  <c r="CR14" i="32"/>
  <c r="CS14" i="32"/>
  <c r="CP14" i="32"/>
  <c r="CM14" i="32"/>
  <c r="CQ14" i="32"/>
  <c r="CR12" i="32"/>
  <c r="CS12" i="32"/>
  <c r="CQ12" i="32"/>
  <c r="CP12" i="32"/>
  <c r="CO12" i="32"/>
  <c r="B90" i="38"/>
  <c r="E17" i="18" s="1"/>
  <c r="CL13" i="32"/>
  <c r="CE70" i="32"/>
  <c r="CD70" i="32"/>
  <c r="CC70" i="32"/>
  <c r="CB70" i="32"/>
  <c r="CK86" i="37"/>
  <c r="CL83" i="37"/>
  <c r="CL87" i="37"/>
  <c r="CL91" i="37"/>
  <c r="CK82" i="37"/>
  <c r="CE204" i="34"/>
  <c r="CC204" i="34"/>
  <c r="CK83" i="37"/>
  <c r="CK87" i="37"/>
  <c r="CK91" i="37"/>
  <c r="CD71" i="32"/>
  <c r="CE71" i="32"/>
  <c r="CC71" i="32"/>
  <c r="CB71" i="32"/>
  <c r="CL84" i="37"/>
  <c r="CL88" i="37"/>
  <c r="CL92" i="37"/>
  <c r="CB72" i="32"/>
  <c r="CE72" i="32"/>
  <c r="CC72" i="32"/>
  <c r="CD72" i="32"/>
  <c r="CK84" i="37"/>
  <c r="CK88" i="37"/>
  <c r="CK92" i="37"/>
  <c r="CK90" i="37"/>
  <c r="CL81" i="37"/>
  <c r="CL85" i="37"/>
  <c r="CL89" i="37"/>
  <c r="CQ37" i="32"/>
  <c r="CO37" i="32"/>
  <c r="CR37" i="32"/>
  <c r="CP37" i="32"/>
  <c r="CD73" i="32"/>
  <c r="CC73" i="32"/>
  <c r="CE73" i="32"/>
  <c r="CB73" i="32"/>
  <c r="CK85" i="37"/>
  <c r="CK89" i="37"/>
  <c r="CR39" i="32"/>
  <c r="CP39" i="32"/>
  <c r="CQ39" i="32"/>
  <c r="CQ36" i="32"/>
  <c r="CP36" i="32"/>
  <c r="CO36" i="32"/>
  <c r="CP38" i="32"/>
  <c r="CO38" i="32"/>
  <c r="CR38" i="32"/>
  <c r="CQ38" i="32"/>
  <c r="CB36" i="34"/>
  <c r="CB40" i="34"/>
  <c r="CL82" i="37"/>
  <c r="CL86" i="37"/>
  <c r="CL90" i="37"/>
  <c r="CD203" i="34"/>
  <c r="CB203" i="34"/>
  <c r="CE203" i="34"/>
  <c r="CC203" i="34"/>
  <c r="CN204" i="34"/>
  <c r="CB204" i="34"/>
  <c r="CL204" i="34"/>
  <c r="CD204" i="34"/>
  <c r="CO204" i="34"/>
  <c r="CM204" i="34"/>
  <c r="CH36" i="32"/>
  <c r="CE36" i="32"/>
  <c r="CF36" i="32"/>
  <c r="CG36" i="32"/>
  <c r="CF38" i="32"/>
  <c r="CG38" i="32"/>
  <c r="CE38" i="32"/>
  <c r="CH38" i="32"/>
  <c r="CG37" i="32"/>
  <c r="CH37" i="32"/>
  <c r="CE37" i="32"/>
  <c r="CF37" i="32"/>
  <c r="CF39" i="32"/>
  <c r="CG39" i="32"/>
  <c r="CH39" i="32"/>
  <c r="CE39" i="32"/>
  <c r="CK81" i="37"/>
  <c r="CL24" i="37"/>
  <c r="CC24" i="37"/>
  <c r="CC28" i="37"/>
  <c r="CL28" i="37"/>
  <c r="CC32" i="37"/>
  <c r="CL32" i="37"/>
  <c r="CC36" i="37"/>
  <c r="CL36" i="37"/>
  <c r="CC40" i="37"/>
  <c r="CL40" i="37"/>
  <c r="CC52" i="37"/>
  <c r="CL52" i="37"/>
  <c r="CC56" i="37"/>
  <c r="CL56" i="37"/>
  <c r="CC60" i="37"/>
  <c r="CL60" i="37"/>
  <c r="CC66" i="37"/>
  <c r="CL66" i="37"/>
  <c r="CD17" i="37"/>
  <c r="CM17" i="37"/>
  <c r="CD21" i="37"/>
  <c r="CM21" i="37"/>
  <c r="CD25" i="37"/>
  <c r="CM25" i="37"/>
  <c r="CM29" i="37"/>
  <c r="CD29" i="37"/>
  <c r="CD33" i="37"/>
  <c r="CM33" i="37"/>
  <c r="CM37" i="37"/>
  <c r="CD37" i="37"/>
  <c r="CD41" i="37"/>
  <c r="CM41" i="37"/>
  <c r="CM45" i="37"/>
  <c r="CD45" i="37"/>
  <c r="CD49" i="37"/>
  <c r="CM49" i="37"/>
  <c r="CM53" i="37"/>
  <c r="CD53" i="37"/>
  <c r="CM57" i="37"/>
  <c r="CD57" i="37"/>
  <c r="CM61" i="37"/>
  <c r="CD61" i="37"/>
  <c r="CC67" i="37"/>
  <c r="CL67" i="37"/>
  <c r="CL16" i="37"/>
  <c r="CC16" i="37"/>
  <c r="CC48" i="37"/>
  <c r="CL48" i="37"/>
  <c r="CC21" i="37"/>
  <c r="CL21" i="37"/>
  <c r="CL29" i="37"/>
  <c r="CC29" i="37"/>
  <c r="CL37" i="37"/>
  <c r="CC37" i="37"/>
  <c r="CL45" i="37"/>
  <c r="CC45" i="37"/>
  <c r="CL53" i="37"/>
  <c r="CC53" i="37"/>
  <c r="CL61" i="37"/>
  <c r="CC61" i="37"/>
  <c r="CD14" i="37"/>
  <c r="CM14" i="37"/>
  <c r="CD18" i="37"/>
  <c r="CM18" i="37"/>
  <c r="CD22" i="37"/>
  <c r="CM22" i="37"/>
  <c r="CD26" i="37"/>
  <c r="CM26" i="37"/>
  <c r="CD30" i="37"/>
  <c r="CM30" i="37"/>
  <c r="CD34" i="37"/>
  <c r="CM34" i="37"/>
  <c r="CD38" i="37"/>
  <c r="CM38" i="37"/>
  <c r="CD42" i="37"/>
  <c r="CM42" i="37"/>
  <c r="CD46" i="37"/>
  <c r="CM46" i="37"/>
  <c r="CD50" i="37"/>
  <c r="CM50" i="37"/>
  <c r="CD54" i="37"/>
  <c r="CM54" i="37"/>
  <c r="CD58" i="37"/>
  <c r="CM58" i="37"/>
  <c r="CD62" i="37"/>
  <c r="CM62" i="37"/>
  <c r="CC68" i="37"/>
  <c r="CL68" i="37"/>
  <c r="CL20" i="37"/>
  <c r="CC20" i="37"/>
  <c r="CC44" i="37"/>
  <c r="CL44" i="37"/>
  <c r="CC17" i="37"/>
  <c r="CL17" i="37"/>
  <c r="CC25" i="37"/>
  <c r="CL25" i="37"/>
  <c r="CL33" i="37"/>
  <c r="CC33" i="37"/>
  <c r="CL41" i="37"/>
  <c r="CC41" i="37"/>
  <c r="CL49" i="37"/>
  <c r="CC49" i="37"/>
  <c r="CL57" i="37"/>
  <c r="CC57" i="37"/>
  <c r="CD68" i="37"/>
  <c r="CM68" i="37"/>
  <c r="CC14" i="37"/>
  <c r="CL14" i="37"/>
  <c r="CL18" i="37"/>
  <c r="CC18" i="37"/>
  <c r="CL22" i="37"/>
  <c r="CC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D19" i="37"/>
  <c r="CM19" i="37"/>
  <c r="CM27" i="37"/>
  <c r="CD27" i="37"/>
  <c r="CD35" i="37"/>
  <c r="CM35" i="37"/>
  <c r="CD43" i="37"/>
  <c r="CM43" i="37"/>
  <c r="CD51" i="37"/>
  <c r="CM51" i="37"/>
  <c r="CD15" i="37"/>
  <c r="CM15" i="37"/>
  <c r="CD23" i="37"/>
  <c r="CM23" i="37"/>
  <c r="CD31" i="37"/>
  <c r="CM31" i="37"/>
  <c r="CD39" i="37"/>
  <c r="CM39" i="37"/>
  <c r="CD47" i="37"/>
  <c r="CM47" i="37"/>
  <c r="CD55" i="37"/>
  <c r="CM55" i="37"/>
  <c r="CD59" i="37"/>
  <c r="CM59" i="37"/>
  <c r="CC63" i="37"/>
  <c r="CL63" i="37"/>
  <c r="CC15" i="37"/>
  <c r="CL15" i="37"/>
  <c r="CC19" i="37"/>
  <c r="CL19" i="37"/>
  <c r="CC23" i="37"/>
  <c r="CL23" i="37"/>
  <c r="CC27" i="37"/>
  <c r="CL27" i="37"/>
  <c r="CC31" i="37"/>
  <c r="CL31" i="37"/>
  <c r="CC35" i="37"/>
  <c r="CL35" i="37"/>
  <c r="CC39" i="37"/>
  <c r="CL39" i="37"/>
  <c r="CC43" i="37"/>
  <c r="CL43" i="37"/>
  <c r="CC47" i="37"/>
  <c r="CL47" i="37"/>
  <c r="CC51" i="37"/>
  <c r="CL51" i="37"/>
  <c r="CC55" i="37"/>
  <c r="CL55" i="37"/>
  <c r="CC59" i="37"/>
  <c r="CL59" i="37"/>
  <c r="CC64" i="37"/>
  <c r="CL64" i="37"/>
  <c r="CM16" i="37"/>
  <c r="CD16" i="37"/>
  <c r="CM20" i="37"/>
  <c r="CD20" i="37"/>
  <c r="CM24" i="37"/>
  <c r="CD24" i="37"/>
  <c r="CD28" i="37"/>
  <c r="CM28" i="37"/>
  <c r="CD32" i="37"/>
  <c r="CM32" i="37"/>
  <c r="CD36" i="37"/>
  <c r="CM36" i="37"/>
  <c r="CD40" i="37"/>
  <c r="CM40" i="37"/>
  <c r="CD44" i="37"/>
  <c r="CM44" i="37"/>
  <c r="CD48" i="37"/>
  <c r="CM48" i="37"/>
  <c r="CD52" i="37"/>
  <c r="CM52" i="37"/>
  <c r="CD56" i="37"/>
  <c r="CM56" i="37"/>
  <c r="CD60" i="37"/>
  <c r="CM60" i="37"/>
  <c r="CL65" i="37"/>
  <c r="CC65" i="37"/>
  <c r="CM13" i="37"/>
  <c r="CD13" i="37"/>
  <c r="CL13" i="37"/>
  <c r="CC13" i="37"/>
  <c r="CL203" i="34"/>
  <c r="CN203" i="34"/>
  <c r="CM203" i="34"/>
  <c r="CO203" i="34"/>
  <c r="CB30" i="34"/>
  <c r="CN78" i="32"/>
  <c r="CL78" i="32"/>
  <c r="CE78" i="32"/>
  <c r="CD78" i="32"/>
  <c r="CC78" i="32"/>
  <c r="D291" i="34"/>
  <c r="CB34" i="33"/>
  <c r="CB27" i="34"/>
  <c r="D288" i="34"/>
  <c r="D308" i="34"/>
  <c r="D290" i="34"/>
  <c r="D302" i="34"/>
  <c r="D318" i="34"/>
  <c r="C90" i="38"/>
  <c r="D17" i="18" s="1"/>
  <c r="CC22" i="33"/>
  <c r="CI13" i="36"/>
  <c r="CH13" i="36"/>
  <c r="CC13" i="36"/>
  <c r="CI28" i="36"/>
  <c r="CH28" i="36"/>
  <c r="CC28" i="36"/>
  <c r="CH47" i="36"/>
  <c r="CC47" i="36"/>
  <c r="CI47" i="36"/>
  <c r="CI71" i="36"/>
  <c r="CC71" i="36"/>
  <c r="O71" i="36" s="1"/>
  <c r="CH71" i="36"/>
  <c r="E198" i="34"/>
  <c r="CH15" i="36"/>
  <c r="CC15" i="36"/>
  <c r="O15" i="36" s="1"/>
  <c r="CI15" i="36"/>
  <c r="CI29" i="36"/>
  <c r="CH29" i="36"/>
  <c r="CC29" i="36"/>
  <c r="CI42" i="36"/>
  <c r="CH42" i="36"/>
  <c r="CC42" i="36"/>
  <c r="CH64" i="36"/>
  <c r="CC64" i="36"/>
  <c r="CI64" i="36"/>
  <c r="CH73" i="36"/>
  <c r="CC73" i="36"/>
  <c r="O73" i="36" s="1"/>
  <c r="CI73" i="36"/>
  <c r="CH84" i="36"/>
  <c r="CC84" i="36"/>
  <c r="CI84" i="36"/>
  <c r="CH41" i="36"/>
  <c r="CC41" i="36"/>
  <c r="O41" i="36" s="1"/>
  <c r="CI41" i="36"/>
  <c r="CI83" i="36"/>
  <c r="CC83" i="36"/>
  <c r="CH83" i="36"/>
  <c r="CC48" i="34"/>
  <c r="D284" i="34"/>
  <c r="D287" i="34"/>
  <c r="D298" i="34"/>
  <c r="CC16" i="36"/>
  <c r="O16" i="36" s="1"/>
  <c r="CI16" i="36"/>
  <c r="CH16" i="36"/>
  <c r="CI30" i="36"/>
  <c r="CH30" i="36"/>
  <c r="CC30" i="36"/>
  <c r="CI43" i="36"/>
  <c r="CH43" i="36"/>
  <c r="CC43" i="36"/>
  <c r="CC65" i="36"/>
  <c r="CI65" i="36"/>
  <c r="CH65" i="36"/>
  <c r="CI78" i="36"/>
  <c r="CC78" i="36"/>
  <c r="CH78" i="36"/>
  <c r="CI86" i="36"/>
  <c r="CC86" i="36"/>
  <c r="CH86" i="36"/>
  <c r="CH19" i="36"/>
  <c r="CI19" i="36"/>
  <c r="CC19" i="36"/>
  <c r="CI32" i="36"/>
  <c r="CH32" i="36"/>
  <c r="CC32" i="36"/>
  <c r="CC45" i="36"/>
  <c r="CI45" i="36"/>
  <c r="CH45" i="36"/>
  <c r="CH68" i="36"/>
  <c r="CC68" i="36"/>
  <c r="O68" i="36" s="1"/>
  <c r="CI68" i="36"/>
  <c r="CH80" i="36"/>
  <c r="CI80" i="36"/>
  <c r="CC80" i="36"/>
  <c r="O80" i="36" s="1"/>
  <c r="CH88" i="36"/>
  <c r="CI88" i="36"/>
  <c r="CC88" i="36"/>
  <c r="CC18" i="36"/>
  <c r="CI18" i="36"/>
  <c r="CH18" i="36"/>
  <c r="CI31" i="36"/>
  <c r="CH31" i="36"/>
  <c r="CC31" i="36"/>
  <c r="CC44" i="36"/>
  <c r="CI44" i="36"/>
  <c r="CH44" i="36"/>
  <c r="CI67" i="36"/>
  <c r="CC67" i="36"/>
  <c r="O67" i="36" s="1"/>
  <c r="CH67" i="36"/>
  <c r="CI79" i="36"/>
  <c r="CC79" i="36"/>
  <c r="CH79" i="36"/>
  <c r="CI87" i="36"/>
  <c r="CC87" i="36"/>
  <c r="O87" i="36" s="1"/>
  <c r="CH87" i="36"/>
  <c r="CB25" i="34"/>
  <c r="CI12" i="36"/>
  <c r="CH12" i="36"/>
  <c r="CC12" i="36"/>
  <c r="CH27" i="36"/>
  <c r="CI27" i="36"/>
  <c r="CC27" i="36"/>
  <c r="CI40" i="36"/>
  <c r="CH40" i="36"/>
  <c r="CC40" i="36"/>
  <c r="CH46" i="36"/>
  <c r="CC46" i="36"/>
  <c r="O46" i="36" s="1"/>
  <c r="CI46" i="36"/>
  <c r="CC70" i="36"/>
  <c r="CI70" i="36"/>
  <c r="CH70" i="36"/>
  <c r="CI82" i="36"/>
  <c r="CC82" i="36"/>
  <c r="O82" i="36" s="1"/>
  <c r="CH82" i="36"/>
  <c r="CC51" i="32"/>
  <c r="E21" i="33"/>
  <c r="CD21" i="33" s="1"/>
  <c r="CB31" i="34"/>
  <c r="CC74" i="34"/>
  <c r="CB32" i="34"/>
  <c r="CF46" i="37"/>
  <c r="CH14" i="33"/>
  <c r="CB14" i="33"/>
  <c r="CG17" i="33"/>
  <c r="CB17" i="33"/>
  <c r="CG13" i="33"/>
  <c r="CB13" i="33"/>
  <c r="CG15" i="33"/>
  <c r="CB15" i="33"/>
  <c r="CH16" i="33"/>
  <c r="CB16" i="33"/>
  <c r="CO70" i="32"/>
  <c r="CN70" i="32"/>
  <c r="CN72" i="32"/>
  <c r="CO72" i="32"/>
  <c r="CN71" i="32"/>
  <c r="CO71" i="32"/>
  <c r="CN73" i="32"/>
  <c r="CO73" i="32"/>
  <c r="CC54" i="32"/>
  <c r="CM72" i="32"/>
  <c r="CL72" i="32"/>
  <c r="CL71" i="32"/>
  <c r="CM71" i="32"/>
  <c r="CM70" i="32"/>
  <c r="CL73" i="32"/>
  <c r="CM73" i="32"/>
  <c r="CM63" i="32"/>
  <c r="CC12" i="33"/>
  <c r="H12" i="33" s="1"/>
  <c r="CB22" i="34"/>
  <c r="CB61" i="34"/>
  <c r="O321" i="34"/>
  <c r="U321" i="34"/>
  <c r="AA321" i="34"/>
  <c r="AG321" i="34"/>
  <c r="AM321" i="34"/>
  <c r="CB28" i="34"/>
  <c r="CB29" i="34"/>
  <c r="CB34" i="34"/>
  <c r="E97" i="34"/>
  <c r="F198" i="34"/>
  <c r="F205" i="34"/>
  <c r="CB21" i="34"/>
  <c r="CB24" i="34"/>
  <c r="CL212" i="34"/>
  <c r="CB37" i="34"/>
  <c r="D283" i="34"/>
  <c r="D315" i="34"/>
  <c r="CB23" i="34"/>
  <c r="CB33" i="34"/>
  <c r="CB38" i="34"/>
  <c r="CC65" i="34"/>
  <c r="F301" i="34"/>
  <c r="E320" i="34"/>
  <c r="D311" i="34"/>
  <c r="CB39" i="34"/>
  <c r="D295" i="34"/>
  <c r="CC72" i="34"/>
  <c r="D274" i="34"/>
  <c r="CC274" i="34" s="1"/>
  <c r="D285" i="34"/>
  <c r="D314" i="34"/>
  <c r="CB20" i="32"/>
  <c r="CL20" i="32"/>
  <c r="CL29" i="32"/>
  <c r="CF21" i="32"/>
  <c r="CL21" i="32"/>
  <c r="CH17" i="33"/>
  <c r="D294" i="34"/>
  <c r="CL22" i="32"/>
  <c r="CB31" i="32"/>
  <c r="CL31" i="32"/>
  <c r="CC62" i="32"/>
  <c r="F320" i="34"/>
  <c r="CM64" i="34"/>
  <c r="AO275" i="34"/>
  <c r="AO321" i="34" s="1"/>
  <c r="L321" i="34"/>
  <c r="R321" i="34"/>
  <c r="X321" i="34"/>
  <c r="AD321" i="34"/>
  <c r="AJ321" i="34"/>
  <c r="D303" i="34"/>
  <c r="D312" i="34"/>
  <c r="D319" i="34"/>
  <c r="CL14" i="32"/>
  <c r="CL25" i="32"/>
  <c r="CB26" i="32"/>
  <c r="CL26" i="32"/>
  <c r="CC65" i="32"/>
  <c r="CM57" i="34"/>
  <c r="CM66" i="34"/>
  <c r="CB17" i="32"/>
  <c r="CL17" i="32"/>
  <c r="CL28" i="32"/>
  <c r="CB32" i="32"/>
  <c r="CL32" i="32"/>
  <c r="CB18" i="32"/>
  <c r="CL18" i="32"/>
  <c r="CE28" i="32"/>
  <c r="AP275" i="34"/>
  <c r="AP321" i="34" s="1"/>
  <c r="D278" i="34"/>
  <c r="CB15" i="32"/>
  <c r="CL15" i="32"/>
  <c r="CB30" i="32"/>
  <c r="CL30" i="32"/>
  <c r="CB16" i="32"/>
  <c r="CL16" i="32"/>
  <c r="CB27" i="32"/>
  <c r="CL27" i="32"/>
  <c r="F97" i="34"/>
  <c r="CH22" i="32"/>
  <c r="CB19" i="32"/>
  <c r="CL19" i="32"/>
  <c r="CI28" i="32"/>
  <c r="CG23" i="33"/>
  <c r="CC29" i="33"/>
  <c r="CC35" i="33"/>
  <c r="CB26" i="34"/>
  <c r="CB35" i="34"/>
  <c r="CC61" i="34"/>
  <c r="CB65" i="34"/>
  <c r="F190" i="34"/>
  <c r="E205" i="34"/>
  <c r="D279" i="34"/>
  <c r="D299" i="34"/>
  <c r="D304" i="34"/>
  <c r="D307" i="34"/>
  <c r="CL24" i="32"/>
  <c r="CF24" i="32"/>
  <c r="CI23" i="32"/>
  <c r="CL23" i="32"/>
  <c r="CB13" i="32"/>
  <c r="CB12" i="32"/>
  <c r="CL12" i="32"/>
  <c r="CH17" i="32"/>
  <c r="CG22" i="32"/>
  <c r="CC59" i="32"/>
  <c r="CB14" i="32"/>
  <c r="CB21" i="32"/>
  <c r="CB24" i="32"/>
  <c r="CG28" i="32"/>
  <c r="CB28" i="32"/>
  <c r="CH29" i="32"/>
  <c r="CC55" i="32"/>
  <c r="CB22" i="32"/>
  <c r="CB23" i="32"/>
  <c r="CM82" i="32"/>
  <c r="CB29" i="32"/>
  <c r="CC22" i="32"/>
  <c r="CF23" i="32"/>
  <c r="CB25" i="32"/>
  <c r="CM56" i="32"/>
  <c r="CM78" i="32"/>
  <c r="CE25" i="32"/>
  <c r="CI25" i="32"/>
  <c r="CC50" i="32"/>
  <c r="CG21" i="32"/>
  <c r="CF22" i="32"/>
  <c r="CE23" i="32"/>
  <c r="CM60" i="32"/>
  <c r="CC47" i="32"/>
  <c r="CC58" i="32"/>
  <c r="CB82" i="32"/>
  <c r="CI15" i="32"/>
  <c r="CI17" i="32"/>
  <c r="CC21" i="32"/>
  <c r="CG23" i="32"/>
  <c r="CG25" i="32"/>
  <c r="CB45" i="32"/>
  <c r="CD82" i="32"/>
  <c r="CC14" i="32"/>
  <c r="CG14" i="32"/>
  <c r="CI14" i="32"/>
  <c r="CE27" i="32"/>
  <c r="CF15" i="32"/>
  <c r="CH15" i="32"/>
  <c r="CF18" i="32"/>
  <c r="CH18" i="32"/>
  <c r="CI18" i="32"/>
  <c r="CF20" i="32"/>
  <c r="CF32" i="32"/>
  <c r="CB48" i="32"/>
  <c r="CH16" i="32"/>
  <c r="CF19" i="32"/>
  <c r="CG20" i="32"/>
  <c r="CH21" i="32"/>
  <c r="CG27" i="32"/>
  <c r="CL81" i="32"/>
  <c r="CH13" i="32"/>
  <c r="CI16" i="32"/>
  <c r="CF17" i="32"/>
  <c r="CG19" i="32"/>
  <c r="CH20" i="32"/>
  <c r="CC23" i="32"/>
  <c r="CC25" i="32"/>
  <c r="CH27" i="32"/>
  <c r="CH30" i="32"/>
  <c r="CM49" i="32"/>
  <c r="CC64" i="32"/>
  <c r="CO81" i="32"/>
  <c r="CB41" i="34"/>
  <c r="D54" i="34"/>
  <c r="CM55" i="34"/>
  <c r="CC63" i="34"/>
  <c r="CC73" i="34"/>
  <c r="D273" i="34"/>
  <c r="CM273" i="34" s="1"/>
  <c r="J321" i="34"/>
  <c r="P321" i="34"/>
  <c r="V321" i="34"/>
  <c r="AB321" i="34"/>
  <c r="AH321" i="34"/>
  <c r="AN321" i="34"/>
  <c r="CC13" i="32"/>
  <c r="CI13" i="32"/>
  <c r="CH19" i="32"/>
  <c r="CI27" i="32"/>
  <c r="G74" i="32"/>
  <c r="CH24" i="33"/>
  <c r="CB30" i="33"/>
  <c r="E54" i="34"/>
  <c r="K321" i="34"/>
  <c r="Q321" i="34"/>
  <c r="W321" i="34"/>
  <c r="AC321" i="34"/>
  <c r="CM67" i="34"/>
  <c r="CB67" i="34"/>
  <c r="CC20" i="32"/>
  <c r="CB52" i="32"/>
  <c r="CM56" i="34"/>
  <c r="CL62" i="34"/>
  <c r="CM62" i="34"/>
  <c r="CC67" i="34"/>
  <c r="CC61" i="32"/>
  <c r="CF16" i="32"/>
  <c r="CC19" i="32"/>
  <c r="CM57" i="32"/>
  <c r="CD81" i="32"/>
  <c r="CE32" i="32"/>
  <c r="CG13" i="32"/>
  <c r="CI32" i="32"/>
  <c r="CM53" i="32"/>
  <c r="CB63" i="34"/>
  <c r="E282" i="34"/>
  <c r="H321" i="34"/>
  <c r="N321" i="34"/>
  <c r="T321" i="34"/>
  <c r="Z321" i="34"/>
  <c r="AF321" i="34"/>
  <c r="AL321" i="34"/>
  <c r="D281" i="34"/>
  <c r="E289" i="34"/>
  <c r="D297" i="34"/>
  <c r="D309" i="34"/>
  <c r="AI321" i="34"/>
  <c r="D293" i="34"/>
  <c r="D305" i="34"/>
  <c r="D317" i="34"/>
  <c r="E301" i="34"/>
  <c r="F313" i="34"/>
  <c r="G321" i="34"/>
  <c r="M321" i="34"/>
  <c r="S321" i="34"/>
  <c r="Y321" i="34"/>
  <c r="AE321" i="34"/>
  <c r="AK321" i="34"/>
  <c r="F282" i="34"/>
  <c r="F289" i="34"/>
  <c r="E313" i="34"/>
  <c r="CM81" i="37"/>
  <c r="CN13" i="37"/>
  <c r="B150" i="36"/>
  <c r="E15" i="18" s="1"/>
  <c r="CE11" i="32"/>
  <c r="CG11" i="32"/>
  <c r="CI11" i="32"/>
  <c r="I321" i="34"/>
  <c r="E275" i="34"/>
  <c r="CB74" i="34"/>
  <c r="CM20" i="34"/>
  <c r="CL20" i="34"/>
  <c r="CC20" i="34"/>
  <c r="CB20" i="34"/>
  <c r="CL25" i="34"/>
  <c r="CC25" i="34"/>
  <c r="U25" i="34" s="1"/>
  <c r="CL34" i="34"/>
  <c r="CM36" i="34"/>
  <c r="CL36" i="34"/>
  <c r="CC36" i="34"/>
  <c r="U36" i="34" s="1"/>
  <c r="CM39" i="34"/>
  <c r="CM40" i="34"/>
  <c r="CL40" i="34"/>
  <c r="CC40" i="34"/>
  <c r="U40" i="34" s="1"/>
  <c r="CL61" i="34"/>
  <c r="CB62" i="34"/>
  <c r="CL63" i="34"/>
  <c r="CB64" i="34"/>
  <c r="CL65" i="34"/>
  <c r="CB66" i="34"/>
  <c r="CL67" i="34"/>
  <c r="CB212" i="34"/>
  <c r="D276" i="34"/>
  <c r="D292" i="34"/>
  <c r="D306" i="34"/>
  <c r="D316" i="34"/>
  <c r="CC62" i="34"/>
  <c r="CC64" i="34"/>
  <c r="CC66" i="34"/>
  <c r="E190" i="34"/>
  <c r="D286" i="34"/>
  <c r="D296" i="34"/>
  <c r="D310" i="34"/>
  <c r="D280" i="34"/>
  <c r="D300" i="34"/>
  <c r="F275" i="34"/>
  <c r="CC25" i="33"/>
  <c r="CB25" i="33"/>
  <c r="CH25" i="33"/>
  <c r="CG25" i="33"/>
  <c r="CC30" i="33"/>
  <c r="CB35" i="33"/>
  <c r="C11" i="33"/>
  <c r="CH13" i="33"/>
  <c r="CG12" i="33"/>
  <c r="CG14" i="33"/>
  <c r="CG16" i="33"/>
  <c r="CH15" i="33"/>
  <c r="CH12" i="33"/>
  <c r="D21" i="33"/>
  <c r="CC21" i="33" s="1"/>
  <c r="CG12" i="32"/>
  <c r="CI12" i="32"/>
  <c r="CE12" i="32"/>
  <c r="CH12" i="32"/>
  <c r="CF12" i="32"/>
  <c r="CD26" i="32"/>
  <c r="CH24" i="32"/>
  <c r="CF26" i="32"/>
  <c r="CE31" i="32"/>
  <c r="CD24" i="32"/>
  <c r="CB46" i="32"/>
  <c r="AQ46" i="32" s="1"/>
  <c r="CM79" i="32"/>
  <c r="CC79" i="32"/>
  <c r="CE79" i="32"/>
  <c r="CO80" i="32"/>
  <c r="CE80" i="32"/>
  <c r="CL80" i="32"/>
  <c r="CH11" i="32"/>
  <c r="CF13" i="32"/>
  <c r="CH14" i="32"/>
  <c r="CG15" i="32"/>
  <c r="CG16" i="32"/>
  <c r="CG17" i="32"/>
  <c r="CG18" i="32"/>
  <c r="CD19" i="32"/>
  <c r="CI19" i="32"/>
  <c r="CD20" i="32"/>
  <c r="CI20" i="32"/>
  <c r="CD21" i="32"/>
  <c r="CI21" i="32"/>
  <c r="CD22" i="32"/>
  <c r="CI22" i="32"/>
  <c r="CD23" i="32"/>
  <c r="CH23" i="32"/>
  <c r="CE24" i="32"/>
  <c r="CI24" i="32"/>
  <c r="CF25" i="32"/>
  <c r="CC26" i="32"/>
  <c r="CG26" i="32"/>
  <c r="CF27" i="32"/>
  <c r="CH28" i="32"/>
  <c r="CI29" i="32"/>
  <c r="CF31" i="32"/>
  <c r="CH32" i="32"/>
  <c r="CG32" i="32"/>
  <c r="CL46" i="32"/>
  <c r="CO78" i="32"/>
  <c r="CL79" i="32"/>
  <c r="CB80" i="32"/>
  <c r="CM80" i="32"/>
  <c r="CB81" i="32"/>
  <c r="CC82" i="32"/>
  <c r="CL89" i="32"/>
  <c r="CM46" i="32"/>
  <c r="D74" i="32"/>
  <c r="CB79" i="32"/>
  <c r="CN79" i="32"/>
  <c r="CC80" i="32"/>
  <c r="CN80" i="32"/>
  <c r="CH26" i="32"/>
  <c r="CG31" i="32"/>
  <c r="CH31" i="32"/>
  <c r="CF11" i="32"/>
  <c r="CF14" i="32"/>
  <c r="CC24" i="32"/>
  <c r="CG24" i="32"/>
  <c r="CD25" i="32"/>
  <c r="CH25" i="32"/>
  <c r="CE26" i="32"/>
  <c r="CI26" i="32"/>
  <c r="CF28" i="32"/>
  <c r="CI30" i="32"/>
  <c r="CI31" i="32"/>
  <c r="CD79" i="32"/>
  <c r="CO79" i="32"/>
  <c r="CD80" i="32"/>
  <c r="CM81" i="32"/>
  <c r="CC81" i="32"/>
  <c r="CE81" i="32"/>
  <c r="CO82" i="32"/>
  <c r="CE82" i="32"/>
  <c r="CL82" i="32"/>
  <c r="CC38" i="34" l="1"/>
  <c r="U38" i="34" s="1"/>
  <c r="CL38" i="34"/>
  <c r="CC110" i="37"/>
  <c r="AN110" i="37" s="1"/>
  <c r="CL110" i="37"/>
  <c r="CC108" i="37"/>
  <c r="AN108" i="37" s="1"/>
  <c r="CL108" i="37"/>
  <c r="CC109" i="37"/>
  <c r="AN109" i="37" s="1"/>
  <c r="CL109" i="37"/>
  <c r="CL29" i="34"/>
  <c r="CC66" i="32"/>
  <c r="CM66" i="32"/>
  <c r="CM38" i="34"/>
  <c r="CM25" i="34"/>
  <c r="CC34" i="33"/>
  <c r="AJ34" i="33" s="1"/>
  <c r="L74" i="34"/>
  <c r="CC34" i="34"/>
  <c r="U34" i="34" s="1"/>
  <c r="CG34" i="33"/>
  <c r="CH34" i="33"/>
  <c r="CG29" i="33"/>
  <c r="CH29" i="33"/>
  <c r="CB44" i="32"/>
  <c r="CM44" i="32"/>
  <c r="CL44" i="32"/>
  <c r="CC44" i="32"/>
  <c r="O13" i="36"/>
  <c r="CH23" i="33"/>
  <c r="CB23" i="33"/>
  <c r="CG88" i="37"/>
  <c r="CF88" i="37"/>
  <c r="CP88" i="37"/>
  <c r="CE88" i="37"/>
  <c r="CO88" i="37"/>
  <c r="CD88" i="37"/>
  <c r="CN88" i="37"/>
  <c r="CM88" i="37"/>
  <c r="CO85" i="37"/>
  <c r="CD85" i="37"/>
  <c r="CN85" i="37"/>
  <c r="CM85" i="37"/>
  <c r="CP85" i="37"/>
  <c r="CG85" i="37"/>
  <c r="CF85" i="37"/>
  <c r="CE85" i="37"/>
  <c r="CG92" i="37"/>
  <c r="CF92" i="37"/>
  <c r="CP92" i="37"/>
  <c r="CE92" i="37"/>
  <c r="CO92" i="37"/>
  <c r="CD92" i="37"/>
  <c r="CN92" i="37"/>
  <c r="CM92" i="37"/>
  <c r="O79" i="36"/>
  <c r="CG84" i="37"/>
  <c r="CF84" i="37"/>
  <c r="CP84" i="37"/>
  <c r="CE84" i="37"/>
  <c r="CO84" i="37"/>
  <c r="CD84" i="37"/>
  <c r="CN84" i="37"/>
  <c r="CM84" i="37"/>
  <c r="CO89" i="37"/>
  <c r="CD89" i="37"/>
  <c r="CN89" i="37"/>
  <c r="CM89" i="37"/>
  <c r="CF89" i="37"/>
  <c r="CG89" i="37"/>
  <c r="CE89" i="37"/>
  <c r="CP89" i="37"/>
  <c r="O40" i="36"/>
  <c r="C150" i="36"/>
  <c r="D15" i="18" s="1"/>
  <c r="CG86" i="37"/>
  <c r="CF86" i="37"/>
  <c r="CP86" i="37"/>
  <c r="CE86" i="37"/>
  <c r="CO86" i="37"/>
  <c r="CD86" i="37"/>
  <c r="CN86" i="37"/>
  <c r="CM86" i="37"/>
  <c r="CL92" i="32"/>
  <c r="CB92" i="32"/>
  <c r="CC92" i="32"/>
  <c r="CO83" i="37"/>
  <c r="CD83" i="37"/>
  <c r="CN83" i="37"/>
  <c r="CM83" i="37"/>
  <c r="CF83" i="37"/>
  <c r="CP83" i="37"/>
  <c r="CG83" i="37"/>
  <c r="CE83" i="37"/>
  <c r="CC88" i="32"/>
  <c r="CB88" i="32"/>
  <c r="CG90" i="37"/>
  <c r="CF90" i="37"/>
  <c r="CP90" i="37"/>
  <c r="CE90" i="37"/>
  <c r="CO90" i="37"/>
  <c r="CD90" i="37"/>
  <c r="CN90" i="37"/>
  <c r="CM90" i="37"/>
  <c r="CC93" i="32"/>
  <c r="CB93" i="32"/>
  <c r="CG82" i="37"/>
  <c r="CF82" i="37"/>
  <c r="CP82" i="37"/>
  <c r="CE82" i="37"/>
  <c r="CO82" i="37"/>
  <c r="CD82" i="37"/>
  <c r="CN82" i="37"/>
  <c r="CM82" i="37"/>
  <c r="CO87" i="37"/>
  <c r="CD87" i="37"/>
  <c r="CN87" i="37"/>
  <c r="CM87" i="37"/>
  <c r="CG87" i="37"/>
  <c r="CF87" i="37"/>
  <c r="CE87" i="37"/>
  <c r="CP87" i="37"/>
  <c r="CM89" i="32"/>
  <c r="CB89" i="32"/>
  <c r="CC89" i="32"/>
  <c r="CB91" i="32"/>
  <c r="CC91" i="32"/>
  <c r="CL90" i="32"/>
  <c r="CB90" i="32"/>
  <c r="CC90" i="32"/>
  <c r="CO91" i="37"/>
  <c r="CD91" i="37"/>
  <c r="CN91" i="37"/>
  <c r="CM91" i="37"/>
  <c r="CE91" i="37"/>
  <c r="CG91" i="37"/>
  <c r="CF91" i="37"/>
  <c r="CP91" i="37"/>
  <c r="CQ204" i="34"/>
  <c r="CG204" i="34"/>
  <c r="CP204" i="34"/>
  <c r="CF204" i="34"/>
  <c r="CM92" i="32"/>
  <c r="CL88" i="32"/>
  <c r="CB59" i="32"/>
  <c r="AQ59" i="32" s="1"/>
  <c r="CI52" i="37"/>
  <c r="CR52" i="37"/>
  <c r="CH52" i="37"/>
  <c r="CQ52" i="37"/>
  <c r="CF52" i="37"/>
  <c r="CO52" i="37"/>
  <c r="CE52" i="37"/>
  <c r="CN52" i="37"/>
  <c r="CK52" i="37"/>
  <c r="CB52" i="37"/>
  <c r="CB16" i="37"/>
  <c r="CK16" i="37"/>
  <c r="CF16" i="37"/>
  <c r="CI16" i="37"/>
  <c r="CR16" i="37"/>
  <c r="CH16" i="37"/>
  <c r="CQ16" i="37"/>
  <c r="CO16" i="37"/>
  <c r="CE16" i="37"/>
  <c r="CN16" i="37"/>
  <c r="CN38" i="37"/>
  <c r="CB38" i="37"/>
  <c r="CK38" i="37"/>
  <c r="CI38" i="37"/>
  <c r="CR38" i="37"/>
  <c r="CH38" i="37"/>
  <c r="CQ38" i="37"/>
  <c r="CO38" i="37"/>
  <c r="CE38" i="37"/>
  <c r="CF38" i="37"/>
  <c r="CQ18" i="37"/>
  <c r="CF18" i="37"/>
  <c r="CO18" i="37"/>
  <c r="CE18" i="37"/>
  <c r="CN18" i="37"/>
  <c r="CB18" i="37"/>
  <c r="CK18" i="37"/>
  <c r="CH18" i="37"/>
  <c r="CI18" i="37"/>
  <c r="CR18" i="37"/>
  <c r="CN50" i="37"/>
  <c r="CB50" i="37"/>
  <c r="CK50" i="37"/>
  <c r="CI50" i="37"/>
  <c r="CR50" i="37"/>
  <c r="CH50" i="37"/>
  <c r="CQ50" i="37"/>
  <c r="CO50" i="37"/>
  <c r="CF50" i="37"/>
  <c r="CE50" i="37"/>
  <c r="CB24" i="37"/>
  <c r="CK24" i="37"/>
  <c r="CI24" i="37"/>
  <c r="CQ24" i="37"/>
  <c r="CR24" i="37"/>
  <c r="CH24" i="37"/>
  <c r="CF24" i="37"/>
  <c r="CO24" i="37"/>
  <c r="CE24" i="37"/>
  <c r="CN24" i="37"/>
  <c r="CI60" i="37"/>
  <c r="CR60" i="37"/>
  <c r="CH60" i="37"/>
  <c r="CQ60" i="37"/>
  <c r="CF60" i="37"/>
  <c r="CO60" i="37"/>
  <c r="CE60" i="37"/>
  <c r="CN60" i="37"/>
  <c r="CK60" i="37"/>
  <c r="CB60" i="37"/>
  <c r="CN46" i="37"/>
  <c r="CB46" i="37"/>
  <c r="CK46" i="37"/>
  <c r="CI46" i="37"/>
  <c r="CR46" i="37"/>
  <c r="CH46" i="37"/>
  <c r="CQ46" i="37"/>
  <c r="CO46" i="37"/>
  <c r="CE46" i="37"/>
  <c r="CQ35" i="37"/>
  <c r="CF35" i="37"/>
  <c r="CO35" i="37"/>
  <c r="CE35" i="37"/>
  <c r="CN35" i="37"/>
  <c r="CB35" i="37"/>
  <c r="CK35" i="37"/>
  <c r="CI35" i="37"/>
  <c r="CH35" i="37"/>
  <c r="CR35" i="37"/>
  <c r="CQ63" i="37"/>
  <c r="CF63" i="37"/>
  <c r="CO63" i="37"/>
  <c r="CE63" i="37"/>
  <c r="CN63" i="37"/>
  <c r="CB63" i="37"/>
  <c r="CK63" i="37"/>
  <c r="CR63" i="37"/>
  <c r="CI63" i="37"/>
  <c r="CH63" i="37"/>
  <c r="CB61" i="37"/>
  <c r="CK61" i="37"/>
  <c r="CI61" i="37"/>
  <c r="CR61" i="37"/>
  <c r="CH61" i="37"/>
  <c r="CQ61" i="37"/>
  <c r="CF61" i="37"/>
  <c r="CO61" i="37"/>
  <c r="CE61" i="37"/>
  <c r="CN61" i="37"/>
  <c r="CB53" i="37"/>
  <c r="CK53" i="37"/>
  <c r="CI53" i="37"/>
  <c r="CR53" i="37"/>
  <c r="CH53" i="37"/>
  <c r="CQ53" i="37"/>
  <c r="CF53" i="37"/>
  <c r="CO53" i="37"/>
  <c r="CE53" i="37"/>
  <c r="CN53" i="37"/>
  <c r="CN42" i="37"/>
  <c r="CB42" i="37"/>
  <c r="CK42" i="37"/>
  <c r="CI42" i="37"/>
  <c r="CR42" i="37"/>
  <c r="CH42" i="37"/>
  <c r="CF42" i="37"/>
  <c r="CE42" i="37"/>
  <c r="CO42" i="37"/>
  <c r="CQ42" i="37"/>
  <c r="CI32" i="37"/>
  <c r="CR32" i="37"/>
  <c r="CH32" i="37"/>
  <c r="CQ32" i="37"/>
  <c r="CF32" i="37"/>
  <c r="CO32" i="37"/>
  <c r="CE32" i="37"/>
  <c r="CN32" i="37"/>
  <c r="CK32" i="37"/>
  <c r="CB32" i="37"/>
  <c r="CQ47" i="37"/>
  <c r="CF47" i="37"/>
  <c r="CO47" i="37"/>
  <c r="CE47" i="37"/>
  <c r="CN47" i="37"/>
  <c r="CB47" i="37"/>
  <c r="CK47" i="37"/>
  <c r="CR47" i="37"/>
  <c r="CH47" i="37"/>
  <c r="CI47" i="37"/>
  <c r="CQ51" i="37"/>
  <c r="CF51" i="37"/>
  <c r="CO51" i="37"/>
  <c r="CE51" i="37"/>
  <c r="CN51" i="37"/>
  <c r="CB51" i="37"/>
  <c r="CK51" i="37"/>
  <c r="CI51" i="37"/>
  <c r="CH51" i="37"/>
  <c r="CR51" i="37"/>
  <c r="CN34" i="37"/>
  <c r="CB34" i="37"/>
  <c r="CK34" i="37"/>
  <c r="CI34" i="37"/>
  <c r="CR34" i="37"/>
  <c r="CH34" i="37"/>
  <c r="CF34" i="37"/>
  <c r="CQ34" i="37"/>
  <c r="CO34" i="37"/>
  <c r="CE34" i="37"/>
  <c r="CQ26" i="37"/>
  <c r="CF26" i="37"/>
  <c r="CO26" i="37"/>
  <c r="CE26" i="37"/>
  <c r="CN26" i="37"/>
  <c r="CB26" i="37"/>
  <c r="CK26" i="37"/>
  <c r="CR26" i="37"/>
  <c r="CI26" i="37"/>
  <c r="CH26" i="37"/>
  <c r="CB65" i="37"/>
  <c r="CK65" i="37"/>
  <c r="CI65" i="37"/>
  <c r="CR65" i="37"/>
  <c r="CH65" i="37"/>
  <c r="CQ65" i="37"/>
  <c r="CF65" i="37"/>
  <c r="CO65" i="37"/>
  <c r="CE65" i="37"/>
  <c r="CN65" i="37"/>
  <c r="CN54" i="37"/>
  <c r="CB54" i="37"/>
  <c r="CK54" i="37"/>
  <c r="CI54" i="37"/>
  <c r="CR54" i="37"/>
  <c r="CH54" i="37"/>
  <c r="CQ54" i="37"/>
  <c r="CO54" i="37"/>
  <c r="CF54" i="37"/>
  <c r="CE54" i="37"/>
  <c r="CI40" i="37"/>
  <c r="CR40" i="37"/>
  <c r="CH40" i="37"/>
  <c r="CQ40" i="37"/>
  <c r="CF40" i="37"/>
  <c r="CO40" i="37"/>
  <c r="CE40" i="37"/>
  <c r="CN40" i="37"/>
  <c r="CB40" i="37"/>
  <c r="CK40" i="37"/>
  <c r="CQ43" i="37"/>
  <c r="CF43" i="37"/>
  <c r="CO43" i="37"/>
  <c r="CE43" i="37"/>
  <c r="CN43" i="37"/>
  <c r="CB43" i="37"/>
  <c r="CK43" i="37"/>
  <c r="CR43" i="37"/>
  <c r="CI43" i="37"/>
  <c r="CH43" i="37"/>
  <c r="CQ39" i="37"/>
  <c r="CF39" i="37"/>
  <c r="CO39" i="37"/>
  <c r="CE39" i="37"/>
  <c r="CN39" i="37"/>
  <c r="CB39" i="37"/>
  <c r="CK39" i="37"/>
  <c r="CR39" i="37"/>
  <c r="CI39" i="37"/>
  <c r="CH39" i="37"/>
  <c r="CB20" i="37"/>
  <c r="CK20" i="37"/>
  <c r="CQ20" i="37"/>
  <c r="CI20" i="37"/>
  <c r="CR20" i="37"/>
  <c r="CH20" i="37"/>
  <c r="CF20" i="37"/>
  <c r="CO20" i="37"/>
  <c r="CE20" i="37"/>
  <c r="CN20" i="37"/>
  <c r="CQ55" i="37"/>
  <c r="CF55" i="37"/>
  <c r="CO55" i="37"/>
  <c r="CE55" i="37"/>
  <c r="CN55" i="37"/>
  <c r="CB55" i="37"/>
  <c r="CK55" i="37"/>
  <c r="CR55" i="37"/>
  <c r="CI55" i="37"/>
  <c r="CH55" i="37"/>
  <c r="CI48" i="37"/>
  <c r="CR48" i="37"/>
  <c r="CH48" i="37"/>
  <c r="CQ48" i="37"/>
  <c r="CF48" i="37"/>
  <c r="CO48" i="37"/>
  <c r="CE48" i="37"/>
  <c r="CN48" i="37"/>
  <c r="CB48" i="37"/>
  <c r="CK48" i="37"/>
  <c r="CQ31" i="37"/>
  <c r="CF31" i="37"/>
  <c r="CO31" i="37"/>
  <c r="CE31" i="37"/>
  <c r="CN31" i="37"/>
  <c r="CB31" i="37"/>
  <c r="CK31" i="37"/>
  <c r="CR31" i="37"/>
  <c r="CI31" i="37"/>
  <c r="CH31" i="37"/>
  <c r="CN62" i="37"/>
  <c r="CB62" i="37"/>
  <c r="CK62" i="37"/>
  <c r="CI62" i="37"/>
  <c r="CR62" i="37"/>
  <c r="CH62" i="37"/>
  <c r="CQ62" i="37"/>
  <c r="CO62" i="37"/>
  <c r="CF62" i="37"/>
  <c r="CE62" i="37"/>
  <c r="CI23" i="37"/>
  <c r="CR23" i="37"/>
  <c r="CH23" i="37"/>
  <c r="CQ23" i="37"/>
  <c r="CF23" i="37"/>
  <c r="CO23" i="37"/>
  <c r="CE23" i="37"/>
  <c r="CN23" i="37"/>
  <c r="CK23" i="37"/>
  <c r="CB23" i="37"/>
  <c r="CQ67" i="37"/>
  <c r="CF67" i="37"/>
  <c r="CO67" i="37"/>
  <c r="CE67" i="37"/>
  <c r="CN67" i="37"/>
  <c r="CB67" i="37"/>
  <c r="CK67" i="37"/>
  <c r="CI67" i="37"/>
  <c r="CH67" i="37"/>
  <c r="CR67" i="37"/>
  <c r="CN21" i="37"/>
  <c r="CB21" i="37"/>
  <c r="CK21" i="37"/>
  <c r="CI21" i="37"/>
  <c r="CR21" i="37"/>
  <c r="CH21" i="37"/>
  <c r="CO21" i="37"/>
  <c r="CQ21" i="37"/>
  <c r="CF21" i="37"/>
  <c r="CE21" i="37"/>
  <c r="CB37" i="37"/>
  <c r="CK37" i="37"/>
  <c r="CI37" i="37"/>
  <c r="CR37" i="37"/>
  <c r="CH37" i="37"/>
  <c r="CQ37" i="37"/>
  <c r="CF37" i="37"/>
  <c r="CO37" i="37"/>
  <c r="CE37" i="37"/>
  <c r="CN37" i="37"/>
  <c r="CI28" i="37"/>
  <c r="CR28" i="37"/>
  <c r="CH28" i="37"/>
  <c r="CQ28" i="37"/>
  <c r="CF28" i="37"/>
  <c r="CO28" i="37"/>
  <c r="CE28" i="37"/>
  <c r="CN28" i="37"/>
  <c r="CK28" i="37"/>
  <c r="CB28" i="37"/>
  <c r="CI15" i="37"/>
  <c r="CR15" i="37"/>
  <c r="CH15" i="37"/>
  <c r="CQ15" i="37"/>
  <c r="CF15" i="37"/>
  <c r="CO15" i="37"/>
  <c r="CE15" i="37"/>
  <c r="CN15" i="37"/>
  <c r="CK15" i="37"/>
  <c r="CB15" i="37"/>
  <c r="CB49" i="37"/>
  <c r="CK49" i="37"/>
  <c r="CI49" i="37"/>
  <c r="CR49" i="37"/>
  <c r="CH49" i="37"/>
  <c r="CQ49" i="37"/>
  <c r="CF49" i="37"/>
  <c r="CO49" i="37"/>
  <c r="CE49" i="37"/>
  <c r="CN49" i="37"/>
  <c r="CN25" i="37"/>
  <c r="CI25" i="37"/>
  <c r="CB25" i="37"/>
  <c r="CK25" i="37"/>
  <c r="CR25" i="37"/>
  <c r="CH25" i="37"/>
  <c r="CO25" i="37"/>
  <c r="CQ25" i="37"/>
  <c r="CF25" i="37"/>
  <c r="CE25" i="37"/>
  <c r="CQ59" i="37"/>
  <c r="CF59" i="37"/>
  <c r="CO59" i="37"/>
  <c r="CE59" i="37"/>
  <c r="CN59" i="37"/>
  <c r="CB59" i="37"/>
  <c r="CK59" i="37"/>
  <c r="CI59" i="37"/>
  <c r="CR59" i="37"/>
  <c r="CH59" i="37"/>
  <c r="CN17" i="37"/>
  <c r="CE17" i="37"/>
  <c r="CB17" i="37"/>
  <c r="CI17" i="37"/>
  <c r="CK17" i="37"/>
  <c r="CR17" i="37"/>
  <c r="CH17" i="37"/>
  <c r="CQ17" i="37"/>
  <c r="CF17" i="37"/>
  <c r="CO17" i="37"/>
  <c r="CN58" i="37"/>
  <c r="CB58" i="37"/>
  <c r="CK58" i="37"/>
  <c r="CI58" i="37"/>
  <c r="CR58" i="37"/>
  <c r="CH58" i="37"/>
  <c r="CF58" i="37"/>
  <c r="CE58" i="37"/>
  <c r="CQ58" i="37"/>
  <c r="CO58" i="37"/>
  <c r="CQ14" i="37"/>
  <c r="CF14" i="37"/>
  <c r="CO14" i="37"/>
  <c r="CE14" i="37"/>
  <c r="CB14" i="37"/>
  <c r="CN14" i="37"/>
  <c r="CK14" i="37"/>
  <c r="CH14" i="37"/>
  <c r="CI14" i="37"/>
  <c r="CR14" i="37"/>
  <c r="CN30" i="37"/>
  <c r="CB30" i="37"/>
  <c r="CK30" i="37"/>
  <c r="CI30" i="37"/>
  <c r="CR30" i="37"/>
  <c r="CH30" i="37"/>
  <c r="CQ30" i="37"/>
  <c r="CO30" i="37"/>
  <c r="CF30" i="37"/>
  <c r="CE30" i="37"/>
  <c r="CB57" i="37"/>
  <c r="CK57" i="37"/>
  <c r="CI57" i="37"/>
  <c r="CR57" i="37"/>
  <c r="CH57" i="37"/>
  <c r="CQ57" i="37"/>
  <c r="CF57" i="37"/>
  <c r="CO57" i="37"/>
  <c r="CE57" i="37"/>
  <c r="CN57" i="37"/>
  <c r="CQ22" i="37"/>
  <c r="CF22" i="37"/>
  <c r="CO22" i="37"/>
  <c r="CE22" i="37"/>
  <c r="CN22" i="37"/>
  <c r="CB22" i="37"/>
  <c r="CK22" i="37"/>
  <c r="CI22" i="37"/>
  <c r="CR22" i="37"/>
  <c r="CH22" i="37"/>
  <c r="CI56" i="37"/>
  <c r="CR56" i="37"/>
  <c r="CH56" i="37"/>
  <c r="CQ56" i="37"/>
  <c r="CF56" i="37"/>
  <c r="CO56" i="37"/>
  <c r="CE56" i="37"/>
  <c r="CN56" i="37"/>
  <c r="CB56" i="37"/>
  <c r="CK56" i="37"/>
  <c r="CI64" i="37"/>
  <c r="CR64" i="37"/>
  <c r="CH64" i="37"/>
  <c r="CQ64" i="37"/>
  <c r="CF64" i="37"/>
  <c r="CO64" i="37"/>
  <c r="CE64" i="37"/>
  <c r="CN64" i="37"/>
  <c r="CK64" i="37"/>
  <c r="CB64" i="37"/>
  <c r="CI36" i="37"/>
  <c r="CR36" i="37"/>
  <c r="CH36" i="37"/>
  <c r="CQ36" i="37"/>
  <c r="CF36" i="37"/>
  <c r="CO36" i="37"/>
  <c r="CE36" i="37"/>
  <c r="CN36" i="37"/>
  <c r="CK36" i="37"/>
  <c r="CB36" i="37"/>
  <c r="CB41" i="37"/>
  <c r="CK41" i="37"/>
  <c r="CI41" i="37"/>
  <c r="CR41" i="37"/>
  <c r="CH41" i="37"/>
  <c r="CQ41" i="37"/>
  <c r="CF41" i="37"/>
  <c r="CO41" i="37"/>
  <c r="CE41" i="37"/>
  <c r="CN41" i="37"/>
  <c r="CB29" i="37"/>
  <c r="CK29" i="37"/>
  <c r="CI29" i="37"/>
  <c r="CR29" i="37"/>
  <c r="CH29" i="37"/>
  <c r="CQ29" i="37"/>
  <c r="CF29" i="37"/>
  <c r="CO29" i="37"/>
  <c r="CE29" i="37"/>
  <c r="CN29" i="37"/>
  <c r="CB33" i="37"/>
  <c r="CK33" i="37"/>
  <c r="CI33" i="37"/>
  <c r="CR33" i="37"/>
  <c r="CH33" i="37"/>
  <c r="CQ33" i="37"/>
  <c r="CF33" i="37"/>
  <c r="CO33" i="37"/>
  <c r="CE33" i="37"/>
  <c r="CN33" i="37"/>
  <c r="CN27" i="37"/>
  <c r="CI27" i="37"/>
  <c r="CH27" i="37"/>
  <c r="CF27" i="37"/>
  <c r="CR27" i="37"/>
  <c r="CE27" i="37"/>
  <c r="CQ27" i="37"/>
  <c r="CO27" i="37"/>
  <c r="CB27" i="37"/>
  <c r="CK27" i="37"/>
  <c r="CI68" i="37"/>
  <c r="CR68" i="37"/>
  <c r="CH68" i="37"/>
  <c r="CQ68" i="37"/>
  <c r="CF68" i="37"/>
  <c r="CO68" i="37"/>
  <c r="CE68" i="37"/>
  <c r="CN68" i="37"/>
  <c r="CK68" i="37"/>
  <c r="CB68" i="37"/>
  <c r="CB45" i="37"/>
  <c r="CK45" i="37"/>
  <c r="CI45" i="37"/>
  <c r="CR45" i="37"/>
  <c r="CH45" i="37"/>
  <c r="CQ45" i="37"/>
  <c r="CF45" i="37"/>
  <c r="CO45" i="37"/>
  <c r="CE45" i="37"/>
  <c r="CN45" i="37"/>
  <c r="CI19" i="37"/>
  <c r="CR19" i="37"/>
  <c r="CH19" i="37"/>
  <c r="CQ19" i="37"/>
  <c r="CF19" i="37"/>
  <c r="CN19" i="37"/>
  <c r="CO19" i="37"/>
  <c r="CE19" i="37"/>
  <c r="CK19" i="37"/>
  <c r="CB19" i="37"/>
  <c r="CI44" i="37"/>
  <c r="CR44" i="37"/>
  <c r="CH44" i="37"/>
  <c r="CQ44" i="37"/>
  <c r="CF44" i="37"/>
  <c r="CO44" i="37"/>
  <c r="CE44" i="37"/>
  <c r="CN44" i="37"/>
  <c r="CK44" i="37"/>
  <c r="CB44" i="37"/>
  <c r="CN66" i="37"/>
  <c r="CB66" i="37"/>
  <c r="CK66" i="37"/>
  <c r="CI66" i="37"/>
  <c r="CR66" i="37"/>
  <c r="CH66" i="37"/>
  <c r="CE66" i="37"/>
  <c r="CQ66" i="37"/>
  <c r="CO66" i="37"/>
  <c r="CF66" i="37"/>
  <c r="CP81" i="37"/>
  <c r="CL72" i="34"/>
  <c r="CL30" i="34"/>
  <c r="CM30" i="34"/>
  <c r="CQ203" i="34"/>
  <c r="CP203" i="34"/>
  <c r="CC30" i="34"/>
  <c r="U30" i="34" s="1"/>
  <c r="N61" i="34"/>
  <c r="CM34" i="34"/>
  <c r="CM27" i="34"/>
  <c r="CG203" i="34"/>
  <c r="CF203" i="34"/>
  <c r="CM274" i="34"/>
  <c r="CB72" i="34"/>
  <c r="L72" i="34" s="1"/>
  <c r="CL274" i="34"/>
  <c r="CM72" i="34"/>
  <c r="CM332" i="34"/>
  <c r="CL74" i="34"/>
  <c r="CM74" i="34"/>
  <c r="CB48" i="34"/>
  <c r="T48" i="34" s="1"/>
  <c r="CC28" i="34"/>
  <c r="U28" i="34" s="1"/>
  <c r="CC328" i="34"/>
  <c r="D190" i="34"/>
  <c r="CL28" i="34"/>
  <c r="CB62" i="32"/>
  <c r="AQ62" i="32" s="1"/>
  <c r="CL54" i="32"/>
  <c r="CC27" i="34"/>
  <c r="U27" i="34" s="1"/>
  <c r="CL33" i="34"/>
  <c r="CL27" i="34"/>
  <c r="CC333" i="34"/>
  <c r="O70" i="36"/>
  <c r="O88" i="36"/>
  <c r="O86" i="36"/>
  <c r="O65" i="36"/>
  <c r="CL51" i="32"/>
  <c r="CM64" i="32"/>
  <c r="N63" i="34"/>
  <c r="CB64" i="32"/>
  <c r="AQ64" i="32" s="1"/>
  <c r="CL64" i="32"/>
  <c r="CG22" i="33"/>
  <c r="CH22" i="33"/>
  <c r="CB22" i="33"/>
  <c r="AJ22" i="33" s="1"/>
  <c r="AP36" i="32"/>
  <c r="CM28" i="34"/>
  <c r="CN81" i="37"/>
  <c r="CL59" i="32"/>
  <c r="CB29" i="33"/>
  <c r="AJ29" i="33" s="1"/>
  <c r="CL32" i="34"/>
  <c r="CL24" i="34"/>
  <c r="CC56" i="34"/>
  <c r="CM32" i="34"/>
  <c r="CM24" i="34"/>
  <c r="CD81" i="37"/>
  <c r="N65" i="34"/>
  <c r="D198" i="34"/>
  <c r="O18" i="36"/>
  <c r="AP39" i="32"/>
  <c r="CB51" i="32"/>
  <c r="AQ51" i="32" s="1"/>
  <c r="CC24" i="34"/>
  <c r="U24" i="34" s="1"/>
  <c r="CF81" i="37"/>
  <c r="CO81" i="37"/>
  <c r="CC330" i="34"/>
  <c r="CM51" i="32"/>
  <c r="CG81" i="37"/>
  <c r="CC22" i="34"/>
  <c r="U22" i="34" s="1"/>
  <c r="CL22" i="34"/>
  <c r="CM22" i="34"/>
  <c r="CE81" i="37"/>
  <c r="O42" i="36"/>
  <c r="CM59" i="32"/>
  <c r="CH35" i="33"/>
  <c r="O47" i="36"/>
  <c r="CC23" i="33"/>
  <c r="AJ23" i="33" s="1"/>
  <c r="CG24" i="33"/>
  <c r="CC24" i="33"/>
  <c r="CI21" i="33"/>
  <c r="AJ25" i="33"/>
  <c r="CH21" i="33"/>
  <c r="AP37" i="32"/>
  <c r="AP38" i="32"/>
  <c r="CB274" i="34"/>
  <c r="AY274" i="34" s="1"/>
  <c r="CC31" i="34"/>
  <c r="U31" i="34" s="1"/>
  <c r="CL49" i="34"/>
  <c r="CB49" i="34"/>
  <c r="CM49" i="34"/>
  <c r="CC49" i="34"/>
  <c r="CL48" i="34"/>
  <c r="CM48" i="34"/>
  <c r="CB54" i="32"/>
  <c r="AQ54" i="32" s="1"/>
  <c r="CC49" i="32"/>
  <c r="CL31" i="34"/>
  <c r="CB66" i="32"/>
  <c r="AQ66" i="32" s="1"/>
  <c r="CC39" i="34"/>
  <c r="U39" i="34" s="1"/>
  <c r="CM31" i="34"/>
  <c r="CL55" i="34"/>
  <c r="CC327" i="34"/>
  <c r="CL46" i="34"/>
  <c r="CB46" i="34"/>
  <c r="CC46" i="34"/>
  <c r="CM46" i="34"/>
  <c r="CL47" i="34"/>
  <c r="CB47" i="34"/>
  <c r="CM47" i="34"/>
  <c r="CC47" i="34"/>
  <c r="CC212" i="34"/>
  <c r="V212" i="34" s="1"/>
  <c r="CM54" i="32"/>
  <c r="CL66" i="32"/>
  <c r="CM212" i="34"/>
  <c r="CL39" i="34"/>
  <c r="CC32" i="34"/>
  <c r="U32" i="34" s="1"/>
  <c r="D205" i="34"/>
  <c r="CE13" i="37"/>
  <c r="D320" i="34"/>
  <c r="O43" i="36"/>
  <c r="O31" i="36"/>
  <c r="CL63" i="32"/>
  <c r="CB63" i="32"/>
  <c r="CL57" i="34"/>
  <c r="CC63" i="32"/>
  <c r="O78" i="36"/>
  <c r="O84" i="36"/>
  <c r="O83" i="36"/>
  <c r="O45" i="36"/>
  <c r="O44" i="36"/>
  <c r="O32" i="36"/>
  <c r="O64" i="36"/>
  <c r="O27" i="36"/>
  <c r="O12" i="36"/>
  <c r="O19" i="36"/>
  <c r="O28" i="36"/>
  <c r="O29" i="36"/>
  <c r="O30" i="36"/>
  <c r="N71" i="32"/>
  <c r="N70" i="32"/>
  <c r="N72" i="32"/>
  <c r="N73" i="32"/>
  <c r="CM88" i="32"/>
  <c r="CL65" i="32"/>
  <c r="CM65" i="32"/>
  <c r="CB65" i="32"/>
  <c r="AQ65" i="32" s="1"/>
  <c r="CB57" i="32"/>
  <c r="CC57" i="32"/>
  <c r="CB53" i="32"/>
  <c r="CC53" i="32"/>
  <c r="CB55" i="32"/>
  <c r="AQ55" i="32" s="1"/>
  <c r="CB56" i="32"/>
  <c r="CB47" i="32"/>
  <c r="AQ47" i="32" s="1"/>
  <c r="CL52" i="32"/>
  <c r="CB60" i="32"/>
  <c r="CM29" i="34"/>
  <c r="CC37" i="34"/>
  <c r="U37" i="34" s="1"/>
  <c r="CM26" i="34"/>
  <c r="N67" i="34"/>
  <c r="CL41" i="34"/>
  <c r="CL37" i="34"/>
  <c r="CC23" i="34"/>
  <c r="U23" i="34" s="1"/>
  <c r="CC21" i="34"/>
  <c r="U21" i="34" s="1"/>
  <c r="CM33" i="34"/>
  <c r="CC41" i="34"/>
  <c r="U41" i="34" s="1"/>
  <c r="D97" i="34"/>
  <c r="CM41" i="34"/>
  <c r="CM37" i="34"/>
  <c r="CL23" i="34"/>
  <c r="CL21" i="34"/>
  <c r="E321" i="34"/>
  <c r="CB57" i="34"/>
  <c r="CC33" i="34"/>
  <c r="U33" i="34" s="1"/>
  <c r="CC29" i="34"/>
  <c r="U29" i="34" s="1"/>
  <c r="CM23" i="34"/>
  <c r="CM21" i="34"/>
  <c r="CB329" i="34"/>
  <c r="CM329" i="34"/>
  <c r="CC329" i="34"/>
  <c r="CL56" i="34"/>
  <c r="D301" i="34"/>
  <c r="CL73" i="34"/>
  <c r="D313" i="34"/>
  <c r="CM73" i="34"/>
  <c r="CB331" i="34"/>
  <c r="CB56" i="34"/>
  <c r="CB73" i="34"/>
  <c r="L73" i="34" s="1"/>
  <c r="CC52" i="32"/>
  <c r="AQ52" i="32" s="1"/>
  <c r="CB273" i="34"/>
  <c r="CM61" i="32"/>
  <c r="CL45" i="32"/>
  <c r="CG30" i="33"/>
  <c r="CM52" i="32"/>
  <c r="CM45" i="32"/>
  <c r="CH30" i="33"/>
  <c r="CC26" i="34"/>
  <c r="U26" i="34" s="1"/>
  <c r="CB55" i="34"/>
  <c r="CL273" i="34"/>
  <c r="CM35" i="34"/>
  <c r="CM55" i="32"/>
  <c r="CL56" i="32"/>
  <c r="CC56" i="32"/>
  <c r="CC45" i="32"/>
  <c r="AQ45" i="32" s="1"/>
  <c r="CG35" i="33"/>
  <c r="CL26" i="34"/>
  <c r="CC55" i="34"/>
  <c r="CL55" i="32"/>
  <c r="AJ35" i="33"/>
  <c r="CC35" i="34"/>
  <c r="U35" i="34" s="1"/>
  <c r="B51" i="33"/>
  <c r="E6" i="18" s="1"/>
  <c r="CM62" i="32"/>
  <c r="CL62" i="32"/>
  <c r="CL61" i="32"/>
  <c r="CL53" i="32"/>
  <c r="C21" i="33"/>
  <c r="AJ21" i="33" s="1"/>
  <c r="CB24" i="33"/>
  <c r="CC273" i="34"/>
  <c r="CC57" i="34"/>
  <c r="CL35" i="34"/>
  <c r="AE17" i="32"/>
  <c r="O78" i="32"/>
  <c r="CM47" i="32"/>
  <c r="CB49" i="32"/>
  <c r="CL49" i="32"/>
  <c r="CM50" i="32"/>
  <c r="CB50" i="32"/>
  <c r="AQ50" i="32" s="1"/>
  <c r="CL57" i="32"/>
  <c r="CC48" i="32"/>
  <c r="AQ48" i="32" s="1"/>
  <c r="CL48" i="32"/>
  <c r="CL58" i="32"/>
  <c r="CM90" i="32"/>
  <c r="CB61" i="32"/>
  <c r="AQ61" i="32" s="1"/>
  <c r="CM58" i="32"/>
  <c r="CM48" i="32"/>
  <c r="CL50" i="32"/>
  <c r="CB58" i="32"/>
  <c r="AQ58" i="32" s="1"/>
  <c r="AE25" i="32"/>
  <c r="CL47" i="32"/>
  <c r="B207" i="37"/>
  <c r="E16" i="18" s="1"/>
  <c r="CO13" i="37"/>
  <c r="CQ13" i="37"/>
  <c r="CL329" i="34"/>
  <c r="AE21" i="32"/>
  <c r="CL60" i="32"/>
  <c r="AE28" i="32"/>
  <c r="AE22" i="32"/>
  <c r="CC60" i="32"/>
  <c r="AE30" i="32"/>
  <c r="AE19" i="32"/>
  <c r="CM91" i="32"/>
  <c r="AE32" i="32"/>
  <c r="AE31" i="32"/>
  <c r="AE29" i="32"/>
  <c r="AE24" i="32"/>
  <c r="AE26" i="32"/>
  <c r="AE20" i="32"/>
  <c r="AE16" i="32"/>
  <c r="B151" i="32"/>
  <c r="E5" i="18" s="1"/>
  <c r="AE23" i="32"/>
  <c r="CB13" i="37"/>
  <c r="CR13" i="37"/>
  <c r="CF13" i="37"/>
  <c r="CI13" i="37"/>
  <c r="AE14" i="32"/>
  <c r="AE27" i="32"/>
  <c r="AE15" i="32"/>
  <c r="AE13" i="32"/>
  <c r="AE18" i="32"/>
  <c r="AE12" i="32"/>
  <c r="AE11" i="32"/>
  <c r="CK13" i="37"/>
  <c r="F321" i="34"/>
  <c r="D282" i="34"/>
  <c r="CL91" i="32"/>
  <c r="AJ91" i="32"/>
  <c r="H14" i="33"/>
  <c r="AJ30" i="33"/>
  <c r="H16" i="33"/>
  <c r="H15" i="33"/>
  <c r="C54" i="34"/>
  <c r="O82" i="32"/>
  <c r="U20" i="34"/>
  <c r="CH13" i="37"/>
  <c r="D289" i="34"/>
  <c r="N66" i="34"/>
  <c r="N62" i="34"/>
  <c r="D275" i="34"/>
  <c r="CC210" i="34"/>
  <c r="CB210" i="34"/>
  <c r="CM210" i="34"/>
  <c r="CL210" i="34"/>
  <c r="CC211" i="34"/>
  <c r="CB211" i="34"/>
  <c r="CM211" i="34"/>
  <c r="CL211" i="34"/>
  <c r="N64" i="34"/>
  <c r="H17" i="33"/>
  <c r="H13" i="33"/>
  <c r="O80" i="32"/>
  <c r="O79" i="32"/>
  <c r="O81" i="32"/>
  <c r="CM93" i="32"/>
  <c r="CL93" i="32"/>
  <c r="CM333" i="34" l="1"/>
  <c r="AU86" i="37"/>
  <c r="AU90" i="37"/>
  <c r="AU87" i="37"/>
  <c r="AU82" i="37"/>
  <c r="AU83" i="37"/>
  <c r="AU84" i="37"/>
  <c r="AJ92" i="32"/>
  <c r="AJ88" i="32"/>
  <c r="AQ44" i="32"/>
  <c r="AK204" i="34"/>
  <c r="AW40" i="37"/>
  <c r="AW46" i="37"/>
  <c r="AU81" i="37"/>
  <c r="AW44" i="37"/>
  <c r="AW36" i="37"/>
  <c r="AW15" i="37"/>
  <c r="AW51" i="37"/>
  <c r="AW32" i="37"/>
  <c r="AJ89" i="32"/>
  <c r="AU91" i="37"/>
  <c r="AU89" i="37"/>
  <c r="AU92" i="37"/>
  <c r="AU85" i="37"/>
  <c r="AU88" i="37"/>
  <c r="AW24" i="37"/>
  <c r="AW16" i="37"/>
  <c r="AW13" i="37"/>
  <c r="AW27" i="37"/>
  <c r="AW57" i="37"/>
  <c r="AW14" i="37"/>
  <c r="AW48" i="37"/>
  <c r="AW50" i="37"/>
  <c r="AW52" i="37"/>
  <c r="AW19" i="37"/>
  <c r="AW64" i="37"/>
  <c r="AW22" i="37"/>
  <c r="AW30" i="37"/>
  <c r="AW28" i="37"/>
  <c r="AW23" i="37"/>
  <c r="AW31" i="37"/>
  <c r="AW39" i="37"/>
  <c r="AW34" i="37"/>
  <c r="AW47" i="37"/>
  <c r="AW42" i="37"/>
  <c r="AW33" i="37"/>
  <c r="AW25" i="37"/>
  <c r="AW67" i="37"/>
  <c r="AW62" i="37"/>
  <c r="AW43" i="37"/>
  <c r="AW54" i="37"/>
  <c r="AW26" i="37"/>
  <c r="AW63" i="37"/>
  <c r="AW45" i="37"/>
  <c r="AW29" i="37"/>
  <c r="AW56" i="37"/>
  <c r="AW37" i="37"/>
  <c r="AW20" i="37"/>
  <c r="AW53" i="37"/>
  <c r="AW60" i="37"/>
  <c r="AW38" i="37"/>
  <c r="AW66" i="37"/>
  <c r="AW68" i="37"/>
  <c r="AW58" i="37"/>
  <c r="AW59" i="37"/>
  <c r="AW21" i="37"/>
  <c r="AW55" i="37"/>
  <c r="AW35" i="37"/>
  <c r="AW41" i="37"/>
  <c r="AW17" i="37"/>
  <c r="AW49" i="37"/>
  <c r="AW65" i="37"/>
  <c r="AW61" i="37"/>
  <c r="AW18" i="37"/>
  <c r="AK203" i="34"/>
  <c r="C151" i="32"/>
  <c r="D5" i="18" s="1"/>
  <c r="C207" i="37"/>
  <c r="D16" i="18" s="1"/>
  <c r="CC326" i="34"/>
  <c r="CB326" i="34"/>
  <c r="CL328" i="34"/>
  <c r="CB328" i="34"/>
  <c r="AG328" i="34" s="1"/>
  <c r="CL327" i="34"/>
  <c r="CB332" i="34"/>
  <c r="CC332" i="34"/>
  <c r="CL332" i="34"/>
  <c r="L56" i="34"/>
  <c r="T46" i="34"/>
  <c r="CM328" i="34"/>
  <c r="T49" i="34"/>
  <c r="AQ53" i="32"/>
  <c r="CB330" i="34"/>
  <c r="AG330" i="34" s="1"/>
  <c r="CM330" i="34"/>
  <c r="CL330" i="34"/>
  <c r="CL333" i="34"/>
  <c r="CM327" i="34"/>
  <c r="CB327" i="34"/>
  <c r="AG327" i="34" s="1"/>
  <c r="CB333" i="34"/>
  <c r="AG333" i="34" s="1"/>
  <c r="AJ24" i="33"/>
  <c r="CL326" i="34"/>
  <c r="T47" i="34"/>
  <c r="AQ63" i="32"/>
  <c r="AQ49" i="32"/>
  <c r="AY273" i="34"/>
  <c r="D321" i="34"/>
  <c r="AQ57" i="32"/>
  <c r="L55" i="34"/>
  <c r="L57" i="34"/>
  <c r="AG329" i="34"/>
  <c r="AQ56" i="32"/>
  <c r="AQ60" i="32"/>
  <c r="AJ90" i="32"/>
  <c r="CC331" i="34"/>
  <c r="AG331" i="34" s="1"/>
  <c r="CL331" i="34"/>
  <c r="CM326" i="34"/>
  <c r="CM331" i="34"/>
  <c r="V210" i="34"/>
  <c r="AJ93" i="32"/>
  <c r="V211" i="34"/>
  <c r="AG326" i="34" l="1"/>
  <c r="C346" i="34"/>
  <c r="D7" i="18" s="1"/>
  <c r="AG332" i="34"/>
  <c r="B346" i="34"/>
  <c r="E7" i="18" s="1"/>
  <c r="C51" i="33"/>
  <c r="D6" i="18" s="1"/>
  <c r="J183" i="31"/>
  <c r="I183" i="31"/>
  <c r="H183" i="31"/>
  <c r="G183" i="31"/>
  <c r="F183" i="31"/>
  <c r="CL140" i="31"/>
  <c r="CO129" i="31"/>
  <c r="CE129" i="31" s="1"/>
  <c r="CN129" i="31"/>
  <c r="CD129" i="31" s="1"/>
  <c r="CM129" i="31"/>
  <c r="CC129" i="31" s="1"/>
  <c r="CL129" i="31"/>
  <c r="CB129" i="31" s="1"/>
  <c r="CO128" i="31"/>
  <c r="CE128" i="31" s="1"/>
  <c r="CN128" i="31"/>
  <c r="CD128" i="31" s="1"/>
  <c r="CM128" i="31"/>
  <c r="CC128" i="31" s="1"/>
  <c r="CL128" i="31"/>
  <c r="CB128" i="31" s="1"/>
  <c r="CB111" i="31"/>
  <c r="N111" i="31" s="1"/>
  <c r="CB110" i="31"/>
  <c r="N110" i="31" s="1"/>
  <c r="CB109" i="31"/>
  <c r="N109" i="31" s="1"/>
  <c r="CB108" i="31"/>
  <c r="N108" i="31" s="1"/>
  <c r="CB107" i="31"/>
  <c r="N107" i="31" s="1"/>
  <c r="CB106" i="31"/>
  <c r="N106" i="31" s="1"/>
  <c r="CB105" i="31"/>
  <c r="N105" i="31" s="1"/>
  <c r="CB104" i="31"/>
  <c r="N104" i="31" s="1"/>
  <c r="CM99" i="31"/>
  <c r="J83" i="31"/>
  <c r="I83" i="31"/>
  <c r="H83" i="31"/>
  <c r="G83" i="31"/>
  <c r="F83" i="31"/>
  <c r="AH46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CP11" i="31" l="1"/>
  <c r="CO11" i="31"/>
  <c r="CN11" i="31"/>
  <c r="CE11" i="31"/>
  <c r="CM11" i="31"/>
  <c r="CF11" i="31"/>
  <c r="CC11" i="31"/>
  <c r="CD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E28" i="31"/>
  <c r="CF28" i="31"/>
  <c r="CE29" i="31"/>
  <c r="CF29" i="31"/>
  <c r="CC29" i="31"/>
  <c r="CD29" i="31"/>
  <c r="CM29" i="31"/>
  <c r="CN29" i="31"/>
  <c r="CP29" i="31"/>
  <c r="CO29" i="31"/>
  <c r="CE27" i="31"/>
  <c r="CF27" i="31"/>
  <c r="CC27" i="31"/>
  <c r="CM27" i="31"/>
  <c r="CN27" i="31"/>
  <c r="CO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E25" i="31"/>
  <c r="CO25" i="31"/>
  <c r="CF25" i="31"/>
  <c r="CP25" i="31"/>
  <c r="CC25" i="31"/>
  <c r="CM22" i="31"/>
  <c r="CN22" i="31"/>
  <c r="CC22" i="31"/>
  <c r="CO22" i="31"/>
  <c r="CD22" i="31"/>
  <c r="CP22" i="31"/>
  <c r="CE22" i="31"/>
  <c r="CF22" i="31"/>
  <c r="CN24" i="31"/>
  <c r="CC24" i="31"/>
  <c r="CP24" i="31"/>
  <c r="CD24" i="31"/>
  <c r="CF24" i="31"/>
  <c r="CM24" i="31"/>
  <c r="CC23" i="31"/>
  <c r="CM23" i="31"/>
  <c r="CN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C20" i="31"/>
  <c r="CP20" i="31"/>
  <c r="CD20" i="31"/>
  <c r="CE20" i="31"/>
  <c r="CF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C97" i="31"/>
  <c r="CM97" i="31"/>
  <c r="CL97" i="31"/>
  <c r="CB97" i="31"/>
  <c r="CN97" i="31"/>
  <c r="CD97" i="31" s="1"/>
  <c r="CC98" i="31"/>
  <c r="CB98" i="31"/>
  <c r="CL98" i="31"/>
  <c r="CM98" i="31"/>
  <c r="CN98" i="31"/>
  <c r="CD98" i="31" s="1"/>
  <c r="CB99" i="31"/>
  <c r="CN99" i="31"/>
  <c r="CD99" i="31" s="1"/>
  <c r="CC99" i="31"/>
  <c r="CL99" i="31"/>
  <c r="CL19" i="31"/>
  <c r="CL26" i="31"/>
  <c r="CL32" i="31"/>
  <c r="CL44" i="31"/>
  <c r="CL45" i="31"/>
  <c r="CL17" i="31"/>
  <c r="CL35" i="31"/>
  <c r="CL34" i="31"/>
  <c r="CB44" i="31"/>
  <c r="CB25" i="31"/>
  <c r="CL144" i="31"/>
  <c r="CB144" i="31"/>
  <c r="R144" i="31" s="1"/>
  <c r="CL25" i="31"/>
  <c r="CL38" i="31"/>
  <c r="CB136" i="31"/>
  <c r="R136" i="31" s="1"/>
  <c r="CL136" i="31"/>
  <c r="CB141" i="31"/>
  <c r="R141" i="31" s="1"/>
  <c r="CL141" i="31"/>
  <c r="CL146" i="31"/>
  <c r="CB146" i="31"/>
  <c r="R146" i="31" s="1"/>
  <c r="CL138" i="31"/>
  <c r="CB138" i="31"/>
  <c r="R138" i="31" s="1"/>
  <c r="CB134" i="31"/>
  <c r="R134" i="31" s="1"/>
  <c r="CL134" i="31"/>
  <c r="CL22" i="31"/>
  <c r="CB145" i="31"/>
  <c r="R145" i="31" s="1"/>
  <c r="CL145" i="31"/>
  <c r="CL16" i="31"/>
  <c r="CB137" i="31"/>
  <c r="R137" i="31" s="1"/>
  <c r="CL137" i="31"/>
  <c r="CB142" i="31"/>
  <c r="R142" i="31" s="1"/>
  <c r="CL142" i="31"/>
  <c r="CB147" i="31"/>
  <c r="R147" i="31" s="1"/>
  <c r="CL147" i="31"/>
  <c r="CL139" i="31"/>
  <c r="CB139" i="31"/>
  <c r="R139" i="31" s="1"/>
  <c r="CL33" i="31"/>
  <c r="CL20" i="31"/>
  <c r="CB32" i="31"/>
  <c r="CB34" i="31"/>
  <c r="CB133" i="31"/>
  <c r="R133" i="31" s="1"/>
  <c r="CL133" i="31"/>
  <c r="CB143" i="31"/>
  <c r="R143" i="31" s="1"/>
  <c r="CL143" i="31"/>
  <c r="CL148" i="31"/>
  <c r="CB148" i="31"/>
  <c r="R148" i="31" s="1"/>
  <c r="CB38" i="31"/>
  <c r="CL135" i="31"/>
  <c r="CB135" i="31"/>
  <c r="R135" i="31" s="1"/>
  <c r="CB140" i="31"/>
  <c r="R140" i="31" s="1"/>
  <c r="CB103" i="31"/>
  <c r="N103" i="31" s="1"/>
  <c r="CB29" i="31"/>
  <c r="CL41" i="31"/>
  <c r="CL40" i="31"/>
  <c r="CB40" i="31"/>
  <c r="CL39" i="31"/>
  <c r="CL29" i="31"/>
  <c r="CL111" i="31"/>
  <c r="CL18" i="31"/>
  <c r="CL21" i="31"/>
  <c r="CB27" i="31"/>
  <c r="CL28" i="31"/>
  <c r="CL31" i="31"/>
  <c r="CB36" i="31"/>
  <c r="CL37" i="31"/>
  <c r="CB42" i="31"/>
  <c r="CL43" i="31"/>
  <c r="CL108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L104" i="31"/>
  <c r="CL109" i="31"/>
  <c r="CL110" i="31"/>
  <c r="J129" i="31"/>
  <c r="CL106" i="31"/>
  <c r="CB14" i="31"/>
  <c r="CL107" i="31"/>
  <c r="CB13" i="31"/>
  <c r="CB30" i="31"/>
  <c r="CB33" i="31"/>
  <c r="CB39" i="31"/>
  <c r="CB45" i="31"/>
  <c r="CL105" i="31"/>
  <c r="CL103" i="31"/>
  <c r="CB24" i="31"/>
  <c r="CL24" i="31"/>
  <c r="CB23" i="31"/>
  <c r="CL23" i="31"/>
  <c r="CL12" i="31"/>
  <c r="CL30" i="31"/>
  <c r="J128" i="31"/>
  <c r="CB16" i="31"/>
  <c r="CB17" i="31"/>
  <c r="CB18" i="31"/>
  <c r="CB19" i="31"/>
  <c r="CB20" i="31"/>
  <c r="CB21" i="31"/>
  <c r="CB22" i="31"/>
  <c r="CB15" i="31"/>
  <c r="E46" i="31"/>
  <c r="CL15" i="31"/>
  <c r="E83" i="31"/>
  <c r="E183" i="31"/>
  <c r="CL192" i="31" l="1"/>
  <c r="CA192" i="31"/>
  <c r="AJ192" i="31" s="1"/>
  <c r="CL189" i="31"/>
  <c r="CA189" i="31"/>
  <c r="CL194" i="31"/>
  <c r="CA194" i="31"/>
  <c r="AJ194" i="31" s="1"/>
  <c r="CL191" i="31"/>
  <c r="CA191" i="31"/>
  <c r="AJ191" i="31" s="1"/>
  <c r="CA188" i="31"/>
  <c r="AJ188" i="31" s="1"/>
  <c r="CA193" i="31"/>
  <c r="AJ193" i="31" s="1"/>
  <c r="CL190" i="31"/>
  <c r="CA190" i="31"/>
  <c r="AJ190" i="31" s="1"/>
  <c r="Y97" i="31"/>
  <c r="Y98" i="31"/>
  <c r="Y99" i="31"/>
  <c r="AI11" i="31"/>
  <c r="AI13" i="31"/>
  <c r="CL193" i="31"/>
  <c r="AI15" i="31"/>
  <c r="AI14" i="31"/>
  <c r="AJ189" i="31"/>
  <c r="AI27" i="31"/>
  <c r="AI21" i="31"/>
  <c r="B229" i="31"/>
  <c r="E23" i="18" s="1"/>
  <c r="AI38" i="31"/>
  <c r="AI42" i="31"/>
  <c r="AI12" i="31"/>
  <c r="AI41" i="31"/>
  <c r="AI32" i="31"/>
  <c r="AI29" i="31"/>
  <c r="AI26" i="31"/>
  <c r="AI23" i="31"/>
  <c r="AI20" i="31"/>
  <c r="CL188" i="31"/>
  <c r="C229" i="31" s="1"/>
  <c r="D23" i="18" s="1"/>
  <c r="AI44" i="31"/>
  <c r="AI39" i="31"/>
  <c r="AI33" i="31"/>
  <c r="AI18" i="31"/>
  <c r="AI45" i="31"/>
  <c r="AI36" i="31"/>
  <c r="AI30" i="31"/>
  <c r="AI24" i="31"/>
  <c r="AI43" i="31"/>
  <c r="AI37" i="31"/>
  <c r="AI31" i="31"/>
  <c r="AI28" i="31"/>
  <c r="AI22" i="31"/>
  <c r="AI16" i="31"/>
  <c r="AI40" i="31"/>
  <c r="AI34" i="31"/>
  <c r="AI25" i="31"/>
  <c r="AI19" i="31"/>
  <c r="AI35" i="31"/>
  <c r="AI17" i="31"/>
  <c r="CC93" i="29" l="1"/>
  <c r="BS100" i="29"/>
  <c r="BR100" i="29" l="1"/>
  <c r="AG100" i="29" s="1"/>
  <c r="CC100" i="29"/>
  <c r="CD93" i="29"/>
  <c r="BS93" i="29"/>
  <c r="BR93" i="29"/>
  <c r="CD100" i="29"/>
  <c r="CC98" i="29"/>
  <c r="BS98" i="29"/>
  <c r="CD98" i="29"/>
  <c r="BR98" i="29"/>
  <c r="CD92" i="29"/>
  <c r="CC92" i="29"/>
  <c r="BS92" i="29"/>
  <c r="BR92" i="29"/>
  <c r="CC101" i="29"/>
  <c r="CD101" i="29"/>
  <c r="BR101" i="29"/>
  <c r="BS101" i="29"/>
  <c r="BS90" i="29"/>
  <c r="CD90" i="29"/>
  <c r="BR90" i="29"/>
  <c r="CC90" i="29"/>
  <c r="BS99" i="29"/>
  <c r="CC99" i="29"/>
  <c r="BR99" i="29"/>
  <c r="CD99" i="29"/>
  <c r="CD91" i="29"/>
  <c r="BR91" i="29"/>
  <c r="BS91" i="29"/>
  <c r="CC91" i="29"/>
  <c r="AG93" i="29" l="1"/>
  <c r="AG99" i="29"/>
  <c r="AG101" i="29"/>
  <c r="AG98" i="29"/>
  <c r="AG92" i="29"/>
  <c r="AG90" i="29"/>
  <c r="AG91" i="29"/>
  <c r="P39" i="22"/>
  <c r="P40" i="22"/>
  <c r="P41" i="22"/>
  <c r="P38" i="22"/>
  <c r="K80" i="5" l="1"/>
  <c r="K81" i="5"/>
  <c r="K82" i="5"/>
  <c r="K83" i="5"/>
  <c r="K84" i="5"/>
  <c r="K85" i="5"/>
  <c r="K86" i="5"/>
  <c r="K87" i="5"/>
  <c r="K88" i="5"/>
  <c r="K89" i="5"/>
  <c r="K90" i="5"/>
  <c r="K91" i="5"/>
  <c r="AP360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BV337" i="29"/>
  <c r="BR331" i="29"/>
  <c r="CD319" i="29"/>
  <c r="CC314" i="29"/>
  <c r="CD300" i="29"/>
  <c r="CD299" i="29"/>
  <c r="CD298" i="29"/>
  <c r="CD297" i="29"/>
  <c r="CD296" i="29"/>
  <c r="CD295" i="29"/>
  <c r="CD294" i="29"/>
  <c r="CD293" i="29"/>
  <c r="BS292" i="29"/>
  <c r="AW291" i="29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CF266" i="29"/>
  <c r="CF265" i="29"/>
  <c r="CF264" i="29"/>
  <c r="BS236" i="29"/>
  <c r="BS234" i="29"/>
  <c r="BZ230" i="29"/>
  <c r="BZ229" i="29"/>
  <c r="BZ228" i="29"/>
  <c r="BZ227" i="29"/>
  <c r="BZ226" i="29"/>
  <c r="BZ225" i="29"/>
  <c r="BZ224" i="29"/>
  <c r="BZ223" i="29"/>
  <c r="BZ222" i="29"/>
  <c r="BZ221" i="29"/>
  <c r="BZ220" i="29"/>
  <c r="BZ219" i="29"/>
  <c r="BZ218" i="29"/>
  <c r="BZ217" i="29"/>
  <c r="BZ216" i="29"/>
  <c r="BZ215" i="29"/>
  <c r="BZ214" i="29"/>
  <c r="BZ213" i="29"/>
  <c r="BZ212" i="29"/>
  <c r="BZ211" i="29"/>
  <c r="BR210" i="29"/>
  <c r="BZ210" i="29"/>
  <c r="BR209" i="29"/>
  <c r="BZ209" i="29"/>
  <c r="BR208" i="29"/>
  <c r="BZ208" i="29"/>
  <c r="BR207" i="29"/>
  <c r="BZ207" i="29"/>
  <c r="BZ206" i="29"/>
  <c r="BZ205" i="29"/>
  <c r="BZ204" i="29"/>
  <c r="BZ203" i="29"/>
  <c r="BZ202" i="29"/>
  <c r="BZ201" i="29"/>
  <c r="BZ200" i="29"/>
  <c r="BZ199" i="29"/>
  <c r="BZ198" i="29"/>
  <c r="CD197" i="29"/>
  <c r="BZ196" i="29"/>
  <c r="BZ195" i="29"/>
  <c r="BZ194" i="29"/>
  <c r="BZ193" i="29"/>
  <c r="BZ190" i="29"/>
  <c r="BZ189" i="29"/>
  <c r="CA186" i="29"/>
  <c r="S168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P155" i="29"/>
  <c r="O155" i="29"/>
  <c r="N155" i="29"/>
  <c r="M155" i="29"/>
  <c r="L155" i="29"/>
  <c r="K155" i="29"/>
  <c r="J155" i="29"/>
  <c r="I155" i="29"/>
  <c r="H155" i="29"/>
  <c r="G155" i="29"/>
  <c r="N106" i="29"/>
  <c r="M106" i="29"/>
  <c r="L106" i="29"/>
  <c r="K106" i="29"/>
  <c r="J106" i="29"/>
  <c r="I106" i="29"/>
  <c r="H106" i="29"/>
  <c r="Q59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CD55" i="29"/>
  <c r="CD54" i="29"/>
  <c r="CD53" i="29"/>
  <c r="CD52" i="29"/>
  <c r="CD51" i="29"/>
  <c r="CD50" i="29"/>
  <c r="CD49" i="29"/>
  <c r="CD48" i="29"/>
  <c r="CD47" i="29"/>
  <c r="CD46" i="29"/>
  <c r="CD45" i="29"/>
  <c r="CD44" i="29"/>
  <c r="CD43" i="29"/>
  <c r="CD42" i="29"/>
  <c r="CD41" i="29"/>
  <c r="CD40" i="29"/>
  <c r="CD39" i="29"/>
  <c r="CD38" i="29"/>
  <c r="CD37" i="29"/>
  <c r="CD36" i="29"/>
  <c r="Q35" i="29"/>
  <c r="P35" i="29"/>
  <c r="O35" i="29"/>
  <c r="M35" i="29"/>
  <c r="L35" i="29"/>
  <c r="K35" i="29"/>
  <c r="J35" i="29"/>
  <c r="I35" i="29"/>
  <c r="H35" i="29"/>
  <c r="G35" i="29"/>
  <c r="F35" i="29"/>
  <c r="E35" i="29"/>
  <c r="BP133" i="28"/>
  <c r="BP132" i="28"/>
  <c r="BP12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Y56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BS36" i="29" l="1"/>
  <c r="CE38" i="29"/>
  <c r="BS38" i="29"/>
  <c r="CE44" i="29"/>
  <c r="BS44" i="29"/>
  <c r="CE50" i="29"/>
  <c r="BS50" i="29"/>
  <c r="CE39" i="29"/>
  <c r="BS39" i="29"/>
  <c r="CE45" i="29"/>
  <c r="BS45" i="29"/>
  <c r="CE51" i="29"/>
  <c r="BS51" i="29"/>
  <c r="CE52" i="29"/>
  <c r="BS52" i="29"/>
  <c r="CE53" i="29"/>
  <c r="BS53" i="29"/>
  <c r="CE40" i="29"/>
  <c r="BS40" i="29"/>
  <c r="CE41" i="29"/>
  <c r="BS41" i="29"/>
  <c r="CE42" i="29"/>
  <c r="BS42" i="29"/>
  <c r="CE48" i="29"/>
  <c r="BS48" i="29"/>
  <c r="CE54" i="29"/>
  <c r="BS54" i="29"/>
  <c r="CE46" i="29"/>
  <c r="BS46" i="29"/>
  <c r="CE47" i="29"/>
  <c r="BS47" i="29"/>
  <c r="CE37" i="29"/>
  <c r="BS37" i="29"/>
  <c r="CE43" i="29"/>
  <c r="BS43" i="29"/>
  <c r="CE49" i="29"/>
  <c r="BS49" i="29"/>
  <c r="CE55" i="29"/>
  <c r="BS55" i="29"/>
  <c r="BX20" i="28"/>
  <c r="BY20" i="28"/>
  <c r="BR20" i="28"/>
  <c r="BS20" i="28"/>
  <c r="BX19" i="28"/>
  <c r="BS19" i="28"/>
  <c r="BY19" i="28"/>
  <c r="BR19" i="28"/>
  <c r="BV155" i="28"/>
  <c r="BW155" i="28"/>
  <c r="BY131" i="28"/>
  <c r="BP131" i="28"/>
  <c r="BY133" i="28"/>
  <c r="BY132" i="28"/>
  <c r="CF36" i="29"/>
  <c r="CE36" i="29"/>
  <c r="CC36" i="29"/>
  <c r="CH36" i="29"/>
  <c r="BT188" i="29"/>
  <c r="BZ188" i="29"/>
  <c r="BV85" i="28"/>
  <c r="BW85" i="28"/>
  <c r="BQ85" i="28"/>
  <c r="BP85" i="28"/>
  <c r="BP86" i="28"/>
  <c r="BV86" i="28"/>
  <c r="BW86" i="28"/>
  <c r="BQ86" i="28"/>
  <c r="BV87" i="28"/>
  <c r="BP87" i="28"/>
  <c r="BW87" i="28"/>
  <c r="BQ87" i="28"/>
  <c r="BW121" i="28"/>
  <c r="BQ121" i="28"/>
  <c r="BW84" i="28"/>
  <c r="BQ84" i="28"/>
  <c r="BV84" i="28"/>
  <c r="BP84" i="28"/>
  <c r="CE186" i="29"/>
  <c r="BZ186" i="29"/>
  <c r="BY130" i="28"/>
  <c r="BW120" i="28"/>
  <c r="BQ120" i="28"/>
  <c r="BW119" i="28"/>
  <c r="BQ119" i="28"/>
  <c r="BR51" i="28"/>
  <c r="BV51" i="28"/>
  <c r="BX51" i="28"/>
  <c r="BR50" i="28"/>
  <c r="BX50" i="28"/>
  <c r="BR71" i="29"/>
  <c r="BS71" i="29"/>
  <c r="BR72" i="29"/>
  <c r="BS72" i="29"/>
  <c r="BT42" i="29"/>
  <c r="BR42" i="29"/>
  <c r="BU42" i="29"/>
  <c r="BV42" i="29"/>
  <c r="BT50" i="29"/>
  <c r="BU50" i="29"/>
  <c r="BV50" i="29"/>
  <c r="BR50" i="29"/>
  <c r="BS65" i="29"/>
  <c r="BR65" i="29"/>
  <c r="BS73" i="29"/>
  <c r="BR73" i="29"/>
  <c r="BR199" i="29"/>
  <c r="BS199" i="29"/>
  <c r="BR203" i="29"/>
  <c r="BS203" i="29"/>
  <c r="BR211" i="29"/>
  <c r="BS211" i="29"/>
  <c r="BS215" i="29"/>
  <c r="BR215" i="29"/>
  <c r="BS219" i="29"/>
  <c r="BR219" i="29"/>
  <c r="BR223" i="29"/>
  <c r="BS223" i="29"/>
  <c r="BS227" i="29"/>
  <c r="BR227" i="29"/>
  <c r="BT234" i="29"/>
  <c r="BS206" i="29"/>
  <c r="BR206" i="29"/>
  <c r="BS222" i="29"/>
  <c r="BR222" i="29"/>
  <c r="BV43" i="29"/>
  <c r="BU43" i="29"/>
  <c r="BR43" i="29"/>
  <c r="BT43" i="29"/>
  <c r="BU51" i="29"/>
  <c r="BV51" i="29"/>
  <c r="BR51" i="29"/>
  <c r="BT51" i="29"/>
  <c r="BS66" i="29"/>
  <c r="BR66" i="29"/>
  <c r="BS74" i="29"/>
  <c r="BR74" i="29"/>
  <c r="BS189" i="29"/>
  <c r="BR189" i="29"/>
  <c r="BR195" i="29"/>
  <c r="BS195" i="29"/>
  <c r="BS202" i="29"/>
  <c r="BR202" i="29"/>
  <c r="BS230" i="29"/>
  <c r="BR230" i="29"/>
  <c r="BR64" i="29"/>
  <c r="BS64" i="29"/>
  <c r="BS188" i="29"/>
  <c r="BR188" i="29"/>
  <c r="BR36" i="29"/>
  <c r="BV36" i="29"/>
  <c r="BT36" i="29"/>
  <c r="BU36" i="29"/>
  <c r="BR44" i="29"/>
  <c r="BT44" i="29"/>
  <c r="BU44" i="29"/>
  <c r="BV44" i="29"/>
  <c r="BR52" i="29"/>
  <c r="BT52" i="29"/>
  <c r="BU52" i="29"/>
  <c r="BV52" i="29"/>
  <c r="BR67" i="29"/>
  <c r="BS67" i="29"/>
  <c r="BR75" i="29"/>
  <c r="BS75" i="29"/>
  <c r="BR200" i="29"/>
  <c r="BS200" i="29"/>
  <c r="BR204" i="29"/>
  <c r="BS204" i="29"/>
  <c r="BS212" i="29"/>
  <c r="BR212" i="29"/>
  <c r="BS220" i="29"/>
  <c r="BR220" i="29"/>
  <c r="BS224" i="29"/>
  <c r="BR224" i="29"/>
  <c r="BS228" i="29"/>
  <c r="BR228" i="29"/>
  <c r="BV48" i="29"/>
  <c r="BT48" i="29"/>
  <c r="BR48" i="29"/>
  <c r="BU48" i="29"/>
  <c r="BR214" i="29"/>
  <c r="BS214" i="29"/>
  <c r="BU37" i="29"/>
  <c r="BV37" i="29"/>
  <c r="BT37" i="29"/>
  <c r="BR37" i="29"/>
  <c r="BU45" i="29"/>
  <c r="BT45" i="29"/>
  <c r="BV45" i="29"/>
  <c r="BR45" i="29"/>
  <c r="BU53" i="29"/>
  <c r="BT53" i="29"/>
  <c r="BV53" i="29"/>
  <c r="BR53" i="29"/>
  <c r="BS60" i="29"/>
  <c r="BR60" i="29"/>
  <c r="BR68" i="29"/>
  <c r="BS68" i="29"/>
  <c r="BR76" i="29"/>
  <c r="BS76" i="29"/>
  <c r="BS190" i="29"/>
  <c r="BR190" i="29"/>
  <c r="BR196" i="29"/>
  <c r="BS196" i="29"/>
  <c r="BS63" i="29"/>
  <c r="BR63" i="29"/>
  <c r="BS198" i="29"/>
  <c r="BR198" i="29"/>
  <c r="BR41" i="29"/>
  <c r="BT41" i="29"/>
  <c r="BU41" i="29"/>
  <c r="BV41" i="29"/>
  <c r="BV38" i="29"/>
  <c r="BR38" i="29"/>
  <c r="BT38" i="29"/>
  <c r="BU38" i="29"/>
  <c r="BR46" i="29"/>
  <c r="BT46" i="29"/>
  <c r="BV46" i="29"/>
  <c r="BU46" i="29"/>
  <c r="BR54" i="29"/>
  <c r="BV54" i="29"/>
  <c r="BT54" i="29"/>
  <c r="BU54" i="29"/>
  <c r="BS61" i="29"/>
  <c r="BR61" i="29"/>
  <c r="BS69" i="29"/>
  <c r="BR69" i="29"/>
  <c r="BS77" i="29"/>
  <c r="BR77" i="29"/>
  <c r="BR197" i="29"/>
  <c r="BS197" i="29"/>
  <c r="BS201" i="29"/>
  <c r="BR201" i="29"/>
  <c r="BS205" i="29"/>
  <c r="BR205" i="29"/>
  <c r="BR213" i="29"/>
  <c r="BS213" i="29"/>
  <c r="BS221" i="29"/>
  <c r="BR221" i="29"/>
  <c r="BS225" i="29"/>
  <c r="BR225" i="29"/>
  <c r="BS229" i="29"/>
  <c r="BR229" i="29"/>
  <c r="BV40" i="29"/>
  <c r="BU40" i="29"/>
  <c r="BR40" i="29"/>
  <c r="BT40" i="29"/>
  <c r="BR79" i="29"/>
  <c r="BS79" i="29"/>
  <c r="BS226" i="29"/>
  <c r="BR226" i="29"/>
  <c r="BR49" i="29"/>
  <c r="BT49" i="29"/>
  <c r="BU49" i="29"/>
  <c r="BV49" i="29"/>
  <c r="BS194" i="29"/>
  <c r="BR194" i="29"/>
  <c r="BT39" i="29"/>
  <c r="BU39" i="29"/>
  <c r="BR39" i="29"/>
  <c r="BV39" i="29"/>
  <c r="BT47" i="29"/>
  <c r="BU47" i="29"/>
  <c r="BR47" i="29"/>
  <c r="BV47" i="29"/>
  <c r="BT55" i="29"/>
  <c r="BU55" i="29"/>
  <c r="BR55" i="29"/>
  <c r="BV55" i="29"/>
  <c r="BR62" i="29"/>
  <c r="BS62" i="29"/>
  <c r="BS70" i="29"/>
  <c r="BR70" i="29"/>
  <c r="BS78" i="29"/>
  <c r="BR78" i="29"/>
  <c r="CD186" i="29"/>
  <c r="BS186" i="29"/>
  <c r="BR186" i="29"/>
  <c r="BS193" i="29"/>
  <c r="BR193" i="29"/>
  <c r="BS331" i="29"/>
  <c r="CD331" i="29"/>
  <c r="CC331" i="29"/>
  <c r="CC330" i="29"/>
  <c r="BR330" i="29"/>
  <c r="BS329" i="29"/>
  <c r="CD329" i="29"/>
  <c r="CH337" i="29"/>
  <c r="BW337" i="29"/>
  <c r="CG337" i="29"/>
  <c r="BS330" i="29"/>
  <c r="CD330" i="29"/>
  <c r="CH336" i="29"/>
  <c r="BW336" i="29"/>
  <c r="BV336" i="29"/>
  <c r="CG336" i="29"/>
  <c r="BR329" i="29"/>
  <c r="CC329" i="29"/>
  <c r="BR318" i="29"/>
  <c r="CC318" i="29"/>
  <c r="BR322" i="29"/>
  <c r="CC322" i="29"/>
  <c r="BS323" i="29"/>
  <c r="CD323" i="29"/>
  <c r="BS316" i="29"/>
  <c r="CD316" i="29"/>
  <c r="BS320" i="29"/>
  <c r="CD320" i="29"/>
  <c r="BS324" i="29"/>
  <c r="CD324" i="29"/>
  <c r="BR316" i="29"/>
  <c r="CC316" i="29"/>
  <c r="BR320" i="29"/>
  <c r="CC320" i="29"/>
  <c r="BR324" i="29"/>
  <c r="CC324" i="29"/>
  <c r="BS317" i="29"/>
  <c r="CD317" i="29"/>
  <c r="BS321" i="29"/>
  <c r="CD321" i="29"/>
  <c r="BR323" i="29"/>
  <c r="CC323" i="29"/>
  <c r="BR317" i="29"/>
  <c r="CC317" i="29"/>
  <c r="BR321" i="29"/>
  <c r="CC321" i="29"/>
  <c r="BS318" i="29"/>
  <c r="CD318" i="29"/>
  <c r="BS322" i="29"/>
  <c r="CD322" i="29"/>
  <c r="BR315" i="29"/>
  <c r="CC315" i="29"/>
  <c r="BS315" i="29"/>
  <c r="CD315" i="29"/>
  <c r="BW314" i="29"/>
  <c r="BR314" i="29"/>
  <c r="BT302" i="29"/>
  <c r="CE302" i="29"/>
  <c r="BT306" i="29"/>
  <c r="CE306" i="29"/>
  <c r="BS302" i="29"/>
  <c r="CD302" i="29"/>
  <c r="BS306" i="29"/>
  <c r="CD306" i="29"/>
  <c r="BS303" i="29"/>
  <c r="CD303" i="29"/>
  <c r="BS307" i="29"/>
  <c r="CD307" i="29"/>
  <c r="BT303" i="29"/>
  <c r="CE303" i="29"/>
  <c r="BT304" i="29"/>
  <c r="CE304" i="29"/>
  <c r="BT308" i="29"/>
  <c r="CE308" i="29"/>
  <c r="BS304" i="29"/>
  <c r="CD304" i="29"/>
  <c r="BS308" i="29"/>
  <c r="CD308" i="29"/>
  <c r="BT307" i="29"/>
  <c r="CE307" i="29"/>
  <c r="BT301" i="29"/>
  <c r="CE301" i="29"/>
  <c r="BT305" i="29"/>
  <c r="CE305" i="29"/>
  <c r="BT309" i="29"/>
  <c r="CE309" i="29"/>
  <c r="BS301" i="29"/>
  <c r="CD301" i="29"/>
  <c r="BS305" i="29"/>
  <c r="CD305" i="29"/>
  <c r="BS309" i="29"/>
  <c r="CD309" i="29"/>
  <c r="BS295" i="29"/>
  <c r="BS296" i="29"/>
  <c r="BS299" i="29"/>
  <c r="BS298" i="29"/>
  <c r="BU292" i="29"/>
  <c r="CD292" i="29"/>
  <c r="BS300" i="29"/>
  <c r="BS293" i="29"/>
  <c r="BS297" i="29"/>
  <c r="BS294" i="29"/>
  <c r="BV234" i="29"/>
  <c r="CF234" i="29"/>
  <c r="CD241" i="29"/>
  <c r="CC241" i="29"/>
  <c r="CF241" i="29"/>
  <c r="BU246" i="29"/>
  <c r="CE246" i="29"/>
  <c r="BU250" i="29"/>
  <c r="CE250" i="29"/>
  <c r="BU254" i="29"/>
  <c r="CE254" i="29"/>
  <c r="BU258" i="29"/>
  <c r="CE258" i="29"/>
  <c r="BU262" i="29"/>
  <c r="CE262" i="29"/>
  <c r="BU266" i="29"/>
  <c r="CE266" i="29"/>
  <c r="BU270" i="29"/>
  <c r="CE270" i="29"/>
  <c r="BU274" i="29"/>
  <c r="CE274" i="29"/>
  <c r="BU278" i="29"/>
  <c r="CE278" i="29"/>
  <c r="BU236" i="29"/>
  <c r="CE236" i="29"/>
  <c r="BU242" i="29"/>
  <c r="CE242" i="29"/>
  <c r="CD246" i="29"/>
  <c r="CC246" i="29"/>
  <c r="CF246" i="29"/>
  <c r="CD250" i="29"/>
  <c r="CC250" i="29"/>
  <c r="CF250" i="29"/>
  <c r="CD254" i="29"/>
  <c r="CC254" i="29"/>
  <c r="CF254" i="29"/>
  <c r="CC258" i="29"/>
  <c r="CF258" i="29"/>
  <c r="CF262" i="29"/>
  <c r="CD262" i="29"/>
  <c r="CC262" i="29"/>
  <c r="CF270" i="29"/>
  <c r="CD270" i="29"/>
  <c r="CC270" i="29"/>
  <c r="CF274" i="29"/>
  <c r="CD274" i="29"/>
  <c r="CC274" i="29"/>
  <c r="CF278" i="29"/>
  <c r="CD278" i="29"/>
  <c r="CC278" i="29"/>
  <c r="BU251" i="29"/>
  <c r="CE251" i="29"/>
  <c r="BU271" i="29"/>
  <c r="CE271" i="29"/>
  <c r="BU237" i="29"/>
  <c r="CE237" i="29"/>
  <c r="BU243" i="29"/>
  <c r="CE243" i="29"/>
  <c r="CD247" i="29"/>
  <c r="CF247" i="29"/>
  <c r="CC247" i="29"/>
  <c r="CD251" i="29"/>
  <c r="CC251" i="29"/>
  <c r="CF251" i="29"/>
  <c r="CF255" i="29"/>
  <c r="CC255" i="29"/>
  <c r="BS255" i="29"/>
  <c r="CF259" i="29"/>
  <c r="CD259" i="29"/>
  <c r="CC259" i="29"/>
  <c r="CF263" i="29"/>
  <c r="CD263" i="29"/>
  <c r="CC263" i="29"/>
  <c r="CF267" i="29"/>
  <c r="CD267" i="29"/>
  <c r="CC267" i="29"/>
  <c r="CF271" i="29"/>
  <c r="CD271" i="29"/>
  <c r="CC271" i="29"/>
  <c r="CF275" i="29"/>
  <c r="CD275" i="29"/>
  <c r="CC275" i="29"/>
  <c r="CD242" i="29"/>
  <c r="CF242" i="29"/>
  <c r="CC242" i="29"/>
  <c r="BU263" i="29"/>
  <c r="CE263" i="29"/>
  <c r="BU252" i="29"/>
  <c r="CE252" i="29"/>
  <c r="BU256" i="29"/>
  <c r="CE256" i="29"/>
  <c r="BU260" i="29"/>
  <c r="CE260" i="29"/>
  <c r="BU264" i="29"/>
  <c r="CE264" i="29"/>
  <c r="BU268" i="29"/>
  <c r="CE268" i="29"/>
  <c r="BU272" i="29"/>
  <c r="CE272" i="29"/>
  <c r="BU276" i="29"/>
  <c r="CE276" i="29"/>
  <c r="CD236" i="29"/>
  <c r="CF236" i="29"/>
  <c r="CC236" i="29"/>
  <c r="BU255" i="29"/>
  <c r="CE255" i="29"/>
  <c r="BU275" i="29"/>
  <c r="CE275" i="29"/>
  <c r="CD237" i="29"/>
  <c r="CC237" i="29"/>
  <c r="CF237" i="29"/>
  <c r="BU248" i="29"/>
  <c r="CE248" i="29"/>
  <c r="BU238" i="29"/>
  <c r="CE238" i="29"/>
  <c r="BU244" i="29"/>
  <c r="CE244" i="29"/>
  <c r="CD248" i="29"/>
  <c r="CC248" i="29"/>
  <c r="CF248" i="29"/>
  <c r="CD252" i="29"/>
  <c r="CF252" i="29"/>
  <c r="CC252" i="29"/>
  <c r="CF256" i="29"/>
  <c r="CC256" i="29"/>
  <c r="CF260" i="29"/>
  <c r="CD260" i="29"/>
  <c r="CC260" i="29"/>
  <c r="CF268" i="29"/>
  <c r="CD268" i="29"/>
  <c r="CC268" i="29"/>
  <c r="CF272" i="29"/>
  <c r="CD272" i="29"/>
  <c r="CC272" i="29"/>
  <c r="CF276" i="29"/>
  <c r="CD276" i="29"/>
  <c r="CC276" i="29"/>
  <c r="BU259" i="29"/>
  <c r="CE259" i="29"/>
  <c r="CD243" i="29"/>
  <c r="CC243" i="29"/>
  <c r="CF243" i="29"/>
  <c r="CD238" i="29"/>
  <c r="CC238" i="29"/>
  <c r="CF238" i="29"/>
  <c r="CF244" i="29"/>
  <c r="CD244" i="29"/>
  <c r="CC244" i="29"/>
  <c r="BU249" i="29"/>
  <c r="CE249" i="29"/>
  <c r="BU253" i="29"/>
  <c r="CE253" i="29"/>
  <c r="BU257" i="29"/>
  <c r="CE257" i="29"/>
  <c r="BU261" i="29"/>
  <c r="CE261" i="29"/>
  <c r="BU265" i="29"/>
  <c r="CE265" i="29"/>
  <c r="BU269" i="29"/>
  <c r="CE269" i="29"/>
  <c r="BU273" i="29"/>
  <c r="CE273" i="29"/>
  <c r="BU277" i="29"/>
  <c r="CE277" i="29"/>
  <c r="BU247" i="29"/>
  <c r="CE247" i="29"/>
  <c r="BU267" i="29"/>
  <c r="CE267" i="29"/>
  <c r="BU241" i="29"/>
  <c r="CE241" i="29"/>
  <c r="CD245" i="29"/>
  <c r="CC245" i="29"/>
  <c r="CF245" i="29"/>
  <c r="CF249" i="29"/>
  <c r="CD249" i="29"/>
  <c r="CC249" i="29"/>
  <c r="CF253" i="29"/>
  <c r="CD253" i="29"/>
  <c r="CC253" i="29"/>
  <c r="CF257" i="29"/>
  <c r="CC257" i="29"/>
  <c r="CD261" i="29"/>
  <c r="CF261" i="29"/>
  <c r="CC261" i="29"/>
  <c r="CF269" i="29"/>
  <c r="CD269" i="29"/>
  <c r="CC269" i="29"/>
  <c r="CF273" i="29"/>
  <c r="CD273" i="29"/>
  <c r="CC273" i="29"/>
  <c r="CF277" i="29"/>
  <c r="CD277" i="29"/>
  <c r="CC277" i="29"/>
  <c r="BS254" i="29"/>
  <c r="BV254" i="29"/>
  <c r="BT254" i="29"/>
  <c r="BS270" i="29"/>
  <c r="BV270" i="29"/>
  <c r="BT270" i="29"/>
  <c r="BV236" i="29"/>
  <c r="BT236" i="29"/>
  <c r="BS242" i="29"/>
  <c r="BV242" i="29"/>
  <c r="BT242" i="29"/>
  <c r="BS250" i="29"/>
  <c r="BV250" i="29"/>
  <c r="BT250" i="29"/>
  <c r="BS274" i="29"/>
  <c r="BV274" i="29"/>
  <c r="BT274" i="29"/>
  <c r="BS247" i="29"/>
  <c r="BT247" i="29"/>
  <c r="BV247" i="29"/>
  <c r="BS251" i="29"/>
  <c r="BT251" i="29"/>
  <c r="BV251" i="29"/>
  <c r="BV255" i="29"/>
  <c r="BS259" i="29"/>
  <c r="BV259" i="29"/>
  <c r="BT259" i="29"/>
  <c r="BS263" i="29"/>
  <c r="BV263" i="29"/>
  <c r="BT263" i="29"/>
  <c r="BS267" i="29"/>
  <c r="BV267" i="29"/>
  <c r="BT267" i="29"/>
  <c r="BS271" i="29"/>
  <c r="BV271" i="29"/>
  <c r="BT271" i="29"/>
  <c r="BS275" i="29"/>
  <c r="BV275" i="29"/>
  <c r="BT275" i="29"/>
  <c r="BS237" i="29"/>
  <c r="BV237" i="29"/>
  <c r="BT237" i="29"/>
  <c r="BS243" i="29"/>
  <c r="BT243" i="29"/>
  <c r="BV243" i="29"/>
  <c r="BS246" i="29"/>
  <c r="BV246" i="29"/>
  <c r="BT246" i="29"/>
  <c r="BV266" i="29"/>
  <c r="BS248" i="29"/>
  <c r="BV248" i="29"/>
  <c r="BT248" i="29"/>
  <c r="BS252" i="29"/>
  <c r="BV252" i="29"/>
  <c r="BT252" i="29"/>
  <c r="BS256" i="29"/>
  <c r="BV256" i="29"/>
  <c r="BS260" i="29"/>
  <c r="BT260" i="29"/>
  <c r="BV260" i="29"/>
  <c r="BV264" i="29"/>
  <c r="BS268" i="29"/>
  <c r="BT268" i="29"/>
  <c r="BV268" i="29"/>
  <c r="BS272" i="29"/>
  <c r="BT272" i="29"/>
  <c r="BV272" i="29"/>
  <c r="BS276" i="29"/>
  <c r="BV276" i="29"/>
  <c r="BT276" i="29"/>
  <c r="BS262" i="29"/>
  <c r="BT262" i="29"/>
  <c r="BV262" i="29"/>
  <c r="BS278" i="29"/>
  <c r="BT278" i="29"/>
  <c r="BV278" i="29"/>
  <c r="BS238" i="29"/>
  <c r="BV238" i="29"/>
  <c r="BT238" i="29"/>
  <c r="BS244" i="29"/>
  <c r="BV244" i="29"/>
  <c r="BT244" i="29"/>
  <c r="BS241" i="29"/>
  <c r="BV241" i="29"/>
  <c r="BT241" i="29"/>
  <c r="BS258" i="29"/>
  <c r="BV258" i="29"/>
  <c r="CE234" i="29"/>
  <c r="BU234" i="29"/>
  <c r="BS245" i="29"/>
  <c r="BV245" i="29"/>
  <c r="BT245" i="29"/>
  <c r="BS249" i="29"/>
  <c r="BV249" i="29"/>
  <c r="BT249" i="29"/>
  <c r="BS253" i="29"/>
  <c r="BV253" i="29"/>
  <c r="BT253" i="29"/>
  <c r="BS257" i="29"/>
  <c r="BV257" i="29"/>
  <c r="BS261" i="29"/>
  <c r="BV261" i="29"/>
  <c r="BT261" i="29"/>
  <c r="BV265" i="29"/>
  <c r="BS269" i="29"/>
  <c r="BV269" i="29"/>
  <c r="BT269" i="29"/>
  <c r="BS273" i="29"/>
  <c r="BV273" i="29"/>
  <c r="BT273" i="29"/>
  <c r="BS277" i="29"/>
  <c r="BV277" i="29"/>
  <c r="BT277" i="29"/>
  <c r="CI189" i="29"/>
  <c r="CK189" i="29"/>
  <c r="BX189" i="29"/>
  <c r="BT189" i="29"/>
  <c r="CE189" i="29"/>
  <c r="CJ211" i="29"/>
  <c r="BU211" i="29"/>
  <c r="CC211" i="29"/>
  <c r="CA211" i="29"/>
  <c r="CL211" i="29"/>
  <c r="BY211" i="29"/>
  <c r="CD211" i="29"/>
  <c r="CF211" i="29"/>
  <c r="CA227" i="29"/>
  <c r="CF227" i="29"/>
  <c r="CL227" i="29"/>
  <c r="BY227" i="29"/>
  <c r="CJ227" i="29"/>
  <c r="BU227" i="29"/>
  <c r="CD227" i="29"/>
  <c r="CC227" i="29"/>
  <c r="CJ189" i="29"/>
  <c r="CC189" i="29"/>
  <c r="CD189" i="29"/>
  <c r="CL189" i="29"/>
  <c r="BU189" i="29"/>
  <c r="BY189" i="29"/>
  <c r="CF189" i="29"/>
  <c r="CA189" i="29"/>
  <c r="CK200" i="29"/>
  <c r="CE200" i="29"/>
  <c r="BT200" i="29"/>
  <c r="BX200" i="29"/>
  <c r="CI200" i="29"/>
  <c r="CE208" i="29"/>
  <c r="BX208" i="29"/>
  <c r="CK208" i="29"/>
  <c r="CI208" i="29"/>
  <c r="BT208" i="29"/>
  <c r="CI216" i="29"/>
  <c r="BT216" i="29"/>
  <c r="CK216" i="29"/>
  <c r="CE216" i="29"/>
  <c r="BX216" i="29"/>
  <c r="CE224" i="29"/>
  <c r="BX224" i="29"/>
  <c r="CK224" i="29"/>
  <c r="BT224" i="29"/>
  <c r="CI224" i="29"/>
  <c r="CI190" i="29"/>
  <c r="CE190" i="29"/>
  <c r="BT190" i="29"/>
  <c r="CK190" i="29"/>
  <c r="BX190" i="29"/>
  <c r="CK196" i="29"/>
  <c r="CE196" i="29"/>
  <c r="CI196" i="29"/>
  <c r="BX196" i="29"/>
  <c r="BT196" i="29"/>
  <c r="CL200" i="29"/>
  <c r="CD200" i="29"/>
  <c r="CC200" i="29"/>
  <c r="CF200" i="29"/>
  <c r="CJ200" i="29"/>
  <c r="CA200" i="29"/>
  <c r="BY200" i="29"/>
  <c r="BU200" i="29"/>
  <c r="CL204" i="29"/>
  <c r="CD204" i="29"/>
  <c r="CC204" i="29"/>
  <c r="CA204" i="29"/>
  <c r="CJ204" i="29"/>
  <c r="BY204" i="29"/>
  <c r="BU204" i="29"/>
  <c r="CF204" i="29"/>
  <c r="CF208" i="29"/>
  <c r="BY208" i="29"/>
  <c r="CA208" i="29"/>
  <c r="CJ208" i="29"/>
  <c r="BU208" i="29"/>
  <c r="CL208" i="29"/>
  <c r="CC208" i="29"/>
  <c r="CA212" i="29"/>
  <c r="CD212" i="29"/>
  <c r="CC212" i="29"/>
  <c r="BY212" i="29"/>
  <c r="CL212" i="29"/>
  <c r="BU212" i="29"/>
  <c r="CF212" i="29"/>
  <c r="CJ212" i="29"/>
  <c r="CJ216" i="29"/>
  <c r="BU216" i="29"/>
  <c r="CA216" i="29"/>
  <c r="CL216" i="29"/>
  <c r="BY216" i="29"/>
  <c r="CF216" i="29"/>
  <c r="CF220" i="29"/>
  <c r="BY220" i="29"/>
  <c r="BU220" i="29"/>
  <c r="CL220" i="29"/>
  <c r="CA220" i="29"/>
  <c r="CD220" i="29"/>
  <c r="CC220" i="29"/>
  <c r="CJ220" i="29"/>
  <c r="CF224" i="29"/>
  <c r="BY224" i="29"/>
  <c r="CD224" i="29"/>
  <c r="CJ224" i="29"/>
  <c r="CC224" i="29"/>
  <c r="BU224" i="29"/>
  <c r="CL224" i="29"/>
  <c r="CA224" i="29"/>
  <c r="CF228" i="29"/>
  <c r="BY228" i="29"/>
  <c r="CC228" i="29"/>
  <c r="CJ228" i="29"/>
  <c r="CA228" i="29"/>
  <c r="CL228" i="29"/>
  <c r="BU228" i="29"/>
  <c r="CD228" i="29"/>
  <c r="CE195" i="29"/>
  <c r="BT195" i="29"/>
  <c r="BX195" i="29"/>
  <c r="CK195" i="29"/>
  <c r="CI195" i="29"/>
  <c r="CF207" i="29"/>
  <c r="CA207" i="29"/>
  <c r="CL207" i="29"/>
  <c r="CJ207" i="29"/>
  <c r="BY207" i="29"/>
  <c r="BU207" i="29"/>
  <c r="CC207" i="29"/>
  <c r="CF195" i="29"/>
  <c r="CA195" i="29"/>
  <c r="BY195" i="29"/>
  <c r="CL195" i="29"/>
  <c r="CD195" i="29"/>
  <c r="CC195" i="29"/>
  <c r="BU195" i="29"/>
  <c r="CJ195" i="29"/>
  <c r="CK204" i="29"/>
  <c r="CE204" i="29"/>
  <c r="BT204" i="29"/>
  <c r="CI204" i="29"/>
  <c r="BX204" i="29"/>
  <c r="CI212" i="29"/>
  <c r="CK212" i="29"/>
  <c r="BX212" i="29"/>
  <c r="BT212" i="29"/>
  <c r="CE212" i="29"/>
  <c r="CE220" i="29"/>
  <c r="BX220" i="29"/>
  <c r="BT220" i="29"/>
  <c r="CK220" i="29"/>
  <c r="CI220" i="29"/>
  <c r="CE228" i="29"/>
  <c r="BX228" i="29"/>
  <c r="BT228" i="29"/>
  <c r="CI228" i="29"/>
  <c r="CK228" i="29"/>
  <c r="BU190" i="29"/>
  <c r="CL190" i="29"/>
  <c r="CD190" i="29"/>
  <c r="CC190" i="29"/>
  <c r="CA190" i="29"/>
  <c r="BY190" i="29"/>
  <c r="CJ190" i="29"/>
  <c r="CF190" i="29"/>
  <c r="CL196" i="29"/>
  <c r="CD196" i="29"/>
  <c r="CC196" i="29"/>
  <c r="BY196" i="29"/>
  <c r="CF196" i="29"/>
  <c r="CA196" i="29"/>
  <c r="CJ196" i="29"/>
  <c r="BU196" i="29"/>
  <c r="CI201" i="29"/>
  <c r="CK201" i="29"/>
  <c r="CE201" i="29"/>
  <c r="BX201" i="29"/>
  <c r="BT201" i="29"/>
  <c r="CI205" i="29"/>
  <c r="CK205" i="29"/>
  <c r="CE205" i="29"/>
  <c r="BX205" i="29"/>
  <c r="BT205" i="29"/>
  <c r="CE209" i="29"/>
  <c r="BT209" i="29"/>
  <c r="CK209" i="29"/>
  <c r="BX209" i="29"/>
  <c r="CI209" i="29"/>
  <c r="CE213" i="29"/>
  <c r="BX213" i="29"/>
  <c r="CK213" i="29"/>
  <c r="CI213" i="29"/>
  <c r="BT213" i="29"/>
  <c r="CI217" i="29"/>
  <c r="CK217" i="29"/>
  <c r="BX217" i="29"/>
  <c r="BT217" i="29"/>
  <c r="CE217" i="29"/>
  <c r="CK221" i="29"/>
  <c r="CE221" i="29"/>
  <c r="CI221" i="29"/>
  <c r="BT221" i="29"/>
  <c r="BX221" i="29"/>
  <c r="CK225" i="29"/>
  <c r="CE225" i="29"/>
  <c r="BX225" i="29"/>
  <c r="BT225" i="29"/>
  <c r="CI225" i="29"/>
  <c r="CK229" i="29"/>
  <c r="CE229" i="29"/>
  <c r="BX229" i="29"/>
  <c r="BT229" i="29"/>
  <c r="CI229" i="29"/>
  <c r="CJ215" i="29"/>
  <c r="BU215" i="29"/>
  <c r="CC215" i="29"/>
  <c r="CF215" i="29"/>
  <c r="BY215" i="29"/>
  <c r="CL215" i="29"/>
  <c r="CA215" i="29"/>
  <c r="CD215" i="29"/>
  <c r="CJ205" i="29"/>
  <c r="BY205" i="29"/>
  <c r="CC205" i="29"/>
  <c r="CF205" i="29"/>
  <c r="CA205" i="29"/>
  <c r="CD205" i="29"/>
  <c r="BU205" i="29"/>
  <c r="CL205" i="29"/>
  <c r="CJ217" i="29"/>
  <c r="CA217" i="29"/>
  <c r="BY217" i="29"/>
  <c r="BU217" i="29"/>
  <c r="CF217" i="29"/>
  <c r="CL217" i="29"/>
  <c r="CL229" i="29"/>
  <c r="CD229" i="29"/>
  <c r="CC229" i="29"/>
  <c r="BU229" i="29"/>
  <c r="CF229" i="29"/>
  <c r="CJ229" i="29"/>
  <c r="CA229" i="29"/>
  <c r="BY229" i="29"/>
  <c r="CJ193" i="29"/>
  <c r="CC193" i="29"/>
  <c r="BU193" i="29"/>
  <c r="CL193" i="29"/>
  <c r="BY193" i="29"/>
  <c r="CF193" i="29"/>
  <c r="CD193" i="29"/>
  <c r="CA193" i="29"/>
  <c r="CI198" i="29"/>
  <c r="BX198" i="29"/>
  <c r="CE198" i="29"/>
  <c r="BT198" i="29"/>
  <c r="CK198" i="29"/>
  <c r="CI202" i="29"/>
  <c r="CK202" i="29"/>
  <c r="BX202" i="29"/>
  <c r="BT202" i="29"/>
  <c r="CE202" i="29"/>
  <c r="CI206" i="29"/>
  <c r="CE206" i="29"/>
  <c r="BX206" i="29"/>
  <c r="BT206" i="29"/>
  <c r="CK206" i="29"/>
  <c r="CK210" i="29"/>
  <c r="BT210" i="29"/>
  <c r="CE210" i="29"/>
  <c r="CI210" i="29"/>
  <c r="BX210" i="29"/>
  <c r="CK214" i="29"/>
  <c r="CE214" i="29"/>
  <c r="CI214" i="29"/>
  <c r="BX214" i="29"/>
  <c r="BT214" i="29"/>
  <c r="CI218" i="29"/>
  <c r="BX218" i="29"/>
  <c r="CK218" i="29"/>
  <c r="CE218" i="29"/>
  <c r="BT218" i="29"/>
  <c r="CI222" i="29"/>
  <c r="BT222" i="29"/>
  <c r="CK222" i="29"/>
  <c r="BX222" i="29"/>
  <c r="CE222" i="29"/>
  <c r="CI226" i="29"/>
  <c r="BT226" i="29"/>
  <c r="CK226" i="29"/>
  <c r="CE226" i="29"/>
  <c r="BX226" i="29"/>
  <c r="CI230" i="29"/>
  <c r="BT230" i="29"/>
  <c r="CK230" i="29"/>
  <c r="BX230" i="29"/>
  <c r="CE230" i="29"/>
  <c r="CF199" i="29"/>
  <c r="CL199" i="29"/>
  <c r="BU199" i="29"/>
  <c r="CJ199" i="29"/>
  <c r="CA199" i="29"/>
  <c r="BY199" i="29"/>
  <c r="CD199" i="29"/>
  <c r="CC199" i="29"/>
  <c r="CA219" i="29"/>
  <c r="CD219" i="29"/>
  <c r="BU219" i="29"/>
  <c r="BY219" i="29"/>
  <c r="CC219" i="29"/>
  <c r="CL219" i="29"/>
  <c r="CJ219" i="29"/>
  <c r="CF219" i="29"/>
  <c r="CJ197" i="29"/>
  <c r="BU197" i="29"/>
  <c r="CC197" i="29"/>
  <c r="CF197" i="29"/>
  <c r="CA197" i="29"/>
  <c r="BY197" i="29"/>
  <c r="CL197" i="29"/>
  <c r="CL209" i="29"/>
  <c r="CC209" i="29"/>
  <c r="CF209" i="29"/>
  <c r="CA209" i="29"/>
  <c r="BU209" i="29"/>
  <c r="BY209" i="29"/>
  <c r="CJ209" i="29"/>
  <c r="CL221" i="29"/>
  <c r="CD221" i="29"/>
  <c r="CC221" i="29"/>
  <c r="BU221" i="29"/>
  <c r="CA221" i="29"/>
  <c r="CF221" i="29"/>
  <c r="CJ221" i="29"/>
  <c r="BY221" i="29"/>
  <c r="CK188" i="29"/>
  <c r="CE188" i="29"/>
  <c r="CI188" i="29"/>
  <c r="BX188" i="29"/>
  <c r="CI194" i="29"/>
  <c r="CK194" i="29"/>
  <c r="BT194" i="29"/>
  <c r="CE194" i="29"/>
  <c r="BX194" i="29"/>
  <c r="CL198" i="29"/>
  <c r="CJ198" i="29"/>
  <c r="CF198" i="29"/>
  <c r="BU198" i="29"/>
  <c r="CA198" i="29"/>
  <c r="CD198" i="29"/>
  <c r="BY198" i="29"/>
  <c r="CC198" i="29"/>
  <c r="CD202" i="29"/>
  <c r="CJ202" i="29"/>
  <c r="CF202" i="29"/>
  <c r="BU202" i="29"/>
  <c r="BY202" i="29"/>
  <c r="CA202" i="29"/>
  <c r="CL202" i="29"/>
  <c r="CC202" i="29"/>
  <c r="CJ206" i="29"/>
  <c r="CA206" i="29"/>
  <c r="CC206" i="29"/>
  <c r="BU206" i="29"/>
  <c r="CF206" i="29"/>
  <c r="BY206" i="29"/>
  <c r="CD206" i="29"/>
  <c r="CL206" i="29"/>
  <c r="CL210" i="29"/>
  <c r="CC210" i="29"/>
  <c r="BU210" i="29"/>
  <c r="CJ210" i="29"/>
  <c r="CF210" i="29"/>
  <c r="BY210" i="29"/>
  <c r="CA210" i="29"/>
  <c r="CL214" i="29"/>
  <c r="CD214" i="29"/>
  <c r="CC214" i="29"/>
  <c r="BY214" i="29"/>
  <c r="CA214" i="29"/>
  <c r="CF214" i="29"/>
  <c r="CJ214" i="29"/>
  <c r="BU214" i="29"/>
  <c r="CJ218" i="29"/>
  <c r="BY218" i="29"/>
  <c r="CA218" i="29"/>
  <c r="CL218" i="29"/>
  <c r="BU218" i="29"/>
  <c r="CF218" i="29"/>
  <c r="CJ222" i="29"/>
  <c r="BU222" i="29"/>
  <c r="CC222" i="29"/>
  <c r="CF222" i="29"/>
  <c r="CA222" i="29"/>
  <c r="CL222" i="29"/>
  <c r="BY222" i="29"/>
  <c r="CD222" i="29"/>
  <c r="CJ226" i="29"/>
  <c r="BU226" i="29"/>
  <c r="CC226" i="29"/>
  <c r="CL226" i="29"/>
  <c r="CD226" i="29"/>
  <c r="BY226" i="29"/>
  <c r="CF226" i="29"/>
  <c r="CA226" i="29"/>
  <c r="CJ230" i="29"/>
  <c r="BU230" i="29"/>
  <c r="CL230" i="29"/>
  <c r="CC230" i="29"/>
  <c r="BY230" i="29"/>
  <c r="CD230" i="29"/>
  <c r="CF230" i="29"/>
  <c r="CA230" i="29"/>
  <c r="CF203" i="29"/>
  <c r="CL203" i="29"/>
  <c r="BU203" i="29"/>
  <c r="CJ203" i="29"/>
  <c r="CA203" i="29"/>
  <c r="CD203" i="29"/>
  <c r="CC203" i="29"/>
  <c r="BY203" i="29"/>
  <c r="CA223" i="29"/>
  <c r="CC223" i="29"/>
  <c r="CJ223" i="29"/>
  <c r="CL223" i="29"/>
  <c r="BU223" i="29"/>
  <c r="BY223" i="29"/>
  <c r="CD223" i="29"/>
  <c r="CF223" i="29"/>
  <c r="CI193" i="29"/>
  <c r="CK193" i="29"/>
  <c r="BX193" i="29"/>
  <c r="BT193" i="29"/>
  <c r="CE193" i="29"/>
  <c r="CJ201" i="29"/>
  <c r="CC201" i="29"/>
  <c r="BY201" i="29"/>
  <c r="CF201" i="29"/>
  <c r="CD201" i="29"/>
  <c r="BU201" i="29"/>
  <c r="CL201" i="29"/>
  <c r="CA201" i="29"/>
  <c r="CF213" i="29"/>
  <c r="BY213" i="29"/>
  <c r="CL213" i="29"/>
  <c r="CD213" i="29"/>
  <c r="CC213" i="29"/>
  <c r="CA213" i="29"/>
  <c r="CJ213" i="29"/>
  <c r="BU213" i="29"/>
  <c r="CL225" i="29"/>
  <c r="CD225" i="29"/>
  <c r="CC225" i="29"/>
  <c r="BY225" i="29"/>
  <c r="CF225" i="29"/>
  <c r="BU225" i="29"/>
  <c r="CA225" i="29"/>
  <c r="CJ225" i="29"/>
  <c r="CL188" i="29"/>
  <c r="CD188" i="29"/>
  <c r="CC188" i="29"/>
  <c r="BY188" i="29"/>
  <c r="CJ188" i="29"/>
  <c r="CA188" i="29"/>
  <c r="BU188" i="29"/>
  <c r="CF188" i="29"/>
  <c r="CD194" i="29"/>
  <c r="BU194" i="29"/>
  <c r="CC194" i="29"/>
  <c r="CL194" i="29"/>
  <c r="CA194" i="29"/>
  <c r="CF194" i="29"/>
  <c r="CJ194" i="29"/>
  <c r="BY194" i="29"/>
  <c r="CE199" i="29"/>
  <c r="CI199" i="29"/>
  <c r="CK199" i="29"/>
  <c r="BT199" i="29"/>
  <c r="BX199" i="29"/>
  <c r="CE203" i="29"/>
  <c r="CK203" i="29"/>
  <c r="BT203" i="29"/>
  <c r="CI203" i="29"/>
  <c r="BX203" i="29"/>
  <c r="BX207" i="29"/>
  <c r="BT207" i="29"/>
  <c r="CE207" i="29"/>
  <c r="CK207" i="29"/>
  <c r="CI207" i="29"/>
  <c r="CI211" i="29"/>
  <c r="BT211" i="29"/>
  <c r="CK211" i="29"/>
  <c r="BX211" i="29"/>
  <c r="CE211" i="29"/>
  <c r="CI215" i="29"/>
  <c r="BT215" i="29"/>
  <c r="CK215" i="29"/>
  <c r="BX215" i="29"/>
  <c r="CE215" i="29"/>
  <c r="CI219" i="29"/>
  <c r="CK219" i="29"/>
  <c r="BT219" i="29"/>
  <c r="BX219" i="29"/>
  <c r="CE219" i="29"/>
  <c r="CI223" i="29"/>
  <c r="CK223" i="29"/>
  <c r="BT223" i="29"/>
  <c r="BX223" i="29"/>
  <c r="CE223" i="29"/>
  <c r="CI227" i="29"/>
  <c r="BT227" i="29"/>
  <c r="CE227" i="29"/>
  <c r="CK227" i="29"/>
  <c r="BX227" i="29"/>
  <c r="CF186" i="29"/>
  <c r="CL186" i="29"/>
  <c r="CJ186" i="29"/>
  <c r="CI186" i="29"/>
  <c r="CK186" i="29"/>
  <c r="BT186" i="29"/>
  <c r="BX186" i="29"/>
  <c r="BU186" i="29"/>
  <c r="BY186" i="29"/>
  <c r="L156" i="29"/>
  <c r="CC234" i="29"/>
  <c r="CD234" i="29"/>
  <c r="CC186" i="29"/>
  <c r="BZ245" i="29"/>
  <c r="BW149" i="28"/>
  <c r="BP25" i="28"/>
  <c r="BT41" i="28"/>
  <c r="H156" i="29"/>
  <c r="CH54" i="29"/>
  <c r="CH37" i="29"/>
  <c r="CH49" i="29"/>
  <c r="CH38" i="29"/>
  <c r="CH44" i="29"/>
  <c r="CH50" i="29"/>
  <c r="CH48" i="29"/>
  <c r="CH43" i="29"/>
  <c r="CH39" i="29"/>
  <c r="CH45" i="29"/>
  <c r="CH51" i="29"/>
  <c r="CH42" i="29"/>
  <c r="CH55" i="29"/>
  <c r="CH40" i="29"/>
  <c r="CH46" i="29"/>
  <c r="CH41" i="29"/>
  <c r="CH47" i="29"/>
  <c r="CH53" i="29"/>
  <c r="N156" i="29"/>
  <c r="CH52" i="29"/>
  <c r="BV38" i="28"/>
  <c r="BR35" i="28"/>
  <c r="BW32" i="28"/>
  <c r="BQ60" i="28"/>
  <c r="BP60" i="28"/>
  <c r="BV60" i="28"/>
  <c r="BW60" i="28"/>
  <c r="BR129" i="28"/>
  <c r="BX129" i="28"/>
  <c r="BW129" i="28"/>
  <c r="BQ129" i="28"/>
  <c r="BW61" i="28"/>
  <c r="BV61" i="28"/>
  <c r="BQ61" i="28"/>
  <c r="BP61" i="28"/>
  <c r="BR130" i="28"/>
  <c r="BQ130" i="28"/>
  <c r="BX130" i="28"/>
  <c r="BW130" i="28"/>
  <c r="BQ125" i="28"/>
  <c r="BW125" i="28"/>
  <c r="BX125" i="28"/>
  <c r="BR125" i="28"/>
  <c r="BR131" i="28"/>
  <c r="BQ131" i="28"/>
  <c r="BX131" i="28"/>
  <c r="BW131" i="28"/>
  <c r="BX126" i="28"/>
  <c r="BW126" i="28"/>
  <c r="BQ126" i="28"/>
  <c r="BR126" i="28"/>
  <c r="BX132" i="28"/>
  <c r="BW132" i="28"/>
  <c r="BR132" i="28"/>
  <c r="BQ132" i="28"/>
  <c r="BQ155" i="28"/>
  <c r="BP155" i="28"/>
  <c r="BQ128" i="28"/>
  <c r="BX128" i="28"/>
  <c r="BW128" i="28"/>
  <c r="BR128" i="28"/>
  <c r="BV128" i="28"/>
  <c r="BX127" i="28"/>
  <c r="BW127" i="28"/>
  <c r="BR127" i="28"/>
  <c r="BQ127" i="28"/>
  <c r="BX133" i="28"/>
  <c r="BW133" i="28"/>
  <c r="BR133" i="28"/>
  <c r="BQ133" i="28"/>
  <c r="CH314" i="29"/>
  <c r="CC165" i="29"/>
  <c r="CF12" i="29"/>
  <c r="BT12" i="29"/>
  <c r="CG12" i="29"/>
  <c r="BU12" i="29"/>
  <c r="BV12" i="29"/>
  <c r="CC51" i="29"/>
  <c r="CF51" i="29"/>
  <c r="CC60" i="29"/>
  <c r="CD60" i="29"/>
  <c r="CD78" i="29"/>
  <c r="CC78" i="29"/>
  <c r="BV13" i="29"/>
  <c r="BT13" i="29"/>
  <c r="CG13" i="29"/>
  <c r="BU13" i="29"/>
  <c r="CF13" i="29"/>
  <c r="CF40" i="29"/>
  <c r="CC40" i="29"/>
  <c r="CD67" i="29"/>
  <c r="CC67" i="29"/>
  <c r="CD79" i="29"/>
  <c r="CC79" i="29"/>
  <c r="CG14" i="29"/>
  <c r="BU14" i="29"/>
  <c r="BT14" i="29"/>
  <c r="CF14" i="29"/>
  <c r="BV14" i="29"/>
  <c r="CF41" i="29"/>
  <c r="CC41" i="29"/>
  <c r="CF47" i="29"/>
  <c r="CC47" i="29"/>
  <c r="CF53" i="29"/>
  <c r="CC53" i="29"/>
  <c r="CC62" i="29"/>
  <c r="CD62" i="29"/>
  <c r="CC68" i="29"/>
  <c r="CD68" i="29"/>
  <c r="CC74" i="29"/>
  <c r="CD74" i="29"/>
  <c r="CC39" i="29"/>
  <c r="CF39" i="29"/>
  <c r="CD66" i="29"/>
  <c r="CC66" i="29"/>
  <c r="CC52" i="29"/>
  <c r="CF52" i="29"/>
  <c r="CD73" i="29"/>
  <c r="CC73" i="29"/>
  <c r="CC42" i="29"/>
  <c r="CF42" i="29"/>
  <c r="CC54" i="29"/>
  <c r="CF54" i="29"/>
  <c r="CD69" i="29"/>
  <c r="CC69" i="29"/>
  <c r="CF37" i="29"/>
  <c r="CC37" i="29"/>
  <c r="CC43" i="29"/>
  <c r="CF43" i="29"/>
  <c r="CC49" i="29"/>
  <c r="CF49" i="29"/>
  <c r="CC55" i="29"/>
  <c r="CF55" i="29"/>
  <c r="CD64" i="29"/>
  <c r="CC64" i="29"/>
  <c r="CD70" i="29"/>
  <c r="CC70" i="29"/>
  <c r="CD76" i="29"/>
  <c r="CC76" i="29"/>
  <c r="CC45" i="29"/>
  <c r="CF45" i="29"/>
  <c r="CD72" i="29"/>
  <c r="CC72" i="29"/>
  <c r="CF46" i="29"/>
  <c r="CC46" i="29"/>
  <c r="CD61" i="29"/>
  <c r="CC61" i="29"/>
  <c r="CC48" i="29"/>
  <c r="CF48" i="29"/>
  <c r="CD63" i="29"/>
  <c r="CC63" i="29"/>
  <c r="CD75" i="29"/>
  <c r="CC75" i="29"/>
  <c r="CF11" i="29"/>
  <c r="BV11" i="29"/>
  <c r="CG11" i="29"/>
  <c r="BT11" i="29"/>
  <c r="BU11" i="29"/>
  <c r="CF38" i="29"/>
  <c r="CC38" i="29"/>
  <c r="CF44" i="29"/>
  <c r="CC44" i="29"/>
  <c r="CF50" i="29"/>
  <c r="CC50" i="29"/>
  <c r="CC65" i="29"/>
  <c r="CD65" i="29"/>
  <c r="CC71" i="29"/>
  <c r="CD71" i="29"/>
  <c r="CC77" i="29"/>
  <c r="CD77" i="29"/>
  <c r="CC12" i="29"/>
  <c r="CE12" i="29"/>
  <c r="BS12" i="29"/>
  <c r="CD12" i="29"/>
  <c r="BR12" i="29"/>
  <c r="CD14" i="29"/>
  <c r="BR14" i="29"/>
  <c r="CC14" i="29"/>
  <c r="CE14" i="29"/>
  <c r="BS14" i="29"/>
  <c r="CD13" i="29"/>
  <c r="BR13" i="29"/>
  <c r="CC13" i="29"/>
  <c r="CE13" i="29"/>
  <c r="BS13" i="29"/>
  <c r="CE11" i="29"/>
  <c r="BS11" i="29"/>
  <c r="CD11" i="29"/>
  <c r="BR11" i="29"/>
  <c r="CC11" i="29"/>
  <c r="BZ22" i="28"/>
  <c r="BT22" i="28"/>
  <c r="BS22" i="28"/>
  <c r="BY22" i="28"/>
  <c r="BV32" i="28"/>
  <c r="BW41" i="28"/>
  <c r="BZ44" i="28"/>
  <c r="BS44" i="28"/>
  <c r="BW44" i="28"/>
  <c r="BP44" i="28"/>
  <c r="BY44" i="28"/>
  <c r="BR44" i="28"/>
  <c r="BV44" i="28"/>
  <c r="BX44" i="28"/>
  <c r="BT44" i="28"/>
  <c r="BQ44" i="28"/>
  <c r="BQ50" i="28"/>
  <c r="BW50" i="28"/>
  <c r="BV50" i="28"/>
  <c r="BP50" i="28"/>
  <c r="BQ57" i="28"/>
  <c r="BW57" i="28"/>
  <c r="BV57" i="28"/>
  <c r="BP57" i="28"/>
  <c r="BQ51" i="28"/>
  <c r="BW51" i="28"/>
  <c r="BP51" i="28"/>
  <c r="BQ58" i="28"/>
  <c r="BV58" i="28"/>
  <c r="BP58" i="28"/>
  <c r="BW58" i="28"/>
  <c r="BT19" i="28"/>
  <c r="BZ19" i="28"/>
  <c r="BW79" i="28"/>
  <c r="BV79" i="28"/>
  <c r="BQ79" i="28"/>
  <c r="BP79" i="28"/>
  <c r="BT20" i="28"/>
  <c r="BZ20" i="28"/>
  <c r="BR22" i="28"/>
  <c r="BV22" i="28"/>
  <c r="BW22" i="28"/>
  <c r="BP22" i="28"/>
  <c r="BQ22" i="28"/>
  <c r="BX22" i="28"/>
  <c r="BV25" i="28"/>
  <c r="BQ19" i="28"/>
  <c r="BV19" i="28"/>
  <c r="BW19" i="28"/>
  <c r="BP19" i="28"/>
  <c r="BW20" i="28"/>
  <c r="BP20" i="28"/>
  <c r="BQ20" i="28"/>
  <c r="BV20" i="28"/>
  <c r="BZ236" i="29"/>
  <c r="CC178" i="29"/>
  <c r="BZ270" i="29"/>
  <c r="BZ273" i="29"/>
  <c r="BZ276" i="29"/>
  <c r="BZ257" i="29"/>
  <c r="BZ260" i="29"/>
  <c r="BZ266" i="29"/>
  <c r="BZ246" i="29"/>
  <c r="BZ237" i="29"/>
  <c r="BZ240" i="29"/>
  <c r="BT128" i="29"/>
  <c r="BT134" i="29"/>
  <c r="BZ247" i="29"/>
  <c r="BZ253" i="29"/>
  <c r="BZ256" i="29"/>
  <c r="BT130" i="29"/>
  <c r="BT133" i="29"/>
  <c r="K156" i="29"/>
  <c r="J169" i="29"/>
  <c r="P169" i="29"/>
  <c r="BZ250" i="29"/>
  <c r="K169" i="29"/>
  <c r="Q169" i="29"/>
  <c r="BZ238" i="29"/>
  <c r="BZ241" i="29"/>
  <c r="BZ244" i="29"/>
  <c r="BZ268" i="29"/>
  <c r="BZ274" i="29"/>
  <c r="BZ277" i="29"/>
  <c r="I156" i="29"/>
  <c r="O156" i="29"/>
  <c r="H169" i="29"/>
  <c r="BZ258" i="29"/>
  <c r="BZ261" i="29"/>
  <c r="BZ264" i="29"/>
  <c r="BZ269" i="29"/>
  <c r="BZ272" i="29"/>
  <c r="BZ278" i="29"/>
  <c r="BT129" i="29"/>
  <c r="BT132" i="29"/>
  <c r="I169" i="29"/>
  <c r="O169" i="29"/>
  <c r="BV186" i="29"/>
  <c r="BZ263" i="29"/>
  <c r="BZ243" i="29"/>
  <c r="BZ249" i="29"/>
  <c r="BZ252" i="29"/>
  <c r="N169" i="29"/>
  <c r="C108" i="28"/>
  <c r="BR16" i="28"/>
  <c r="BX87" i="28"/>
  <c r="C56" i="28"/>
  <c r="BT131" i="29"/>
  <c r="D59" i="29"/>
  <c r="BZ275" i="29"/>
  <c r="E360" i="29"/>
  <c r="J156" i="29"/>
  <c r="P156" i="29"/>
  <c r="BZ239" i="29"/>
  <c r="BZ242" i="29"/>
  <c r="BZ248" i="29"/>
  <c r="BZ251" i="29"/>
  <c r="BZ254" i="29"/>
  <c r="BZ259" i="29"/>
  <c r="BZ262" i="29"/>
  <c r="BZ265" i="29"/>
  <c r="C370" i="29"/>
  <c r="BX85" i="28"/>
  <c r="E155" i="29"/>
  <c r="G169" i="29"/>
  <c r="M169" i="29"/>
  <c r="S169" i="29"/>
  <c r="F291" i="29"/>
  <c r="F360" i="29"/>
  <c r="BX86" i="28"/>
  <c r="E106" i="29"/>
  <c r="G156" i="29"/>
  <c r="M156" i="29"/>
  <c r="F155" i="29"/>
  <c r="E168" i="29"/>
  <c r="BZ271" i="29"/>
  <c r="E291" i="29"/>
  <c r="R169" i="29"/>
  <c r="D35" i="29"/>
  <c r="F106" i="29"/>
  <c r="F168" i="29"/>
  <c r="BT336" i="29"/>
  <c r="L169" i="29"/>
  <c r="BZ255" i="29"/>
  <c r="BZ267" i="29"/>
  <c r="BR283" i="29"/>
  <c r="D12" i="28"/>
  <c r="E12" i="28"/>
  <c r="M132" i="28" l="1"/>
  <c r="BQ149" i="28"/>
  <c r="BP149" i="28"/>
  <c r="M130" i="28"/>
  <c r="BX34" i="28"/>
  <c r="BS34" i="28"/>
  <c r="BY34" i="28"/>
  <c r="BT34" i="28"/>
  <c r="BR34" i="28"/>
  <c r="BZ34" i="28"/>
  <c r="BX17" i="28"/>
  <c r="BS17" i="28"/>
  <c r="BY17" i="28"/>
  <c r="BR17" i="28"/>
  <c r="BP18" i="28"/>
  <c r="BX18" i="28"/>
  <c r="BR18" i="28"/>
  <c r="BY18" i="28"/>
  <c r="BS18" i="28"/>
  <c r="BX21" i="28"/>
  <c r="BY21" i="28"/>
  <c r="BR21" i="28"/>
  <c r="BS21" i="28"/>
  <c r="BW18" i="28"/>
  <c r="W155" i="28"/>
  <c r="M133" i="28"/>
  <c r="M131" i="28"/>
  <c r="M129" i="28"/>
  <c r="BX38" i="28"/>
  <c r="BR38" i="28"/>
  <c r="BY38" i="28"/>
  <c r="BS38" i="28"/>
  <c r="BV18" i="28"/>
  <c r="BS32" i="28"/>
  <c r="BZ32" i="28"/>
  <c r="BT18" i="28"/>
  <c r="BS25" i="28"/>
  <c r="BQ18" i="28"/>
  <c r="BX25" i="28"/>
  <c r="BZ18" i="28"/>
  <c r="BV149" i="28"/>
  <c r="BY25" i="28"/>
  <c r="BW25" i="28"/>
  <c r="BX32" i="28"/>
  <c r="CG234" i="29"/>
  <c r="BZ234" i="29"/>
  <c r="BY234" i="29"/>
  <c r="CE127" i="29"/>
  <c r="BT127" i="29"/>
  <c r="CF330" i="29"/>
  <c r="CE330" i="29"/>
  <c r="BT330" i="29"/>
  <c r="BU330" i="29"/>
  <c r="CF331" i="29"/>
  <c r="BT331" i="29"/>
  <c r="BU331" i="29"/>
  <c r="CE331" i="29"/>
  <c r="BT337" i="29"/>
  <c r="CF337" i="29"/>
  <c r="BU337" i="29"/>
  <c r="CE337" i="29"/>
  <c r="CF336" i="29"/>
  <c r="CE336" i="29"/>
  <c r="BU336" i="29"/>
  <c r="X336" i="29" s="1"/>
  <c r="CH292" i="29"/>
  <c r="CI292" i="29"/>
  <c r="CG314" i="29"/>
  <c r="CE134" i="29"/>
  <c r="CE320" i="29"/>
  <c r="CF320" i="29"/>
  <c r="CG320" i="29"/>
  <c r="CH320" i="29"/>
  <c r="BV314" i="29"/>
  <c r="CG323" i="29"/>
  <c r="CH323" i="29"/>
  <c r="CE323" i="29"/>
  <c r="CF323" i="29"/>
  <c r="CE314" i="29"/>
  <c r="CE316" i="29"/>
  <c r="CF316" i="29"/>
  <c r="CG316" i="29"/>
  <c r="CH316" i="29"/>
  <c r="CE324" i="29"/>
  <c r="CF324" i="29"/>
  <c r="CG324" i="29"/>
  <c r="CH324" i="29"/>
  <c r="BU314" i="29"/>
  <c r="CE322" i="29"/>
  <c r="CF322" i="29"/>
  <c r="CG322" i="29"/>
  <c r="CH322" i="29"/>
  <c r="CG321" i="29"/>
  <c r="CH321" i="29"/>
  <c r="CE321" i="29"/>
  <c r="CF321" i="29"/>
  <c r="CG319" i="29"/>
  <c r="CH319" i="29"/>
  <c r="CE319" i="29"/>
  <c r="CF319" i="29"/>
  <c r="CE318" i="29"/>
  <c r="CF318" i="29"/>
  <c r="CG318" i="29"/>
  <c r="CH318" i="29"/>
  <c r="CF314" i="29"/>
  <c r="CG317" i="29"/>
  <c r="CH317" i="29"/>
  <c r="CF317" i="29"/>
  <c r="CE317" i="29"/>
  <c r="CE315" i="29"/>
  <c r="CH315" i="29"/>
  <c r="CF315" i="29"/>
  <c r="CG315" i="29"/>
  <c r="CE131" i="29"/>
  <c r="CE129" i="29"/>
  <c r="CE132" i="29"/>
  <c r="CE130" i="29"/>
  <c r="CE128" i="29"/>
  <c r="CE133" i="29"/>
  <c r="BR127" i="29"/>
  <c r="CC127" i="29"/>
  <c r="BS127" i="29"/>
  <c r="CD127" i="29"/>
  <c r="BV292" i="29"/>
  <c r="CF292" i="29"/>
  <c r="CG292" i="29"/>
  <c r="BW292" i="29"/>
  <c r="BX292" i="29"/>
  <c r="BT314" i="29"/>
  <c r="BT317" i="29"/>
  <c r="BW317" i="29"/>
  <c r="BV317" i="29"/>
  <c r="BU317" i="29"/>
  <c r="BT320" i="29"/>
  <c r="BU320" i="29"/>
  <c r="BW320" i="29"/>
  <c r="BV320" i="29"/>
  <c r="BW322" i="29"/>
  <c r="BV322" i="29"/>
  <c r="BU322" i="29"/>
  <c r="BT322" i="29"/>
  <c r="BW321" i="29"/>
  <c r="BV321" i="29"/>
  <c r="BU321" i="29"/>
  <c r="BT321" i="29"/>
  <c r="BW324" i="29"/>
  <c r="BV324" i="29"/>
  <c r="BU324" i="29"/>
  <c r="BT324" i="29"/>
  <c r="BW316" i="29"/>
  <c r="BV316" i="29"/>
  <c r="BU316" i="29"/>
  <c r="BT316" i="29"/>
  <c r="BW319" i="29"/>
  <c r="BV319" i="29"/>
  <c r="BT319" i="29"/>
  <c r="BU319" i="29"/>
  <c r="BU318" i="29"/>
  <c r="BT318" i="29"/>
  <c r="BV318" i="29"/>
  <c r="BW318" i="29"/>
  <c r="BT315" i="29"/>
  <c r="BW315" i="29"/>
  <c r="BV315" i="29"/>
  <c r="BU315" i="29"/>
  <c r="BU323" i="29"/>
  <c r="BT323" i="29"/>
  <c r="BV323" i="29"/>
  <c r="BW323" i="29"/>
  <c r="CH296" i="29"/>
  <c r="CG296" i="29"/>
  <c r="CI296" i="29"/>
  <c r="CF296" i="29"/>
  <c r="CI294" i="29"/>
  <c r="CH294" i="29"/>
  <c r="CG294" i="29"/>
  <c r="CF294" i="29"/>
  <c r="CF295" i="29"/>
  <c r="CI295" i="29"/>
  <c r="CH295" i="29"/>
  <c r="CG295" i="29"/>
  <c r="CI309" i="29"/>
  <c r="CH309" i="29"/>
  <c r="CG309" i="29"/>
  <c r="CF309" i="29"/>
  <c r="CI297" i="29"/>
  <c r="CH297" i="29"/>
  <c r="CG297" i="29"/>
  <c r="CF297" i="29"/>
  <c r="CH300" i="29"/>
  <c r="CG300" i="29"/>
  <c r="CF300" i="29"/>
  <c r="CI300" i="29"/>
  <c r="CH304" i="29"/>
  <c r="CG304" i="29"/>
  <c r="CF304" i="29"/>
  <c r="CI304" i="29"/>
  <c r="CH308" i="29"/>
  <c r="CG308" i="29"/>
  <c r="CF308" i="29"/>
  <c r="CI308" i="29"/>
  <c r="CG302" i="29"/>
  <c r="CI302" i="29"/>
  <c r="CH302" i="29"/>
  <c r="CF302" i="29"/>
  <c r="CG298" i="29"/>
  <c r="CI298" i="29"/>
  <c r="CH298" i="29"/>
  <c r="CF298" i="29"/>
  <c r="CI301" i="29"/>
  <c r="CH301" i="29"/>
  <c r="CG301" i="29"/>
  <c r="CF301" i="29"/>
  <c r="CI305" i="29"/>
  <c r="CH305" i="29"/>
  <c r="CG305" i="29"/>
  <c r="CF305" i="29"/>
  <c r="CI293" i="29"/>
  <c r="CH293" i="29"/>
  <c r="CG293" i="29"/>
  <c r="CF293" i="29"/>
  <c r="CF303" i="29"/>
  <c r="CI303" i="29"/>
  <c r="CH303" i="29"/>
  <c r="CG303" i="29"/>
  <c r="CF307" i="29"/>
  <c r="CI307" i="29"/>
  <c r="CH307" i="29"/>
  <c r="CG307" i="29"/>
  <c r="CG306" i="29"/>
  <c r="CI306" i="29"/>
  <c r="CH306" i="29"/>
  <c r="CF306" i="29"/>
  <c r="CF299" i="29"/>
  <c r="CI299" i="29"/>
  <c r="CH299" i="29"/>
  <c r="CG299" i="29"/>
  <c r="BV309" i="29"/>
  <c r="BU309" i="29"/>
  <c r="BX309" i="29"/>
  <c r="BW309" i="29"/>
  <c r="BW297" i="29"/>
  <c r="BV297" i="29"/>
  <c r="BU297" i="29"/>
  <c r="BX297" i="29"/>
  <c r="BU304" i="29"/>
  <c r="BV304" i="29"/>
  <c r="BX304" i="29"/>
  <c r="BW304" i="29"/>
  <c r="BX308" i="29"/>
  <c r="BW308" i="29"/>
  <c r="BV308" i="29"/>
  <c r="BU308" i="29"/>
  <c r="BW302" i="29"/>
  <c r="BV302" i="29"/>
  <c r="BU302" i="29"/>
  <c r="BX302" i="29"/>
  <c r="BV298" i="29"/>
  <c r="BX298" i="29"/>
  <c r="BW298" i="29"/>
  <c r="BU298" i="29"/>
  <c r="BU293" i="29"/>
  <c r="BW293" i="29"/>
  <c r="BX293" i="29"/>
  <c r="BV293" i="29"/>
  <c r="BU299" i="29"/>
  <c r="BV299" i="29"/>
  <c r="BW299" i="29"/>
  <c r="BX299" i="29"/>
  <c r="BX305" i="29"/>
  <c r="BW305" i="29"/>
  <c r="BV305" i="29"/>
  <c r="BU305" i="29"/>
  <c r="BU301" i="29"/>
  <c r="BX301" i="29"/>
  <c r="BV301" i="29"/>
  <c r="BW301" i="29"/>
  <c r="BX300" i="29"/>
  <c r="BW300" i="29"/>
  <c r="BV300" i="29"/>
  <c r="BU300" i="29"/>
  <c r="BX303" i="29"/>
  <c r="BW303" i="29"/>
  <c r="BV303" i="29"/>
  <c r="BU303" i="29"/>
  <c r="BV296" i="29"/>
  <c r="BU296" i="29"/>
  <c r="BX296" i="29"/>
  <c r="BW296" i="29"/>
  <c r="BU306" i="29"/>
  <c r="BX306" i="29"/>
  <c r="BW306" i="29"/>
  <c r="BV306" i="29"/>
  <c r="BV294" i="29"/>
  <c r="BU294" i="29"/>
  <c r="BX294" i="29"/>
  <c r="BW294" i="29"/>
  <c r="BV307" i="29"/>
  <c r="BU307" i="29"/>
  <c r="BX307" i="29"/>
  <c r="BW307" i="29"/>
  <c r="BX295" i="29"/>
  <c r="BU295" i="29"/>
  <c r="BW295" i="29"/>
  <c r="BV295" i="29"/>
  <c r="CJ248" i="29"/>
  <c r="CH248" i="29"/>
  <c r="CI248" i="29"/>
  <c r="CG248" i="29"/>
  <c r="CI261" i="29"/>
  <c r="CH261" i="29"/>
  <c r="CG261" i="29"/>
  <c r="CJ261" i="29"/>
  <c r="CH237" i="29"/>
  <c r="CJ237" i="29"/>
  <c r="CI237" i="29"/>
  <c r="CG237" i="29"/>
  <c r="CH242" i="29"/>
  <c r="CJ242" i="29"/>
  <c r="CI242" i="29"/>
  <c r="CG242" i="29"/>
  <c r="CG267" i="29"/>
  <c r="CH267" i="29"/>
  <c r="CJ267" i="29"/>
  <c r="CI267" i="29"/>
  <c r="CH239" i="29"/>
  <c r="CJ239" i="29"/>
  <c r="CI239" i="29"/>
  <c r="CG239" i="29"/>
  <c r="CG275" i="29"/>
  <c r="CH275" i="29"/>
  <c r="CJ275" i="29"/>
  <c r="CI275" i="29"/>
  <c r="CI263" i="29"/>
  <c r="CH263" i="29"/>
  <c r="CG263" i="29"/>
  <c r="CJ263" i="29"/>
  <c r="CG277" i="29"/>
  <c r="CJ277" i="29"/>
  <c r="CI277" i="29"/>
  <c r="CH277" i="29"/>
  <c r="CJ245" i="29"/>
  <c r="CH245" i="29"/>
  <c r="CI245" i="29"/>
  <c r="CG245" i="29"/>
  <c r="CJ255" i="29"/>
  <c r="CI255" i="29"/>
  <c r="CG255" i="29"/>
  <c r="CH255" i="29"/>
  <c r="CG271" i="29"/>
  <c r="CJ271" i="29"/>
  <c r="CI271" i="29"/>
  <c r="CH271" i="29"/>
  <c r="CJ265" i="29"/>
  <c r="CI265" i="29"/>
  <c r="CH265" i="29"/>
  <c r="CG265" i="29"/>
  <c r="CG274" i="29"/>
  <c r="CH274" i="29"/>
  <c r="CJ274" i="29"/>
  <c r="CI274" i="29"/>
  <c r="CG268" i="29"/>
  <c r="CJ268" i="29"/>
  <c r="CH268" i="29"/>
  <c r="CI268" i="29"/>
  <c r="CH246" i="29"/>
  <c r="CJ246" i="29"/>
  <c r="CI246" i="29"/>
  <c r="CG246" i="29"/>
  <c r="CJ244" i="29"/>
  <c r="CI244" i="29"/>
  <c r="CH244" i="29"/>
  <c r="CG244" i="29"/>
  <c r="CG266" i="29"/>
  <c r="CJ266" i="29"/>
  <c r="CI266" i="29"/>
  <c r="CH266" i="29"/>
  <c r="CG276" i="29"/>
  <c r="CJ276" i="29"/>
  <c r="CH276" i="29"/>
  <c r="CI276" i="29"/>
  <c r="CI258" i="29"/>
  <c r="CH258" i="29"/>
  <c r="CG258" i="29"/>
  <c r="CJ258" i="29"/>
  <c r="CG278" i="29"/>
  <c r="CJ278" i="29"/>
  <c r="CI278" i="29"/>
  <c r="CH278" i="29"/>
  <c r="CH250" i="29"/>
  <c r="CJ250" i="29"/>
  <c r="CI250" i="29"/>
  <c r="CG250" i="29"/>
  <c r="CJ249" i="29"/>
  <c r="CI249" i="29"/>
  <c r="CH249" i="29"/>
  <c r="CG249" i="29"/>
  <c r="CG272" i="29"/>
  <c r="CH272" i="29"/>
  <c r="CJ272" i="29"/>
  <c r="CI272" i="29"/>
  <c r="CJ254" i="29"/>
  <c r="CH254" i="29"/>
  <c r="CI254" i="29"/>
  <c r="CG254" i="29"/>
  <c r="CJ243" i="29"/>
  <c r="CH243" i="29"/>
  <c r="CI243" i="29"/>
  <c r="CG243" i="29"/>
  <c r="CG269" i="29"/>
  <c r="CJ269" i="29"/>
  <c r="CI269" i="29"/>
  <c r="CH269" i="29"/>
  <c r="CJ241" i="29"/>
  <c r="CI241" i="29"/>
  <c r="CH241" i="29"/>
  <c r="CG241" i="29"/>
  <c r="CG256" i="29"/>
  <c r="CH256" i="29"/>
  <c r="CJ256" i="29"/>
  <c r="CI256" i="29"/>
  <c r="CI260" i="29"/>
  <c r="CH260" i="29"/>
  <c r="CJ260" i="29"/>
  <c r="CG260" i="29"/>
  <c r="CG273" i="29"/>
  <c r="CJ273" i="29"/>
  <c r="CI273" i="29"/>
  <c r="CH273" i="29"/>
  <c r="CJ236" i="29"/>
  <c r="CI236" i="29"/>
  <c r="CH236" i="29"/>
  <c r="CG236" i="29"/>
  <c r="CJ247" i="29"/>
  <c r="CI247" i="29"/>
  <c r="CH247" i="29"/>
  <c r="CG247" i="29"/>
  <c r="CI262" i="29"/>
  <c r="CH262" i="29"/>
  <c r="CG262" i="29"/>
  <c r="CJ262" i="29"/>
  <c r="CJ252" i="29"/>
  <c r="CI252" i="29"/>
  <c r="CH252" i="29"/>
  <c r="CG252" i="29"/>
  <c r="CI259" i="29"/>
  <c r="CJ259" i="29"/>
  <c r="CH259" i="29"/>
  <c r="CG259" i="29"/>
  <c r="CJ251" i="29"/>
  <c r="CH251" i="29"/>
  <c r="CI251" i="29"/>
  <c r="CG251" i="29"/>
  <c r="CJ264" i="29"/>
  <c r="CI264" i="29"/>
  <c r="CH264" i="29"/>
  <c r="CG264" i="29"/>
  <c r="CJ238" i="29"/>
  <c r="CH238" i="29"/>
  <c r="CI238" i="29"/>
  <c r="CG238" i="29"/>
  <c r="CH253" i="29"/>
  <c r="CJ253" i="29"/>
  <c r="CI253" i="29"/>
  <c r="CG253" i="29"/>
  <c r="CJ240" i="29"/>
  <c r="CH240" i="29"/>
  <c r="CI240" i="29"/>
  <c r="CG240" i="29"/>
  <c r="CH257" i="29"/>
  <c r="CG257" i="29"/>
  <c r="CI257" i="29"/>
  <c r="CJ257" i="29"/>
  <c r="CG270" i="29"/>
  <c r="CJ270" i="29"/>
  <c r="CI270" i="29"/>
  <c r="CH270" i="29"/>
  <c r="BY262" i="29"/>
  <c r="BW262" i="29"/>
  <c r="BX262" i="29"/>
  <c r="BW252" i="29"/>
  <c r="BY252" i="29"/>
  <c r="BX252" i="29"/>
  <c r="BY278" i="29"/>
  <c r="BW278" i="29"/>
  <c r="BX278" i="29"/>
  <c r="BY268" i="29"/>
  <c r="BW268" i="29"/>
  <c r="BX268" i="29"/>
  <c r="BW250" i="29"/>
  <c r="BY250" i="29"/>
  <c r="BX250" i="29"/>
  <c r="BY255" i="29"/>
  <c r="BW255" i="29"/>
  <c r="BX255" i="29"/>
  <c r="BW274" i="29"/>
  <c r="BY274" i="29"/>
  <c r="BX274" i="29"/>
  <c r="BW259" i="29"/>
  <c r="BY259" i="29"/>
  <c r="BX259" i="29"/>
  <c r="BW254" i="29"/>
  <c r="BY254" i="29"/>
  <c r="BX254" i="29"/>
  <c r="BW243" i="29"/>
  <c r="BX243" i="29"/>
  <c r="BY243" i="29"/>
  <c r="BW269" i="29"/>
  <c r="BY269" i="29"/>
  <c r="BX269" i="29"/>
  <c r="BW241" i="29"/>
  <c r="BX241" i="29"/>
  <c r="BY241" i="29"/>
  <c r="BW256" i="29"/>
  <c r="BY256" i="29"/>
  <c r="BX256" i="29"/>
  <c r="BY260" i="29"/>
  <c r="BW260" i="29"/>
  <c r="BX260" i="29"/>
  <c r="BW273" i="29"/>
  <c r="BY273" i="29"/>
  <c r="BX273" i="29"/>
  <c r="BY236" i="29"/>
  <c r="BW236" i="29"/>
  <c r="BX236" i="29"/>
  <c r="BY253" i="29"/>
  <c r="BW253" i="29"/>
  <c r="BX253" i="29"/>
  <c r="BY272" i="29"/>
  <c r="BW272" i="29"/>
  <c r="BX272" i="29"/>
  <c r="BY266" i="29"/>
  <c r="BW266" i="29"/>
  <c r="BX266" i="29"/>
  <c r="BY251" i="29"/>
  <c r="BW251" i="29"/>
  <c r="BX251" i="29"/>
  <c r="BW238" i="29"/>
  <c r="BY238" i="29"/>
  <c r="BX238" i="29"/>
  <c r="BY257" i="29"/>
  <c r="BW257" i="29"/>
  <c r="BX257" i="29"/>
  <c r="BW261" i="29"/>
  <c r="BY261" i="29"/>
  <c r="BX261" i="29"/>
  <c r="BY247" i="29"/>
  <c r="BW247" i="29"/>
  <c r="BX247" i="29"/>
  <c r="BY237" i="29"/>
  <c r="BX237" i="29"/>
  <c r="BW237" i="29"/>
  <c r="BW246" i="29"/>
  <c r="BY246" i="29"/>
  <c r="BX246" i="29"/>
  <c r="BW271" i="29"/>
  <c r="BY271" i="29"/>
  <c r="BX271" i="29"/>
  <c r="BY249" i="29"/>
  <c r="BW249" i="29"/>
  <c r="BX249" i="29"/>
  <c r="BW276" i="29"/>
  <c r="BY276" i="29"/>
  <c r="BX276" i="29"/>
  <c r="BY264" i="29"/>
  <c r="BW264" i="29"/>
  <c r="BX264" i="29"/>
  <c r="BY270" i="29"/>
  <c r="BW270" i="29"/>
  <c r="BX270" i="29"/>
  <c r="BW248" i="29"/>
  <c r="BY248" i="29"/>
  <c r="BX248" i="29"/>
  <c r="BW242" i="29"/>
  <c r="BY242" i="29"/>
  <c r="BX242" i="29"/>
  <c r="BW258" i="29"/>
  <c r="BY258" i="29"/>
  <c r="BX258" i="29"/>
  <c r="BW245" i="29"/>
  <c r="BY245" i="29"/>
  <c r="BX245" i="29"/>
  <c r="BW265" i="29"/>
  <c r="BY265" i="29"/>
  <c r="BX265" i="29"/>
  <c r="BW244" i="29"/>
  <c r="BY244" i="29"/>
  <c r="BX244" i="29"/>
  <c r="BW240" i="29"/>
  <c r="BY240" i="29"/>
  <c r="BX240" i="29"/>
  <c r="BW267" i="29"/>
  <c r="BY267" i="29"/>
  <c r="BX267" i="29"/>
  <c r="BW239" i="29"/>
  <c r="BX239" i="29"/>
  <c r="BY239" i="29"/>
  <c r="BY275" i="29"/>
  <c r="BW275" i="29"/>
  <c r="BX275" i="29"/>
  <c r="BW263" i="29"/>
  <c r="BY263" i="29"/>
  <c r="BX263" i="29"/>
  <c r="BW277" i="29"/>
  <c r="BY277" i="29"/>
  <c r="BX277" i="29"/>
  <c r="BV210" i="29"/>
  <c r="BW210" i="29"/>
  <c r="CH210" i="29"/>
  <c r="CG210" i="29"/>
  <c r="CG228" i="29"/>
  <c r="BW228" i="29"/>
  <c r="CH228" i="29"/>
  <c r="BV228" i="29"/>
  <c r="CH223" i="29"/>
  <c r="CG223" i="29"/>
  <c r="BW223" i="29"/>
  <c r="BV223" i="29"/>
  <c r="BR25" i="28"/>
  <c r="BZ41" i="28"/>
  <c r="BZ25" i="28"/>
  <c r="BW204" i="29"/>
  <c r="CH204" i="29"/>
  <c r="BV204" i="29"/>
  <c r="CG204" i="29"/>
  <c r="BV216" i="29"/>
  <c r="BW216" i="29"/>
  <c r="CH216" i="29"/>
  <c r="CG216" i="29"/>
  <c r="BV226" i="29"/>
  <c r="CH226" i="29"/>
  <c r="CG226" i="29"/>
  <c r="BW226" i="29"/>
  <c r="BS41" i="28"/>
  <c r="BV197" i="29"/>
  <c r="BW197" i="29"/>
  <c r="CH197" i="29"/>
  <c r="CG197" i="29"/>
  <c r="CH202" i="29"/>
  <c r="CG202" i="29"/>
  <c r="BW202" i="29"/>
  <c r="BV202" i="29"/>
  <c r="CH189" i="29"/>
  <c r="BW189" i="29"/>
  <c r="BV189" i="29"/>
  <c r="CG189" i="29"/>
  <c r="BW214" i="29"/>
  <c r="BV214" i="29"/>
  <c r="CH214" i="29"/>
  <c r="CG214" i="29"/>
  <c r="BW225" i="29"/>
  <c r="BV225" i="29"/>
  <c r="CH225" i="29"/>
  <c r="CG225" i="29"/>
  <c r="CH194" i="29"/>
  <c r="CG194" i="29"/>
  <c r="BV194" i="29"/>
  <c r="BW194" i="29"/>
  <c r="BV230" i="29"/>
  <c r="CH230" i="29"/>
  <c r="CG230" i="29"/>
  <c r="BW230" i="29"/>
  <c r="BV196" i="29"/>
  <c r="CH196" i="29"/>
  <c r="CG196" i="29"/>
  <c r="BW196" i="29"/>
  <c r="CG220" i="29"/>
  <c r="CH220" i="29"/>
  <c r="BW220" i="29"/>
  <c r="BV220" i="29"/>
  <c r="BQ25" i="28"/>
  <c r="BV41" i="28"/>
  <c r="BT25" i="28"/>
  <c r="CH198" i="29"/>
  <c r="CG198" i="29"/>
  <c r="BW198" i="29"/>
  <c r="BV198" i="29"/>
  <c r="BV205" i="29"/>
  <c r="BW205" i="29"/>
  <c r="CH205" i="29"/>
  <c r="CG205" i="29"/>
  <c r="CG193" i="29"/>
  <c r="BW193" i="29"/>
  <c r="BV193" i="29"/>
  <c r="CH193" i="29"/>
  <c r="CH190" i="29"/>
  <c r="CG190" i="29"/>
  <c r="BV190" i="29"/>
  <c r="BW190" i="29"/>
  <c r="CH219" i="29"/>
  <c r="CG219" i="29"/>
  <c r="BV219" i="29"/>
  <c r="BW219" i="29"/>
  <c r="BQ41" i="28"/>
  <c r="CG211" i="29"/>
  <c r="BW211" i="29"/>
  <c r="CH211" i="29"/>
  <c r="BV211" i="29"/>
  <c r="CG213" i="29"/>
  <c r="CH213" i="29"/>
  <c r="BW213" i="29"/>
  <c r="BV213" i="29"/>
  <c r="CG199" i="29"/>
  <c r="BV199" i="29"/>
  <c r="CH199" i="29"/>
  <c r="BW199" i="29"/>
  <c r="CG203" i="29"/>
  <c r="BV203" i="29"/>
  <c r="CH203" i="29"/>
  <c r="BW203" i="29"/>
  <c r="CG218" i="29"/>
  <c r="BW218" i="29"/>
  <c r="CH218" i="29"/>
  <c r="BV218" i="29"/>
  <c r="CH227" i="29"/>
  <c r="CG227" i="29"/>
  <c r="BW227" i="29"/>
  <c r="BV227" i="29"/>
  <c r="CG207" i="29"/>
  <c r="BW207" i="29"/>
  <c r="BV207" i="29"/>
  <c r="CH207" i="29"/>
  <c r="CH206" i="29"/>
  <c r="BW206" i="29"/>
  <c r="CG206" i="29"/>
  <c r="BV206" i="29"/>
  <c r="CG224" i="29"/>
  <c r="BW224" i="29"/>
  <c r="BV224" i="29"/>
  <c r="CH224" i="29"/>
  <c r="CH212" i="29"/>
  <c r="CG212" i="29"/>
  <c r="BW212" i="29"/>
  <c r="BV212" i="29"/>
  <c r="CG195" i="29"/>
  <c r="CH195" i="29"/>
  <c r="BW195" i="29"/>
  <c r="BV195" i="29"/>
  <c r="CG200" i="29"/>
  <c r="BV200" i="29"/>
  <c r="BW200" i="29"/>
  <c r="CH200" i="29"/>
  <c r="BR41" i="28"/>
  <c r="BX41" i="28"/>
  <c r="BW222" i="29"/>
  <c r="BV222" i="29"/>
  <c r="CH222" i="29"/>
  <c r="CG222" i="29"/>
  <c r="BW188" i="29"/>
  <c r="CG188" i="29"/>
  <c r="BV188" i="29"/>
  <c r="CH188" i="29"/>
  <c r="CG208" i="29"/>
  <c r="BW208" i="29"/>
  <c r="BV208" i="29"/>
  <c r="CH208" i="29"/>
  <c r="BY41" i="28"/>
  <c r="CG191" i="29"/>
  <c r="CH191" i="29"/>
  <c r="BW191" i="29"/>
  <c r="BV191" i="29"/>
  <c r="CH215" i="29"/>
  <c r="CG215" i="29"/>
  <c r="BV215" i="29"/>
  <c r="BW215" i="29"/>
  <c r="BW229" i="29"/>
  <c r="BV229" i="29"/>
  <c r="CG229" i="29"/>
  <c r="CH229" i="29"/>
  <c r="BW217" i="29"/>
  <c r="BV217" i="29"/>
  <c r="CH217" i="29"/>
  <c r="CG217" i="29"/>
  <c r="BW221" i="29"/>
  <c r="BV221" i="29"/>
  <c r="CH221" i="29"/>
  <c r="CG221" i="29"/>
  <c r="CH209" i="29"/>
  <c r="BV209" i="29"/>
  <c r="CG209" i="29"/>
  <c r="BW209" i="29"/>
  <c r="BV192" i="29"/>
  <c r="CH192" i="29"/>
  <c r="CG192" i="29"/>
  <c r="BW192" i="29"/>
  <c r="BP41" i="28"/>
  <c r="CG201" i="29"/>
  <c r="BV201" i="29"/>
  <c r="BW201" i="29"/>
  <c r="CH201" i="29"/>
  <c r="CH186" i="29"/>
  <c r="CG186" i="29"/>
  <c r="CD165" i="29"/>
  <c r="T64" i="29"/>
  <c r="BS165" i="29"/>
  <c r="W53" i="29"/>
  <c r="BP38" i="28"/>
  <c r="BR165" i="29"/>
  <c r="BW38" i="28"/>
  <c r="T62" i="29"/>
  <c r="BQ38" i="28"/>
  <c r="BZ38" i="28"/>
  <c r="AU19" i="28"/>
  <c r="BT38" i="28"/>
  <c r="BZ35" i="28"/>
  <c r="T77" i="29"/>
  <c r="W44" i="29"/>
  <c r="T69" i="29"/>
  <c r="M127" i="28"/>
  <c r="BR359" i="29"/>
  <c r="CD359" i="29"/>
  <c r="CD148" i="29"/>
  <c r="BS148" i="29"/>
  <c r="W40" i="29"/>
  <c r="BR32" i="28"/>
  <c r="W50" i="29"/>
  <c r="T75" i="29"/>
  <c r="W48" i="29"/>
  <c r="W55" i="29"/>
  <c r="W49" i="29"/>
  <c r="W43" i="29"/>
  <c r="W37" i="29"/>
  <c r="W54" i="29"/>
  <c r="W39" i="29"/>
  <c r="M125" i="28"/>
  <c r="BR358" i="29"/>
  <c r="CD358" i="29"/>
  <c r="BS153" i="29"/>
  <c r="CD153" i="29"/>
  <c r="BS151" i="29"/>
  <c r="CD151" i="29"/>
  <c r="AU22" i="28"/>
  <c r="W41" i="29"/>
  <c r="AU44" i="28"/>
  <c r="BY32" i="28"/>
  <c r="W36" i="29"/>
  <c r="T70" i="29"/>
  <c r="W46" i="29"/>
  <c r="CC174" i="29"/>
  <c r="BR174" i="29"/>
  <c r="CD174" i="29"/>
  <c r="BS174" i="29"/>
  <c r="W42" i="29"/>
  <c r="BZ84" i="28"/>
  <c r="BX84" i="28"/>
  <c r="CD180" i="29"/>
  <c r="BS180" i="29"/>
  <c r="BR180" i="29"/>
  <c r="CC180" i="29"/>
  <c r="BQ32" i="28"/>
  <c r="BP32" i="28"/>
  <c r="T14" i="29"/>
  <c r="M126" i="28"/>
  <c r="W51" i="29"/>
  <c r="CD154" i="29"/>
  <c r="BS154" i="29"/>
  <c r="CD173" i="29"/>
  <c r="BS173" i="29"/>
  <c r="BR173" i="29"/>
  <c r="CC173" i="29"/>
  <c r="BS178" i="29"/>
  <c r="CD178" i="29"/>
  <c r="BR178" i="29"/>
  <c r="CD179" i="29"/>
  <c r="CC179" i="29"/>
  <c r="BR179" i="29"/>
  <c r="BS179" i="29"/>
  <c r="BR177" i="29"/>
  <c r="CD177" i="29"/>
  <c r="BS177" i="29"/>
  <c r="CC177" i="29"/>
  <c r="BS175" i="29"/>
  <c r="CC175" i="29"/>
  <c r="BR175" i="29"/>
  <c r="CD175" i="29"/>
  <c r="BS149" i="29"/>
  <c r="CD149" i="29"/>
  <c r="BT32" i="28"/>
  <c r="T13" i="29"/>
  <c r="W38" i="29"/>
  <c r="W45" i="29"/>
  <c r="W47" i="29"/>
  <c r="CD152" i="29"/>
  <c r="BS152" i="29"/>
  <c r="W52" i="29"/>
  <c r="T11" i="29"/>
  <c r="BR357" i="29"/>
  <c r="CD357" i="29"/>
  <c r="CD147" i="29"/>
  <c r="BS147" i="29"/>
  <c r="T12" i="29"/>
  <c r="BQ35" i="28"/>
  <c r="BP35" i="28"/>
  <c r="BX35" i="28"/>
  <c r="BY35" i="28"/>
  <c r="BW35" i="28"/>
  <c r="BT35" i="28"/>
  <c r="BS35" i="28"/>
  <c r="BV35" i="28"/>
  <c r="M128" i="28"/>
  <c r="BV145" i="28"/>
  <c r="BQ145" i="28"/>
  <c r="BW145" i="28"/>
  <c r="BP145" i="28"/>
  <c r="BX120" i="28"/>
  <c r="BV120" i="28"/>
  <c r="BY120" i="28"/>
  <c r="BS120" i="28"/>
  <c r="BR120" i="28"/>
  <c r="BP120" i="28"/>
  <c r="BQ144" i="28"/>
  <c r="BV144" i="28"/>
  <c r="BW144" i="28"/>
  <c r="BP144" i="28"/>
  <c r="BV142" i="28"/>
  <c r="BW142" i="28"/>
  <c r="BP142" i="28"/>
  <c r="BQ142" i="28"/>
  <c r="BV140" i="28"/>
  <c r="BW140" i="28"/>
  <c r="BP140" i="28"/>
  <c r="BQ140" i="28"/>
  <c r="BS119" i="28"/>
  <c r="BR119" i="28"/>
  <c r="BP119" i="28"/>
  <c r="BY119" i="28"/>
  <c r="BX119" i="28"/>
  <c r="BV119" i="28"/>
  <c r="BT87" i="28"/>
  <c r="BZ87" i="28"/>
  <c r="BV139" i="28"/>
  <c r="BQ139" i="28"/>
  <c r="BW139" i="28"/>
  <c r="BP139" i="28"/>
  <c r="BW148" i="28"/>
  <c r="BP148" i="28"/>
  <c r="BV148" i="28"/>
  <c r="BQ148" i="28"/>
  <c r="AU20" i="28"/>
  <c r="BQ150" i="28"/>
  <c r="BW150" i="28"/>
  <c r="BP150" i="28"/>
  <c r="BV150" i="28"/>
  <c r="BS121" i="28"/>
  <c r="BR121" i="28"/>
  <c r="BP121" i="28"/>
  <c r="BY121" i="28"/>
  <c r="BV121" i="28"/>
  <c r="BX121" i="28"/>
  <c r="BV146" i="28"/>
  <c r="BQ146" i="28"/>
  <c r="BW146" i="28"/>
  <c r="BP146" i="28"/>
  <c r="BW141" i="28"/>
  <c r="BP141" i="28"/>
  <c r="BV141" i="28"/>
  <c r="BQ141" i="28"/>
  <c r="BZ86" i="28"/>
  <c r="BT86" i="28"/>
  <c r="BQ143" i="28"/>
  <c r="BW143" i="28"/>
  <c r="BP143" i="28"/>
  <c r="BV143" i="28"/>
  <c r="BQ138" i="28"/>
  <c r="BV138" i="28"/>
  <c r="BW138" i="28"/>
  <c r="BP138" i="28"/>
  <c r="BW147" i="28"/>
  <c r="BP147" i="28"/>
  <c r="BV147" i="28"/>
  <c r="BQ147" i="28"/>
  <c r="BV151" i="28"/>
  <c r="BQ151" i="28"/>
  <c r="BW151" i="28"/>
  <c r="BP151" i="28"/>
  <c r="O51" i="28"/>
  <c r="BZ85" i="28"/>
  <c r="BT85" i="28"/>
  <c r="Z57" i="28"/>
  <c r="BT284" i="29"/>
  <c r="BR284" i="29"/>
  <c r="CF284" i="29"/>
  <c r="CD284" i="29"/>
  <c r="BU284" i="29"/>
  <c r="BS284" i="29"/>
  <c r="CE284" i="29"/>
  <c r="CC284" i="29"/>
  <c r="BS350" i="29"/>
  <c r="CC350" i="29"/>
  <c r="CD350" i="29"/>
  <c r="BR350" i="29"/>
  <c r="CD346" i="29"/>
  <c r="BR346" i="29"/>
  <c r="BS346" i="29"/>
  <c r="CC346" i="29"/>
  <c r="CC348" i="29"/>
  <c r="CD348" i="29"/>
  <c r="BR348" i="29"/>
  <c r="BS348" i="29"/>
  <c r="BS359" i="29"/>
  <c r="CC359" i="29"/>
  <c r="CC343" i="29"/>
  <c r="CD343" i="29"/>
  <c r="BS343" i="29"/>
  <c r="BR343" i="29"/>
  <c r="BS345" i="29"/>
  <c r="CC345" i="29"/>
  <c r="CD345" i="29"/>
  <c r="BR345" i="29"/>
  <c r="CE286" i="29"/>
  <c r="CC286" i="29"/>
  <c r="BT286" i="29"/>
  <c r="CF286" i="29"/>
  <c r="CD286" i="29"/>
  <c r="BR286" i="29"/>
  <c r="BU286" i="29"/>
  <c r="BS286" i="29"/>
  <c r="BS351" i="29"/>
  <c r="CD351" i="29"/>
  <c r="BR351" i="29"/>
  <c r="CC351" i="29"/>
  <c r="CF283" i="29"/>
  <c r="CC283" i="29"/>
  <c r="BS283" i="29"/>
  <c r="CE283" i="29"/>
  <c r="CD283" i="29"/>
  <c r="BU283" i="29"/>
  <c r="BT283" i="29"/>
  <c r="BS357" i="29"/>
  <c r="CC357" i="29"/>
  <c r="BS358" i="29"/>
  <c r="CC358" i="29"/>
  <c r="CC349" i="29"/>
  <c r="CD349" i="29"/>
  <c r="BS349" i="29"/>
  <c r="BR349" i="29"/>
  <c r="BU329" i="29"/>
  <c r="BT329" i="29"/>
  <c r="CF329" i="29"/>
  <c r="CE329" i="29"/>
  <c r="CD347" i="29"/>
  <c r="BR347" i="29"/>
  <c r="CC347" i="29"/>
  <c r="BS347" i="29"/>
  <c r="CD285" i="29"/>
  <c r="BT285" i="29"/>
  <c r="CC285" i="29"/>
  <c r="BR285" i="29"/>
  <c r="BU285" i="29"/>
  <c r="CF285" i="29"/>
  <c r="BS285" i="29"/>
  <c r="CE285" i="29"/>
  <c r="CD342" i="29"/>
  <c r="BR342" i="29"/>
  <c r="BS342" i="29"/>
  <c r="CC342" i="29"/>
  <c r="BS344" i="29"/>
  <c r="CC344" i="29"/>
  <c r="CD344" i="29"/>
  <c r="BR344" i="29"/>
  <c r="T74" i="29"/>
  <c r="T78" i="29"/>
  <c r="CH234" i="29"/>
  <c r="CJ234" i="29"/>
  <c r="CI234" i="29"/>
  <c r="T67" i="29"/>
  <c r="BW234" i="29"/>
  <c r="BX234" i="29"/>
  <c r="BS131" i="29"/>
  <c r="CD131" i="29"/>
  <c r="BR131" i="29"/>
  <c r="CC131" i="29"/>
  <c r="BS160" i="29"/>
  <c r="CC160" i="29"/>
  <c r="CD160" i="29"/>
  <c r="BR160" i="29"/>
  <c r="BS140" i="29"/>
  <c r="BR140" i="29"/>
  <c r="CC140" i="29"/>
  <c r="CD140" i="29"/>
  <c r="CD115" i="29"/>
  <c r="CC115" i="29"/>
  <c r="BS115" i="29"/>
  <c r="BR115" i="29"/>
  <c r="BW186" i="29"/>
  <c r="BS132" i="29"/>
  <c r="CC132" i="29"/>
  <c r="BR132" i="29"/>
  <c r="CD132" i="29"/>
  <c r="CC130" i="29"/>
  <c r="CD130" i="29"/>
  <c r="BR130" i="29"/>
  <c r="BS130" i="29"/>
  <c r="BR161" i="29"/>
  <c r="CC161" i="29"/>
  <c r="CD161" i="29"/>
  <c r="BS161" i="29"/>
  <c r="CC151" i="29"/>
  <c r="BR151" i="29"/>
  <c r="CC122" i="29"/>
  <c r="BR122" i="29"/>
  <c r="BS122" i="29"/>
  <c r="CD122" i="29"/>
  <c r="CC114" i="29"/>
  <c r="BR114" i="29"/>
  <c r="CD114" i="29"/>
  <c r="BS114" i="29"/>
  <c r="BS167" i="29"/>
  <c r="CC167" i="29"/>
  <c r="CD167" i="29"/>
  <c r="BR167" i="29"/>
  <c r="CD133" i="29"/>
  <c r="BR133" i="29"/>
  <c r="BS133" i="29"/>
  <c r="CC133" i="29"/>
  <c r="BS119" i="29"/>
  <c r="CC119" i="29"/>
  <c r="BR119" i="29"/>
  <c r="CD119" i="29"/>
  <c r="CD164" i="29"/>
  <c r="CC164" i="29"/>
  <c r="BS164" i="29"/>
  <c r="BR164" i="29"/>
  <c r="CD141" i="29"/>
  <c r="CC141" i="29"/>
  <c r="BR141" i="29"/>
  <c r="BS141" i="29"/>
  <c r="BS120" i="29"/>
  <c r="CD120" i="29"/>
  <c r="CC120" i="29"/>
  <c r="BR120" i="29"/>
  <c r="CC143" i="29"/>
  <c r="BS143" i="29"/>
  <c r="CD143" i="29"/>
  <c r="BR143" i="29"/>
  <c r="CC147" i="29"/>
  <c r="BR147" i="29"/>
  <c r="CD166" i="29"/>
  <c r="BS166" i="29"/>
  <c r="CC166" i="29"/>
  <c r="BR166" i="29"/>
  <c r="CD128" i="29"/>
  <c r="BR128" i="29"/>
  <c r="BS128" i="29"/>
  <c r="CC128" i="29"/>
  <c r="CC116" i="29"/>
  <c r="BR116" i="29"/>
  <c r="BS116" i="29"/>
  <c r="CD116" i="29"/>
  <c r="CC152" i="29"/>
  <c r="BR152" i="29"/>
  <c r="BR154" i="29"/>
  <c r="CC154" i="29"/>
  <c r="BR148" i="29"/>
  <c r="CC148" i="29"/>
  <c r="CC162" i="29"/>
  <c r="BR162" i="29"/>
  <c r="CD162" i="29"/>
  <c r="BS162" i="29"/>
  <c r="CC149" i="29"/>
  <c r="BR149" i="29"/>
  <c r="CD118" i="29"/>
  <c r="BS118" i="29"/>
  <c r="CC118" i="29"/>
  <c r="BR118" i="29"/>
  <c r="CC129" i="29"/>
  <c r="BS129" i="29"/>
  <c r="CD129" i="29"/>
  <c r="BR129" i="29"/>
  <c r="CC153" i="29"/>
  <c r="BR153" i="29"/>
  <c r="CD134" i="29"/>
  <c r="BR134" i="29"/>
  <c r="BS134" i="29"/>
  <c r="CC134" i="29"/>
  <c r="CD121" i="29"/>
  <c r="BR121" i="29"/>
  <c r="BS121" i="29"/>
  <c r="CC121" i="29"/>
  <c r="BR139" i="29"/>
  <c r="CC139" i="29"/>
  <c r="BS139" i="29"/>
  <c r="CD139" i="29"/>
  <c r="CD117" i="29"/>
  <c r="CC117" i="29"/>
  <c r="BR117" i="29"/>
  <c r="BS117" i="29"/>
  <c r="BS142" i="29"/>
  <c r="CD142" i="29"/>
  <c r="BR142" i="29"/>
  <c r="CC142" i="29"/>
  <c r="T66" i="29"/>
  <c r="T65" i="29"/>
  <c r="T73" i="29"/>
  <c r="T71" i="29"/>
  <c r="T76" i="29"/>
  <c r="T79" i="29"/>
  <c r="T61" i="29"/>
  <c r="T63" i="29"/>
  <c r="T72" i="29"/>
  <c r="BR86" i="28"/>
  <c r="BS86" i="28"/>
  <c r="BY86" i="28"/>
  <c r="BQ34" i="28"/>
  <c r="BW34" i="28"/>
  <c r="BP34" i="28"/>
  <c r="BV34" i="28"/>
  <c r="BZ33" i="28"/>
  <c r="BS33" i="28"/>
  <c r="BW33" i="28"/>
  <c r="BP33" i="28"/>
  <c r="BT33" i="28"/>
  <c r="BY33" i="28"/>
  <c r="BR33" i="28"/>
  <c r="BV33" i="28"/>
  <c r="BX33" i="28"/>
  <c r="BQ33" i="28"/>
  <c r="BY24" i="28"/>
  <c r="BZ24" i="28"/>
  <c r="BT24" i="28"/>
  <c r="BS24" i="28"/>
  <c r="BT26" i="28"/>
  <c r="BS26" i="28"/>
  <c r="BY26" i="28"/>
  <c r="BZ26" i="28"/>
  <c r="BX26" i="28"/>
  <c r="BT13" i="28"/>
  <c r="BS13" i="28"/>
  <c r="BZ13" i="28"/>
  <c r="BY13" i="28"/>
  <c r="BR87" i="28"/>
  <c r="BS87" i="28"/>
  <c r="BY87" i="28"/>
  <c r="BT15" i="28"/>
  <c r="BS15" i="28"/>
  <c r="BZ15" i="28"/>
  <c r="BY15" i="28"/>
  <c r="BT46" i="28"/>
  <c r="BX46" i="28"/>
  <c r="BQ46" i="28"/>
  <c r="BZ46" i="28"/>
  <c r="BS46" i="28"/>
  <c r="BW46" i="28"/>
  <c r="BP46" i="28"/>
  <c r="BY46" i="28"/>
  <c r="BR46" i="28"/>
  <c r="BV46" i="28"/>
  <c r="BT21" i="28"/>
  <c r="BZ21" i="28"/>
  <c r="BZ45" i="28"/>
  <c r="BS45" i="28"/>
  <c r="BW45" i="28"/>
  <c r="BP45" i="28"/>
  <c r="BQ45" i="28"/>
  <c r="BT45" i="28"/>
  <c r="BY45" i="28"/>
  <c r="BR45" i="28"/>
  <c r="BV45" i="28"/>
  <c r="BX45" i="28"/>
  <c r="BZ23" i="28"/>
  <c r="BY23" i="28"/>
  <c r="BT23" i="28"/>
  <c r="BS23" i="28"/>
  <c r="BS85" i="28"/>
  <c r="BY85" i="28"/>
  <c r="BR85" i="28"/>
  <c r="BT31" i="28"/>
  <c r="BX31" i="28"/>
  <c r="BQ31" i="28"/>
  <c r="BR31" i="28"/>
  <c r="BV31" i="28"/>
  <c r="BZ31" i="28"/>
  <c r="BS31" i="28"/>
  <c r="BW31" i="28"/>
  <c r="BP31" i="28"/>
  <c r="BY31" i="28"/>
  <c r="BY43" i="28"/>
  <c r="BR43" i="28"/>
  <c r="BV43" i="28"/>
  <c r="BP43" i="28"/>
  <c r="BS43" i="28"/>
  <c r="BW43" i="28"/>
  <c r="BT43" i="28"/>
  <c r="BX43" i="28"/>
  <c r="BQ43" i="28"/>
  <c r="BZ43" i="28"/>
  <c r="BY42" i="28"/>
  <c r="BR42" i="28"/>
  <c r="BV42" i="28"/>
  <c r="BT42" i="28"/>
  <c r="BX42" i="28"/>
  <c r="BQ42" i="28"/>
  <c r="BZ42" i="28"/>
  <c r="BW42" i="28"/>
  <c r="BS42" i="28"/>
  <c r="BP42" i="28"/>
  <c r="BZ16" i="28"/>
  <c r="BT16" i="28"/>
  <c r="BS16" i="28"/>
  <c r="BY16" i="28"/>
  <c r="BT40" i="28"/>
  <c r="BX40" i="28"/>
  <c r="BQ40" i="28"/>
  <c r="BZ40" i="28"/>
  <c r="BS40" i="28"/>
  <c r="BW40" i="28"/>
  <c r="BP40" i="28"/>
  <c r="BR40" i="28"/>
  <c r="BV40" i="28"/>
  <c r="BY40" i="28"/>
  <c r="BZ39" i="28"/>
  <c r="BS39" i="28"/>
  <c r="BW39" i="28"/>
  <c r="BP39" i="28"/>
  <c r="BX39" i="28"/>
  <c r="BQ39" i="28"/>
  <c r="BY39" i="28"/>
  <c r="BR39" i="28"/>
  <c r="BV39" i="28"/>
  <c r="BT39" i="28"/>
  <c r="BY84" i="28"/>
  <c r="BT84" i="28"/>
  <c r="BR84" i="28"/>
  <c r="BS84" i="28"/>
  <c r="BT14" i="28"/>
  <c r="BS14" i="28"/>
  <c r="BY14" i="28"/>
  <c r="BZ14" i="28"/>
  <c r="BZ17" i="28"/>
  <c r="BT17" i="28"/>
  <c r="BY37" i="28"/>
  <c r="BR37" i="28"/>
  <c r="BV37" i="28"/>
  <c r="BZ37" i="28"/>
  <c r="BS37" i="28"/>
  <c r="BT37" i="28"/>
  <c r="BX37" i="28"/>
  <c r="BQ37" i="28"/>
  <c r="BW37" i="28"/>
  <c r="BP37" i="28"/>
  <c r="BY36" i="28"/>
  <c r="BR36" i="28"/>
  <c r="BV36" i="28"/>
  <c r="BT36" i="28"/>
  <c r="BX36" i="28"/>
  <c r="BQ36" i="28"/>
  <c r="BZ36" i="28"/>
  <c r="BS36" i="28"/>
  <c r="BW36" i="28"/>
  <c r="BP36" i="28"/>
  <c r="Z61" i="28"/>
  <c r="O50" i="28"/>
  <c r="Z58" i="28"/>
  <c r="BW13" i="28"/>
  <c r="BP13" i="28"/>
  <c r="BX13" i="28"/>
  <c r="BQ13" i="28"/>
  <c r="BR13" i="28"/>
  <c r="BV13" i="28"/>
  <c r="BX23" i="28"/>
  <c r="BR23" i="28"/>
  <c r="BV23" i="28"/>
  <c r="BW23" i="28"/>
  <c r="BP23" i="28"/>
  <c r="BQ23" i="28"/>
  <c r="BX15" i="28"/>
  <c r="BW15" i="28"/>
  <c r="BP15" i="28"/>
  <c r="BQ15" i="28"/>
  <c r="BR15" i="28"/>
  <c r="BV15" i="28"/>
  <c r="BQ24" i="28"/>
  <c r="BX24" i="28"/>
  <c r="BR24" i="28"/>
  <c r="BV24" i="28"/>
  <c r="BW24" i="28"/>
  <c r="BP24" i="28"/>
  <c r="BV16" i="28"/>
  <c r="BW16" i="28"/>
  <c r="BP16" i="28"/>
  <c r="BQ16" i="28"/>
  <c r="BX16" i="28"/>
  <c r="W79" i="28"/>
  <c r="BW21" i="28"/>
  <c r="BP21" i="28"/>
  <c r="BQ21" i="28"/>
  <c r="BV21" i="28"/>
  <c r="AQ149" i="28"/>
  <c r="BX14" i="28"/>
  <c r="BW14" i="28"/>
  <c r="BP14" i="28"/>
  <c r="BQ14" i="28"/>
  <c r="BR14" i="28"/>
  <c r="BV14" i="28"/>
  <c r="BV17" i="28"/>
  <c r="BW17" i="28"/>
  <c r="BP17" i="28"/>
  <c r="BQ17" i="28"/>
  <c r="BW26" i="28"/>
  <c r="BP26" i="28"/>
  <c r="BQ26" i="28"/>
  <c r="BR26" i="28"/>
  <c r="BV26" i="28"/>
  <c r="Z60" i="28"/>
  <c r="T68" i="29"/>
  <c r="D360" i="29"/>
  <c r="E156" i="29"/>
  <c r="D168" i="29"/>
  <c r="D155" i="29"/>
  <c r="F156" i="29"/>
  <c r="C12" i="28"/>
  <c r="D291" i="29"/>
  <c r="F169" i="29"/>
  <c r="D106" i="29"/>
  <c r="E169" i="29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C66" i="27"/>
  <c r="D90" i="27"/>
  <c r="E90" i="27"/>
  <c r="F90" i="27"/>
  <c r="G90" i="27"/>
  <c r="H90" i="27"/>
  <c r="I90" i="27"/>
  <c r="D100" i="27"/>
  <c r="E100" i="27"/>
  <c r="F100" i="27"/>
  <c r="G100" i="27"/>
  <c r="H100" i="27"/>
  <c r="I100" i="27"/>
  <c r="D153" i="27"/>
  <c r="E153" i="27"/>
  <c r="F153" i="27"/>
  <c r="G153" i="27"/>
  <c r="H153" i="27"/>
  <c r="I153" i="27"/>
  <c r="H185" i="27"/>
  <c r="I185" i="27"/>
  <c r="J185" i="27"/>
  <c r="D200" i="27"/>
  <c r="E200" i="27"/>
  <c r="C206" i="27"/>
  <c r="D206" i="27"/>
  <c r="E206" i="27"/>
  <c r="D234" i="27"/>
  <c r="E234" i="27"/>
  <c r="F234" i="27"/>
  <c r="E239" i="27"/>
  <c r="F239" i="27"/>
  <c r="D268" i="27"/>
  <c r="E268" i="27"/>
  <c r="C275" i="27"/>
  <c r="D275" i="27"/>
  <c r="E275" i="27"/>
  <c r="D288" i="27"/>
  <c r="C297" i="27"/>
  <c r="X337" i="29" l="1"/>
  <c r="AY225" i="29"/>
  <c r="AY219" i="29"/>
  <c r="AY215" i="29"/>
  <c r="AY214" i="29"/>
  <c r="AY205" i="29"/>
  <c r="AY201" i="29"/>
  <c r="AY200" i="29"/>
  <c r="AY193" i="29"/>
  <c r="C200" i="28"/>
  <c r="D8" i="18" s="1"/>
  <c r="AU25" i="28"/>
  <c r="AU41" i="28"/>
  <c r="AU18" i="28"/>
  <c r="AY216" i="29"/>
  <c r="AX300" i="29"/>
  <c r="AX305" i="29"/>
  <c r="AY316" i="29"/>
  <c r="AY321" i="29"/>
  <c r="AY314" i="29"/>
  <c r="C400" i="29"/>
  <c r="AT121" i="28"/>
  <c r="AU38" i="28"/>
  <c r="AZ236" i="29"/>
  <c r="AM330" i="29"/>
  <c r="AZ234" i="29"/>
  <c r="AT119" i="28"/>
  <c r="AT120" i="28"/>
  <c r="AX307" i="29"/>
  <c r="AY222" i="29"/>
  <c r="AY195" i="29"/>
  <c r="AY202" i="29"/>
  <c r="AY223" i="29"/>
  <c r="AY199" i="29"/>
  <c r="AY190" i="29"/>
  <c r="AY212" i="29"/>
  <c r="AY206" i="29"/>
  <c r="AY227" i="29"/>
  <c r="AY213" i="29"/>
  <c r="AY220" i="29"/>
  <c r="AY226" i="29"/>
  <c r="AY228" i="29"/>
  <c r="AO128" i="29"/>
  <c r="AO127" i="29"/>
  <c r="AM329" i="29"/>
  <c r="AY198" i="29"/>
  <c r="AY189" i="29"/>
  <c r="AX302" i="29"/>
  <c r="AY203" i="29"/>
  <c r="AX295" i="29"/>
  <c r="AX294" i="29"/>
  <c r="AX296" i="29"/>
  <c r="AX309" i="29"/>
  <c r="AY323" i="29"/>
  <c r="AY318" i="29"/>
  <c r="AM331" i="29"/>
  <c r="AY209" i="29"/>
  <c r="AY217" i="29"/>
  <c r="AY208" i="29"/>
  <c r="AY230" i="29"/>
  <c r="AY197" i="29"/>
  <c r="AX293" i="29"/>
  <c r="AX304" i="29"/>
  <c r="AY320" i="29"/>
  <c r="AY218" i="29"/>
  <c r="AY211" i="29"/>
  <c r="AX303" i="29"/>
  <c r="AX298" i="29"/>
  <c r="AX308" i="29"/>
  <c r="AY324" i="29"/>
  <c r="AY322" i="29"/>
  <c r="AY191" i="29"/>
  <c r="AY224" i="29"/>
  <c r="AY207" i="29"/>
  <c r="AY194" i="29"/>
  <c r="AX297" i="29"/>
  <c r="AY319" i="29"/>
  <c r="AX292" i="29"/>
  <c r="AY204" i="29"/>
  <c r="AY186" i="29"/>
  <c r="AY221" i="29"/>
  <c r="AY229" i="29"/>
  <c r="AY188" i="29"/>
  <c r="AY196" i="29"/>
  <c r="AY210" i="29"/>
  <c r="AX306" i="29"/>
  <c r="AX301" i="29"/>
  <c r="AX299" i="29"/>
  <c r="AY315" i="29"/>
  <c r="AY317" i="29"/>
  <c r="AY192" i="29"/>
  <c r="AQ357" i="29"/>
  <c r="AZ265" i="29"/>
  <c r="AO133" i="29"/>
  <c r="AZ277" i="29"/>
  <c r="AZ267" i="29"/>
  <c r="AZ245" i="29"/>
  <c r="AZ276" i="29"/>
  <c r="AZ271" i="29"/>
  <c r="AZ261" i="29"/>
  <c r="AZ238" i="29"/>
  <c r="AZ273" i="29"/>
  <c r="AZ256" i="29"/>
  <c r="AZ269" i="29"/>
  <c r="AZ254" i="29"/>
  <c r="AZ274" i="29"/>
  <c r="AZ264" i="29"/>
  <c r="AZ255" i="29"/>
  <c r="AZ240" i="29"/>
  <c r="AZ258" i="29"/>
  <c r="AZ246" i="29"/>
  <c r="AZ260" i="29"/>
  <c r="AZ243" i="29"/>
  <c r="AZ259" i="29"/>
  <c r="AZ252" i="29"/>
  <c r="AZ237" i="29"/>
  <c r="AZ275" i="29"/>
  <c r="AZ266" i="29"/>
  <c r="AZ244" i="29"/>
  <c r="AZ242" i="29"/>
  <c r="AZ270" i="29"/>
  <c r="AZ253" i="29"/>
  <c r="AZ250" i="29"/>
  <c r="AZ278" i="29"/>
  <c r="AZ262" i="29"/>
  <c r="AZ263" i="29"/>
  <c r="AZ241" i="29"/>
  <c r="AZ248" i="29"/>
  <c r="AZ249" i="29"/>
  <c r="AZ247" i="29"/>
  <c r="AZ257" i="29"/>
  <c r="AZ251" i="29"/>
  <c r="AZ272" i="29"/>
  <c r="AZ268" i="29"/>
  <c r="AZ239" i="29"/>
  <c r="T165" i="29"/>
  <c r="Q153" i="29"/>
  <c r="Q152" i="29"/>
  <c r="AP87" i="28"/>
  <c r="AO351" i="29"/>
  <c r="AQ140" i="28"/>
  <c r="AQ286" i="29"/>
  <c r="AU42" i="28"/>
  <c r="AK117" i="29"/>
  <c r="AQ143" i="28"/>
  <c r="AQ142" i="28"/>
  <c r="AQ138" i="28"/>
  <c r="AQ145" i="28"/>
  <c r="AK114" i="29"/>
  <c r="AU32" i="28"/>
  <c r="AU46" i="28"/>
  <c r="Q147" i="29"/>
  <c r="AT141" i="29"/>
  <c r="AP84" i="28"/>
  <c r="AK120" i="29"/>
  <c r="AU16" i="28"/>
  <c r="AU43" i="28"/>
  <c r="AU39" i="28"/>
  <c r="AU40" i="28"/>
  <c r="AQ285" i="29"/>
  <c r="AU45" i="28"/>
  <c r="AU35" i="28"/>
  <c r="AQ284" i="29"/>
  <c r="AQ283" i="29"/>
  <c r="AU37" i="28"/>
  <c r="AU36" i="28"/>
  <c r="AU33" i="28"/>
  <c r="AU34" i="28"/>
  <c r="AU31" i="28"/>
  <c r="AP85" i="28"/>
  <c r="AU26" i="28"/>
  <c r="AU21" i="28"/>
  <c r="AU15" i="28"/>
  <c r="AU17" i="28"/>
  <c r="AU13" i="28"/>
  <c r="AU14" i="28"/>
  <c r="AU24" i="28"/>
  <c r="AP86" i="28"/>
  <c r="AU23" i="28"/>
  <c r="AK119" i="29"/>
  <c r="AK122" i="29"/>
  <c r="AT140" i="29"/>
  <c r="AK116" i="29"/>
  <c r="AT143" i="29"/>
  <c r="AK121" i="29"/>
  <c r="AO348" i="29"/>
  <c r="AO343" i="29"/>
  <c r="AO345" i="29"/>
  <c r="Q151" i="29"/>
  <c r="AT139" i="29"/>
  <c r="S177" i="29"/>
  <c r="T161" i="29"/>
  <c r="AO350" i="29"/>
  <c r="AK115" i="29"/>
  <c r="Q148" i="29"/>
  <c r="S174" i="29"/>
  <c r="AQ359" i="29"/>
  <c r="S180" i="29"/>
  <c r="AO342" i="29"/>
  <c r="T164" i="29"/>
  <c r="T162" i="29"/>
  <c r="Q154" i="29"/>
  <c r="AK118" i="29"/>
  <c r="AO349" i="29"/>
  <c r="AO344" i="29"/>
  <c r="T160" i="29"/>
  <c r="AQ139" i="28"/>
  <c r="AQ144" i="28"/>
  <c r="AQ147" i="28"/>
  <c r="AQ150" i="28"/>
  <c r="AQ148" i="28"/>
  <c r="AQ146" i="28"/>
  <c r="AQ141" i="28"/>
  <c r="AO346" i="29"/>
  <c r="AQ358" i="29"/>
  <c r="AO347" i="29"/>
  <c r="AQ151" i="28"/>
  <c r="S179" i="29"/>
  <c r="S178" i="29"/>
  <c r="S175" i="29"/>
  <c r="AT142" i="29"/>
  <c r="Q149" i="29"/>
  <c r="T166" i="29"/>
  <c r="T167" i="29"/>
  <c r="B200" i="28"/>
  <c r="E8" i="18" s="1"/>
  <c r="AO130" i="29"/>
  <c r="AO134" i="29"/>
  <c r="AO129" i="29"/>
  <c r="D169" i="29"/>
  <c r="D156" i="29"/>
  <c r="D239" i="27"/>
  <c r="AO132" i="29"/>
  <c r="AO131" i="29"/>
  <c r="E269" i="27"/>
  <c r="D269" i="27"/>
  <c r="G185" i="27"/>
  <c r="F28" i="27"/>
  <c r="C200" i="27"/>
  <c r="G28" i="27"/>
  <c r="B400" i="29" l="1"/>
  <c r="E9" i="18" s="1"/>
  <c r="E28" i="27"/>
  <c r="B320" i="27" l="1"/>
  <c r="E21" i="18" s="1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D120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E94" i="24"/>
  <c r="AD94" i="24"/>
  <c r="AC94" i="24"/>
  <c r="AB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M24" i="24"/>
  <c r="L24" i="24"/>
  <c r="K24" i="24"/>
  <c r="J24" i="24"/>
  <c r="I24" i="24"/>
  <c r="H24" i="24"/>
  <c r="G24" i="24"/>
  <c r="F24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C85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BR117" i="22"/>
  <c r="BR116" i="22"/>
  <c r="BR115" i="22"/>
  <c r="BR114" i="22"/>
  <c r="BR113" i="22"/>
  <c r="BR112" i="22"/>
  <c r="BR111" i="22"/>
  <c r="BR110" i="22"/>
  <c r="BR109" i="22"/>
  <c r="BR108" i="22"/>
  <c r="BR107" i="22"/>
  <c r="BR106" i="22"/>
  <c r="BR105" i="22"/>
  <c r="BR104" i="22"/>
  <c r="BR103" i="22"/>
  <c r="N61" i="22"/>
  <c r="M61" i="22"/>
  <c r="L61" i="22"/>
  <c r="K61" i="22"/>
  <c r="J61" i="22"/>
  <c r="I61" i="22"/>
  <c r="H61" i="22"/>
  <c r="G61" i="22"/>
  <c r="F61" i="22"/>
  <c r="E61" i="22"/>
  <c r="BR60" i="22"/>
  <c r="BR59" i="22"/>
  <c r="BR58" i="22"/>
  <c r="BR57" i="22"/>
  <c r="BR56" i="22"/>
  <c r="BR55" i="22"/>
  <c r="BR54" i="22"/>
  <c r="BR53" i="22"/>
  <c r="E49" i="22"/>
  <c r="D49" i="22"/>
  <c r="E48" i="22"/>
  <c r="D48" i="22"/>
  <c r="E47" i="22"/>
  <c r="D47" i="22"/>
  <c r="E46" i="22"/>
  <c r="D46" i="22"/>
  <c r="BT17" i="22"/>
  <c r="BT16" i="22"/>
  <c r="BT15" i="22"/>
  <c r="BT14" i="22"/>
  <c r="BT13" i="22"/>
  <c r="BT12" i="22"/>
  <c r="BT11" i="22"/>
  <c r="E153" i="19"/>
  <c r="D153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F90" i="19"/>
  <c r="E90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E210" i="24" l="1"/>
  <c r="CM210" i="24"/>
  <c r="CM211" i="24"/>
  <c r="CE211" i="24"/>
  <c r="CF206" i="24"/>
  <c r="CN206" i="24"/>
  <c r="CN205" i="24"/>
  <c r="CF205" i="24"/>
  <c r="CN204" i="24"/>
  <c r="CF204" i="24"/>
  <c r="CL19" i="23"/>
  <c r="BT23" i="22"/>
  <c r="BY23" i="22"/>
  <c r="BU23" i="22"/>
  <c r="BV23" i="22"/>
  <c r="BS23" i="22"/>
  <c r="BT31" i="22"/>
  <c r="BS31" i="22"/>
  <c r="BU31" i="22"/>
  <c r="BV31" i="22"/>
  <c r="BY31" i="22"/>
  <c r="BY24" i="22"/>
  <c r="BT24" i="22"/>
  <c r="BU24" i="22"/>
  <c r="BS24" i="22"/>
  <c r="BV24" i="22"/>
  <c r="BS32" i="22"/>
  <c r="BY32" i="22"/>
  <c r="BT32" i="22"/>
  <c r="BU32" i="22"/>
  <c r="BV32" i="22"/>
  <c r="BV25" i="22"/>
  <c r="BU25" i="22"/>
  <c r="BS25" i="22"/>
  <c r="BT25" i="22"/>
  <c r="BY25" i="22"/>
  <c r="BV33" i="22"/>
  <c r="BY33" i="22"/>
  <c r="BS33" i="22"/>
  <c r="BU33" i="22"/>
  <c r="BT33" i="22"/>
  <c r="BS18" i="22"/>
  <c r="BY18" i="22"/>
  <c r="BT26" i="22"/>
  <c r="BU26" i="22"/>
  <c r="BV26" i="22"/>
  <c r="BY34" i="22"/>
  <c r="BT34" i="22"/>
  <c r="BU34" i="22"/>
  <c r="BV34" i="22"/>
  <c r="BS34" i="22"/>
  <c r="BY19" i="22"/>
  <c r="BS19" i="22"/>
  <c r="BT27" i="22"/>
  <c r="BU27" i="22"/>
  <c r="BV27" i="22"/>
  <c r="BY35" i="22"/>
  <c r="BT35" i="22"/>
  <c r="BS35" i="22"/>
  <c r="BU35" i="22"/>
  <c r="BV35" i="22"/>
  <c r="BS20" i="22"/>
  <c r="BY20" i="22"/>
  <c r="BU28" i="22"/>
  <c r="BV28" i="22"/>
  <c r="BT28" i="22"/>
  <c r="BT21" i="22"/>
  <c r="BU21" i="22"/>
  <c r="BV21" i="22"/>
  <c r="BT29" i="22"/>
  <c r="BS29" i="22"/>
  <c r="BU29" i="22"/>
  <c r="BV29" i="22"/>
  <c r="BY29" i="22"/>
  <c r="BV22" i="22"/>
  <c r="BT22" i="22"/>
  <c r="BU22" i="22"/>
  <c r="BV30" i="22"/>
  <c r="BS30" i="22"/>
  <c r="BY30" i="22"/>
  <c r="BT30" i="22"/>
  <c r="BU30" i="22"/>
  <c r="BX23" i="22"/>
  <c r="CA23" i="22"/>
  <c r="BZ23" i="22"/>
  <c r="CB23" i="22"/>
  <c r="BZ31" i="22"/>
  <c r="CA31" i="22"/>
  <c r="CB31" i="22"/>
  <c r="BX31" i="22"/>
  <c r="BZ24" i="22"/>
  <c r="BX24" i="22"/>
  <c r="CA24" i="22"/>
  <c r="CB24" i="22"/>
  <c r="CB32" i="22"/>
  <c r="BX32" i="22"/>
  <c r="BZ32" i="22"/>
  <c r="CA32" i="22"/>
  <c r="CB25" i="22"/>
  <c r="BZ25" i="22"/>
  <c r="BX25" i="22"/>
  <c r="CA25" i="22"/>
  <c r="BX33" i="22"/>
  <c r="BZ33" i="22"/>
  <c r="CB33" i="22"/>
  <c r="CA33" i="22"/>
  <c r="CB26" i="22"/>
  <c r="BX26" i="22"/>
  <c r="BZ26" i="22"/>
  <c r="CA26" i="22"/>
  <c r="BZ34" i="22"/>
  <c r="CA34" i="22"/>
  <c r="CB34" i="22"/>
  <c r="BX34" i="22"/>
  <c r="BV19" i="22"/>
  <c r="BX19" i="22"/>
  <c r="CB19" i="22"/>
  <c r="BZ19" i="22"/>
  <c r="CA19" i="22"/>
  <c r="BU19" i="22"/>
  <c r="BT19" i="22"/>
  <c r="CB27" i="22"/>
  <c r="BX27" i="22"/>
  <c r="BZ27" i="22"/>
  <c r="CA27" i="22"/>
  <c r="BX35" i="22"/>
  <c r="CA35" i="22"/>
  <c r="CB35" i="22"/>
  <c r="BZ35" i="22"/>
  <c r="CA20" i="22"/>
  <c r="CB20" i="22"/>
  <c r="BT20" i="22"/>
  <c r="BU20" i="22"/>
  <c r="BV20" i="22"/>
  <c r="BX20" i="22"/>
  <c r="BZ20" i="22"/>
  <c r="BZ28" i="22"/>
  <c r="BX28" i="22"/>
  <c r="CB28" i="22"/>
  <c r="CA28" i="22"/>
  <c r="BX21" i="22"/>
  <c r="CA21" i="22"/>
  <c r="BZ21" i="22"/>
  <c r="CB21" i="22"/>
  <c r="CA29" i="22"/>
  <c r="CB29" i="22"/>
  <c r="BX29" i="22"/>
  <c r="BZ29" i="22"/>
  <c r="CA22" i="22"/>
  <c r="BZ22" i="22"/>
  <c r="CB22" i="22"/>
  <c r="BX22" i="22"/>
  <c r="BX30" i="22"/>
  <c r="BZ30" i="22"/>
  <c r="CB30" i="22"/>
  <c r="CA30" i="22"/>
  <c r="BR52" i="22"/>
  <c r="BX52" i="22"/>
  <c r="BZ52" i="22"/>
  <c r="BY52" i="22"/>
  <c r="BT10" i="22"/>
  <c r="BV10" i="22"/>
  <c r="BZ18" i="22"/>
  <c r="BT18" i="22"/>
  <c r="CD205" i="24"/>
  <c r="CL205" i="24"/>
  <c r="CM205" i="24"/>
  <c r="CE205" i="24"/>
  <c r="CG100" i="24"/>
  <c r="CL100" i="24"/>
  <c r="CD100" i="24"/>
  <c r="CC114" i="24"/>
  <c r="CS114" i="24"/>
  <c r="CH114" i="24"/>
  <c r="CI114" i="24"/>
  <c r="CN114" i="24"/>
  <c r="CJ114" i="24"/>
  <c r="CO114" i="24"/>
  <c r="CP114" i="24"/>
  <c r="CQ114" i="24"/>
  <c r="CR114" i="24"/>
  <c r="CF114" i="24"/>
  <c r="CG114" i="24"/>
  <c r="CL211" i="24"/>
  <c r="CD211" i="24"/>
  <c r="N211" i="24" s="1"/>
  <c r="CC115" i="24"/>
  <c r="CS115" i="24"/>
  <c r="CN115" i="24"/>
  <c r="CJ115" i="24"/>
  <c r="CO115" i="24"/>
  <c r="CP115" i="24"/>
  <c r="CQ115" i="24"/>
  <c r="CR115" i="24"/>
  <c r="CF115" i="24"/>
  <c r="CH115" i="24"/>
  <c r="CI115" i="24"/>
  <c r="CG115" i="24"/>
  <c r="CR113" i="24"/>
  <c r="CN113" i="24"/>
  <c r="CH113" i="24"/>
  <c r="CJ113" i="24"/>
  <c r="CI113" i="24"/>
  <c r="CQ113" i="24"/>
  <c r="CG113" i="24"/>
  <c r="CP113" i="24"/>
  <c r="CF113" i="24"/>
  <c r="CO113" i="24"/>
  <c r="CL210" i="24"/>
  <c r="CD210" i="24"/>
  <c r="CM206" i="24"/>
  <c r="CD206" i="24"/>
  <c r="CE206" i="24"/>
  <c r="CL206" i="24"/>
  <c r="CL204" i="24"/>
  <c r="CE204" i="24"/>
  <c r="CD204" i="24"/>
  <c r="CM204" i="24"/>
  <c r="CM121" i="24"/>
  <c r="CF25" i="23"/>
  <c r="BR23" i="22"/>
  <c r="BR29" i="22"/>
  <c r="BR35" i="22"/>
  <c r="BU18" i="22"/>
  <c r="CB18" i="22"/>
  <c r="BV18" i="22"/>
  <c r="CA18" i="22"/>
  <c r="BX18" i="22"/>
  <c r="BR18" i="22"/>
  <c r="BR24" i="22"/>
  <c r="BR30" i="22"/>
  <c r="CA56" i="22"/>
  <c r="BY56" i="22"/>
  <c r="BX56" i="22"/>
  <c r="BZ56" i="22"/>
  <c r="BS56" i="22"/>
  <c r="BU56" i="22"/>
  <c r="BT56" i="22"/>
  <c r="BX68" i="22"/>
  <c r="BY68" i="22"/>
  <c r="BS68" i="22"/>
  <c r="BR68" i="22"/>
  <c r="BX74" i="22"/>
  <c r="BY74" i="22"/>
  <c r="BR74" i="22"/>
  <c r="BS74" i="22"/>
  <c r="CB17" i="22"/>
  <c r="BV17" i="22"/>
  <c r="CA17" i="22"/>
  <c r="BU17" i="22"/>
  <c r="BZ17" i="22"/>
  <c r="BX17" i="22"/>
  <c r="BR17" i="22"/>
  <c r="BY73" i="22"/>
  <c r="BR73" i="22"/>
  <c r="BS73" i="22"/>
  <c r="BX73" i="22"/>
  <c r="CB13" i="22"/>
  <c r="BV13" i="22"/>
  <c r="CA13" i="22"/>
  <c r="BU13" i="22"/>
  <c r="BZ13" i="22"/>
  <c r="BX13" i="22"/>
  <c r="BR13" i="22"/>
  <c r="BR19" i="22"/>
  <c r="BR25" i="22"/>
  <c r="BR31" i="22"/>
  <c r="BU57" i="22"/>
  <c r="BT57" i="22"/>
  <c r="BX57" i="22"/>
  <c r="BZ57" i="22"/>
  <c r="BS57" i="22"/>
  <c r="CA57" i="22"/>
  <c r="BY57" i="22"/>
  <c r="BX69" i="22"/>
  <c r="BY69" i="22"/>
  <c r="BR69" i="22"/>
  <c r="BS69" i="22"/>
  <c r="BX75" i="22"/>
  <c r="BY75" i="22"/>
  <c r="BR75" i="22"/>
  <c r="BS75" i="22"/>
  <c r="BR20" i="22"/>
  <c r="BR26" i="22"/>
  <c r="BR32" i="22"/>
  <c r="CM19" i="23"/>
  <c r="CL25" i="23"/>
  <c r="CJ25" i="23"/>
  <c r="CK25" i="23"/>
  <c r="CC25" i="23"/>
  <c r="BV15" i="22"/>
  <c r="BZ15" i="22"/>
  <c r="CB15" i="22"/>
  <c r="CA15" i="22"/>
  <c r="BU15" i="22"/>
  <c r="BX15" i="22"/>
  <c r="BR15" i="22"/>
  <c r="BR21" i="22"/>
  <c r="BR27" i="22"/>
  <c r="BR33" i="22"/>
  <c r="CA53" i="22"/>
  <c r="BY53" i="22"/>
  <c r="BX53" i="22"/>
  <c r="BZ53" i="22"/>
  <c r="BS53" i="22"/>
  <c r="BU53" i="22"/>
  <c r="BT53" i="22"/>
  <c r="BS71" i="22"/>
  <c r="BX71" i="22"/>
  <c r="BY71" i="22"/>
  <c r="BR71" i="22"/>
  <c r="BS77" i="22"/>
  <c r="BX77" i="22"/>
  <c r="BY77" i="22"/>
  <c r="BR77" i="22"/>
  <c r="CB14" i="22"/>
  <c r="BV14" i="22"/>
  <c r="CA14" i="22"/>
  <c r="BU14" i="22"/>
  <c r="BZ14" i="22"/>
  <c r="BX14" i="22"/>
  <c r="BR14" i="22"/>
  <c r="BU58" i="22"/>
  <c r="BT58" i="22"/>
  <c r="CA58" i="22"/>
  <c r="BY58" i="22"/>
  <c r="BX58" i="22"/>
  <c r="BZ58" i="22"/>
  <c r="BS58" i="22"/>
  <c r="BS70" i="22"/>
  <c r="BY70" i="22"/>
  <c r="BR70" i="22"/>
  <c r="BX70" i="22"/>
  <c r="BS76" i="22"/>
  <c r="BX76" i="22"/>
  <c r="BY76" i="22"/>
  <c r="BR76" i="22"/>
  <c r="CF22" i="23"/>
  <c r="CE22" i="23"/>
  <c r="CJ22" i="23"/>
  <c r="CM22" i="23"/>
  <c r="CK22" i="23"/>
  <c r="CC22" i="23"/>
  <c r="CL22" i="23"/>
  <c r="CD22" i="23"/>
  <c r="CA10" i="22"/>
  <c r="BZ10" i="22"/>
  <c r="BX10" i="22"/>
  <c r="CB10" i="22"/>
  <c r="BU10" i="22"/>
  <c r="BR10" i="22"/>
  <c r="CB16" i="22"/>
  <c r="BV16" i="22"/>
  <c r="CA16" i="22"/>
  <c r="BU16" i="22"/>
  <c r="BZ16" i="22"/>
  <c r="BX16" i="22"/>
  <c r="BR16" i="22"/>
  <c r="BR22" i="22"/>
  <c r="BR28" i="22"/>
  <c r="BR34" i="22"/>
  <c r="BY72" i="22"/>
  <c r="BR72" i="22"/>
  <c r="BS72" i="22"/>
  <c r="BX72" i="22"/>
  <c r="BS67" i="22"/>
  <c r="BX67" i="22"/>
  <c r="BY67" i="22"/>
  <c r="BR67" i="22"/>
  <c r="BY60" i="22"/>
  <c r="BU60" i="22"/>
  <c r="BX60" i="22"/>
  <c r="BZ60" i="22"/>
  <c r="CA60" i="22"/>
  <c r="BS60" i="22"/>
  <c r="BT60" i="22"/>
  <c r="CA59" i="22"/>
  <c r="BY59" i="22"/>
  <c r="BS59" i="22"/>
  <c r="BZ59" i="22"/>
  <c r="BU59" i="22"/>
  <c r="BT59" i="22"/>
  <c r="BX59" i="22"/>
  <c r="CB11" i="22"/>
  <c r="BX11" i="22"/>
  <c r="BZ11" i="22"/>
  <c r="BV11" i="22"/>
  <c r="BR11" i="22"/>
  <c r="CA11" i="22"/>
  <c r="BU11" i="22"/>
  <c r="BX65" i="22"/>
  <c r="BY65" i="22"/>
  <c r="BR65" i="22"/>
  <c r="BS65" i="22"/>
  <c r="BS55" i="22"/>
  <c r="CA55" i="22"/>
  <c r="BX55" i="22"/>
  <c r="BU55" i="22"/>
  <c r="BZ55" i="22"/>
  <c r="BY55" i="22"/>
  <c r="BT55" i="22"/>
  <c r="BY66" i="22"/>
  <c r="BX66" i="22"/>
  <c r="BS66" i="22"/>
  <c r="BR66" i="22"/>
  <c r="L66" i="22" s="1"/>
  <c r="BY54" i="22"/>
  <c r="BU54" i="22"/>
  <c r="BT54" i="22"/>
  <c r="BX54" i="22"/>
  <c r="BZ54" i="22"/>
  <c r="BS54" i="22"/>
  <c r="CA54" i="22"/>
  <c r="CB12" i="22"/>
  <c r="BX12" i="22"/>
  <c r="BV12" i="22"/>
  <c r="BU12" i="22"/>
  <c r="BR12" i="22"/>
  <c r="CA12" i="22"/>
  <c r="BZ12" i="22"/>
  <c r="CI13" i="24"/>
  <c r="CF13" i="24"/>
  <c r="CN13" i="24"/>
  <c r="CQ13" i="24"/>
  <c r="CO13" i="24"/>
  <c r="CH13" i="24"/>
  <c r="CE13" i="24"/>
  <c r="CP13" i="24"/>
  <c r="CM13" i="24"/>
  <c r="CG13" i="24"/>
  <c r="CP14" i="24"/>
  <c r="CM14" i="24"/>
  <c r="CI14" i="24"/>
  <c r="CF14" i="24"/>
  <c r="CQ14" i="24"/>
  <c r="CG14" i="24"/>
  <c r="CO14" i="24"/>
  <c r="CH14" i="24"/>
  <c r="CE14" i="24"/>
  <c r="CN14" i="24"/>
  <c r="CH15" i="24"/>
  <c r="CE15" i="24"/>
  <c r="CP15" i="24"/>
  <c r="CM15" i="24"/>
  <c r="CQ15" i="24"/>
  <c r="CN15" i="24"/>
  <c r="CG15" i="24"/>
  <c r="CO15" i="24"/>
  <c r="CI15" i="24"/>
  <c r="CF15" i="24"/>
  <c r="CQ12" i="24"/>
  <c r="CN12" i="24"/>
  <c r="CO12" i="24"/>
  <c r="CG12" i="24"/>
  <c r="CH12" i="24"/>
  <c r="CE12" i="24"/>
  <c r="CP12" i="24"/>
  <c r="CM12" i="24"/>
  <c r="CI12" i="24"/>
  <c r="CF12" i="24"/>
  <c r="CO11" i="24"/>
  <c r="CH11" i="24"/>
  <c r="CE11" i="24"/>
  <c r="CP11" i="24"/>
  <c r="CI11" i="24"/>
  <c r="CF11" i="24"/>
  <c r="CQ11" i="24"/>
  <c r="CN11" i="24"/>
  <c r="CG11" i="24"/>
  <c r="CM11" i="24"/>
  <c r="BT52" i="22"/>
  <c r="BS52" i="22"/>
  <c r="CA52" i="22"/>
  <c r="BU52" i="22"/>
  <c r="CD12" i="24"/>
  <c r="CL12" i="24"/>
  <c r="CL28" i="24"/>
  <c r="CD28" i="24"/>
  <c r="CM28" i="24"/>
  <c r="CE28" i="24"/>
  <c r="CN28" i="24"/>
  <c r="CF28" i="24"/>
  <c r="CF100" i="24"/>
  <c r="CO100" i="24"/>
  <c r="CN100" i="24"/>
  <c r="CJ128" i="24"/>
  <c r="CH128" i="24"/>
  <c r="CF128" i="24"/>
  <c r="CI128" i="24"/>
  <c r="CG128" i="24"/>
  <c r="CE128" i="24"/>
  <c r="CR128" i="24"/>
  <c r="CP128" i="24"/>
  <c r="CN128" i="24"/>
  <c r="CO128" i="24"/>
  <c r="CQ128" i="24"/>
  <c r="CM128" i="24"/>
  <c r="CD13" i="24"/>
  <c r="CL13" i="24"/>
  <c r="CO34" i="24"/>
  <c r="CG34" i="24"/>
  <c r="CN34" i="24"/>
  <c r="CF34" i="24"/>
  <c r="CO36" i="24"/>
  <c r="CG36" i="24"/>
  <c r="CN36" i="24"/>
  <c r="CF36" i="24"/>
  <c r="CO38" i="24"/>
  <c r="CG38" i="24"/>
  <c r="CN38" i="24"/>
  <c r="CF38" i="24"/>
  <c r="CO40" i="24"/>
  <c r="CG40" i="24"/>
  <c r="CF40" i="24"/>
  <c r="CN40" i="24"/>
  <c r="CO42" i="24"/>
  <c r="CG42" i="24"/>
  <c r="CN42" i="24"/>
  <c r="CF42" i="24"/>
  <c r="CO44" i="24"/>
  <c r="CG44" i="24"/>
  <c r="CN44" i="24"/>
  <c r="CF44" i="24"/>
  <c r="CO46" i="24"/>
  <c r="CG46" i="24"/>
  <c r="CN46" i="24"/>
  <c r="CF46" i="24"/>
  <c r="CO48" i="24"/>
  <c r="CG48" i="24"/>
  <c r="CN48" i="24"/>
  <c r="CF48" i="24"/>
  <c r="CO50" i="24"/>
  <c r="CG50" i="24"/>
  <c r="CN50" i="24"/>
  <c r="CF50" i="24"/>
  <c r="CO52" i="24"/>
  <c r="CG52" i="24"/>
  <c r="CN52" i="24"/>
  <c r="CF52" i="24"/>
  <c r="CO54" i="24"/>
  <c r="CG54" i="24"/>
  <c r="CN54" i="24"/>
  <c r="CF54" i="24"/>
  <c r="CO56" i="24"/>
  <c r="CG56" i="24"/>
  <c r="CN56" i="24"/>
  <c r="CF56" i="24"/>
  <c r="CO58" i="24"/>
  <c r="CG58" i="24"/>
  <c r="CN58" i="24"/>
  <c r="CF58" i="24"/>
  <c r="CO60" i="24"/>
  <c r="CG60" i="24"/>
  <c r="CN60" i="24"/>
  <c r="CF60" i="24"/>
  <c r="CO62" i="24"/>
  <c r="CG62" i="24"/>
  <c r="CN62" i="24"/>
  <c r="CF62" i="24"/>
  <c r="CO64" i="24"/>
  <c r="CG64" i="24"/>
  <c r="CF64" i="24"/>
  <c r="CN64" i="24"/>
  <c r="CO66" i="24"/>
  <c r="CG66" i="24"/>
  <c r="CN66" i="24"/>
  <c r="CF66" i="24"/>
  <c r="CO68" i="24"/>
  <c r="CG68" i="24"/>
  <c r="CN68" i="24"/>
  <c r="CF68" i="24"/>
  <c r="CO70" i="24"/>
  <c r="CG70" i="24"/>
  <c r="CN70" i="24"/>
  <c r="CF70" i="24"/>
  <c r="CO72" i="24"/>
  <c r="CG72" i="24"/>
  <c r="CN72" i="24"/>
  <c r="CF72" i="24"/>
  <c r="CO74" i="24"/>
  <c r="CG74" i="24"/>
  <c r="CF74" i="24"/>
  <c r="CN74" i="24"/>
  <c r="CO76" i="24"/>
  <c r="CG76" i="24"/>
  <c r="CN76" i="24"/>
  <c r="CF76" i="24"/>
  <c r="CO78" i="24"/>
  <c r="CG78" i="24"/>
  <c r="CN78" i="24"/>
  <c r="CF78" i="24"/>
  <c r="CO80" i="24"/>
  <c r="CG80" i="24"/>
  <c r="CN80" i="24"/>
  <c r="CF80" i="24"/>
  <c r="CO82" i="24"/>
  <c r="CG82" i="24"/>
  <c r="CF82" i="24"/>
  <c r="CN82" i="24"/>
  <c r="CO84" i="24"/>
  <c r="CG84" i="24"/>
  <c r="CN84" i="24"/>
  <c r="CF84" i="24"/>
  <c r="CO86" i="24"/>
  <c r="CG86" i="24"/>
  <c r="CN86" i="24"/>
  <c r="CF86" i="24"/>
  <c r="CO88" i="24"/>
  <c r="CG88" i="24"/>
  <c r="CN88" i="24"/>
  <c r="CF88" i="24"/>
  <c r="CO90" i="24"/>
  <c r="CG90" i="24"/>
  <c r="CN90" i="24"/>
  <c r="CF90" i="24"/>
  <c r="CO92" i="24"/>
  <c r="CG92" i="24"/>
  <c r="CN92" i="24"/>
  <c r="CF92" i="24"/>
  <c r="CJ129" i="24"/>
  <c r="CH129" i="24"/>
  <c r="CF129" i="24"/>
  <c r="CI129" i="24"/>
  <c r="CM129" i="24"/>
  <c r="CO129" i="24"/>
  <c r="CG129" i="24"/>
  <c r="CQ129" i="24"/>
  <c r="CE129" i="24"/>
  <c r="CN129" i="24"/>
  <c r="CP129" i="24"/>
  <c r="CR129" i="24"/>
  <c r="CD14" i="24"/>
  <c r="CL14" i="24"/>
  <c r="CL15" i="24"/>
  <c r="CD15" i="24"/>
  <c r="CI120" i="24"/>
  <c r="CK120" i="24"/>
  <c r="CH120" i="24"/>
  <c r="CJ120" i="24"/>
  <c r="CG120" i="24"/>
  <c r="CN35" i="24"/>
  <c r="CF35" i="24"/>
  <c r="CO35" i="24"/>
  <c r="CG35" i="24"/>
  <c r="CO37" i="24"/>
  <c r="CG37" i="24"/>
  <c r="CN37" i="24"/>
  <c r="CF37" i="24"/>
  <c r="CO39" i="24"/>
  <c r="CG39" i="24"/>
  <c r="CN39" i="24"/>
  <c r="CF39" i="24"/>
  <c r="CN41" i="24"/>
  <c r="CF41" i="24"/>
  <c r="CG41" i="24"/>
  <c r="CO41" i="24"/>
  <c r="CO43" i="24"/>
  <c r="CG43" i="24"/>
  <c r="CN43" i="24"/>
  <c r="CF43" i="24"/>
  <c r="CO45" i="24"/>
  <c r="CG45" i="24"/>
  <c r="CN45" i="24"/>
  <c r="CF45" i="24"/>
  <c r="CN47" i="24"/>
  <c r="CF47" i="24"/>
  <c r="CG47" i="24"/>
  <c r="CO47" i="24"/>
  <c r="CO49" i="24"/>
  <c r="CG49" i="24"/>
  <c r="CN49" i="24"/>
  <c r="CF49" i="24"/>
  <c r="CO51" i="24"/>
  <c r="CG51" i="24"/>
  <c r="CN51" i="24"/>
  <c r="CF51" i="24"/>
  <c r="CN53" i="24"/>
  <c r="CF53" i="24"/>
  <c r="CG53" i="24"/>
  <c r="CO53" i="24"/>
  <c r="CO55" i="24"/>
  <c r="CG55" i="24"/>
  <c r="CN55" i="24"/>
  <c r="CF55" i="24"/>
  <c r="CO57" i="24"/>
  <c r="CG57" i="24"/>
  <c r="CN57" i="24"/>
  <c r="CF57" i="24"/>
  <c r="CN59" i="24"/>
  <c r="CF59" i="24"/>
  <c r="CG59" i="24"/>
  <c r="CO59" i="24"/>
  <c r="CO61" i="24"/>
  <c r="CG61" i="24"/>
  <c r="CN61" i="24"/>
  <c r="CF61" i="24"/>
  <c r="CO63" i="24"/>
  <c r="CG63" i="24"/>
  <c r="CN63" i="24"/>
  <c r="CF63" i="24"/>
  <c r="CN65" i="24"/>
  <c r="CF65" i="24"/>
  <c r="CO65" i="24"/>
  <c r="CG65" i="24"/>
  <c r="CO67" i="24"/>
  <c r="CG67" i="24"/>
  <c r="CN67" i="24"/>
  <c r="CF67" i="24"/>
  <c r="CO69" i="24"/>
  <c r="CG69" i="24"/>
  <c r="CN69" i="24"/>
  <c r="CF69" i="24"/>
  <c r="CN71" i="24"/>
  <c r="CF71" i="24"/>
  <c r="CO71" i="24"/>
  <c r="CG71" i="24"/>
  <c r="CO73" i="24"/>
  <c r="CG73" i="24"/>
  <c r="CF73" i="24"/>
  <c r="CN73" i="24"/>
  <c r="CO75" i="24"/>
  <c r="CG75" i="24"/>
  <c r="CN75" i="24"/>
  <c r="CF75" i="24"/>
  <c r="CN77" i="24"/>
  <c r="CF77" i="24"/>
  <c r="CG77" i="24"/>
  <c r="CO77" i="24"/>
  <c r="CO79" i="24"/>
  <c r="CG79" i="24"/>
  <c r="CN79" i="24"/>
  <c r="CF79" i="24"/>
  <c r="CO81" i="24"/>
  <c r="CG81" i="24"/>
  <c r="CN81" i="24"/>
  <c r="CF81" i="24"/>
  <c r="CN83" i="24"/>
  <c r="CF83" i="24"/>
  <c r="CG83" i="24"/>
  <c r="CO83" i="24"/>
  <c r="CO85" i="24"/>
  <c r="CG85" i="24"/>
  <c r="CN85" i="24"/>
  <c r="CF85" i="24"/>
  <c r="CO87" i="24"/>
  <c r="CG87" i="24"/>
  <c r="CN87" i="24"/>
  <c r="CF87" i="24"/>
  <c r="CN89" i="24"/>
  <c r="CF89" i="24"/>
  <c r="CG89" i="24"/>
  <c r="CO89" i="24"/>
  <c r="CO91" i="24"/>
  <c r="CG91" i="24"/>
  <c r="CN91" i="24"/>
  <c r="CF91" i="24"/>
  <c r="CO93" i="24"/>
  <c r="CG93" i="24"/>
  <c r="CN93" i="24"/>
  <c r="CF93" i="24"/>
  <c r="CK121" i="24"/>
  <c r="CH121" i="24"/>
  <c r="CJ121" i="24"/>
  <c r="CG121" i="24"/>
  <c r="CS121" i="24"/>
  <c r="CF121" i="24"/>
  <c r="CN121" i="24"/>
  <c r="CR121" i="24"/>
  <c r="CQ121" i="24"/>
  <c r="CI121" i="24"/>
  <c r="CP121" i="24"/>
  <c r="CO121" i="24"/>
  <c r="CL11" i="24"/>
  <c r="CD11" i="24"/>
  <c r="CI127" i="24"/>
  <c r="CG127" i="24"/>
  <c r="CE127" i="24"/>
  <c r="CJ127" i="24"/>
  <c r="CH127" i="24"/>
  <c r="CF127" i="24"/>
  <c r="CR127" i="24"/>
  <c r="CM127" i="24"/>
  <c r="CO127" i="24"/>
  <c r="CQ127" i="24"/>
  <c r="CN127" i="24"/>
  <c r="CP127" i="24"/>
  <c r="CS120" i="24"/>
  <c r="CO120" i="24"/>
  <c r="CQ120" i="24"/>
  <c r="CR120" i="24"/>
  <c r="CP120" i="24"/>
  <c r="CN120" i="24"/>
  <c r="CF120" i="24"/>
  <c r="CD128" i="24"/>
  <c r="CL128" i="24"/>
  <c r="CL129" i="24"/>
  <c r="CD129" i="24"/>
  <c r="CL121" i="24"/>
  <c r="CD121" i="24"/>
  <c r="CL127" i="24"/>
  <c r="CD127" i="24"/>
  <c r="CL120" i="24"/>
  <c r="CM35" i="24"/>
  <c r="CE35" i="24"/>
  <c r="CE45" i="24"/>
  <c r="CM45" i="24"/>
  <c r="CM55" i="24"/>
  <c r="CE55" i="24"/>
  <c r="CE65" i="24"/>
  <c r="CM65" i="24"/>
  <c r="CE75" i="24"/>
  <c r="CM75" i="24"/>
  <c r="CE87" i="24"/>
  <c r="CM87" i="24"/>
  <c r="CM43" i="24"/>
  <c r="CE43" i="24"/>
  <c r="CE53" i="24"/>
  <c r="CM53" i="24"/>
  <c r="CE63" i="24"/>
  <c r="CM63" i="24"/>
  <c r="CM73" i="24"/>
  <c r="CE73" i="24"/>
  <c r="CE83" i="24"/>
  <c r="CM83" i="24"/>
  <c r="CE93" i="24"/>
  <c r="CM93" i="24"/>
  <c r="CE41" i="24"/>
  <c r="CM41" i="24"/>
  <c r="CE51" i="24"/>
  <c r="CM51" i="24"/>
  <c r="CM61" i="24"/>
  <c r="CE61" i="24"/>
  <c r="CM71" i="24"/>
  <c r="CE71" i="24"/>
  <c r="CE81" i="24"/>
  <c r="CM81" i="24"/>
  <c r="CM91" i="24"/>
  <c r="CE91" i="24"/>
  <c r="CE38" i="24"/>
  <c r="CM38" i="24"/>
  <c r="CE40" i="24"/>
  <c r="CM40" i="24"/>
  <c r="CM42" i="24"/>
  <c r="CE42" i="24"/>
  <c r="CE44" i="24"/>
  <c r="CM44" i="24"/>
  <c r="CE46" i="24"/>
  <c r="CM46" i="24"/>
  <c r="CM48" i="24"/>
  <c r="CE48" i="24"/>
  <c r="CE50" i="24"/>
  <c r="CM50" i="24"/>
  <c r="CE52" i="24"/>
  <c r="CM52" i="24"/>
  <c r="CM54" i="24"/>
  <c r="CE54" i="24"/>
  <c r="CE56" i="24"/>
  <c r="CM56" i="24"/>
  <c r="CE58" i="24"/>
  <c r="CM58" i="24"/>
  <c r="CM60" i="24"/>
  <c r="CE60" i="24"/>
  <c r="CE62" i="24"/>
  <c r="CM62" i="24"/>
  <c r="CE64" i="24"/>
  <c r="CM64" i="24"/>
  <c r="CM66" i="24"/>
  <c r="CE66" i="24"/>
  <c r="CE68" i="24"/>
  <c r="CM68" i="24"/>
  <c r="CE70" i="24"/>
  <c r="CM70" i="24"/>
  <c r="CM72" i="24"/>
  <c r="CE72" i="24"/>
  <c r="CE74" i="24"/>
  <c r="CM74" i="24"/>
  <c r="CE76" i="24"/>
  <c r="CM76" i="24"/>
  <c r="CM78" i="24"/>
  <c r="CE78" i="24"/>
  <c r="CE80" i="24"/>
  <c r="CM80" i="24"/>
  <c r="CE82" i="24"/>
  <c r="CM82" i="24"/>
  <c r="CM84" i="24"/>
  <c r="CE84" i="24"/>
  <c r="CE86" i="24"/>
  <c r="CM86" i="24"/>
  <c r="CE88" i="24"/>
  <c r="CM88" i="24"/>
  <c r="CM90" i="24"/>
  <c r="CE90" i="24"/>
  <c r="CE92" i="24"/>
  <c r="CM92" i="24"/>
  <c r="CE39" i="24"/>
  <c r="CM39" i="24"/>
  <c r="CM49" i="24"/>
  <c r="CE49" i="24"/>
  <c r="CE59" i="24"/>
  <c r="CM59" i="24"/>
  <c r="CE69" i="24"/>
  <c r="CM69" i="24"/>
  <c r="CE77" i="24"/>
  <c r="CM77" i="24"/>
  <c r="CM85" i="24"/>
  <c r="CE85" i="24"/>
  <c r="CM37" i="24"/>
  <c r="CE37" i="24"/>
  <c r="CM47" i="24"/>
  <c r="CE47" i="24"/>
  <c r="CE57" i="24"/>
  <c r="CM57" i="24"/>
  <c r="CM67" i="24"/>
  <c r="CE67" i="24"/>
  <c r="CM79" i="24"/>
  <c r="CE79" i="24"/>
  <c r="CE89" i="24"/>
  <c r="CM89" i="24"/>
  <c r="CE36" i="24"/>
  <c r="CM36" i="24"/>
  <c r="CM34" i="24"/>
  <c r="CE34" i="24"/>
  <c r="CM100" i="24"/>
  <c r="CE100" i="24"/>
  <c r="CL34" i="24"/>
  <c r="CD34" i="24"/>
  <c r="CD36" i="24"/>
  <c r="CL36" i="24"/>
  <c r="CD38" i="24"/>
  <c r="CL38" i="24"/>
  <c r="CL40" i="24"/>
  <c r="CD40" i="24"/>
  <c r="CD42" i="24"/>
  <c r="CL42" i="24"/>
  <c r="CD44" i="24"/>
  <c r="CL44" i="24"/>
  <c r="CL46" i="24"/>
  <c r="CD46" i="24"/>
  <c r="CD48" i="24"/>
  <c r="CL48" i="24"/>
  <c r="CD50" i="24"/>
  <c r="CL50" i="24"/>
  <c r="CL52" i="24"/>
  <c r="CD52" i="24"/>
  <c r="CD54" i="24"/>
  <c r="CL54" i="24"/>
  <c r="CD56" i="24"/>
  <c r="CL56" i="24"/>
  <c r="CL58" i="24"/>
  <c r="CD58" i="24"/>
  <c r="CL60" i="24"/>
  <c r="CD60" i="24"/>
  <c r="CD62" i="24"/>
  <c r="CL62" i="24"/>
  <c r="CL64" i="24"/>
  <c r="CD64" i="24"/>
  <c r="CL66" i="24"/>
  <c r="CD66" i="24"/>
  <c r="CD68" i="24"/>
  <c r="CL68" i="24"/>
  <c r="CL70" i="24"/>
  <c r="CD70" i="24"/>
  <c r="CL72" i="24"/>
  <c r="CD72" i="24"/>
  <c r="CD74" i="24"/>
  <c r="CL74" i="24"/>
  <c r="CL76" i="24"/>
  <c r="CD76" i="24"/>
  <c r="CL78" i="24"/>
  <c r="CD78" i="24"/>
  <c r="CD80" i="24"/>
  <c r="CL80" i="24"/>
  <c r="CL82" i="24"/>
  <c r="CD82" i="24"/>
  <c r="CL84" i="24"/>
  <c r="CD84" i="24"/>
  <c r="CD86" i="24"/>
  <c r="CL86" i="24"/>
  <c r="CL88" i="24"/>
  <c r="CD88" i="24"/>
  <c r="CL90" i="24"/>
  <c r="CD90" i="24"/>
  <c r="CD92" i="24"/>
  <c r="CL92" i="24"/>
  <c r="CL35" i="24"/>
  <c r="CD35" i="24"/>
  <c r="CD37" i="24"/>
  <c r="CL37" i="24"/>
  <c r="CL39" i="24"/>
  <c r="CD39" i="24"/>
  <c r="CL41" i="24"/>
  <c r="CD41" i="24"/>
  <c r="CD43" i="24"/>
  <c r="CL43" i="24"/>
  <c r="CL45" i="24"/>
  <c r="CD45" i="24"/>
  <c r="CL47" i="24"/>
  <c r="CD47" i="24"/>
  <c r="CD49" i="24"/>
  <c r="CL49" i="24"/>
  <c r="CL51" i="24"/>
  <c r="CD51" i="24"/>
  <c r="CL53" i="24"/>
  <c r="CD53" i="24"/>
  <c r="CD55" i="24"/>
  <c r="CL55" i="24"/>
  <c r="CD57" i="24"/>
  <c r="CL57" i="24"/>
  <c r="CL59" i="24"/>
  <c r="CD59" i="24"/>
  <c r="CD61" i="24"/>
  <c r="CL61" i="24"/>
  <c r="CD63" i="24"/>
  <c r="CL63" i="24"/>
  <c r="CL65" i="24"/>
  <c r="CD65" i="24"/>
  <c r="CD67" i="24"/>
  <c r="CL67" i="24"/>
  <c r="CD69" i="24"/>
  <c r="CL69" i="24"/>
  <c r="CL71" i="24"/>
  <c r="CD71" i="24"/>
  <c r="CD73" i="24"/>
  <c r="CL73" i="24"/>
  <c r="CD75" i="24"/>
  <c r="CL75" i="24"/>
  <c r="CL77" i="24"/>
  <c r="CD77" i="24"/>
  <c r="CD79" i="24"/>
  <c r="CL79" i="24"/>
  <c r="CD81" i="24"/>
  <c r="CL81" i="24"/>
  <c r="CL83" i="24"/>
  <c r="CD83" i="24"/>
  <c r="CD85" i="24"/>
  <c r="CL85" i="24"/>
  <c r="CD87" i="24"/>
  <c r="CL87" i="24"/>
  <c r="CL89" i="24"/>
  <c r="CD89" i="24"/>
  <c r="CD91" i="24"/>
  <c r="CL91" i="24"/>
  <c r="CD93" i="24"/>
  <c r="CL93" i="24"/>
  <c r="W108" i="22"/>
  <c r="BX108" i="22"/>
  <c r="E66" i="19"/>
  <c r="W104" i="22"/>
  <c r="BX104" i="22"/>
  <c r="W110" i="22"/>
  <c r="BX110" i="22"/>
  <c r="W116" i="22"/>
  <c r="BX116" i="22"/>
  <c r="W114" i="22"/>
  <c r="BX114" i="22"/>
  <c r="W109" i="22"/>
  <c r="BX109" i="22"/>
  <c r="D142" i="19"/>
  <c r="W105" i="22"/>
  <c r="BX105" i="22"/>
  <c r="W111" i="22"/>
  <c r="BX111" i="22"/>
  <c r="W117" i="22"/>
  <c r="BX117" i="22"/>
  <c r="W103" i="22"/>
  <c r="BX103" i="22"/>
  <c r="E142" i="19"/>
  <c r="W106" i="22"/>
  <c r="BX106" i="22"/>
  <c r="W112" i="22"/>
  <c r="BX112" i="22"/>
  <c r="W115" i="22"/>
  <c r="BX115" i="22"/>
  <c r="C46" i="22"/>
  <c r="W107" i="22"/>
  <c r="BX107" i="22"/>
  <c r="W113" i="22"/>
  <c r="BX113" i="22"/>
  <c r="AF94" i="24"/>
  <c r="C116" i="24"/>
  <c r="F85" i="23"/>
  <c r="C48" i="22"/>
  <c r="E130" i="19"/>
  <c r="D73" i="19"/>
  <c r="D90" i="19"/>
  <c r="C49" i="22"/>
  <c r="C118" i="22"/>
  <c r="C16" i="24"/>
  <c r="F108" i="24"/>
  <c r="D84" i="19"/>
  <c r="C46" i="23"/>
  <c r="E85" i="23"/>
  <c r="E23" i="19"/>
  <c r="E84" i="19"/>
  <c r="D130" i="19"/>
  <c r="F41" i="19"/>
  <c r="E155" i="24"/>
  <c r="F28" i="23"/>
  <c r="C66" i="23"/>
  <c r="E108" i="24"/>
  <c r="E41" i="19"/>
  <c r="C122" i="24"/>
  <c r="D23" i="19"/>
  <c r="D66" i="19"/>
  <c r="E73" i="19"/>
  <c r="C47" i="22"/>
  <c r="D24" i="24"/>
  <c r="F155" i="24"/>
  <c r="D61" i="22"/>
  <c r="E24" i="24"/>
  <c r="C94" i="24"/>
  <c r="AA94" i="24"/>
  <c r="E28" i="23"/>
  <c r="L68" i="22" l="1"/>
  <c r="L71" i="22"/>
  <c r="CD125" i="19"/>
  <c r="CC125" i="19"/>
  <c r="W206" i="24"/>
  <c r="W205" i="24"/>
  <c r="W204" i="24"/>
  <c r="CF19" i="23"/>
  <c r="CJ19" i="23"/>
  <c r="CE19" i="23"/>
  <c r="CK19" i="23"/>
  <c r="CD19" i="23"/>
  <c r="CC19" i="23"/>
  <c r="L72" i="22"/>
  <c r="R20" i="22"/>
  <c r="R19" i="22"/>
  <c r="R34" i="22"/>
  <c r="R33" i="22"/>
  <c r="R24" i="22"/>
  <c r="R29" i="22"/>
  <c r="R21" i="22"/>
  <c r="R31" i="22"/>
  <c r="R27" i="22"/>
  <c r="R26" i="22"/>
  <c r="CC129" i="19"/>
  <c r="CD129" i="19"/>
  <c r="CC127" i="19"/>
  <c r="CD127" i="19"/>
  <c r="CD126" i="19"/>
  <c r="CC126" i="19"/>
  <c r="CC128" i="19"/>
  <c r="CD128" i="19"/>
  <c r="AM128" i="19" s="1"/>
  <c r="CC124" i="19"/>
  <c r="CD124" i="19"/>
  <c r="CC71" i="19"/>
  <c r="CE71" i="19"/>
  <c r="CK72" i="19"/>
  <c r="CC72" i="19"/>
  <c r="CJ72" i="19"/>
  <c r="CI72" i="19"/>
  <c r="CH72" i="19"/>
  <c r="CF72" i="19"/>
  <c r="CE72" i="19"/>
  <c r="CD72" i="19"/>
  <c r="CC63" i="19"/>
  <c r="CD63" i="19"/>
  <c r="CD65" i="19"/>
  <c r="CC65" i="19"/>
  <c r="CC64" i="19"/>
  <c r="CD64" i="19"/>
  <c r="CI58" i="19"/>
  <c r="CC58" i="19"/>
  <c r="CD58" i="19"/>
  <c r="CE30" i="19"/>
  <c r="CC30" i="19"/>
  <c r="CE28" i="19"/>
  <c r="CC28" i="19"/>
  <c r="CE29" i="19"/>
  <c r="CC29" i="19"/>
  <c r="CE36" i="19"/>
  <c r="CC36" i="19"/>
  <c r="CE37" i="19"/>
  <c r="CC37" i="19"/>
  <c r="CE40" i="19"/>
  <c r="CC40" i="19"/>
  <c r="CE31" i="19"/>
  <c r="CC31" i="19"/>
  <c r="CE34" i="19"/>
  <c r="CC34" i="19"/>
  <c r="CE38" i="19"/>
  <c r="CC38" i="19"/>
  <c r="CE33" i="19"/>
  <c r="CC33" i="19"/>
  <c r="CE35" i="19"/>
  <c r="CC35" i="19"/>
  <c r="CE39" i="19"/>
  <c r="CC39" i="19"/>
  <c r="CE32" i="19"/>
  <c r="CC32" i="19"/>
  <c r="R30" i="22"/>
  <c r="L70" i="22"/>
  <c r="L75" i="22"/>
  <c r="R23" i="22"/>
  <c r="L77" i="22"/>
  <c r="R32" i="22"/>
  <c r="L65" i="22"/>
  <c r="L73" i="22"/>
  <c r="R25" i="22"/>
  <c r="CL173" i="24"/>
  <c r="CM173" i="24"/>
  <c r="CE173" i="24"/>
  <c r="CD173" i="24"/>
  <c r="L76" i="22"/>
  <c r="R35" i="22"/>
  <c r="L74" i="22"/>
  <c r="CL174" i="24"/>
  <c r="CM174" i="24"/>
  <c r="CE174" i="24"/>
  <c r="CD174" i="24"/>
  <c r="CM172" i="24"/>
  <c r="CL172" i="24"/>
  <c r="CD172" i="24"/>
  <c r="CE172" i="24"/>
  <c r="L69" i="22"/>
  <c r="L67" i="22"/>
  <c r="R22" i="22"/>
  <c r="R28" i="22"/>
  <c r="R18" i="22"/>
  <c r="CM25" i="23"/>
  <c r="CE25" i="23"/>
  <c r="CD25" i="23"/>
  <c r="O53" i="22"/>
  <c r="Y114" i="24"/>
  <c r="CG102" i="24"/>
  <c r="CL102" i="24"/>
  <c r="CD102" i="24"/>
  <c r="CG101" i="24"/>
  <c r="CL101" i="24"/>
  <c r="CD101" i="24"/>
  <c r="CI127" i="19"/>
  <c r="CG103" i="24"/>
  <c r="CL103" i="24"/>
  <c r="CD103" i="24"/>
  <c r="CI129" i="19"/>
  <c r="N210" i="24"/>
  <c r="CG104" i="24"/>
  <c r="CL104" i="24"/>
  <c r="CD104" i="24"/>
  <c r="CI128" i="19"/>
  <c r="CF12" i="23"/>
  <c r="CE12" i="23"/>
  <c r="CD12" i="23"/>
  <c r="CC12" i="23"/>
  <c r="CG105" i="24"/>
  <c r="CL105" i="24"/>
  <c r="CD105" i="24"/>
  <c r="CG107" i="24"/>
  <c r="CL107" i="24"/>
  <c r="CD107" i="24"/>
  <c r="AS91" i="24"/>
  <c r="AS75" i="24"/>
  <c r="AS67" i="24"/>
  <c r="Y113" i="24"/>
  <c r="Y115" i="24"/>
  <c r="CH126" i="19"/>
  <c r="CI126" i="19"/>
  <c r="CG106" i="24"/>
  <c r="CL106" i="24"/>
  <c r="CD106" i="24"/>
  <c r="CH125" i="19"/>
  <c r="CI125" i="19"/>
  <c r="R17" i="22"/>
  <c r="CG99" i="24"/>
  <c r="CL99" i="24"/>
  <c r="CD99" i="24"/>
  <c r="AM124" i="19"/>
  <c r="CI124" i="19"/>
  <c r="AS93" i="24"/>
  <c r="AS85" i="24"/>
  <c r="AS61" i="24"/>
  <c r="AS37" i="24"/>
  <c r="AS43" i="24"/>
  <c r="AS65" i="24"/>
  <c r="AS81" i="24"/>
  <c r="AS57" i="24"/>
  <c r="AS47" i="24"/>
  <c r="AS89" i="24"/>
  <c r="AS41" i="24"/>
  <c r="AS84" i="24"/>
  <c r="AS60" i="24"/>
  <c r="AS63" i="24"/>
  <c r="R14" i="22"/>
  <c r="AS77" i="24"/>
  <c r="AS53" i="24"/>
  <c r="O57" i="22"/>
  <c r="AS69" i="24"/>
  <c r="AS59" i="24"/>
  <c r="AY22" i="23"/>
  <c r="CM71" i="23"/>
  <c r="CE71" i="23"/>
  <c r="CJ71" i="23"/>
  <c r="CF71" i="23"/>
  <c r="CK71" i="23"/>
  <c r="CC71" i="23"/>
  <c r="CD71" i="23"/>
  <c r="CL71" i="23"/>
  <c r="CM27" i="23"/>
  <c r="CK27" i="23"/>
  <c r="CC27" i="23"/>
  <c r="CL27" i="23"/>
  <c r="CD27" i="23"/>
  <c r="CE27" i="23"/>
  <c r="CF27" i="23"/>
  <c r="CJ27" i="23"/>
  <c r="CL80" i="23"/>
  <c r="CD80" i="23"/>
  <c r="CE80" i="23"/>
  <c r="CJ80" i="23"/>
  <c r="CF80" i="23"/>
  <c r="CK80" i="23"/>
  <c r="CC80" i="23"/>
  <c r="CM80" i="23"/>
  <c r="CM84" i="23"/>
  <c r="CE84" i="23"/>
  <c r="CJ84" i="23"/>
  <c r="CF84" i="23"/>
  <c r="CK84" i="23"/>
  <c r="CC84" i="23"/>
  <c r="CL84" i="23"/>
  <c r="CD84" i="23"/>
  <c r="CM15" i="23"/>
  <c r="CK15" i="23"/>
  <c r="CC15" i="23"/>
  <c r="CL15" i="23"/>
  <c r="CD15" i="23"/>
  <c r="CE15" i="23"/>
  <c r="CF15" i="23"/>
  <c r="CJ15" i="23"/>
  <c r="CF17" i="23"/>
  <c r="CE17" i="23"/>
  <c r="CJ17" i="23"/>
  <c r="CM17" i="23"/>
  <c r="CK17" i="23"/>
  <c r="CC17" i="23"/>
  <c r="CL17" i="23"/>
  <c r="CD17" i="23"/>
  <c r="CM20" i="23"/>
  <c r="CK20" i="23"/>
  <c r="CC20" i="23"/>
  <c r="CL20" i="23"/>
  <c r="CF20" i="23"/>
  <c r="CE20" i="23"/>
  <c r="CJ20" i="23"/>
  <c r="CD20" i="23"/>
  <c r="AS54" i="24"/>
  <c r="AS36" i="24"/>
  <c r="CF82" i="23"/>
  <c r="CK82" i="23"/>
  <c r="CC82" i="23"/>
  <c r="CL82" i="23"/>
  <c r="CD82" i="23"/>
  <c r="CM82" i="23"/>
  <c r="CE82" i="23"/>
  <c r="CJ82" i="23"/>
  <c r="CF77" i="23"/>
  <c r="CK77" i="23"/>
  <c r="CC77" i="23"/>
  <c r="CL77" i="23"/>
  <c r="CD77" i="23"/>
  <c r="CM77" i="23"/>
  <c r="CE77" i="23"/>
  <c r="CJ77" i="23"/>
  <c r="CM21" i="23"/>
  <c r="CK21" i="23"/>
  <c r="CC21" i="23"/>
  <c r="CL21" i="23"/>
  <c r="CD21" i="23"/>
  <c r="CF21" i="23"/>
  <c r="CJ21" i="23"/>
  <c r="CE21" i="23"/>
  <c r="CF23" i="23"/>
  <c r="CE23" i="23"/>
  <c r="CJ23" i="23"/>
  <c r="CM23" i="23"/>
  <c r="CK23" i="23"/>
  <c r="CC23" i="23"/>
  <c r="CD23" i="23"/>
  <c r="CL23" i="23"/>
  <c r="CL81" i="23"/>
  <c r="CD81" i="23"/>
  <c r="CM81" i="23"/>
  <c r="CE81" i="23"/>
  <c r="CJ81" i="23"/>
  <c r="CF81" i="23"/>
  <c r="CK81" i="23"/>
  <c r="CC81" i="23"/>
  <c r="AS45" i="24"/>
  <c r="AS39" i="24"/>
  <c r="AS76" i="24"/>
  <c r="AS70" i="24"/>
  <c r="AS52" i="24"/>
  <c r="CM79" i="23"/>
  <c r="CE79" i="23"/>
  <c r="CJ79" i="23"/>
  <c r="CF79" i="23"/>
  <c r="CK79" i="23"/>
  <c r="CC79" i="23"/>
  <c r="CL79" i="23"/>
  <c r="CD79" i="23"/>
  <c r="CL74" i="23"/>
  <c r="CD74" i="23"/>
  <c r="CM74" i="23"/>
  <c r="CE74" i="23"/>
  <c r="CJ74" i="23"/>
  <c r="CF74" i="23"/>
  <c r="CK74" i="23"/>
  <c r="CC74" i="23"/>
  <c r="CM78" i="23"/>
  <c r="CE78" i="23"/>
  <c r="CJ78" i="23"/>
  <c r="CF78" i="23"/>
  <c r="CK78" i="23"/>
  <c r="CC78" i="23"/>
  <c r="CL78" i="23"/>
  <c r="CD78" i="23"/>
  <c r="CF76" i="23"/>
  <c r="CK76" i="23"/>
  <c r="CC76" i="23"/>
  <c r="CL76" i="23"/>
  <c r="CD76" i="23"/>
  <c r="CM76" i="23"/>
  <c r="CE76" i="23"/>
  <c r="CJ76" i="23"/>
  <c r="CL75" i="23"/>
  <c r="CD75" i="23"/>
  <c r="CM75" i="23"/>
  <c r="CE75" i="23"/>
  <c r="CJ75" i="23"/>
  <c r="CF75" i="23"/>
  <c r="CK75" i="23"/>
  <c r="CC75" i="23"/>
  <c r="CF16" i="23"/>
  <c r="CE16" i="23"/>
  <c r="CJ16" i="23"/>
  <c r="CM16" i="23"/>
  <c r="CK16" i="23"/>
  <c r="CC16" i="23"/>
  <c r="CL16" i="23"/>
  <c r="CD16" i="23"/>
  <c r="AC128" i="24"/>
  <c r="CM73" i="23"/>
  <c r="CE73" i="23"/>
  <c r="CJ73" i="23"/>
  <c r="CF73" i="23"/>
  <c r="CK73" i="23"/>
  <c r="CC73" i="23"/>
  <c r="CL73" i="23"/>
  <c r="CD73" i="23"/>
  <c r="CM14" i="23"/>
  <c r="CK14" i="23"/>
  <c r="CC14" i="23"/>
  <c r="CL14" i="23"/>
  <c r="CD14" i="23"/>
  <c r="CF14" i="23"/>
  <c r="CE14" i="23"/>
  <c r="CJ14" i="23"/>
  <c r="CL24" i="23"/>
  <c r="CD24" i="23"/>
  <c r="CF24" i="23"/>
  <c r="CE24" i="23"/>
  <c r="CJ24" i="23"/>
  <c r="CM24" i="23"/>
  <c r="CK24" i="23"/>
  <c r="CC24" i="23"/>
  <c r="CM26" i="23"/>
  <c r="CK26" i="23"/>
  <c r="CC26" i="23"/>
  <c r="CL26" i="23"/>
  <c r="CD26" i="23"/>
  <c r="CF26" i="23"/>
  <c r="CE26" i="23"/>
  <c r="CJ26" i="23"/>
  <c r="CM72" i="23"/>
  <c r="CE72" i="23"/>
  <c r="CJ72" i="23"/>
  <c r="CK72" i="23"/>
  <c r="CC72" i="23"/>
  <c r="CF72" i="23"/>
  <c r="CL72" i="23"/>
  <c r="CD72" i="23"/>
  <c r="AS73" i="24"/>
  <c r="AS49" i="24"/>
  <c r="AS92" i="24"/>
  <c r="AS80" i="24"/>
  <c r="AS68" i="24"/>
  <c r="AS62" i="24"/>
  <c r="AS44" i="24"/>
  <c r="AS38" i="24"/>
  <c r="CL18" i="23"/>
  <c r="CD18" i="23"/>
  <c r="CF18" i="23"/>
  <c r="CJ18" i="23"/>
  <c r="CE18" i="23"/>
  <c r="CM18" i="23"/>
  <c r="CK18" i="23"/>
  <c r="CC18" i="23"/>
  <c r="CF83" i="23"/>
  <c r="CK83" i="23"/>
  <c r="CC83" i="23"/>
  <c r="CL83" i="23"/>
  <c r="CD83" i="23"/>
  <c r="CE83" i="23"/>
  <c r="CJ83" i="23"/>
  <c r="CM83" i="23"/>
  <c r="CE13" i="23"/>
  <c r="CC13" i="23"/>
  <c r="CD13" i="23"/>
  <c r="CF13" i="23"/>
  <c r="CJ13" i="23"/>
  <c r="CK13" i="23"/>
  <c r="CL13" i="23"/>
  <c r="CM13" i="23"/>
  <c r="CJ12" i="23"/>
  <c r="CL12" i="23"/>
  <c r="CM12" i="23"/>
  <c r="CK12" i="23"/>
  <c r="O60" i="22"/>
  <c r="BX48" i="22"/>
  <c r="C149" i="22" s="1"/>
  <c r="D22" i="18" s="1"/>
  <c r="BR48" i="22"/>
  <c r="AQ48" i="22" s="1"/>
  <c r="O54" i="22"/>
  <c r="AB11" i="24"/>
  <c r="AB14" i="24"/>
  <c r="AC127" i="24"/>
  <c r="AS34" i="24"/>
  <c r="AW100" i="24"/>
  <c r="AC129" i="24"/>
  <c r="O52" i="22"/>
  <c r="CF105" i="24"/>
  <c r="CO105" i="24"/>
  <c r="CN105" i="24"/>
  <c r="CH142" i="24"/>
  <c r="CG142" i="24"/>
  <c r="CO142" i="24"/>
  <c r="CP142" i="24"/>
  <c r="CL142" i="24"/>
  <c r="CD142" i="24"/>
  <c r="CM142" i="24"/>
  <c r="CE142" i="24"/>
  <c r="CN142" i="24"/>
  <c r="CF142" i="24"/>
  <c r="CJ18" i="19"/>
  <c r="CD18" i="19"/>
  <c r="CI18" i="19"/>
  <c r="CC18" i="19"/>
  <c r="CE18" i="19"/>
  <c r="CH18" i="19"/>
  <c r="CF145" i="24"/>
  <c r="CH145" i="24"/>
  <c r="CE145" i="24"/>
  <c r="CP145" i="24"/>
  <c r="CL145" i="24"/>
  <c r="CG145" i="24"/>
  <c r="CD145" i="24"/>
  <c r="CM145" i="24"/>
  <c r="CN145" i="24"/>
  <c r="CO145" i="24"/>
  <c r="CD30" i="19"/>
  <c r="CJ30" i="19"/>
  <c r="CI30" i="19"/>
  <c r="CH30" i="19"/>
  <c r="CO103" i="24"/>
  <c r="CN103" i="24"/>
  <c r="CF103" i="24"/>
  <c r="CD37" i="19"/>
  <c r="CJ37" i="19"/>
  <c r="CI37" i="19"/>
  <c r="CH37" i="19"/>
  <c r="CI21" i="19"/>
  <c r="CC21" i="19"/>
  <c r="CE21" i="19"/>
  <c r="CH21" i="19"/>
  <c r="CJ21" i="19"/>
  <c r="CD21" i="19"/>
  <c r="CD40" i="19"/>
  <c r="CJ40" i="19"/>
  <c r="CI40" i="19"/>
  <c r="CH40" i="19"/>
  <c r="AS88" i="24"/>
  <c r="AS50" i="24"/>
  <c r="AS46" i="24"/>
  <c r="AB12" i="24"/>
  <c r="CE23" i="24"/>
  <c r="CD23" i="24"/>
  <c r="CM23" i="24"/>
  <c r="CL23" i="24"/>
  <c r="CD31" i="19"/>
  <c r="CJ31" i="19"/>
  <c r="CI31" i="19"/>
  <c r="CH31" i="19"/>
  <c r="CI22" i="19"/>
  <c r="CC22" i="19"/>
  <c r="CE22" i="19"/>
  <c r="CH22" i="19"/>
  <c r="CD22" i="19"/>
  <c r="CJ22" i="19"/>
  <c r="CM165" i="24"/>
  <c r="CE165" i="24"/>
  <c r="CD165" i="24"/>
  <c r="CL165" i="24"/>
  <c r="CP150" i="24"/>
  <c r="CM150" i="24"/>
  <c r="CF150" i="24"/>
  <c r="CN150" i="24"/>
  <c r="CO150" i="24"/>
  <c r="CH150" i="24"/>
  <c r="CE150" i="24"/>
  <c r="CL150" i="24"/>
  <c r="CG150" i="24"/>
  <c r="CD150" i="24"/>
  <c r="CG134" i="24"/>
  <c r="CD134" i="24"/>
  <c r="CF134" i="24"/>
  <c r="CN134" i="24"/>
  <c r="CE134" i="24"/>
  <c r="CO134" i="24"/>
  <c r="CP134" i="24"/>
  <c r="CL134" i="24"/>
  <c r="CH134" i="24"/>
  <c r="CM134" i="24"/>
  <c r="CD28" i="19"/>
  <c r="CJ28" i="19"/>
  <c r="CI28" i="19"/>
  <c r="CH28" i="19"/>
  <c r="CI16" i="19"/>
  <c r="CC16" i="19"/>
  <c r="CE16" i="19"/>
  <c r="CH16" i="19"/>
  <c r="CD16" i="19"/>
  <c r="CJ16" i="19"/>
  <c r="CE162" i="24"/>
  <c r="CD162" i="24"/>
  <c r="CL162" i="24"/>
  <c r="CM162" i="24"/>
  <c r="CE21" i="24"/>
  <c r="CD21" i="24"/>
  <c r="CM21" i="24"/>
  <c r="CL21" i="24"/>
  <c r="CE164" i="24"/>
  <c r="CM164" i="24"/>
  <c r="CD164" i="24"/>
  <c r="CL164" i="24"/>
  <c r="CO107" i="24"/>
  <c r="CN107" i="24"/>
  <c r="CF107" i="24"/>
  <c r="CE19" i="19"/>
  <c r="CH19" i="19"/>
  <c r="CJ19" i="19"/>
  <c r="CD19" i="19"/>
  <c r="CI19" i="19"/>
  <c r="CC19" i="19"/>
  <c r="CI15" i="19"/>
  <c r="CC15" i="19"/>
  <c r="CE15" i="19"/>
  <c r="CH15" i="19"/>
  <c r="CJ15" i="19"/>
  <c r="CD15" i="19"/>
  <c r="CE14" i="19"/>
  <c r="CH14" i="19"/>
  <c r="CJ14" i="19"/>
  <c r="CD14" i="19"/>
  <c r="CC14" i="19"/>
  <c r="CI14" i="19"/>
  <c r="R10" i="22"/>
  <c r="R13" i="22"/>
  <c r="R16" i="22"/>
  <c r="AS87" i="24"/>
  <c r="AS71" i="24"/>
  <c r="AS51" i="24"/>
  <c r="AS35" i="24"/>
  <c r="AB15" i="24"/>
  <c r="AS64" i="24"/>
  <c r="AS40" i="24"/>
  <c r="CH136" i="24"/>
  <c r="CN136" i="24"/>
  <c r="CO136" i="24"/>
  <c r="CE136" i="24"/>
  <c r="CD136" i="24"/>
  <c r="CP136" i="24"/>
  <c r="CF136" i="24"/>
  <c r="CL136" i="24"/>
  <c r="CG136" i="24"/>
  <c r="CM136" i="24"/>
  <c r="CG153" i="24"/>
  <c r="CD153" i="24"/>
  <c r="CP153" i="24"/>
  <c r="CL153" i="24"/>
  <c r="CM153" i="24"/>
  <c r="CF153" i="24"/>
  <c r="CN153" i="24"/>
  <c r="CH153" i="24"/>
  <c r="CE153" i="24"/>
  <c r="CO153" i="24"/>
  <c r="CO146" i="24"/>
  <c r="CL146" i="24"/>
  <c r="CP146" i="24"/>
  <c r="CG146" i="24"/>
  <c r="CD146" i="24"/>
  <c r="CM146" i="24"/>
  <c r="CF146" i="24"/>
  <c r="CN146" i="24"/>
  <c r="CH146" i="24"/>
  <c r="CE146" i="24"/>
  <c r="CD140" i="24"/>
  <c r="CH140" i="24"/>
  <c r="CP140" i="24"/>
  <c r="CL140" i="24"/>
  <c r="CM140" i="24"/>
  <c r="CE140" i="24"/>
  <c r="CN140" i="24"/>
  <c r="CF140" i="24"/>
  <c r="CO140" i="24"/>
  <c r="CG140" i="24"/>
  <c r="CD34" i="19"/>
  <c r="CJ34" i="19"/>
  <c r="CI34" i="19"/>
  <c r="CH34" i="19"/>
  <c r="CO99" i="24"/>
  <c r="CN99" i="24"/>
  <c r="CF99" i="24"/>
  <c r="CH139" i="24"/>
  <c r="CO139" i="24"/>
  <c r="CL139" i="24"/>
  <c r="CE139" i="24"/>
  <c r="CF139" i="24"/>
  <c r="CM139" i="24"/>
  <c r="CG139" i="24"/>
  <c r="CN139" i="24"/>
  <c r="CP139" i="24"/>
  <c r="CD139" i="24"/>
  <c r="CE13" i="19"/>
  <c r="CH13" i="19"/>
  <c r="CJ13" i="19"/>
  <c r="CD13" i="19"/>
  <c r="CI13" i="19"/>
  <c r="CC13" i="19"/>
  <c r="CJ17" i="19"/>
  <c r="CD17" i="19"/>
  <c r="CI17" i="19"/>
  <c r="CC17" i="19"/>
  <c r="CE17" i="19"/>
  <c r="CH17" i="19"/>
  <c r="CF149" i="24"/>
  <c r="CH149" i="24"/>
  <c r="CN149" i="24"/>
  <c r="CE149" i="24"/>
  <c r="CO149" i="24"/>
  <c r="CG149" i="24"/>
  <c r="CP149" i="24"/>
  <c r="CD149" i="24"/>
  <c r="CL149" i="24"/>
  <c r="CM149" i="24"/>
  <c r="CF141" i="24"/>
  <c r="CP141" i="24"/>
  <c r="CM141" i="24"/>
  <c r="CE141" i="24"/>
  <c r="CL141" i="24"/>
  <c r="CG141" i="24"/>
  <c r="CH141" i="24"/>
  <c r="CD141" i="24"/>
  <c r="CN141" i="24"/>
  <c r="CO141" i="24"/>
  <c r="CO101" i="24"/>
  <c r="CN101" i="24"/>
  <c r="CF101" i="24"/>
  <c r="CE20" i="19"/>
  <c r="CH20" i="19"/>
  <c r="CJ20" i="19"/>
  <c r="CD20" i="19"/>
  <c r="CI20" i="19"/>
  <c r="CC20" i="19"/>
  <c r="O59" i="22"/>
  <c r="AS83" i="24"/>
  <c r="O56" i="22"/>
  <c r="AS90" i="24"/>
  <c r="AS82" i="24"/>
  <c r="AS78" i="24"/>
  <c r="AS72" i="24"/>
  <c r="AS58" i="24"/>
  <c r="AS48" i="24"/>
  <c r="AS42" i="24"/>
  <c r="Y28" i="24"/>
  <c r="CN154" i="24"/>
  <c r="CE154" i="24"/>
  <c r="CL154" i="24"/>
  <c r="CG154" i="24"/>
  <c r="CM154" i="24"/>
  <c r="CD154" i="24"/>
  <c r="CF154" i="24"/>
  <c r="CO154" i="24"/>
  <c r="CP154" i="24"/>
  <c r="CH154" i="24"/>
  <c r="CN137" i="24"/>
  <c r="CF137" i="24"/>
  <c r="CG137" i="24"/>
  <c r="CD137" i="24"/>
  <c r="CH137" i="24"/>
  <c r="CO137" i="24"/>
  <c r="CP137" i="24"/>
  <c r="CL137" i="24"/>
  <c r="CE137" i="24"/>
  <c r="CM137" i="24"/>
  <c r="CD35" i="19"/>
  <c r="CJ35" i="19"/>
  <c r="CI35" i="19"/>
  <c r="CH35" i="19"/>
  <c r="CH33" i="19"/>
  <c r="CJ33" i="19"/>
  <c r="CI33" i="19"/>
  <c r="CD33" i="19"/>
  <c r="CD22" i="24"/>
  <c r="CM22" i="24"/>
  <c r="CL22" i="24"/>
  <c r="CE22" i="24"/>
  <c r="CD163" i="24"/>
  <c r="CM163" i="24"/>
  <c r="CE163" i="24"/>
  <c r="CL163" i="24"/>
  <c r="CF135" i="24"/>
  <c r="CP135" i="24"/>
  <c r="CM135" i="24"/>
  <c r="CG135" i="24"/>
  <c r="CO135" i="24"/>
  <c r="CH135" i="24"/>
  <c r="CL135" i="24"/>
  <c r="CD135" i="24"/>
  <c r="CE135" i="24"/>
  <c r="CN135" i="24"/>
  <c r="CF138" i="24"/>
  <c r="CD138" i="24"/>
  <c r="CM138" i="24"/>
  <c r="CN138" i="24"/>
  <c r="CE138" i="24"/>
  <c r="CO138" i="24"/>
  <c r="CG138" i="24"/>
  <c r="CP138" i="24"/>
  <c r="CL138" i="24"/>
  <c r="CH138" i="24"/>
  <c r="O58" i="22"/>
  <c r="AS86" i="24"/>
  <c r="AS66" i="24"/>
  <c r="AS56" i="24"/>
  <c r="CM166" i="24"/>
  <c r="CE166" i="24"/>
  <c r="CD166" i="24"/>
  <c r="CL166" i="24"/>
  <c r="CN143" i="24"/>
  <c r="CE143" i="24"/>
  <c r="CO143" i="24"/>
  <c r="CF143" i="24"/>
  <c r="CD143" i="24"/>
  <c r="CP143" i="24"/>
  <c r="CG143" i="24"/>
  <c r="CL143" i="24"/>
  <c r="CH143" i="24"/>
  <c r="CM143" i="24"/>
  <c r="CH151" i="24"/>
  <c r="CE151" i="24"/>
  <c r="CD151" i="24"/>
  <c r="CO151" i="24"/>
  <c r="CF151" i="24"/>
  <c r="CP151" i="24"/>
  <c r="CL151" i="24"/>
  <c r="CM151" i="24"/>
  <c r="CN151" i="24"/>
  <c r="CG151" i="24"/>
  <c r="CD160" i="24"/>
  <c r="CM160" i="24"/>
  <c r="CE160" i="24"/>
  <c r="CL160" i="24"/>
  <c r="CO102" i="24"/>
  <c r="CN102" i="24"/>
  <c r="CF102" i="24"/>
  <c r="CL167" i="24"/>
  <c r="CM167" i="24"/>
  <c r="CE167" i="24"/>
  <c r="CD167" i="24"/>
  <c r="CF106" i="24"/>
  <c r="CO106" i="24"/>
  <c r="CN106" i="24"/>
  <c r="CN148" i="24"/>
  <c r="CH148" i="24"/>
  <c r="CM148" i="24"/>
  <c r="CE148" i="24"/>
  <c r="CG148" i="24"/>
  <c r="CD148" i="24"/>
  <c r="CO148" i="24"/>
  <c r="CP148" i="24"/>
  <c r="CL148" i="24"/>
  <c r="CF148" i="24"/>
  <c r="CD36" i="19"/>
  <c r="CJ36" i="19"/>
  <c r="CI36" i="19"/>
  <c r="CH36" i="19"/>
  <c r="CD38" i="19"/>
  <c r="CJ38" i="19"/>
  <c r="CI38" i="19"/>
  <c r="CH38" i="19"/>
  <c r="CG147" i="24"/>
  <c r="CD147" i="24"/>
  <c r="CE147" i="24"/>
  <c r="CL147" i="24"/>
  <c r="CM147" i="24"/>
  <c r="CN147" i="24"/>
  <c r="CF147" i="24"/>
  <c r="CO147" i="24"/>
  <c r="CP147" i="24"/>
  <c r="CH147" i="24"/>
  <c r="CO152" i="24"/>
  <c r="CL152" i="24"/>
  <c r="CG152" i="24"/>
  <c r="CD152" i="24"/>
  <c r="CP152" i="24"/>
  <c r="CF152" i="24"/>
  <c r="CH152" i="24"/>
  <c r="CM152" i="24"/>
  <c r="CE152" i="24"/>
  <c r="CN152" i="24"/>
  <c r="CF104" i="24"/>
  <c r="CO104" i="24"/>
  <c r="CN104" i="24"/>
  <c r="CL161" i="24"/>
  <c r="CM161" i="24"/>
  <c r="CD161" i="24"/>
  <c r="CE161" i="24"/>
  <c r="CD29" i="19"/>
  <c r="CJ29" i="19"/>
  <c r="CI29" i="19"/>
  <c r="CH29" i="19"/>
  <c r="CH39" i="19"/>
  <c r="CI39" i="19"/>
  <c r="CD39" i="19"/>
  <c r="CJ39" i="19"/>
  <c r="R15" i="22"/>
  <c r="R12" i="22"/>
  <c r="R11" i="22"/>
  <c r="V121" i="24"/>
  <c r="O55" i="22"/>
  <c r="AS79" i="24"/>
  <c r="AS55" i="24"/>
  <c r="AS74" i="24"/>
  <c r="AB13" i="24"/>
  <c r="CI12" i="19"/>
  <c r="CC12" i="19"/>
  <c r="CJ12" i="19"/>
  <c r="CD12" i="19"/>
  <c r="CE12" i="19"/>
  <c r="CH12" i="19"/>
  <c r="CD32" i="19"/>
  <c r="CI32" i="19"/>
  <c r="CJ32" i="19"/>
  <c r="CH32" i="19"/>
  <c r="V120" i="24"/>
  <c r="CH58" i="19"/>
  <c r="B149" i="22"/>
  <c r="E22" i="18" s="1"/>
  <c r="CD50" i="19"/>
  <c r="CC50" i="19"/>
  <c r="CH50" i="19"/>
  <c r="CI50" i="19"/>
  <c r="CD53" i="19"/>
  <c r="CC53" i="19"/>
  <c r="CH53" i="19"/>
  <c r="CI53" i="19"/>
  <c r="CD51" i="19"/>
  <c r="CC51" i="19"/>
  <c r="CH51" i="19"/>
  <c r="CI51" i="19"/>
  <c r="CC49" i="19"/>
  <c r="CH49" i="19"/>
  <c r="CI49" i="19"/>
  <c r="CD49" i="19"/>
  <c r="CH48" i="19"/>
  <c r="CI48" i="19"/>
  <c r="CD48" i="19"/>
  <c r="CC48" i="19"/>
  <c r="C84" i="19"/>
  <c r="CI52" i="19"/>
  <c r="CH52" i="19"/>
  <c r="CC52" i="19"/>
  <c r="CD52" i="19"/>
  <c r="CH46" i="19"/>
  <c r="CC46" i="19"/>
  <c r="CD46" i="19"/>
  <c r="CI46" i="19"/>
  <c r="CJ71" i="19"/>
  <c r="AN71" i="19"/>
  <c r="CI47" i="19"/>
  <c r="CH47" i="19"/>
  <c r="CC47" i="19"/>
  <c r="CD47" i="19"/>
  <c r="AM125" i="19"/>
  <c r="CM107" i="24"/>
  <c r="CE107" i="24"/>
  <c r="CM106" i="24"/>
  <c r="CE106" i="24"/>
  <c r="CM101" i="24"/>
  <c r="CE101" i="24"/>
  <c r="CM105" i="24"/>
  <c r="CE105" i="24"/>
  <c r="CM103" i="24"/>
  <c r="CE103" i="24"/>
  <c r="CM99" i="24"/>
  <c r="CE99" i="24"/>
  <c r="CM102" i="24"/>
  <c r="CE102" i="24"/>
  <c r="CM104" i="24"/>
  <c r="CE104" i="24"/>
  <c r="C66" i="19"/>
  <c r="D85" i="23"/>
  <c r="CH129" i="19"/>
  <c r="CH124" i="19"/>
  <c r="D41" i="19"/>
  <c r="CH63" i="19"/>
  <c r="CI63" i="19"/>
  <c r="CH65" i="19"/>
  <c r="CI65" i="19"/>
  <c r="CI64" i="19"/>
  <c r="CH64" i="19"/>
  <c r="CH128" i="19"/>
  <c r="AM127" i="19"/>
  <c r="CH127" i="19"/>
  <c r="C73" i="19"/>
  <c r="CH71" i="19"/>
  <c r="D155" i="24"/>
  <c r="C23" i="19"/>
  <c r="C130" i="19"/>
  <c r="C142" i="19"/>
  <c r="D108" i="24"/>
  <c r="D28" i="23"/>
  <c r="C24" i="24"/>
  <c r="AK174" i="24" l="1"/>
  <c r="AY19" i="23"/>
  <c r="AM126" i="19"/>
  <c r="AY25" i="23"/>
  <c r="AM129" i="19"/>
  <c r="AK172" i="24"/>
  <c r="AK162" i="24"/>
  <c r="V76" i="23"/>
  <c r="AO20" i="19"/>
  <c r="V82" i="23"/>
  <c r="AN72" i="19"/>
  <c r="V75" i="23"/>
  <c r="V74" i="23"/>
  <c r="AO14" i="19"/>
  <c r="AY20" i="23"/>
  <c r="V84" i="23"/>
  <c r="AY27" i="23"/>
  <c r="V71" i="23"/>
  <c r="AY24" i="23"/>
  <c r="AY16" i="23"/>
  <c r="V78" i="23"/>
  <c r="AP39" i="19"/>
  <c r="AK167" i="24"/>
  <c r="AP33" i="19"/>
  <c r="AY26" i="23"/>
  <c r="V73" i="23"/>
  <c r="AY23" i="23"/>
  <c r="V79" i="23"/>
  <c r="AY15" i="23"/>
  <c r="C240" i="24"/>
  <c r="D29" i="18" s="1"/>
  <c r="AY18" i="23"/>
  <c r="V81" i="23"/>
  <c r="AY17" i="23"/>
  <c r="V72" i="23"/>
  <c r="V80" i="23"/>
  <c r="AT140" i="24"/>
  <c r="AW101" i="24"/>
  <c r="V77" i="23"/>
  <c r="AT149" i="24"/>
  <c r="V83" i="23"/>
  <c r="AY14" i="23"/>
  <c r="AY13" i="23"/>
  <c r="AY12" i="23"/>
  <c r="C130" i="23"/>
  <c r="D28" i="18" s="1"/>
  <c r="AP32" i="19"/>
  <c r="AO13" i="19"/>
  <c r="AT143" i="24"/>
  <c r="AW102" i="24"/>
  <c r="AT146" i="24"/>
  <c r="AW99" i="24"/>
  <c r="AT152" i="24"/>
  <c r="AT147" i="24"/>
  <c r="B240" i="24"/>
  <c r="E29" i="18" s="1"/>
  <c r="AT153" i="24"/>
  <c r="AW106" i="24"/>
  <c r="AT135" i="24"/>
  <c r="AT137" i="24"/>
  <c r="AT139" i="24"/>
  <c r="AT142" i="24"/>
  <c r="AT141" i="24"/>
  <c r="AW107" i="24"/>
  <c r="AT134" i="24"/>
  <c r="AT145" i="24"/>
  <c r="AT148" i="24"/>
  <c r="AT154" i="24"/>
  <c r="AT150" i="24"/>
  <c r="AW105" i="24"/>
  <c r="AY21" i="23"/>
  <c r="AW103" i="24"/>
  <c r="AW104" i="24"/>
  <c r="AT151" i="24"/>
  <c r="AT138" i="24"/>
  <c r="AT136" i="24"/>
  <c r="AK161" i="24"/>
  <c r="AK166" i="24"/>
  <c r="AK165" i="24"/>
  <c r="AK173" i="24"/>
  <c r="N22" i="24"/>
  <c r="N21" i="24"/>
  <c r="AK164" i="24"/>
  <c r="AK163" i="24"/>
  <c r="N23" i="24"/>
  <c r="AK160" i="24"/>
  <c r="B130" i="23"/>
  <c r="E28" i="18" s="1"/>
  <c r="AM58" i="19"/>
  <c r="AP30" i="19"/>
  <c r="AP40" i="19"/>
  <c r="AN51" i="19"/>
  <c r="B215" i="19"/>
  <c r="E19" i="18" s="1"/>
  <c r="AN53" i="19"/>
  <c r="AN49" i="19"/>
  <c r="AP29" i="19"/>
  <c r="AN48" i="19"/>
  <c r="AN50" i="19"/>
  <c r="C215" i="19"/>
  <c r="D19" i="18" s="1"/>
  <c r="AN47" i="19"/>
  <c r="AO19" i="19"/>
  <c r="AO15" i="19"/>
  <c r="AO21" i="19"/>
  <c r="AP35" i="19"/>
  <c r="AP37" i="19"/>
  <c r="AN52" i="19"/>
  <c r="AN46" i="19"/>
  <c r="AP36" i="19"/>
  <c r="AM65" i="19"/>
  <c r="AP28" i="19"/>
  <c r="AO16" i="19"/>
  <c r="AP31" i="19"/>
  <c r="AO12" i="19"/>
  <c r="AP34" i="19"/>
  <c r="AO17" i="19"/>
  <c r="AO18" i="19"/>
  <c r="AO22" i="19"/>
  <c r="AP38" i="19"/>
  <c r="AM64" i="19"/>
  <c r="AM63" i="19"/>
  <c r="AY304" i="13"/>
  <c r="AX304" i="13"/>
  <c r="AW304" i="13"/>
  <c r="AV304" i="13"/>
  <c r="AU304" i="13"/>
  <c r="AQ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AY303" i="13"/>
  <c r="AX303" i="13"/>
  <c r="AW303" i="13"/>
  <c r="AV303" i="13"/>
  <c r="AU303" i="13"/>
  <c r="AQ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AY302" i="13"/>
  <c r="AX302" i="13"/>
  <c r="AW302" i="13"/>
  <c r="AV302" i="13"/>
  <c r="AU302" i="13"/>
  <c r="AQ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AY301" i="13"/>
  <c r="AX301" i="13"/>
  <c r="AW301" i="13"/>
  <c r="AV301" i="13"/>
  <c r="AU301" i="13"/>
  <c r="AQ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AY300" i="13"/>
  <c r="AX300" i="13"/>
  <c r="AW300" i="13"/>
  <c r="AV300" i="13"/>
  <c r="AU300" i="13"/>
  <c r="AT300" i="13"/>
  <c r="AQ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AY299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DD175" i="13"/>
  <c r="DD174" i="13"/>
  <c r="DD173" i="13"/>
  <c r="DD172" i="13"/>
  <c r="DD171" i="13"/>
  <c r="DD170" i="13"/>
  <c r="DD169" i="13"/>
  <c r="DD168" i="13"/>
  <c r="DD167" i="13"/>
  <c r="DD166" i="13"/>
  <c r="DD165" i="13"/>
  <c r="DD162" i="13"/>
  <c r="AY155" i="13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AX141" i="13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CY140" i="13"/>
  <c r="CY139" i="13"/>
  <c r="CY138" i="13"/>
  <c r="CY137" i="13"/>
  <c r="CY136" i="13"/>
  <c r="CY135" i="13"/>
  <c r="CY134" i="13"/>
  <c r="CY133" i="13"/>
  <c r="CY132" i="13"/>
  <c r="CY131" i="13"/>
  <c r="CY130" i="13"/>
  <c r="CY129" i="13"/>
  <c r="CY128" i="13"/>
  <c r="CY127" i="13"/>
  <c r="CY126" i="13"/>
  <c r="CY125" i="13"/>
  <c r="CY124" i="13"/>
  <c r="CY123" i="13"/>
  <c r="CY122" i="13"/>
  <c r="CY121" i="13"/>
  <c r="CY120" i="13"/>
  <c r="CY119" i="13"/>
  <c r="CY118" i="13"/>
  <c r="CY117" i="13"/>
  <c r="CY116" i="13"/>
  <c r="CY115" i="13"/>
  <c r="CY114" i="13"/>
  <c r="CY113" i="13"/>
  <c r="CY112" i="13"/>
  <c r="CY111" i="13"/>
  <c r="CY110" i="13"/>
  <c r="CY109" i="13"/>
  <c r="CY108" i="13"/>
  <c r="CY107" i="13"/>
  <c r="CY106" i="13"/>
  <c r="CY105" i="13"/>
  <c r="CY104" i="13"/>
  <c r="CY103" i="13"/>
  <c r="CY102" i="13"/>
  <c r="CY101" i="13"/>
  <c r="CY100" i="13"/>
  <c r="CY99" i="13"/>
  <c r="CY98" i="13"/>
  <c r="CY97" i="13"/>
  <c r="CY96" i="13"/>
  <c r="CY95" i="13"/>
  <c r="CY94" i="13"/>
  <c r="CY93" i="13"/>
  <c r="CY92" i="13"/>
  <c r="CY91" i="13"/>
  <c r="CY90" i="13"/>
  <c r="CY89" i="13"/>
  <c r="CY88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CY44" i="13"/>
  <c r="CY43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CY19" i="13"/>
  <c r="CZ15" i="13"/>
  <c r="CZ14" i="13"/>
  <c r="CZ13" i="13"/>
  <c r="CZ12" i="13"/>
  <c r="CZ174" i="13" l="1"/>
  <c r="CY174" i="13"/>
  <c r="DB174" i="13"/>
  <c r="DA174" i="13"/>
  <c r="CZ172" i="13"/>
  <c r="CY172" i="13"/>
  <c r="DA172" i="13"/>
  <c r="DB172" i="13"/>
  <c r="CZ175" i="13"/>
  <c r="CY175" i="13"/>
  <c r="DB175" i="13"/>
  <c r="DA175" i="13"/>
  <c r="DB173" i="13"/>
  <c r="DA173" i="13"/>
  <c r="CZ173" i="13"/>
  <c r="CY173" i="13"/>
  <c r="CZ171" i="13"/>
  <c r="CY171" i="13"/>
  <c r="DB171" i="13"/>
  <c r="DA171" i="13"/>
  <c r="DB170" i="13"/>
  <c r="DA170" i="13"/>
  <c r="CZ170" i="13"/>
  <c r="CY170" i="13"/>
  <c r="DB169" i="13"/>
  <c r="DA169" i="13"/>
  <c r="CZ169" i="13"/>
  <c r="CY169" i="13"/>
  <c r="CZ168" i="13"/>
  <c r="CY168" i="13"/>
  <c r="DB168" i="13"/>
  <c r="DA168" i="13"/>
  <c r="DB167" i="13"/>
  <c r="DA167" i="13"/>
  <c r="CZ167" i="13"/>
  <c r="CY167" i="13"/>
  <c r="DA166" i="13"/>
  <c r="CZ166" i="13"/>
  <c r="CY166" i="13"/>
  <c r="DB166" i="13"/>
  <c r="DB165" i="13"/>
  <c r="DA165" i="13"/>
  <c r="CZ165" i="13"/>
  <c r="CY165" i="13"/>
  <c r="CY163" i="13"/>
  <c r="CZ163" i="13"/>
  <c r="DA163" i="13"/>
  <c r="DB163" i="13"/>
  <c r="CY162" i="13"/>
  <c r="CZ162" i="13"/>
  <c r="DA162" i="13"/>
  <c r="DB162" i="13"/>
  <c r="CY161" i="13"/>
  <c r="CZ161" i="13"/>
  <c r="DA161" i="13"/>
  <c r="DB161" i="13"/>
  <c r="DH220" i="13"/>
  <c r="CX220" i="13"/>
  <c r="CX227" i="13"/>
  <c r="DH227" i="13"/>
  <c r="CX231" i="13"/>
  <c r="DH231" i="13"/>
  <c r="DH236" i="13"/>
  <c r="CX236" i="13"/>
  <c r="CX241" i="13"/>
  <c r="DH241" i="13"/>
  <c r="CX262" i="13"/>
  <c r="DH262" i="13"/>
  <c r="DH266" i="13"/>
  <c r="CX266" i="13"/>
  <c r="CX270" i="13"/>
  <c r="DH270" i="13"/>
  <c r="DH274" i="13"/>
  <c r="CX274" i="13"/>
  <c r="CX278" i="13"/>
  <c r="DH278" i="13"/>
  <c r="DH284" i="13"/>
  <c r="CX284" i="13"/>
  <c r="DH288" i="13"/>
  <c r="CX288" i="13"/>
  <c r="CX294" i="13"/>
  <c r="DH294" i="13"/>
  <c r="DH298" i="13"/>
  <c r="CX298" i="13"/>
  <c r="CX221" i="13"/>
  <c r="DH221" i="13"/>
  <c r="DH228" i="13"/>
  <c r="CX228" i="13"/>
  <c r="CX233" i="13"/>
  <c r="DH233" i="13"/>
  <c r="CX237" i="13"/>
  <c r="DH237" i="13"/>
  <c r="DH242" i="13"/>
  <c r="CX242" i="13"/>
  <c r="CX259" i="13"/>
  <c r="DH259" i="13"/>
  <c r="CX263" i="13"/>
  <c r="DH263" i="13"/>
  <c r="CX267" i="13"/>
  <c r="DH267" i="13"/>
  <c r="CX271" i="13"/>
  <c r="DH271" i="13"/>
  <c r="CX273" i="13"/>
  <c r="DH273" i="13"/>
  <c r="CX275" i="13"/>
  <c r="DH275" i="13"/>
  <c r="CX277" i="13"/>
  <c r="DH277" i="13"/>
  <c r="CX281" i="13"/>
  <c r="DH281" i="13"/>
  <c r="CX283" i="13"/>
  <c r="DH283" i="13"/>
  <c r="CX285" i="13"/>
  <c r="DH285" i="13"/>
  <c r="CX287" i="13"/>
  <c r="DH287" i="13"/>
  <c r="CX289" i="13"/>
  <c r="DH289" i="13"/>
  <c r="CX291" i="13"/>
  <c r="DH291" i="13"/>
  <c r="CX293" i="13"/>
  <c r="DH293" i="13"/>
  <c r="CX295" i="13"/>
  <c r="DH295" i="13"/>
  <c r="CX297" i="13"/>
  <c r="DH297" i="13"/>
  <c r="CX222" i="13"/>
  <c r="DH222" i="13"/>
  <c r="DH224" i="13"/>
  <c r="CX224" i="13"/>
  <c r="CX229" i="13"/>
  <c r="DH229" i="13"/>
  <c r="DH234" i="13"/>
  <c r="CX234" i="13"/>
  <c r="CX239" i="13"/>
  <c r="DH239" i="13"/>
  <c r="CX243" i="13"/>
  <c r="DH243" i="13"/>
  <c r="DH258" i="13"/>
  <c r="CX258" i="13"/>
  <c r="DH260" i="13"/>
  <c r="CX260" i="13"/>
  <c r="DH264" i="13"/>
  <c r="CX264" i="13"/>
  <c r="DH268" i="13"/>
  <c r="CX268" i="13"/>
  <c r="DH272" i="13"/>
  <c r="CX272" i="13"/>
  <c r="DH276" i="13"/>
  <c r="CX276" i="13"/>
  <c r="DH280" i="13"/>
  <c r="CX280" i="13"/>
  <c r="DH282" i="13"/>
  <c r="CX282" i="13"/>
  <c r="CX286" i="13"/>
  <c r="DH286" i="13"/>
  <c r="DH290" i="13"/>
  <c r="CX290" i="13"/>
  <c r="DH292" i="13"/>
  <c r="CX292" i="13"/>
  <c r="DH296" i="13"/>
  <c r="CX296" i="13"/>
  <c r="CX223" i="13"/>
  <c r="DH223" i="13"/>
  <c r="CX225" i="13"/>
  <c r="DH225" i="13"/>
  <c r="CX230" i="13"/>
  <c r="DH230" i="13"/>
  <c r="CX235" i="13"/>
  <c r="DH235" i="13"/>
  <c r="DH240" i="13"/>
  <c r="CX240" i="13"/>
  <c r="CX257" i="13"/>
  <c r="DH257" i="13"/>
  <c r="CX261" i="13"/>
  <c r="DH261" i="13"/>
  <c r="CX265" i="13"/>
  <c r="DH265" i="13"/>
  <c r="CX269" i="13"/>
  <c r="DH269" i="13"/>
  <c r="CX279" i="13"/>
  <c r="DH279" i="13"/>
  <c r="DB160" i="13"/>
  <c r="DA160" i="13"/>
  <c r="DJ174" i="13"/>
  <c r="DK174" i="13"/>
  <c r="DL174" i="13"/>
  <c r="DI174" i="13"/>
  <c r="DN174" i="13"/>
  <c r="DL175" i="13"/>
  <c r="DI175" i="13"/>
  <c r="DN175" i="13"/>
  <c r="DJ175" i="13"/>
  <c r="DK175" i="13"/>
  <c r="DL173" i="13"/>
  <c r="DI173" i="13"/>
  <c r="DN173" i="13"/>
  <c r="DJ173" i="13"/>
  <c r="DK173" i="13"/>
  <c r="DK172" i="13"/>
  <c r="DL172" i="13"/>
  <c r="DI172" i="13"/>
  <c r="DM172" i="13"/>
  <c r="DC172" i="13"/>
  <c r="DJ172" i="13"/>
  <c r="DN172" i="13"/>
  <c r="DI171" i="13"/>
  <c r="DN171" i="13"/>
  <c r="DL171" i="13"/>
  <c r="DJ171" i="13"/>
  <c r="DK171" i="13"/>
  <c r="DK165" i="13"/>
  <c r="DN165" i="13"/>
  <c r="DJ165" i="13"/>
  <c r="DM165" i="13"/>
  <c r="DI165" i="13"/>
  <c r="DL165" i="13"/>
  <c r="DC165" i="13"/>
  <c r="DJ166" i="13"/>
  <c r="DN166" i="13"/>
  <c r="DK166" i="13"/>
  <c r="DL166" i="13"/>
  <c r="DI166" i="13"/>
  <c r="DM166" i="13"/>
  <c r="DC166" i="13"/>
  <c r="DJ170" i="13"/>
  <c r="DN170" i="13"/>
  <c r="DK170" i="13"/>
  <c r="DL170" i="13"/>
  <c r="DI170" i="13"/>
  <c r="DM170" i="13"/>
  <c r="DC170" i="13"/>
  <c r="DK167" i="13"/>
  <c r="DL167" i="13"/>
  <c r="DI167" i="13"/>
  <c r="DM167" i="13"/>
  <c r="DC167" i="13"/>
  <c r="DJ167" i="13"/>
  <c r="DN167" i="13"/>
  <c r="DI169" i="13"/>
  <c r="DM169" i="13"/>
  <c r="DC169" i="13"/>
  <c r="DJ169" i="13"/>
  <c r="DN169" i="13"/>
  <c r="DK169" i="13"/>
  <c r="DL169" i="13"/>
  <c r="DL168" i="13"/>
  <c r="DI168" i="13"/>
  <c r="DM168" i="13"/>
  <c r="DC168" i="13"/>
  <c r="DJ168" i="13"/>
  <c r="DN168" i="13"/>
  <c r="DK168" i="13"/>
  <c r="DN162" i="13"/>
  <c r="DI162" i="13"/>
  <c r="DJ162" i="13"/>
  <c r="DK162" i="13"/>
  <c r="DL162" i="13"/>
  <c r="DL163" i="13"/>
  <c r="DI163" i="13"/>
  <c r="DJ163" i="13"/>
  <c r="DK163" i="13"/>
  <c r="DJ161" i="13"/>
  <c r="DN161" i="13"/>
  <c r="DK161" i="13"/>
  <c r="DL161" i="13"/>
  <c r="DD161" i="13"/>
  <c r="DI161" i="13"/>
  <c r="DI160" i="13"/>
  <c r="DL160" i="13"/>
  <c r="CY160" i="13"/>
  <c r="DK160" i="13"/>
  <c r="CZ160" i="13"/>
  <c r="DJ160" i="13"/>
  <c r="DI149" i="13"/>
  <c r="DJ149" i="13"/>
  <c r="CY149" i="13"/>
  <c r="CZ149" i="13"/>
  <c r="DI151" i="13"/>
  <c r="CY151" i="13"/>
  <c r="DJ151" i="13"/>
  <c r="CZ151" i="13"/>
  <c r="DJ148" i="13"/>
  <c r="CY148" i="13"/>
  <c r="CZ148" i="13"/>
  <c r="DI148" i="13"/>
  <c r="CY150" i="13"/>
  <c r="DI150" i="13"/>
  <c r="CZ150" i="13"/>
  <c r="DJ150" i="13"/>
  <c r="DJ152" i="13"/>
  <c r="CY152" i="13"/>
  <c r="CZ152" i="13"/>
  <c r="DI152" i="13"/>
  <c r="CY154" i="13"/>
  <c r="DI154" i="13"/>
  <c r="CZ154" i="13"/>
  <c r="DJ154" i="13"/>
  <c r="DI147" i="13"/>
  <c r="CY147" i="13"/>
  <c r="DJ147" i="13"/>
  <c r="CZ147" i="13"/>
  <c r="DI153" i="13"/>
  <c r="DJ153" i="13"/>
  <c r="CY153" i="13"/>
  <c r="CZ153" i="13"/>
  <c r="CZ61" i="13"/>
  <c r="DI61" i="13"/>
  <c r="DJ61" i="13"/>
  <c r="CY61" i="13"/>
  <c r="DJ62" i="13"/>
  <c r="CY62" i="13"/>
  <c r="CZ62" i="13"/>
  <c r="DI62" i="13"/>
  <c r="DI63" i="13"/>
  <c r="CZ63" i="13"/>
  <c r="DJ63" i="13"/>
  <c r="CY63" i="13"/>
  <c r="DI58" i="13"/>
  <c r="CZ58" i="13"/>
  <c r="DJ58" i="13"/>
  <c r="CY58" i="13"/>
  <c r="CY55" i="13"/>
  <c r="DJ55" i="13"/>
  <c r="DI55" i="13"/>
  <c r="CZ55" i="13"/>
  <c r="CZ59" i="13"/>
  <c r="DJ59" i="13"/>
  <c r="CY59" i="13"/>
  <c r="DI59" i="13"/>
  <c r="DI56" i="13"/>
  <c r="CZ56" i="13"/>
  <c r="DJ56" i="13"/>
  <c r="CY56" i="13"/>
  <c r="CZ57" i="13"/>
  <c r="DJ57" i="13"/>
  <c r="CY57" i="13"/>
  <c r="DI57" i="13"/>
  <c r="DI53" i="13"/>
  <c r="CZ53" i="13"/>
  <c r="DJ53" i="13"/>
  <c r="CY53" i="13"/>
  <c r="DI47" i="13"/>
  <c r="CZ47" i="13"/>
  <c r="DJ47" i="13"/>
  <c r="CY47" i="13"/>
  <c r="DI51" i="13"/>
  <c r="CZ51" i="13"/>
  <c r="DJ51" i="13"/>
  <c r="CY51" i="13"/>
  <c r="CZ48" i="13"/>
  <c r="DJ48" i="13"/>
  <c r="CY48" i="13"/>
  <c r="DI48" i="13"/>
  <c r="CZ52" i="13"/>
  <c r="DJ52" i="13"/>
  <c r="CY52" i="13"/>
  <c r="DI52" i="13"/>
  <c r="DI49" i="13"/>
  <c r="CZ49" i="13"/>
  <c r="CY49" i="13"/>
  <c r="DJ49" i="13"/>
  <c r="CZ50" i="13"/>
  <c r="DJ50" i="13"/>
  <c r="CY50" i="13"/>
  <c r="DI50" i="13"/>
  <c r="CY42" i="13"/>
  <c r="CZ42" i="13"/>
  <c r="CY45" i="13"/>
  <c r="CZ45" i="13"/>
  <c r="CY41" i="13"/>
  <c r="CZ41" i="13"/>
  <c r="DJ41" i="13"/>
  <c r="DI41" i="13"/>
  <c r="CY21" i="13"/>
  <c r="CZ21" i="13"/>
  <c r="CY25" i="13"/>
  <c r="CZ25" i="13"/>
  <c r="CZ29" i="13"/>
  <c r="CY29" i="13"/>
  <c r="CZ31" i="13"/>
  <c r="CY31" i="13"/>
  <c r="CZ35" i="13"/>
  <c r="CY35" i="13"/>
  <c r="CY23" i="13"/>
  <c r="CZ23" i="13"/>
  <c r="CY27" i="13"/>
  <c r="CZ27" i="13"/>
  <c r="CZ33" i="13"/>
  <c r="CY33" i="13"/>
  <c r="CY22" i="13"/>
  <c r="CZ22" i="13"/>
  <c r="CY26" i="13"/>
  <c r="CZ26" i="13"/>
  <c r="CZ30" i="13"/>
  <c r="CY30" i="13"/>
  <c r="CZ34" i="13"/>
  <c r="CY34" i="13"/>
  <c r="CY20" i="13"/>
  <c r="CZ20" i="13"/>
  <c r="CY24" i="13"/>
  <c r="CZ24" i="13"/>
  <c r="CZ28" i="13"/>
  <c r="CY28" i="13"/>
  <c r="CZ32" i="13"/>
  <c r="CY32" i="13"/>
  <c r="DJ23" i="13"/>
  <c r="DI23" i="13"/>
  <c r="DJ35" i="13"/>
  <c r="DI35" i="13"/>
  <c r="DJ25" i="13"/>
  <c r="DI25" i="13"/>
  <c r="DJ29" i="13"/>
  <c r="DI29" i="13"/>
  <c r="DJ33" i="13"/>
  <c r="DI33" i="13"/>
  <c r="DJ20" i="13"/>
  <c r="DI20" i="13"/>
  <c r="DI26" i="13"/>
  <c r="DJ26" i="13"/>
  <c r="DI28" i="13"/>
  <c r="DJ28" i="13"/>
  <c r="DJ34" i="13"/>
  <c r="DI34" i="13"/>
  <c r="DJ21" i="13"/>
  <c r="DI21" i="13"/>
  <c r="DJ27" i="13"/>
  <c r="DI27" i="13"/>
  <c r="DJ31" i="13"/>
  <c r="DI31" i="13"/>
  <c r="DJ22" i="13"/>
  <c r="DI22" i="13"/>
  <c r="DJ24" i="13"/>
  <c r="DI24" i="13"/>
  <c r="DI30" i="13"/>
  <c r="DJ30" i="13"/>
  <c r="DJ32" i="13"/>
  <c r="DI32" i="13"/>
  <c r="DI15" i="13"/>
  <c r="DJ15" i="13"/>
  <c r="CY15" i="13"/>
  <c r="DI14" i="13"/>
  <c r="CY14" i="13"/>
  <c r="DJ14" i="13"/>
  <c r="CX309" i="13"/>
  <c r="CW309" i="13"/>
  <c r="CX219" i="13"/>
  <c r="DH219" i="13"/>
  <c r="DL146" i="13"/>
  <c r="DO146" i="13"/>
  <c r="DN146" i="13"/>
  <c r="DM146" i="13"/>
  <c r="DE146" i="13"/>
  <c r="DB146" i="13"/>
  <c r="DD146" i="13"/>
  <c r="DC146" i="13"/>
  <c r="DJ13" i="13"/>
  <c r="CY13" i="13"/>
  <c r="DI13" i="13"/>
  <c r="DI12" i="13"/>
  <c r="CY12" i="13"/>
  <c r="DJ12" i="13"/>
  <c r="DJ19" i="13"/>
  <c r="DI19" i="13"/>
  <c r="CZ19" i="13"/>
  <c r="DH312" i="13"/>
  <c r="DI312" i="13"/>
  <c r="DH310" i="13"/>
  <c r="DI310" i="13"/>
  <c r="DH313" i="13"/>
  <c r="DI313" i="13"/>
  <c r="DH311" i="13"/>
  <c r="DI311" i="13"/>
  <c r="DH309" i="13"/>
  <c r="DI309" i="13"/>
  <c r="CW312" i="13"/>
  <c r="CX312" i="13"/>
  <c r="CW313" i="13"/>
  <c r="CX313" i="13"/>
  <c r="CW310" i="13"/>
  <c r="CX310" i="13"/>
  <c r="CW311" i="13"/>
  <c r="CX311" i="13"/>
  <c r="DI88" i="13"/>
  <c r="DI92" i="13"/>
  <c r="DI96" i="13"/>
  <c r="DI100" i="13"/>
  <c r="DI104" i="13"/>
  <c r="DI108" i="13"/>
  <c r="DI112" i="13"/>
  <c r="DI116" i="13"/>
  <c r="DI120" i="13"/>
  <c r="DI124" i="13"/>
  <c r="DI128" i="13"/>
  <c r="DI132" i="13"/>
  <c r="DI136" i="13"/>
  <c r="DI140" i="13"/>
  <c r="DI97" i="13"/>
  <c r="DI113" i="13"/>
  <c r="DI121" i="13"/>
  <c r="DI129" i="13"/>
  <c r="DI137" i="13"/>
  <c r="DI89" i="13"/>
  <c r="DI101" i="13"/>
  <c r="DI105" i="13"/>
  <c r="DI117" i="13"/>
  <c r="DI125" i="13"/>
  <c r="DI133" i="13"/>
  <c r="DI93" i="13"/>
  <c r="DI109" i="13"/>
  <c r="DI90" i="13"/>
  <c r="DI94" i="13"/>
  <c r="DI98" i="13"/>
  <c r="DI102" i="13"/>
  <c r="DI106" i="13"/>
  <c r="DI110" i="13"/>
  <c r="DI114" i="13"/>
  <c r="DI118" i="13"/>
  <c r="DI122" i="13"/>
  <c r="DI126" i="13"/>
  <c r="DI130" i="13"/>
  <c r="DI134" i="13"/>
  <c r="DI138" i="13"/>
  <c r="DI91" i="13"/>
  <c r="DI95" i="13"/>
  <c r="DI99" i="13"/>
  <c r="DI103" i="13"/>
  <c r="DI107" i="13"/>
  <c r="DI111" i="13"/>
  <c r="DI115" i="13"/>
  <c r="DI119" i="13"/>
  <c r="DI123" i="13"/>
  <c r="DI127" i="13"/>
  <c r="DI131" i="13"/>
  <c r="DI135" i="13"/>
  <c r="DI139" i="13"/>
  <c r="DF44" i="13"/>
  <c r="DF47" i="13"/>
  <c r="G302" i="13"/>
  <c r="DJ43" i="13"/>
  <c r="CZ43" i="13"/>
  <c r="DI43" i="13"/>
  <c r="DI44" i="13"/>
  <c r="DJ44" i="13"/>
  <c r="CZ44" i="13"/>
  <c r="DJ42" i="13"/>
  <c r="DI42" i="13"/>
  <c r="DI45" i="13"/>
  <c r="DJ45" i="13"/>
  <c r="DF41" i="13"/>
  <c r="F304" i="13"/>
  <c r="G304" i="13"/>
  <c r="DF45" i="13"/>
  <c r="DD193" i="13"/>
  <c r="DD196" i="13"/>
  <c r="CY204" i="13"/>
  <c r="DF49" i="13"/>
  <c r="DD185" i="13"/>
  <c r="DD188" i="13"/>
  <c r="DF61" i="13"/>
  <c r="DF14" i="13"/>
  <c r="DF53" i="13"/>
  <c r="DF59" i="13"/>
  <c r="DF62" i="13"/>
  <c r="F141" i="13"/>
  <c r="DD180" i="13"/>
  <c r="DD183" i="13"/>
  <c r="F300" i="13"/>
  <c r="F36" i="13"/>
  <c r="DF57" i="13"/>
  <c r="DD192" i="13"/>
  <c r="DD195" i="13"/>
  <c r="DD181" i="13"/>
  <c r="G46" i="13"/>
  <c r="DF52" i="13"/>
  <c r="DD184" i="13"/>
  <c r="G141" i="13"/>
  <c r="CY141" i="13" s="1"/>
  <c r="DD190" i="13"/>
  <c r="CY202" i="13"/>
  <c r="G299" i="13"/>
  <c r="F302" i="13"/>
  <c r="DF12" i="13"/>
  <c r="DF58" i="13"/>
  <c r="DD177" i="13"/>
  <c r="DD178" i="13"/>
  <c r="DD186" i="13"/>
  <c r="CY203" i="13"/>
  <c r="F46" i="13"/>
  <c r="F60" i="13"/>
  <c r="F64" i="13"/>
  <c r="F155" i="13"/>
  <c r="DD191" i="13"/>
  <c r="G300" i="13"/>
  <c r="F303" i="13"/>
  <c r="G36" i="13"/>
  <c r="DF42" i="13"/>
  <c r="DF50" i="13"/>
  <c r="G155" i="13"/>
  <c r="F301" i="13"/>
  <c r="G303" i="13"/>
  <c r="DF15" i="13"/>
  <c r="DF48" i="13"/>
  <c r="DF56" i="13"/>
  <c r="DF63" i="13"/>
  <c r="DD179" i="13"/>
  <c r="DD189" i="13"/>
  <c r="DD194" i="13"/>
  <c r="G301" i="13"/>
  <c r="DF13" i="13"/>
  <c r="DF43" i="13"/>
  <c r="G54" i="13"/>
  <c r="DF51" i="13"/>
  <c r="G60" i="13"/>
  <c r="G64" i="13"/>
  <c r="DD182" i="13"/>
  <c r="DD187" i="13"/>
  <c r="CY201" i="13"/>
  <c r="F299" i="13"/>
  <c r="DC19" i="13"/>
  <c r="DF55" i="13"/>
  <c r="F54" i="13"/>
  <c r="CZ259" i="13" l="1"/>
  <c r="DJ259" i="13"/>
  <c r="CY259" i="13"/>
  <c r="DI259" i="13"/>
  <c r="CZ271" i="13"/>
  <c r="DJ271" i="13"/>
  <c r="CY271" i="13"/>
  <c r="DI271" i="13"/>
  <c r="DI249" i="13"/>
  <c r="CZ249" i="13"/>
  <c r="DJ249" i="13"/>
  <c r="CY249" i="13"/>
  <c r="DI224" i="13"/>
  <c r="CZ224" i="13"/>
  <c r="DJ224" i="13"/>
  <c r="CY224" i="13"/>
  <c r="DI290" i="13"/>
  <c r="CZ290" i="13"/>
  <c r="DJ290" i="13"/>
  <c r="CY290" i="13"/>
  <c r="DI266" i="13"/>
  <c r="CZ266" i="13"/>
  <c r="DJ266" i="13"/>
  <c r="CY266" i="13"/>
  <c r="DI254" i="13"/>
  <c r="CZ254" i="13"/>
  <c r="CY254" i="13"/>
  <c r="DJ254" i="13"/>
  <c r="CZ229" i="13"/>
  <c r="DJ229" i="13"/>
  <c r="DI229" i="13"/>
  <c r="CY229" i="13"/>
  <c r="DJ280" i="13"/>
  <c r="CY280" i="13"/>
  <c r="DI280" i="13"/>
  <c r="CZ280" i="13"/>
  <c r="CZ294" i="13"/>
  <c r="DJ294" i="13"/>
  <c r="CY294" i="13"/>
  <c r="DI294" i="13"/>
  <c r="CZ241" i="13"/>
  <c r="DJ241" i="13"/>
  <c r="DI241" i="13"/>
  <c r="CY241" i="13"/>
  <c r="DJ251" i="13"/>
  <c r="CY251" i="13"/>
  <c r="DI251" i="13"/>
  <c r="CZ251" i="13"/>
  <c r="DI273" i="13"/>
  <c r="CZ273" i="13"/>
  <c r="CY273" i="13"/>
  <c r="DJ273" i="13"/>
  <c r="CZ276" i="13"/>
  <c r="DJ276" i="13"/>
  <c r="CY276" i="13"/>
  <c r="DI276" i="13"/>
  <c r="CZ270" i="13"/>
  <c r="DJ270" i="13"/>
  <c r="CY270" i="13"/>
  <c r="DI270" i="13"/>
  <c r="DI255" i="13"/>
  <c r="CZ255" i="13"/>
  <c r="DJ255" i="13"/>
  <c r="CY255" i="13"/>
  <c r="CY227" i="13"/>
  <c r="DJ227" i="13"/>
  <c r="DI227" i="13"/>
  <c r="CZ227" i="13"/>
  <c r="DI248" i="13"/>
  <c r="CZ248" i="13"/>
  <c r="DJ248" i="13"/>
  <c r="CY248" i="13"/>
  <c r="DJ268" i="13"/>
  <c r="CY268" i="13"/>
  <c r="DI268" i="13"/>
  <c r="CZ268" i="13"/>
  <c r="CZ240" i="13"/>
  <c r="DJ240" i="13"/>
  <c r="CY240" i="13"/>
  <c r="DI240" i="13"/>
  <c r="CZ253" i="13"/>
  <c r="DJ253" i="13"/>
  <c r="CY253" i="13"/>
  <c r="DI253" i="13"/>
  <c r="DI272" i="13"/>
  <c r="CZ272" i="13"/>
  <c r="CY272" i="13"/>
  <c r="DJ272" i="13"/>
  <c r="CZ295" i="13"/>
  <c r="DJ295" i="13"/>
  <c r="CY295" i="13"/>
  <c r="DI295" i="13"/>
  <c r="CY275" i="13"/>
  <c r="DJ275" i="13"/>
  <c r="DI275" i="13"/>
  <c r="CZ275" i="13"/>
  <c r="CY257" i="13"/>
  <c r="DJ257" i="13"/>
  <c r="DI257" i="13"/>
  <c r="CZ257" i="13"/>
  <c r="DI297" i="13"/>
  <c r="CY297" i="13"/>
  <c r="CZ297" i="13"/>
  <c r="DJ297" i="13"/>
  <c r="CZ246" i="13"/>
  <c r="DJ246" i="13"/>
  <c r="CY246" i="13"/>
  <c r="DI246" i="13"/>
  <c r="DJ220" i="13"/>
  <c r="CY220" i="13"/>
  <c r="DI220" i="13"/>
  <c r="CZ220" i="13"/>
  <c r="DJ292" i="13"/>
  <c r="CY292" i="13"/>
  <c r="DI292" i="13"/>
  <c r="CZ292" i="13"/>
  <c r="DI243" i="13"/>
  <c r="CZ243" i="13"/>
  <c r="CY243" i="13"/>
  <c r="DJ243" i="13"/>
  <c r="CY287" i="13"/>
  <c r="DJ287" i="13"/>
  <c r="DI287" i="13"/>
  <c r="CZ287" i="13"/>
  <c r="CZ289" i="13"/>
  <c r="DJ289" i="13"/>
  <c r="DI289" i="13"/>
  <c r="CY289" i="13"/>
  <c r="DI231" i="13"/>
  <c r="CZ231" i="13"/>
  <c r="DJ231" i="13"/>
  <c r="CY231" i="13"/>
  <c r="DJ238" i="13"/>
  <c r="CY238" i="13"/>
  <c r="DI238" i="13"/>
  <c r="CZ238" i="13"/>
  <c r="CY263" i="13"/>
  <c r="DJ263" i="13"/>
  <c r="DI263" i="13"/>
  <c r="CZ263" i="13"/>
  <c r="DJ256" i="13"/>
  <c r="CY256" i="13"/>
  <c r="DI256" i="13"/>
  <c r="CZ256" i="13"/>
  <c r="DJ244" i="13"/>
  <c r="CY244" i="13"/>
  <c r="DI244" i="13"/>
  <c r="CZ244" i="13"/>
  <c r="DJ221" i="13"/>
  <c r="CY221" i="13"/>
  <c r="DI221" i="13"/>
  <c r="CZ221" i="13"/>
  <c r="DJ262" i="13"/>
  <c r="CY262" i="13"/>
  <c r="DI262" i="13"/>
  <c r="CZ262" i="13"/>
  <c r="CZ288" i="13"/>
  <c r="DJ288" i="13"/>
  <c r="CY288" i="13"/>
  <c r="DI288" i="13"/>
  <c r="DJ232" i="13"/>
  <c r="CY232" i="13"/>
  <c r="DI232" i="13"/>
  <c r="CZ232" i="13"/>
  <c r="DI267" i="13"/>
  <c r="CZ267" i="13"/>
  <c r="CY267" i="13"/>
  <c r="DJ267" i="13"/>
  <c r="CZ237" i="13"/>
  <c r="DI237" i="13"/>
  <c r="CY237" i="13"/>
  <c r="DJ237" i="13"/>
  <c r="DJ293" i="13"/>
  <c r="CY293" i="13"/>
  <c r="DI293" i="13"/>
  <c r="CZ293" i="13"/>
  <c r="DI260" i="13"/>
  <c r="CZ260" i="13"/>
  <c r="DJ260" i="13"/>
  <c r="CY260" i="13"/>
  <c r="DI291" i="13"/>
  <c r="CZ291" i="13"/>
  <c r="CY291" i="13"/>
  <c r="DJ291" i="13"/>
  <c r="CZ228" i="13"/>
  <c r="DJ228" i="13"/>
  <c r="CY228" i="13"/>
  <c r="DI228" i="13"/>
  <c r="CY219" i="13"/>
  <c r="DJ219" i="13"/>
  <c r="DI219" i="13"/>
  <c r="CZ219" i="13"/>
  <c r="CZ252" i="13"/>
  <c r="DJ252" i="13"/>
  <c r="CY252" i="13"/>
  <c r="DI252" i="13"/>
  <c r="DI279" i="13"/>
  <c r="CZ279" i="13"/>
  <c r="DJ279" i="13"/>
  <c r="CY279" i="13"/>
  <c r="DI242" i="13"/>
  <c r="CZ242" i="13"/>
  <c r="DJ242" i="13"/>
  <c r="CY242" i="13"/>
  <c r="DI230" i="13"/>
  <c r="CZ230" i="13"/>
  <c r="DJ230" i="13"/>
  <c r="CY230" i="13"/>
  <c r="DI296" i="13"/>
  <c r="CZ296" i="13"/>
  <c r="CY296" i="13"/>
  <c r="DJ296" i="13"/>
  <c r="DI236" i="13"/>
  <c r="CZ236" i="13"/>
  <c r="CY236" i="13"/>
  <c r="DJ236" i="13"/>
  <c r="DJ250" i="13"/>
  <c r="CY250" i="13"/>
  <c r="DI250" i="13"/>
  <c r="CZ250" i="13"/>
  <c r="CZ264" i="13"/>
  <c r="DJ264" i="13"/>
  <c r="CY264" i="13"/>
  <c r="DI264" i="13"/>
  <c r="CZ234" i="13"/>
  <c r="DJ234" i="13"/>
  <c r="CY234" i="13"/>
  <c r="DI234" i="13"/>
  <c r="CY245" i="13"/>
  <c r="DJ245" i="13"/>
  <c r="DI245" i="13"/>
  <c r="CZ245" i="13"/>
  <c r="CZ265" i="13"/>
  <c r="DJ265" i="13"/>
  <c r="DI265" i="13"/>
  <c r="CY265" i="13"/>
  <c r="DI278" i="13"/>
  <c r="CZ278" i="13"/>
  <c r="DJ278" i="13"/>
  <c r="CY278" i="13"/>
  <c r="DI284" i="13"/>
  <c r="CZ284" i="13"/>
  <c r="DJ284" i="13"/>
  <c r="CY284" i="13"/>
  <c r="CZ258" i="13"/>
  <c r="DJ258" i="13"/>
  <c r="CY258" i="13"/>
  <c r="DI258" i="13"/>
  <c r="CZ235" i="13"/>
  <c r="DJ235" i="13"/>
  <c r="CY235" i="13"/>
  <c r="DI235" i="13"/>
  <c r="CZ277" i="13"/>
  <c r="DJ277" i="13"/>
  <c r="DI277" i="13"/>
  <c r="CY277" i="13"/>
  <c r="DJ226" i="13"/>
  <c r="CY226" i="13"/>
  <c r="DI226" i="13"/>
  <c r="CZ226" i="13"/>
  <c r="DJ286" i="13"/>
  <c r="CY286" i="13"/>
  <c r="DI286" i="13"/>
  <c r="CZ286" i="13"/>
  <c r="DJ233" i="13"/>
  <c r="CY233" i="13"/>
  <c r="DI233" i="13"/>
  <c r="CZ233" i="13"/>
  <c r="DJ274" i="13"/>
  <c r="CY274" i="13"/>
  <c r="DI274" i="13"/>
  <c r="CZ274" i="13"/>
  <c r="DJ281" i="13"/>
  <c r="CY281" i="13"/>
  <c r="DI281" i="13"/>
  <c r="CZ281" i="13"/>
  <c r="CZ223" i="13"/>
  <c r="CY223" i="13"/>
  <c r="DJ223" i="13"/>
  <c r="DI223" i="13"/>
  <c r="CZ283" i="13"/>
  <c r="DJ283" i="13"/>
  <c r="CY283" i="13"/>
  <c r="DI283" i="13"/>
  <c r="DJ298" i="13"/>
  <c r="CY298" i="13"/>
  <c r="DI298" i="13"/>
  <c r="CZ298" i="13"/>
  <c r="CY239" i="13"/>
  <c r="DJ239" i="13"/>
  <c r="DI239" i="13"/>
  <c r="CZ239" i="13"/>
  <c r="CZ222" i="13"/>
  <c r="DJ222" i="13"/>
  <c r="CY222" i="13"/>
  <c r="DI222" i="13"/>
  <c r="DJ269" i="13"/>
  <c r="CY269" i="13"/>
  <c r="DI269" i="13"/>
  <c r="CZ269" i="13"/>
  <c r="CZ282" i="13"/>
  <c r="DJ282" i="13"/>
  <c r="CY282" i="13"/>
  <c r="DI282" i="13"/>
  <c r="CZ247" i="13"/>
  <c r="DJ247" i="13"/>
  <c r="CY247" i="13"/>
  <c r="DI247" i="13"/>
  <c r="CZ285" i="13"/>
  <c r="DI285" i="13"/>
  <c r="DJ285" i="13"/>
  <c r="CY285" i="13"/>
  <c r="DI261" i="13"/>
  <c r="CZ261" i="13"/>
  <c r="CY261" i="13"/>
  <c r="DJ261" i="13"/>
  <c r="DI225" i="13"/>
  <c r="CZ225" i="13"/>
  <c r="CY225" i="13"/>
  <c r="DJ225" i="13"/>
  <c r="DB191" i="13"/>
  <c r="CY191" i="13"/>
  <c r="DB190" i="13"/>
  <c r="CY190" i="13"/>
  <c r="DB189" i="13"/>
  <c r="CY189" i="13"/>
  <c r="DB188" i="13"/>
  <c r="CY188" i="13"/>
  <c r="CY187" i="13"/>
  <c r="DB187" i="13"/>
  <c r="CZ196" i="13"/>
  <c r="DA196" i="13"/>
  <c r="CY196" i="13"/>
  <c r="DB196" i="13"/>
  <c r="DB195" i="13"/>
  <c r="DA195" i="13"/>
  <c r="CZ195" i="13"/>
  <c r="CY195" i="13"/>
  <c r="CZ193" i="13"/>
  <c r="DB193" i="13"/>
  <c r="CY193" i="13"/>
  <c r="DA193" i="13"/>
  <c r="DB194" i="13"/>
  <c r="CZ194" i="13"/>
  <c r="DA194" i="13"/>
  <c r="CY194" i="13"/>
  <c r="CY192" i="13"/>
  <c r="DB192" i="13"/>
  <c r="DA192" i="13"/>
  <c r="CZ192" i="13"/>
  <c r="DB180" i="13"/>
  <c r="DA180" i="13"/>
  <c r="CZ180" i="13"/>
  <c r="CY180" i="13"/>
  <c r="DB182" i="13"/>
  <c r="DA182" i="13"/>
  <c r="CZ182" i="13"/>
  <c r="CY182" i="13"/>
  <c r="DB179" i="13"/>
  <c r="DA179" i="13"/>
  <c r="CZ179" i="13"/>
  <c r="CY179" i="13"/>
  <c r="DB185" i="13"/>
  <c r="DA185" i="13"/>
  <c r="CZ185" i="13"/>
  <c r="CY185" i="13"/>
  <c r="DB183" i="13"/>
  <c r="DA183" i="13"/>
  <c r="CZ183" i="13"/>
  <c r="CY183" i="13"/>
  <c r="DB186" i="13"/>
  <c r="DA186" i="13"/>
  <c r="CZ186" i="13"/>
  <c r="CY186" i="13"/>
  <c r="CZ184" i="13"/>
  <c r="CY184" i="13"/>
  <c r="DB184" i="13"/>
  <c r="DA184" i="13"/>
  <c r="CZ178" i="13"/>
  <c r="CY178" i="13"/>
  <c r="DB178" i="13"/>
  <c r="DA178" i="13"/>
  <c r="CZ181" i="13"/>
  <c r="CY181" i="13"/>
  <c r="DB181" i="13"/>
  <c r="DA181" i="13"/>
  <c r="CZ177" i="13"/>
  <c r="CY177" i="13"/>
  <c r="DB177" i="13"/>
  <c r="DA177" i="13"/>
  <c r="AY161" i="13"/>
  <c r="DB123" i="13"/>
  <c r="DC123" i="13"/>
  <c r="DD123" i="13"/>
  <c r="DE123" i="13"/>
  <c r="CZ123" i="13"/>
  <c r="DB121" i="13"/>
  <c r="DC121" i="13"/>
  <c r="CZ121" i="13"/>
  <c r="DD121" i="13"/>
  <c r="DE121" i="13"/>
  <c r="CZ119" i="13"/>
  <c r="DB119" i="13"/>
  <c r="DC119" i="13"/>
  <c r="DD119" i="13"/>
  <c r="DE119" i="13"/>
  <c r="DD124" i="13"/>
  <c r="DE124" i="13"/>
  <c r="DB124" i="13"/>
  <c r="CZ124" i="13"/>
  <c r="DC124" i="13"/>
  <c r="DD120" i="13"/>
  <c r="DE120" i="13"/>
  <c r="CZ120" i="13"/>
  <c r="DC120" i="13"/>
  <c r="DB120" i="13"/>
  <c r="DD122" i="13"/>
  <c r="DE122" i="13"/>
  <c r="DC122" i="13"/>
  <c r="CZ122" i="13"/>
  <c r="DB122" i="13"/>
  <c r="CZ125" i="13"/>
  <c r="DB125" i="13"/>
  <c r="DC125" i="13"/>
  <c r="DD125" i="13"/>
  <c r="DE125" i="13"/>
  <c r="DB97" i="13"/>
  <c r="DC97" i="13"/>
  <c r="DD97" i="13"/>
  <c r="DE97" i="13"/>
  <c r="CZ97" i="13"/>
  <c r="DD117" i="13"/>
  <c r="CZ117" i="13"/>
  <c r="DE117" i="13"/>
  <c r="DC117" i="13"/>
  <c r="DB117" i="13"/>
  <c r="DD93" i="13"/>
  <c r="DE93" i="13"/>
  <c r="DC93" i="13"/>
  <c r="DB93" i="13"/>
  <c r="CZ93" i="13"/>
  <c r="DA204" i="13"/>
  <c r="DA203" i="13"/>
  <c r="DA202" i="13"/>
  <c r="AI202" i="13" s="1"/>
  <c r="DK201" i="13"/>
  <c r="DA201" i="13"/>
  <c r="DL201" i="13"/>
  <c r="DN191" i="13"/>
  <c r="DI191" i="13"/>
  <c r="DL191" i="13"/>
  <c r="DM190" i="13"/>
  <c r="DL190" i="13"/>
  <c r="DN190" i="13"/>
  <c r="DI190" i="13"/>
  <c r="DC190" i="13"/>
  <c r="DN189" i="13"/>
  <c r="DI189" i="13"/>
  <c r="DL189" i="13"/>
  <c r="DM188" i="13"/>
  <c r="DC188" i="13"/>
  <c r="DN188" i="13"/>
  <c r="DI188" i="13"/>
  <c r="DL188" i="13"/>
  <c r="DM187" i="13"/>
  <c r="DN187" i="13"/>
  <c r="DC187" i="13"/>
  <c r="DI187" i="13"/>
  <c r="DL187" i="13"/>
  <c r="DK194" i="13"/>
  <c r="DC194" i="13"/>
  <c r="DL194" i="13"/>
  <c r="DI194" i="13"/>
  <c r="DM194" i="13"/>
  <c r="DJ194" i="13"/>
  <c r="DN194" i="13"/>
  <c r="DI196" i="13"/>
  <c r="DJ196" i="13"/>
  <c r="DN196" i="13"/>
  <c r="DK196" i="13"/>
  <c r="DL196" i="13"/>
  <c r="DL195" i="13"/>
  <c r="DI195" i="13"/>
  <c r="DJ195" i="13"/>
  <c r="DN195" i="13"/>
  <c r="DK195" i="13"/>
  <c r="DJ193" i="13"/>
  <c r="DN193" i="13"/>
  <c r="DK193" i="13"/>
  <c r="DC193" i="13"/>
  <c r="DL193" i="13"/>
  <c r="DI193" i="13"/>
  <c r="DM193" i="13"/>
  <c r="DI192" i="13"/>
  <c r="DM192" i="13"/>
  <c r="DJ192" i="13"/>
  <c r="DN192" i="13"/>
  <c r="DK192" i="13"/>
  <c r="DC192" i="13"/>
  <c r="DL192" i="13"/>
  <c r="DJ186" i="13"/>
  <c r="DK186" i="13"/>
  <c r="DL186" i="13"/>
  <c r="DI186" i="13"/>
  <c r="DN186" i="13"/>
  <c r="DI184" i="13"/>
  <c r="DC184" i="13"/>
  <c r="DJ184" i="13"/>
  <c r="DK184" i="13"/>
  <c r="DL184" i="13"/>
  <c r="DM184" i="13"/>
  <c r="DN184" i="13"/>
  <c r="DI183" i="13"/>
  <c r="DN183" i="13"/>
  <c r="DJ183" i="13"/>
  <c r="DK183" i="13"/>
  <c r="DL183" i="13"/>
  <c r="DC182" i="13"/>
  <c r="DJ182" i="13"/>
  <c r="DN182" i="13"/>
  <c r="DK182" i="13"/>
  <c r="DL182" i="13"/>
  <c r="DI182" i="13"/>
  <c r="DM182" i="13"/>
  <c r="DI178" i="13"/>
  <c r="DM178" i="13"/>
  <c r="DJ178" i="13"/>
  <c r="DN178" i="13"/>
  <c r="DK178" i="13"/>
  <c r="DL178" i="13"/>
  <c r="DC178" i="13"/>
  <c r="DJ180" i="13"/>
  <c r="DK180" i="13"/>
  <c r="DL180" i="13"/>
  <c r="DI180" i="13"/>
  <c r="DN180" i="13"/>
  <c r="DJ177" i="13"/>
  <c r="DI177" i="13"/>
  <c r="DL177" i="13"/>
  <c r="DK177" i="13"/>
  <c r="DN177" i="13"/>
  <c r="DC177" i="13"/>
  <c r="DM177" i="13"/>
  <c r="DI179" i="13"/>
  <c r="DM179" i="13"/>
  <c r="DJ179" i="13"/>
  <c r="DN179" i="13"/>
  <c r="DK179" i="13"/>
  <c r="DL179" i="13"/>
  <c r="DC179" i="13"/>
  <c r="DL181" i="13"/>
  <c r="DI181" i="13"/>
  <c r="DJ181" i="13"/>
  <c r="DK181" i="13"/>
  <c r="DN181" i="13"/>
  <c r="DJ185" i="13"/>
  <c r="DK185" i="13"/>
  <c r="DL185" i="13"/>
  <c r="DI185" i="13"/>
  <c r="DN185" i="13"/>
  <c r="AY163" i="13"/>
  <c r="AY162" i="13"/>
  <c r="AY160" i="13"/>
  <c r="DM147" i="13"/>
  <c r="DB147" i="13"/>
  <c r="DL147" i="13"/>
  <c r="DN147" i="13"/>
  <c r="DC147" i="13"/>
  <c r="DO147" i="13"/>
  <c r="DD147" i="13"/>
  <c r="DE147" i="13"/>
  <c r="DM151" i="13"/>
  <c r="DB151" i="13"/>
  <c r="DL151" i="13"/>
  <c r="DN151" i="13"/>
  <c r="DC151" i="13"/>
  <c r="DO151" i="13"/>
  <c r="DD151" i="13"/>
  <c r="DE151" i="13"/>
  <c r="DD148" i="13"/>
  <c r="DM148" i="13"/>
  <c r="DE148" i="13"/>
  <c r="DL148" i="13"/>
  <c r="DN148" i="13"/>
  <c r="DB148" i="13"/>
  <c r="DO148" i="13"/>
  <c r="DC148" i="13"/>
  <c r="DL154" i="13"/>
  <c r="DN154" i="13"/>
  <c r="DD154" i="13"/>
  <c r="DO154" i="13"/>
  <c r="DE154" i="13"/>
  <c r="DB154" i="13"/>
  <c r="DM154" i="13"/>
  <c r="DC154" i="13"/>
  <c r="DD152" i="13"/>
  <c r="DM152" i="13"/>
  <c r="DE152" i="13"/>
  <c r="DL152" i="13"/>
  <c r="DN152" i="13"/>
  <c r="DB152" i="13"/>
  <c r="DO152" i="13"/>
  <c r="DC152" i="13"/>
  <c r="DO153" i="13"/>
  <c r="DB153" i="13"/>
  <c r="DC153" i="13"/>
  <c r="DM153" i="13"/>
  <c r="DD153" i="13"/>
  <c r="DL153" i="13"/>
  <c r="DN153" i="13"/>
  <c r="DE153" i="13"/>
  <c r="DO149" i="13"/>
  <c r="DB149" i="13"/>
  <c r="DC149" i="13"/>
  <c r="DM149" i="13"/>
  <c r="DD149" i="13"/>
  <c r="DL149" i="13"/>
  <c r="DN149" i="13"/>
  <c r="DE149" i="13"/>
  <c r="DL150" i="13"/>
  <c r="DN150" i="13"/>
  <c r="DD150" i="13"/>
  <c r="DO150" i="13"/>
  <c r="DE150" i="13"/>
  <c r="DB150" i="13"/>
  <c r="DM150" i="13"/>
  <c r="DC150" i="13"/>
  <c r="DB129" i="13"/>
  <c r="DD129" i="13"/>
  <c r="DE129" i="13"/>
  <c r="DC129" i="13"/>
  <c r="CZ129" i="13"/>
  <c r="DB138" i="13"/>
  <c r="CZ138" i="13"/>
  <c r="DE138" i="13"/>
  <c r="DC138" i="13"/>
  <c r="DD138" i="13"/>
  <c r="DB135" i="13"/>
  <c r="DD135" i="13"/>
  <c r="DE135" i="13"/>
  <c r="DC135" i="13"/>
  <c r="CZ135" i="13"/>
  <c r="DB136" i="13"/>
  <c r="CZ136" i="13"/>
  <c r="DC136" i="13"/>
  <c r="DD136" i="13"/>
  <c r="DE136" i="13"/>
  <c r="DB134" i="13"/>
  <c r="DC134" i="13"/>
  <c r="DD134" i="13"/>
  <c r="CZ134" i="13"/>
  <c r="DE134" i="13"/>
  <c r="DB140" i="13"/>
  <c r="CZ140" i="13"/>
  <c r="DE140" i="13"/>
  <c r="DC140" i="13"/>
  <c r="DD140" i="13"/>
  <c r="DB130" i="13"/>
  <c r="CZ130" i="13"/>
  <c r="DC130" i="13"/>
  <c r="DD130" i="13"/>
  <c r="DE130" i="13"/>
  <c r="DB132" i="13"/>
  <c r="CZ132" i="13"/>
  <c r="DC132" i="13"/>
  <c r="DD132" i="13"/>
  <c r="DE132" i="13"/>
  <c r="DB139" i="13"/>
  <c r="DD139" i="13"/>
  <c r="CZ139" i="13"/>
  <c r="DC139" i="13"/>
  <c r="DE139" i="13"/>
  <c r="DB137" i="13"/>
  <c r="DD137" i="13"/>
  <c r="DC137" i="13"/>
  <c r="CZ137" i="13"/>
  <c r="DE137" i="13"/>
  <c r="DB131" i="13"/>
  <c r="DD131" i="13"/>
  <c r="DE131" i="13"/>
  <c r="DC131" i="13"/>
  <c r="CZ131" i="13"/>
  <c r="DB133" i="13"/>
  <c r="DD133" i="13"/>
  <c r="DE133" i="13"/>
  <c r="DC133" i="13"/>
  <c r="CZ133" i="13"/>
  <c r="DB126" i="13"/>
  <c r="DC126" i="13"/>
  <c r="DD126" i="13"/>
  <c r="CZ126" i="13"/>
  <c r="DE126" i="13"/>
  <c r="DB128" i="13"/>
  <c r="CZ128" i="13"/>
  <c r="DC128" i="13"/>
  <c r="DD128" i="13"/>
  <c r="DE128" i="13"/>
  <c r="DB127" i="13"/>
  <c r="DD127" i="13"/>
  <c r="DE127" i="13"/>
  <c r="CZ127" i="13"/>
  <c r="DC127" i="13"/>
  <c r="DB118" i="13"/>
  <c r="DE118" i="13"/>
  <c r="CZ118" i="13"/>
  <c r="DC118" i="13"/>
  <c r="DD118" i="13"/>
  <c r="DB111" i="13"/>
  <c r="DD111" i="13"/>
  <c r="CZ111" i="13"/>
  <c r="DC111" i="13"/>
  <c r="DE111" i="13"/>
  <c r="DB112" i="13"/>
  <c r="CZ112" i="13"/>
  <c r="DE112" i="13"/>
  <c r="DC112" i="13"/>
  <c r="DD112" i="13"/>
  <c r="DB105" i="13"/>
  <c r="DC105" i="13"/>
  <c r="CZ105" i="13"/>
  <c r="DD105" i="13"/>
  <c r="DE105" i="13"/>
  <c r="DB110" i="13"/>
  <c r="DE110" i="13"/>
  <c r="DC110" i="13"/>
  <c r="DD110" i="13"/>
  <c r="CZ110" i="13"/>
  <c r="DB106" i="13"/>
  <c r="DD106" i="13"/>
  <c r="CZ106" i="13"/>
  <c r="DE106" i="13"/>
  <c r="DC106" i="13"/>
  <c r="DB98" i="13"/>
  <c r="CZ98" i="13"/>
  <c r="DE98" i="13"/>
  <c r="DC98" i="13"/>
  <c r="DD98" i="13"/>
  <c r="DB100" i="13"/>
  <c r="CZ100" i="13"/>
  <c r="DD100" i="13"/>
  <c r="DE100" i="13"/>
  <c r="DC100" i="13"/>
  <c r="DB104" i="13"/>
  <c r="CZ104" i="13"/>
  <c r="DD104" i="13"/>
  <c r="DE104" i="13"/>
  <c r="DC104" i="13"/>
  <c r="DB114" i="13"/>
  <c r="CZ114" i="13"/>
  <c r="DE114" i="13"/>
  <c r="DC114" i="13"/>
  <c r="DD114" i="13"/>
  <c r="DB107" i="13"/>
  <c r="DD107" i="13"/>
  <c r="DC107" i="13"/>
  <c r="DE107" i="13"/>
  <c r="CZ107" i="13"/>
  <c r="DB115" i="13"/>
  <c r="DD115" i="13"/>
  <c r="DC115" i="13"/>
  <c r="DE115" i="13"/>
  <c r="CZ115" i="13"/>
  <c r="DB113" i="13"/>
  <c r="DD113" i="13"/>
  <c r="DC113" i="13"/>
  <c r="CZ113" i="13"/>
  <c r="DE113" i="13"/>
  <c r="DB99" i="13"/>
  <c r="DD99" i="13"/>
  <c r="DC99" i="13"/>
  <c r="DE99" i="13"/>
  <c r="CZ99" i="13"/>
  <c r="DB103" i="13"/>
  <c r="CZ103" i="13"/>
  <c r="DC103" i="13"/>
  <c r="DD103" i="13"/>
  <c r="DE103" i="13"/>
  <c r="DB101" i="13"/>
  <c r="DC101" i="13"/>
  <c r="CZ101" i="13"/>
  <c r="DD101" i="13"/>
  <c r="DE101" i="13"/>
  <c r="DB109" i="13"/>
  <c r="DD109" i="13"/>
  <c r="DC109" i="13"/>
  <c r="CZ109" i="13"/>
  <c r="DE109" i="13"/>
  <c r="DB108" i="13"/>
  <c r="CZ108" i="13"/>
  <c r="DE108" i="13"/>
  <c r="DC108" i="13"/>
  <c r="DD108" i="13"/>
  <c r="DB116" i="13"/>
  <c r="CZ116" i="13"/>
  <c r="DE116" i="13"/>
  <c r="DC116" i="13"/>
  <c r="DD116" i="13"/>
  <c r="DB102" i="13"/>
  <c r="DD102" i="13"/>
  <c r="DE102" i="13"/>
  <c r="DC102" i="13"/>
  <c r="CZ102" i="13"/>
  <c r="DB96" i="13"/>
  <c r="CZ96" i="13"/>
  <c r="DC96" i="13"/>
  <c r="DD96" i="13"/>
  <c r="DE96" i="13"/>
  <c r="DB94" i="13"/>
  <c r="DD94" i="13"/>
  <c r="DE94" i="13"/>
  <c r="DC94" i="13"/>
  <c r="CZ94" i="13"/>
  <c r="DB95" i="13"/>
  <c r="CZ95" i="13"/>
  <c r="DC95" i="13"/>
  <c r="DD95" i="13"/>
  <c r="DE95" i="13"/>
  <c r="DB91" i="13"/>
  <c r="DC91" i="13"/>
  <c r="CZ91" i="13"/>
  <c r="DE91" i="13"/>
  <c r="DD91" i="13"/>
  <c r="DB90" i="13"/>
  <c r="CZ90" i="13"/>
  <c r="DE90" i="13"/>
  <c r="DC90" i="13"/>
  <c r="DD90" i="13"/>
  <c r="DB92" i="13"/>
  <c r="DE92" i="13"/>
  <c r="DC92" i="13"/>
  <c r="DD92" i="13"/>
  <c r="CZ92" i="13"/>
  <c r="DB88" i="13"/>
  <c r="DE88" i="13"/>
  <c r="DD88" i="13"/>
  <c r="DC88" i="13"/>
  <c r="CZ88" i="13"/>
  <c r="DM61" i="13"/>
  <c r="DB61" i="13"/>
  <c r="DP61" i="13"/>
  <c r="DL61" i="13"/>
  <c r="DE61" i="13"/>
  <c r="DO61" i="13"/>
  <c r="DD61" i="13"/>
  <c r="DN61" i="13"/>
  <c r="DC61" i="13"/>
  <c r="DO62" i="13"/>
  <c r="DD62" i="13"/>
  <c r="DL62" i="13"/>
  <c r="DN62" i="13"/>
  <c r="DC62" i="13"/>
  <c r="DM62" i="13"/>
  <c r="DB62" i="13"/>
  <c r="DP62" i="13"/>
  <c r="DE62" i="13"/>
  <c r="DM63" i="13"/>
  <c r="DB63" i="13"/>
  <c r="DC63" i="13"/>
  <c r="DP63" i="13"/>
  <c r="DL63" i="13"/>
  <c r="DE63" i="13"/>
  <c r="DO63" i="13"/>
  <c r="DD63" i="13"/>
  <c r="DN63" i="13"/>
  <c r="DN56" i="13"/>
  <c r="DC56" i="13"/>
  <c r="DM56" i="13"/>
  <c r="DB56" i="13"/>
  <c r="DP56" i="13"/>
  <c r="DL56" i="13"/>
  <c r="DE56" i="13"/>
  <c r="DO56" i="13"/>
  <c r="DD56" i="13"/>
  <c r="DC55" i="13"/>
  <c r="DP55" i="13"/>
  <c r="DL55" i="13"/>
  <c r="DB55" i="13"/>
  <c r="DO55" i="13"/>
  <c r="DE55" i="13"/>
  <c r="DN55" i="13"/>
  <c r="DD55" i="13"/>
  <c r="DM55" i="13"/>
  <c r="DP59" i="13"/>
  <c r="DL59" i="13"/>
  <c r="DE59" i="13"/>
  <c r="DO59" i="13"/>
  <c r="DD59" i="13"/>
  <c r="DN59" i="13"/>
  <c r="DC59" i="13"/>
  <c r="DM59" i="13"/>
  <c r="DB59" i="13"/>
  <c r="DN58" i="13"/>
  <c r="DC58" i="13"/>
  <c r="DM58" i="13"/>
  <c r="DB58" i="13"/>
  <c r="DP58" i="13"/>
  <c r="DL58" i="13"/>
  <c r="DE58" i="13"/>
  <c r="DO58" i="13"/>
  <c r="DD58" i="13"/>
  <c r="DP57" i="13"/>
  <c r="DL57" i="13"/>
  <c r="DE57" i="13"/>
  <c r="DO57" i="13"/>
  <c r="DD57" i="13"/>
  <c r="DN57" i="13"/>
  <c r="DC57" i="13"/>
  <c r="DM57" i="13"/>
  <c r="DB57" i="13"/>
  <c r="DP48" i="13"/>
  <c r="DL48" i="13"/>
  <c r="DE48" i="13"/>
  <c r="DO48" i="13"/>
  <c r="DD48" i="13"/>
  <c r="DN48" i="13"/>
  <c r="DC48" i="13"/>
  <c r="DM48" i="13"/>
  <c r="DB48" i="13"/>
  <c r="DP52" i="13"/>
  <c r="DL52" i="13"/>
  <c r="DE52" i="13"/>
  <c r="DO52" i="13"/>
  <c r="DD52" i="13"/>
  <c r="DN52" i="13"/>
  <c r="DC52" i="13"/>
  <c r="DM52" i="13"/>
  <c r="DB52" i="13"/>
  <c r="DN53" i="13"/>
  <c r="DC53" i="13"/>
  <c r="DM53" i="13"/>
  <c r="DB53" i="13"/>
  <c r="DP53" i="13"/>
  <c r="DL53" i="13"/>
  <c r="DE53" i="13"/>
  <c r="DO53" i="13"/>
  <c r="DD53" i="13"/>
  <c r="DN49" i="13"/>
  <c r="DC49" i="13"/>
  <c r="DM49" i="13"/>
  <c r="DB49" i="13"/>
  <c r="DP49" i="13"/>
  <c r="DL49" i="13"/>
  <c r="DE49" i="13"/>
  <c r="DO49" i="13"/>
  <c r="DD49" i="13"/>
  <c r="DN47" i="13"/>
  <c r="DC47" i="13"/>
  <c r="DM47" i="13"/>
  <c r="DB47" i="13"/>
  <c r="DP47" i="13"/>
  <c r="DL47" i="13"/>
  <c r="DE47" i="13"/>
  <c r="DO47" i="13"/>
  <c r="DD47" i="13"/>
  <c r="DN51" i="13"/>
  <c r="DC51" i="13"/>
  <c r="DM51" i="13"/>
  <c r="DB51" i="13"/>
  <c r="DP51" i="13"/>
  <c r="DL51" i="13"/>
  <c r="DE51" i="13"/>
  <c r="DO51" i="13"/>
  <c r="DD51" i="13"/>
  <c r="DP50" i="13"/>
  <c r="DL50" i="13"/>
  <c r="DE50" i="13"/>
  <c r="DO50" i="13"/>
  <c r="DD50" i="13"/>
  <c r="DN50" i="13"/>
  <c r="DC50" i="13"/>
  <c r="DM50" i="13"/>
  <c r="DB50" i="13"/>
  <c r="DE42" i="13"/>
  <c r="DO42" i="13"/>
  <c r="DB42" i="13"/>
  <c r="DL42" i="13"/>
  <c r="DP42" i="13"/>
  <c r="DC42" i="13"/>
  <c r="DM42" i="13"/>
  <c r="DD42" i="13"/>
  <c r="DN42" i="13"/>
  <c r="DD43" i="13"/>
  <c r="DN43" i="13"/>
  <c r="DE43" i="13"/>
  <c r="DO43" i="13"/>
  <c r="DB43" i="13"/>
  <c r="DL43" i="13"/>
  <c r="DP43" i="13"/>
  <c r="DC43" i="13"/>
  <c r="DM43" i="13"/>
  <c r="DB45" i="13"/>
  <c r="DL45" i="13"/>
  <c r="DP45" i="13"/>
  <c r="DC45" i="13"/>
  <c r="DM45" i="13"/>
  <c r="DD45" i="13"/>
  <c r="DN45" i="13"/>
  <c r="DE45" i="13"/>
  <c r="DO45" i="13"/>
  <c r="DC44" i="13"/>
  <c r="DM44" i="13"/>
  <c r="DD44" i="13"/>
  <c r="DN44" i="13"/>
  <c r="DE44" i="13"/>
  <c r="DO44" i="13"/>
  <c r="DB44" i="13"/>
  <c r="DL44" i="13"/>
  <c r="DP44" i="13"/>
  <c r="DC31" i="13"/>
  <c r="DD31" i="13"/>
  <c r="DE31" i="13"/>
  <c r="DF31" i="13"/>
  <c r="DC20" i="13"/>
  <c r="DD20" i="13"/>
  <c r="DE20" i="13"/>
  <c r="DF20" i="13"/>
  <c r="DC24" i="13"/>
  <c r="DD24" i="13"/>
  <c r="DE24" i="13"/>
  <c r="DF24" i="13"/>
  <c r="DC28" i="13"/>
  <c r="DD28" i="13"/>
  <c r="DE28" i="13"/>
  <c r="DF28" i="13"/>
  <c r="DC21" i="13"/>
  <c r="DF21" i="13"/>
  <c r="DD21" i="13"/>
  <c r="DE21" i="13"/>
  <c r="DC26" i="13"/>
  <c r="DD26" i="13"/>
  <c r="DE26" i="13"/>
  <c r="DF26" i="13"/>
  <c r="DC35" i="13"/>
  <c r="DE35" i="13"/>
  <c r="DD35" i="13"/>
  <c r="DF35" i="13"/>
  <c r="DC25" i="13"/>
  <c r="DD25" i="13"/>
  <c r="DE25" i="13"/>
  <c r="DF25" i="13"/>
  <c r="DC33" i="13"/>
  <c r="DD33" i="13"/>
  <c r="DE33" i="13"/>
  <c r="DF33" i="13"/>
  <c r="DC23" i="13"/>
  <c r="DF23" i="13"/>
  <c r="DD23" i="13"/>
  <c r="DE23" i="13"/>
  <c r="DC30" i="13"/>
  <c r="DF30" i="13"/>
  <c r="DD30" i="13"/>
  <c r="DE30" i="13"/>
  <c r="DC32" i="13"/>
  <c r="DF32" i="13"/>
  <c r="DD32" i="13"/>
  <c r="DE32" i="13"/>
  <c r="DC22" i="13"/>
  <c r="DF22" i="13"/>
  <c r="DD22" i="13"/>
  <c r="DE22" i="13"/>
  <c r="DC27" i="13"/>
  <c r="DE27" i="13"/>
  <c r="DD27" i="13"/>
  <c r="DF27" i="13"/>
  <c r="DC29" i="13"/>
  <c r="DF29" i="13"/>
  <c r="DD29" i="13"/>
  <c r="DE29" i="13"/>
  <c r="DC34" i="13"/>
  <c r="DF34" i="13"/>
  <c r="DD34" i="13"/>
  <c r="DE34" i="13"/>
  <c r="DM26" i="13"/>
  <c r="DO26" i="13"/>
  <c r="DP26" i="13"/>
  <c r="DN26" i="13"/>
  <c r="DM35" i="13"/>
  <c r="DO35" i="13"/>
  <c r="DN35" i="13"/>
  <c r="DP35" i="13"/>
  <c r="DM33" i="13"/>
  <c r="DO33" i="13"/>
  <c r="DN33" i="13"/>
  <c r="DP33" i="13"/>
  <c r="DM23" i="13"/>
  <c r="DO23" i="13"/>
  <c r="DP23" i="13"/>
  <c r="DN23" i="13"/>
  <c r="DM30" i="13"/>
  <c r="DO30" i="13"/>
  <c r="DP30" i="13"/>
  <c r="DN30" i="13"/>
  <c r="DM32" i="13"/>
  <c r="DP32" i="13"/>
  <c r="DO32" i="13"/>
  <c r="DN32" i="13"/>
  <c r="DM22" i="13"/>
  <c r="DO22" i="13"/>
  <c r="DP22" i="13"/>
  <c r="DN22" i="13"/>
  <c r="DM25" i="13"/>
  <c r="DO25" i="13"/>
  <c r="DP25" i="13"/>
  <c r="DN25" i="13"/>
  <c r="DM27" i="13"/>
  <c r="DP27" i="13"/>
  <c r="DO27" i="13"/>
  <c r="DN27" i="13"/>
  <c r="DM29" i="13"/>
  <c r="DP29" i="13"/>
  <c r="DO29" i="13"/>
  <c r="DN29" i="13"/>
  <c r="DM34" i="13"/>
  <c r="DN34" i="13"/>
  <c r="DP34" i="13"/>
  <c r="DO34" i="13"/>
  <c r="DM31" i="13"/>
  <c r="DO31" i="13"/>
  <c r="DP31" i="13"/>
  <c r="DN31" i="13"/>
  <c r="DM20" i="13"/>
  <c r="DO20" i="13"/>
  <c r="DP20" i="13"/>
  <c r="DN20" i="13"/>
  <c r="DM24" i="13"/>
  <c r="DP24" i="13"/>
  <c r="DO24" i="13"/>
  <c r="DN24" i="13"/>
  <c r="DM28" i="13"/>
  <c r="DO28" i="13"/>
  <c r="DP28" i="13"/>
  <c r="DN28" i="13"/>
  <c r="DM21" i="13"/>
  <c r="DP21" i="13"/>
  <c r="DO21" i="13"/>
  <c r="DN21" i="13"/>
  <c r="DD15" i="13"/>
  <c r="DL15" i="13"/>
  <c r="DP15" i="13"/>
  <c r="DE15" i="13"/>
  <c r="DM15" i="13"/>
  <c r="DB15" i="13"/>
  <c r="DN15" i="13"/>
  <c r="DC15" i="13"/>
  <c r="DO15" i="13"/>
  <c r="DB14" i="13"/>
  <c r="DO14" i="13"/>
  <c r="DC14" i="13"/>
  <c r="DL14" i="13"/>
  <c r="DD14" i="13"/>
  <c r="DM14" i="13"/>
  <c r="DN14" i="13"/>
  <c r="DP14" i="13"/>
  <c r="DE14" i="13"/>
  <c r="DL219" i="13"/>
  <c r="DM219" i="13"/>
  <c r="DC219" i="13"/>
  <c r="DB219" i="13"/>
  <c r="DC89" i="13"/>
  <c r="DD89" i="13"/>
  <c r="DE89" i="13"/>
  <c r="CZ89" i="13"/>
  <c r="DB89" i="13"/>
  <c r="AZ146" i="13"/>
  <c r="DE41" i="13"/>
  <c r="DO41" i="13"/>
  <c r="DD41" i="13"/>
  <c r="DL41" i="13"/>
  <c r="DN41" i="13"/>
  <c r="DC41" i="13"/>
  <c r="DM41" i="13"/>
  <c r="DB41" i="13"/>
  <c r="DP41" i="13"/>
  <c r="DO12" i="13"/>
  <c r="DE12" i="13"/>
  <c r="DN12" i="13"/>
  <c r="DD12" i="13"/>
  <c r="DM12" i="13"/>
  <c r="DL12" i="13"/>
  <c r="DP12" i="13"/>
  <c r="DC12" i="13"/>
  <c r="DB12" i="13"/>
  <c r="DE13" i="13"/>
  <c r="DD13" i="13"/>
  <c r="DL13" i="13"/>
  <c r="DM13" i="13"/>
  <c r="DN13" i="13"/>
  <c r="DO13" i="13"/>
  <c r="DB13" i="13"/>
  <c r="DC13" i="13"/>
  <c r="DP13" i="13"/>
  <c r="DD19" i="13"/>
  <c r="DM19" i="13"/>
  <c r="DP19" i="13"/>
  <c r="DO19" i="13"/>
  <c r="DN19" i="13"/>
  <c r="DF19" i="13"/>
  <c r="DE19" i="13"/>
  <c r="AT311" i="13"/>
  <c r="DM93" i="13"/>
  <c r="AT313" i="13"/>
  <c r="AT312" i="13"/>
  <c r="DM97" i="13"/>
  <c r="AT310" i="13"/>
  <c r="AT309" i="13"/>
  <c r="DJ126" i="13"/>
  <c r="DJ109" i="13"/>
  <c r="DJ118" i="13"/>
  <c r="DJ115" i="13"/>
  <c r="DJ106" i="13"/>
  <c r="DJ124" i="13"/>
  <c r="DJ137" i="13"/>
  <c r="DJ92" i="13"/>
  <c r="DJ96" i="13"/>
  <c r="DJ103" i="13"/>
  <c r="DJ135" i="13"/>
  <c r="DJ101" i="13"/>
  <c r="DJ100" i="13"/>
  <c r="DJ112" i="13"/>
  <c r="DJ134" i="13"/>
  <c r="DJ89" i="13"/>
  <c r="DJ131" i="13"/>
  <c r="DJ90" i="13"/>
  <c r="DJ122" i="13"/>
  <c r="DJ125" i="13"/>
  <c r="DJ97" i="13"/>
  <c r="DJ119" i="13"/>
  <c r="DJ116" i="13"/>
  <c r="DJ117" i="13"/>
  <c r="DJ128" i="13"/>
  <c r="DJ108" i="13"/>
  <c r="DJ111" i="13"/>
  <c r="DJ139" i="13"/>
  <c r="DJ129" i="13"/>
  <c r="DJ113" i="13"/>
  <c r="DJ120" i="13"/>
  <c r="DJ94" i="13"/>
  <c r="DJ98" i="13"/>
  <c r="DJ138" i="13"/>
  <c r="DJ114" i="13"/>
  <c r="DJ107" i="13"/>
  <c r="DJ91" i="13"/>
  <c r="DJ136" i="13"/>
  <c r="DJ105" i="13"/>
  <c r="DJ110" i="13"/>
  <c r="DJ93" i="13"/>
  <c r="DJ133" i="13"/>
  <c r="DJ140" i="13"/>
  <c r="DJ130" i="13"/>
  <c r="DJ104" i="13"/>
  <c r="DJ132" i="13"/>
  <c r="DJ102" i="13"/>
  <c r="DJ123" i="13"/>
  <c r="DJ121" i="13"/>
  <c r="DJ127" i="13"/>
  <c r="DJ95" i="13"/>
  <c r="DJ99" i="13"/>
  <c r="DJ88" i="13"/>
  <c r="AY170" i="13"/>
  <c r="DL203" i="13"/>
  <c r="AY171" i="13"/>
  <c r="AY175" i="13"/>
  <c r="DL204" i="13"/>
  <c r="DL202" i="13"/>
  <c r="AY167" i="13"/>
  <c r="AY168" i="13"/>
  <c r="AY173" i="13"/>
  <c r="AY166" i="13"/>
  <c r="AY165" i="13"/>
  <c r="AY169" i="13"/>
  <c r="AY174" i="13"/>
  <c r="AY172" i="13"/>
  <c r="DN139" i="13"/>
  <c r="DO139" i="13"/>
  <c r="DL139" i="13"/>
  <c r="DM139" i="13"/>
  <c r="DN113" i="13"/>
  <c r="DO113" i="13"/>
  <c r="DL113" i="13"/>
  <c r="DM113" i="13"/>
  <c r="DM98" i="13"/>
  <c r="DN98" i="13"/>
  <c r="DO98" i="13"/>
  <c r="DL98" i="13"/>
  <c r="DN138" i="13"/>
  <c r="DO138" i="13"/>
  <c r="DL138" i="13"/>
  <c r="DM138" i="13"/>
  <c r="DL117" i="13"/>
  <c r="DM117" i="13"/>
  <c r="DN117" i="13"/>
  <c r="DO117" i="13"/>
  <c r="DO100" i="13"/>
  <c r="DL100" i="13"/>
  <c r="DM100" i="13"/>
  <c r="DN100" i="13"/>
  <c r="DO112" i="13"/>
  <c r="DL112" i="13"/>
  <c r="DM112" i="13"/>
  <c r="DN112" i="13"/>
  <c r="DL105" i="13"/>
  <c r="DM105" i="13"/>
  <c r="DN105" i="13"/>
  <c r="DO105" i="13"/>
  <c r="DM116" i="13"/>
  <c r="DN116" i="13"/>
  <c r="DO116" i="13"/>
  <c r="DL116" i="13"/>
  <c r="DN89" i="13"/>
  <c r="DO89" i="13"/>
  <c r="DL89" i="13"/>
  <c r="DM89" i="13"/>
  <c r="DN132" i="13"/>
  <c r="DO132" i="13"/>
  <c r="DL132" i="13"/>
  <c r="DM132" i="13"/>
  <c r="DN120" i="13"/>
  <c r="DO120" i="13"/>
  <c r="DL120" i="13"/>
  <c r="DM120" i="13"/>
  <c r="DL88" i="13"/>
  <c r="DM88" i="13"/>
  <c r="DN88" i="13"/>
  <c r="DO88" i="13"/>
  <c r="DN114" i="13"/>
  <c r="DO114" i="13"/>
  <c r="DL114" i="13"/>
  <c r="DM114" i="13"/>
  <c r="DL93" i="13"/>
  <c r="DN93" i="13"/>
  <c r="DO93" i="13"/>
  <c r="DN133" i="13"/>
  <c r="DO133" i="13"/>
  <c r="DL133" i="13"/>
  <c r="DM133" i="13"/>
  <c r="DN108" i="13"/>
  <c r="DO108" i="13"/>
  <c r="DL108" i="13"/>
  <c r="DM108" i="13"/>
  <c r="DO136" i="13"/>
  <c r="DL136" i="13"/>
  <c r="DM136" i="13"/>
  <c r="DN136" i="13"/>
  <c r="DM110" i="13"/>
  <c r="DN110" i="13"/>
  <c r="DO110" i="13"/>
  <c r="DL110" i="13"/>
  <c r="DN102" i="13"/>
  <c r="DO102" i="13"/>
  <c r="DL102" i="13"/>
  <c r="DM102" i="13"/>
  <c r="DN107" i="13"/>
  <c r="DO107" i="13"/>
  <c r="DL107" i="13"/>
  <c r="DM107" i="13"/>
  <c r="DM140" i="13"/>
  <c r="DN140" i="13"/>
  <c r="DO140" i="13"/>
  <c r="DL140" i="13"/>
  <c r="DN125" i="13"/>
  <c r="DO125" i="13"/>
  <c r="DL125" i="13"/>
  <c r="DM125" i="13"/>
  <c r="DN97" i="13"/>
  <c r="DO97" i="13"/>
  <c r="DL97" i="13"/>
  <c r="DL123" i="13"/>
  <c r="DM123" i="13"/>
  <c r="DN123" i="13"/>
  <c r="DO123" i="13"/>
  <c r="DN121" i="13"/>
  <c r="DO121" i="13"/>
  <c r="DL121" i="13"/>
  <c r="DM121" i="13"/>
  <c r="DN131" i="13"/>
  <c r="DO131" i="13"/>
  <c r="DL131" i="13"/>
  <c r="DM131" i="13"/>
  <c r="DO118" i="13"/>
  <c r="DL118" i="13"/>
  <c r="DM118" i="13"/>
  <c r="DN118" i="13"/>
  <c r="DN115" i="13"/>
  <c r="DO115" i="13"/>
  <c r="DL115" i="13"/>
  <c r="DM115" i="13"/>
  <c r="DO94" i="13"/>
  <c r="DL94" i="13"/>
  <c r="DM94" i="13"/>
  <c r="DN94" i="13"/>
  <c r="DO130" i="13"/>
  <c r="DL130" i="13"/>
  <c r="DM130" i="13"/>
  <c r="DN130" i="13"/>
  <c r="DN137" i="13"/>
  <c r="DO137" i="13"/>
  <c r="DL137" i="13"/>
  <c r="DM137" i="13"/>
  <c r="DM104" i="13"/>
  <c r="DN104" i="13"/>
  <c r="DO104" i="13"/>
  <c r="DL104" i="13"/>
  <c r="DL99" i="13"/>
  <c r="DM99" i="13"/>
  <c r="DN99" i="13"/>
  <c r="DO99" i="13"/>
  <c r="DN126" i="13"/>
  <c r="DO126" i="13"/>
  <c r="DL126" i="13"/>
  <c r="DM126" i="13"/>
  <c r="DN103" i="13"/>
  <c r="DO103" i="13"/>
  <c r="DL103" i="13"/>
  <c r="DM103" i="13"/>
  <c r="DL135" i="13"/>
  <c r="DM135" i="13"/>
  <c r="DN135" i="13"/>
  <c r="DO135" i="13"/>
  <c r="DN101" i="13"/>
  <c r="DO101" i="13"/>
  <c r="DL101" i="13"/>
  <c r="DM101" i="13"/>
  <c r="DN109" i="13"/>
  <c r="DO109" i="13"/>
  <c r="DL109" i="13"/>
  <c r="DM109" i="13"/>
  <c r="DM128" i="13"/>
  <c r="DN128" i="13"/>
  <c r="DO128" i="13"/>
  <c r="DL128" i="13"/>
  <c r="DM91" i="13"/>
  <c r="DN91" i="13"/>
  <c r="DO91" i="13"/>
  <c r="DL91" i="13"/>
  <c r="DN127" i="13"/>
  <c r="DO127" i="13"/>
  <c r="DL127" i="13"/>
  <c r="DM127" i="13"/>
  <c r="DM134" i="13"/>
  <c r="DN134" i="13"/>
  <c r="DO134" i="13"/>
  <c r="DL134" i="13"/>
  <c r="DN95" i="13"/>
  <c r="DO95" i="13"/>
  <c r="DL95" i="13"/>
  <c r="DM95" i="13"/>
  <c r="DN96" i="13"/>
  <c r="DO96" i="13"/>
  <c r="DL96" i="13"/>
  <c r="DM96" i="13"/>
  <c r="DL111" i="13"/>
  <c r="DM111" i="13"/>
  <c r="DN111" i="13"/>
  <c r="DO111" i="13"/>
  <c r="DM90" i="13"/>
  <c r="DN90" i="13"/>
  <c r="DO90" i="13"/>
  <c r="DL90" i="13"/>
  <c r="DM122" i="13"/>
  <c r="DN122" i="13"/>
  <c r="DO122" i="13"/>
  <c r="DL122" i="13"/>
  <c r="DO106" i="13"/>
  <c r="DL106" i="13"/>
  <c r="DM106" i="13"/>
  <c r="DN106" i="13"/>
  <c r="DO124" i="13"/>
  <c r="DL124" i="13"/>
  <c r="DM124" i="13"/>
  <c r="DN124" i="13"/>
  <c r="DL129" i="13"/>
  <c r="DM129" i="13"/>
  <c r="DN129" i="13"/>
  <c r="DO129" i="13"/>
  <c r="DN119" i="13"/>
  <c r="DO119" i="13"/>
  <c r="DL119" i="13"/>
  <c r="DM119" i="13"/>
  <c r="DM92" i="13"/>
  <c r="DN92" i="13"/>
  <c r="DO92" i="13"/>
  <c r="DL92" i="13"/>
  <c r="DM294" i="13"/>
  <c r="DC294" i="13"/>
  <c r="DM255" i="13"/>
  <c r="DC255" i="13"/>
  <c r="DM248" i="13"/>
  <c r="DC248" i="13"/>
  <c r="DC268" i="13"/>
  <c r="DM268" i="13"/>
  <c r="DM240" i="13"/>
  <c r="DC240" i="13"/>
  <c r="DC280" i="13"/>
  <c r="DM280" i="13"/>
  <c r="DC287" i="13"/>
  <c r="DM287" i="13"/>
  <c r="DM289" i="13"/>
  <c r="DC289" i="13"/>
  <c r="DM231" i="13"/>
  <c r="DC231" i="13"/>
  <c r="DC238" i="13"/>
  <c r="DM238" i="13"/>
  <c r="DC263" i="13"/>
  <c r="DM263" i="13"/>
  <c r="DC256" i="13"/>
  <c r="DM256" i="13"/>
  <c r="DC244" i="13"/>
  <c r="DM244" i="13"/>
  <c r="DC221" i="13"/>
  <c r="DM221" i="13"/>
  <c r="DC262" i="13"/>
  <c r="DM262" i="13"/>
  <c r="DM288" i="13"/>
  <c r="DC288" i="13"/>
  <c r="DC232" i="13"/>
  <c r="DM232" i="13"/>
  <c r="DM267" i="13"/>
  <c r="DC267" i="13"/>
  <c r="DM237" i="13"/>
  <c r="DC237" i="13"/>
  <c r="DB272" i="13"/>
  <c r="DM272" i="13"/>
  <c r="DC272" i="13"/>
  <c r="DM241" i="13"/>
  <c r="DC241" i="13"/>
  <c r="DC251" i="13"/>
  <c r="DM251" i="13"/>
  <c r="DM273" i="13"/>
  <c r="DC273" i="13"/>
  <c r="DC227" i="13"/>
  <c r="DM227" i="13"/>
  <c r="DM242" i="13"/>
  <c r="DC242" i="13"/>
  <c r="DM230" i="13"/>
  <c r="DC230" i="13"/>
  <c r="DM296" i="13"/>
  <c r="DC296" i="13"/>
  <c r="DM236" i="13"/>
  <c r="DC236" i="13"/>
  <c r="DC250" i="13"/>
  <c r="DM250" i="13"/>
  <c r="DM264" i="13"/>
  <c r="DC264" i="13"/>
  <c r="DM234" i="13"/>
  <c r="DC234" i="13"/>
  <c r="DM297" i="13"/>
  <c r="DC297" i="13"/>
  <c r="DL293" i="13"/>
  <c r="DC293" i="13"/>
  <c r="DM293" i="13"/>
  <c r="DM260" i="13"/>
  <c r="DC260" i="13"/>
  <c r="DM270" i="13"/>
  <c r="DC270" i="13"/>
  <c r="DM279" i="13"/>
  <c r="DC279" i="13"/>
  <c r="DM223" i="13"/>
  <c r="DC223" i="13"/>
  <c r="DM283" i="13"/>
  <c r="DC283" i="13"/>
  <c r="DC298" i="13"/>
  <c r="DM298" i="13"/>
  <c r="DC239" i="13"/>
  <c r="DM239" i="13"/>
  <c r="DM222" i="13"/>
  <c r="DC222" i="13"/>
  <c r="DC269" i="13"/>
  <c r="DM269" i="13"/>
  <c r="DM282" i="13"/>
  <c r="DC282" i="13"/>
  <c r="DM247" i="13"/>
  <c r="DC247" i="13"/>
  <c r="DM285" i="13"/>
  <c r="DC285" i="13"/>
  <c r="DM229" i="13"/>
  <c r="DC229" i="13"/>
  <c r="DM261" i="13"/>
  <c r="DC261" i="13"/>
  <c r="DM225" i="13"/>
  <c r="DC225" i="13"/>
  <c r="DB287" i="13"/>
  <c r="DB245" i="13"/>
  <c r="DC245" i="13"/>
  <c r="DM245" i="13"/>
  <c r="DM276" i="13"/>
  <c r="DC276" i="13"/>
  <c r="DC233" i="13"/>
  <c r="DM233" i="13"/>
  <c r="DC274" i="13"/>
  <c r="DM274" i="13"/>
  <c r="DC281" i="13"/>
  <c r="DM281" i="13"/>
  <c r="DM259" i="13"/>
  <c r="DC259" i="13"/>
  <c r="DM271" i="13"/>
  <c r="DC271" i="13"/>
  <c r="DM291" i="13"/>
  <c r="DC291" i="13"/>
  <c r="DM265" i="13"/>
  <c r="DC265" i="13"/>
  <c r="DM295" i="13"/>
  <c r="DC295" i="13"/>
  <c r="DM228" i="13"/>
  <c r="DC228" i="13"/>
  <c r="DC275" i="13"/>
  <c r="DM275" i="13"/>
  <c r="DM249" i="13"/>
  <c r="DC249" i="13"/>
  <c r="DC257" i="13"/>
  <c r="DM257" i="13"/>
  <c r="DM224" i="13"/>
  <c r="DC224" i="13"/>
  <c r="DM252" i="13"/>
  <c r="DC252" i="13"/>
  <c r="DC226" i="13"/>
  <c r="DM226" i="13"/>
  <c r="DC286" i="13"/>
  <c r="DM286" i="13"/>
  <c r="DM246" i="13"/>
  <c r="DC246" i="13"/>
  <c r="DM266" i="13"/>
  <c r="DC266" i="13"/>
  <c r="DM278" i="13"/>
  <c r="DC278" i="13"/>
  <c r="DM284" i="13"/>
  <c r="DC284" i="13"/>
  <c r="DC220" i="13"/>
  <c r="DM220" i="13"/>
  <c r="DC292" i="13"/>
  <c r="DM292" i="13"/>
  <c r="DM258" i="13"/>
  <c r="DC258" i="13"/>
  <c r="DM235" i="13"/>
  <c r="DC235" i="13"/>
  <c r="DM254" i="13"/>
  <c r="DC254" i="13"/>
  <c r="DM277" i="13"/>
  <c r="DC277" i="13"/>
  <c r="DM243" i="13"/>
  <c r="DC243" i="13"/>
  <c r="DM253" i="13"/>
  <c r="DC253" i="13"/>
  <c r="DM290" i="13"/>
  <c r="DC290" i="13"/>
  <c r="DB293" i="13"/>
  <c r="DL245" i="13"/>
  <c r="E155" i="13"/>
  <c r="DL272" i="13"/>
  <c r="DB260" i="13"/>
  <c r="DB290" i="13"/>
  <c r="DL290" i="13"/>
  <c r="DL260" i="13"/>
  <c r="DL287" i="13"/>
  <c r="E46" i="13"/>
  <c r="E302" i="13"/>
  <c r="DB269" i="13"/>
  <c r="DL269" i="13"/>
  <c r="DB286" i="13"/>
  <c r="DL286" i="13"/>
  <c r="DL275" i="13"/>
  <c r="DB275" i="13"/>
  <c r="DL259" i="13"/>
  <c r="DB259" i="13"/>
  <c r="DL281" i="13"/>
  <c r="DB281" i="13"/>
  <c r="DB223" i="13"/>
  <c r="DL223" i="13"/>
  <c r="DL284" i="13"/>
  <c r="DB284" i="13"/>
  <c r="DL220" i="13"/>
  <c r="DB220" i="13"/>
  <c r="DB292" i="13"/>
  <c r="DL292" i="13"/>
  <c r="DB258" i="13"/>
  <c r="DL258" i="13"/>
  <c r="DB235" i="13"/>
  <c r="DL235" i="13"/>
  <c r="DL254" i="13"/>
  <c r="DB254" i="13"/>
  <c r="DB277" i="13"/>
  <c r="DL277" i="13"/>
  <c r="DB243" i="13"/>
  <c r="DL243" i="13"/>
  <c r="DL280" i="13"/>
  <c r="DB280" i="13"/>
  <c r="DB226" i="13"/>
  <c r="DL226" i="13"/>
  <c r="DL239" i="13"/>
  <c r="DB239" i="13"/>
  <c r="DB247" i="13"/>
  <c r="DL247" i="13"/>
  <c r="DL285" i="13"/>
  <c r="DB285" i="13"/>
  <c r="DL263" i="13"/>
  <c r="DB263" i="13"/>
  <c r="DB228" i="13"/>
  <c r="DL228" i="13"/>
  <c r="DL253" i="13"/>
  <c r="DB253" i="13"/>
  <c r="DL246" i="13"/>
  <c r="DB246" i="13"/>
  <c r="DB271" i="13"/>
  <c r="DL271" i="13"/>
  <c r="DB283" i="13"/>
  <c r="DL283" i="13"/>
  <c r="DL276" i="13"/>
  <c r="DB276" i="13"/>
  <c r="DB270" i="13"/>
  <c r="DL270" i="13"/>
  <c r="DL255" i="13"/>
  <c r="DB255" i="13"/>
  <c r="DB227" i="13"/>
  <c r="DL227" i="13"/>
  <c r="DL248" i="13"/>
  <c r="DB248" i="13"/>
  <c r="DL268" i="13"/>
  <c r="DB268" i="13"/>
  <c r="DB240" i="13"/>
  <c r="DL240" i="13"/>
  <c r="DL273" i="13"/>
  <c r="DB273" i="13"/>
  <c r="DL261" i="13"/>
  <c r="DB261" i="13"/>
  <c r="DB274" i="13"/>
  <c r="DL274" i="13"/>
  <c r="DK204" i="13"/>
  <c r="DL241" i="13"/>
  <c r="DB241" i="13"/>
  <c r="DK203" i="13"/>
  <c r="DB244" i="13"/>
  <c r="DL244" i="13"/>
  <c r="DB262" i="13"/>
  <c r="DL262" i="13"/>
  <c r="DL232" i="13"/>
  <c r="DB232" i="13"/>
  <c r="DB279" i="13"/>
  <c r="DL279" i="13"/>
  <c r="DL238" i="13"/>
  <c r="DB238" i="13"/>
  <c r="DL298" i="13"/>
  <c r="DB298" i="13"/>
  <c r="DB222" i="13"/>
  <c r="DL222" i="13"/>
  <c r="DL282" i="13"/>
  <c r="DB282" i="13"/>
  <c r="DL229" i="13"/>
  <c r="DB229" i="13"/>
  <c r="DL225" i="13"/>
  <c r="DB225" i="13"/>
  <c r="DL233" i="13"/>
  <c r="DB233" i="13"/>
  <c r="DB295" i="13"/>
  <c r="DL295" i="13"/>
  <c r="DB249" i="13"/>
  <c r="DL249" i="13"/>
  <c r="DB257" i="13"/>
  <c r="DL257" i="13"/>
  <c r="DL224" i="13"/>
  <c r="DB224" i="13"/>
  <c r="DB252" i="13"/>
  <c r="DL252" i="13"/>
  <c r="DL294" i="13"/>
  <c r="DB294" i="13"/>
  <c r="DL266" i="13"/>
  <c r="DB266" i="13"/>
  <c r="DB291" i="13"/>
  <c r="DL291" i="13"/>
  <c r="DB265" i="13"/>
  <c r="DL265" i="13"/>
  <c r="DB256" i="13"/>
  <c r="DL256" i="13"/>
  <c r="DK202" i="13"/>
  <c r="DB221" i="13"/>
  <c r="DL221" i="13"/>
  <c r="DL288" i="13"/>
  <c r="DB288" i="13"/>
  <c r="DB267" i="13"/>
  <c r="DL267" i="13"/>
  <c r="DL237" i="13"/>
  <c r="DB237" i="13"/>
  <c r="DL289" i="13"/>
  <c r="DB289" i="13"/>
  <c r="DB231" i="13"/>
  <c r="DL231" i="13"/>
  <c r="DL251" i="13"/>
  <c r="DB251" i="13"/>
  <c r="DL278" i="13"/>
  <c r="DB278" i="13"/>
  <c r="DL242" i="13"/>
  <c r="DB242" i="13"/>
  <c r="DL230" i="13"/>
  <c r="DB230" i="13"/>
  <c r="DL296" i="13"/>
  <c r="DB296" i="13"/>
  <c r="DL236" i="13"/>
  <c r="DB236" i="13"/>
  <c r="DB250" i="13"/>
  <c r="DL250" i="13"/>
  <c r="DB264" i="13"/>
  <c r="DL264" i="13"/>
  <c r="DB234" i="13"/>
  <c r="DL234" i="13"/>
  <c r="DL297" i="13"/>
  <c r="DB297" i="13"/>
  <c r="E300" i="13"/>
  <c r="E304" i="13"/>
  <c r="E54" i="13"/>
  <c r="E141" i="13"/>
  <c r="E303" i="13"/>
  <c r="E301" i="13"/>
  <c r="E299" i="13"/>
  <c r="E64" i="13"/>
  <c r="E36" i="13"/>
  <c r="E60" i="13"/>
  <c r="AY99" i="13" l="1"/>
  <c r="C350" i="13"/>
  <c r="D13" i="18" s="1"/>
  <c r="AZ152" i="13"/>
  <c r="AY97" i="13"/>
  <c r="AZ12" i="13"/>
  <c r="AZ31" i="13"/>
  <c r="AZ35" i="13"/>
  <c r="AY122" i="13"/>
  <c r="AY104" i="13"/>
  <c r="AY93" i="13"/>
  <c r="AY126" i="13"/>
  <c r="AY191" i="13"/>
  <c r="AI204" i="13"/>
  <c r="AZ28" i="13"/>
  <c r="AY102" i="13"/>
  <c r="AY140" i="13"/>
  <c r="AY129" i="13"/>
  <c r="AY111" i="13"/>
  <c r="AZ34" i="13"/>
  <c r="AZ58" i="13"/>
  <c r="AZ43" i="13"/>
  <c r="AZ26" i="13"/>
  <c r="AZ49" i="13"/>
  <c r="AZ59" i="13"/>
  <c r="AY123" i="13"/>
  <c r="AY116" i="13"/>
  <c r="AY90" i="13"/>
  <c r="AY91" i="13"/>
  <c r="AY137" i="13"/>
  <c r="AY131" i="13"/>
  <c r="AZ154" i="13"/>
  <c r="AY121" i="13"/>
  <c r="AY118" i="13"/>
  <c r="AI203" i="13"/>
  <c r="AZ148" i="13"/>
  <c r="AZ44" i="13"/>
  <c r="AZ62" i="13"/>
  <c r="AZ56" i="13"/>
  <c r="AY117" i="13"/>
  <c r="AI201" i="13"/>
  <c r="AZ23" i="13"/>
  <c r="AZ48" i="13"/>
  <c r="AY100" i="13"/>
  <c r="AY136" i="13"/>
  <c r="AY110" i="13"/>
  <c r="AZ15" i="13"/>
  <c r="AZ30" i="13"/>
  <c r="AZ55" i="13"/>
  <c r="AZ42" i="13"/>
  <c r="AZ32" i="13"/>
  <c r="AY113" i="13"/>
  <c r="AY139" i="13"/>
  <c r="AY107" i="13"/>
  <c r="AY112" i="13"/>
  <c r="AY124" i="13"/>
  <c r="AY95" i="13"/>
  <c r="AY103" i="13"/>
  <c r="AZ147" i="13"/>
  <c r="AZ52" i="13"/>
  <c r="AY120" i="13"/>
  <c r="AZ21" i="13"/>
  <c r="AY138" i="13"/>
  <c r="AY119" i="13"/>
  <c r="AY108" i="13"/>
  <c r="AY134" i="13"/>
  <c r="AY101" i="13"/>
  <c r="AY115" i="13"/>
  <c r="AZ61" i="13"/>
  <c r="AZ20" i="13"/>
  <c r="AZ45" i="13"/>
  <c r="AZ51" i="13"/>
  <c r="AZ57" i="13"/>
  <c r="AZ53" i="13"/>
  <c r="AY98" i="13"/>
  <c r="AY106" i="13"/>
  <c r="AY128" i="13"/>
  <c r="AZ13" i="13"/>
  <c r="AZ25" i="13"/>
  <c r="AZ29" i="13"/>
  <c r="AZ50" i="13"/>
  <c r="AY125" i="13"/>
  <c r="AY133" i="13"/>
  <c r="AY132" i="13"/>
  <c r="AY105" i="13"/>
  <c r="AY135" i="13"/>
  <c r="AY130" i="13"/>
  <c r="AY96" i="13"/>
  <c r="AZ41" i="13"/>
  <c r="AZ63" i="13"/>
  <c r="AZ149" i="13"/>
  <c r="AZ153" i="13"/>
  <c r="AZ14" i="13"/>
  <c r="AZ33" i="13"/>
  <c r="AZ24" i="13"/>
  <c r="AY92" i="13"/>
  <c r="AY127" i="13"/>
  <c r="AZ22" i="13"/>
  <c r="AZ150" i="13"/>
  <c r="AZ47" i="13"/>
  <c r="AY89" i="13"/>
  <c r="AY109" i="13"/>
  <c r="AY94" i="13"/>
  <c r="AY114" i="13"/>
  <c r="AZ151" i="13"/>
  <c r="AY186" i="13"/>
  <c r="AY183" i="13"/>
  <c r="AY181" i="13"/>
  <c r="AY185" i="13"/>
  <c r="AY179" i="13"/>
  <c r="AY88" i="13"/>
  <c r="AZ27" i="13"/>
  <c r="AZ245" i="13"/>
  <c r="AY194" i="13"/>
  <c r="AY193" i="13"/>
  <c r="AY178" i="13"/>
  <c r="AY190" i="13"/>
  <c r="AY192" i="13"/>
  <c r="AY177" i="13"/>
  <c r="AY188" i="13"/>
  <c r="AY187" i="13"/>
  <c r="AY184" i="13"/>
  <c r="AY196" i="13"/>
  <c r="AY189" i="13"/>
  <c r="AY180" i="13"/>
  <c r="AY195" i="13"/>
  <c r="AY182" i="13"/>
  <c r="AZ290" i="13"/>
  <c r="AZ272" i="13"/>
  <c r="AZ287" i="13"/>
  <c r="AZ260" i="13"/>
  <c r="B350" i="13"/>
  <c r="E13" i="18" s="1"/>
  <c r="AZ293" i="13"/>
  <c r="AZ247" i="13"/>
  <c r="AZ275" i="13"/>
  <c r="AZ246" i="13"/>
  <c r="AZ235" i="13"/>
  <c r="AZ227" i="13"/>
  <c r="AZ264" i="13"/>
  <c r="AZ291" i="13"/>
  <c r="AZ269" i="13"/>
  <c r="AZ236" i="13"/>
  <c r="AZ267" i="13"/>
  <c r="AZ257" i="13"/>
  <c r="AZ282" i="13"/>
  <c r="AZ298" i="13"/>
  <c r="AZ285" i="13"/>
  <c r="AZ243" i="13"/>
  <c r="AZ244" i="13"/>
  <c r="AZ240" i="13"/>
  <c r="AZ234" i="13"/>
  <c r="AZ262" i="13"/>
  <c r="AZ250" i="13"/>
  <c r="AZ296" i="13"/>
  <c r="AZ230" i="13"/>
  <c r="AZ288" i="13"/>
  <c r="AZ256" i="13"/>
  <c r="AZ294" i="13"/>
  <c r="AZ226" i="13"/>
  <c r="AZ223" i="13"/>
  <c r="AZ278" i="13"/>
  <c r="AZ221" i="13"/>
  <c r="AZ266" i="13"/>
  <c r="AZ229" i="13"/>
  <c r="AZ274" i="13"/>
  <c r="AZ255" i="13"/>
  <c r="AZ270" i="13"/>
  <c r="AZ283" i="13"/>
  <c r="AZ271" i="13"/>
  <c r="AZ253" i="13"/>
  <c r="AZ280" i="13"/>
  <c r="AZ277" i="13"/>
  <c r="AZ286" i="13"/>
  <c r="AZ224" i="13"/>
  <c r="AZ254" i="13"/>
  <c r="AZ220" i="13"/>
  <c r="AZ284" i="13"/>
  <c r="AZ259" i="13"/>
  <c r="AZ237" i="13"/>
  <c r="AZ249" i="13"/>
  <c r="AZ232" i="13"/>
  <c r="AZ297" i="13"/>
  <c r="AZ251" i="13"/>
  <c r="AZ289" i="13"/>
  <c r="AZ225" i="13"/>
  <c r="AZ222" i="13"/>
  <c r="AZ238" i="13"/>
  <c r="AZ261" i="13"/>
  <c r="AZ248" i="13"/>
  <c r="AZ228" i="13"/>
  <c r="AZ252" i="13"/>
  <c r="AZ233" i="13"/>
  <c r="AZ241" i="13"/>
  <c r="AZ292" i="13"/>
  <c r="AZ279" i="13"/>
  <c r="AZ263" i="13"/>
  <c r="AZ242" i="13"/>
  <c r="AZ295" i="13"/>
  <c r="AZ239" i="13"/>
  <c r="AZ231" i="13"/>
  <c r="AZ276" i="13"/>
  <c r="AZ258" i="13"/>
  <c r="AZ281" i="13"/>
  <c r="AZ265" i="13"/>
  <c r="AZ273" i="13"/>
  <c r="AZ268" i="13"/>
  <c r="AZ219" i="13"/>
  <c r="B150" i="11" l="1"/>
  <c r="E30" i="18" s="1"/>
  <c r="CB13" i="11"/>
  <c r="CC63" i="11"/>
  <c r="CB63" i="11"/>
  <c r="CB75" i="11"/>
  <c r="CC75" i="11"/>
  <c r="CB71" i="11"/>
  <c r="CC71" i="11"/>
  <c r="CB70" i="11"/>
  <c r="CC70" i="11"/>
  <c r="CB38" i="11"/>
  <c r="CC38" i="11"/>
  <c r="CC80" i="11"/>
  <c r="CB80" i="11"/>
  <c r="CB72" i="11"/>
  <c r="CC72" i="11"/>
  <c r="CC13" i="11"/>
  <c r="CB78" i="11"/>
  <c r="CC78" i="11"/>
  <c r="CB83" i="11"/>
  <c r="CC83" i="11"/>
  <c r="CC27" i="11"/>
  <c r="CB27" i="11"/>
  <c r="CC34" i="11"/>
  <c r="CB34" i="11"/>
  <c r="CB30" i="11"/>
  <c r="CC30" i="11"/>
  <c r="CC24" i="11"/>
  <c r="CB24" i="11"/>
  <c r="CC82" i="11"/>
  <c r="CB82" i="11"/>
  <c r="CB69" i="11"/>
  <c r="CC69" i="11"/>
  <c r="CB68" i="11"/>
  <c r="CC68" i="11"/>
  <c r="CB86" i="11"/>
  <c r="CC86" i="11"/>
  <c r="CC28" i="11"/>
  <c r="CB28" i="11"/>
  <c r="CC26" i="11"/>
  <c r="CB26" i="11"/>
  <c r="CB15" i="11"/>
  <c r="CC15" i="11"/>
  <c r="CC65" i="11"/>
  <c r="CB65" i="11"/>
  <c r="CB31" i="11"/>
  <c r="CC31" i="11"/>
  <c r="CB22" i="11"/>
  <c r="CC22" i="11"/>
  <c r="CB73" i="11"/>
  <c r="CC73" i="11"/>
  <c r="CC74" i="11"/>
  <c r="CB74" i="11"/>
  <c r="CB67" i="11"/>
  <c r="CC67" i="11"/>
  <c r="CC29" i="11"/>
  <c r="CB29" i="11"/>
  <c r="CB17" i="11"/>
  <c r="CC17" i="11"/>
  <c r="CB39" i="11"/>
  <c r="CC39" i="11"/>
  <c r="CB16" i="11"/>
  <c r="CC16" i="11"/>
  <c r="CB76" i="11"/>
  <c r="CC76" i="11"/>
  <c r="CF25" i="11"/>
  <c r="CC25" i="11"/>
  <c r="CB25" i="11"/>
  <c r="CC18" i="11"/>
  <c r="CB18" i="11"/>
  <c r="CB21" i="11"/>
  <c r="CC21" i="11"/>
  <c r="CB23" i="11"/>
  <c r="CC23" i="11"/>
  <c r="CB14" i="11"/>
  <c r="CC14" i="11"/>
  <c r="CC35" i="11"/>
  <c r="CB35" i="11"/>
  <c r="CC61" i="11"/>
  <c r="CB61" i="11"/>
  <c r="CB64" i="11"/>
  <c r="CC64" i="11"/>
  <c r="CB81" i="11"/>
  <c r="CC81" i="11"/>
  <c r="CC33" i="11"/>
  <c r="CB33" i="11"/>
  <c r="CB79" i="11"/>
  <c r="CC79" i="11"/>
  <c r="CB62" i="11"/>
  <c r="CC62" i="11"/>
  <c r="CB85" i="11"/>
  <c r="CC85" i="11"/>
  <c r="CF19" i="11"/>
  <c r="CB19" i="11"/>
  <c r="CC19" i="11"/>
  <c r="CC87" i="11"/>
  <c r="CB87" i="11"/>
  <c r="CC20" i="11"/>
  <c r="CB20" i="11"/>
  <c r="CB77" i="11"/>
  <c r="CC77" i="11"/>
  <c r="CB66" i="11"/>
  <c r="CC66" i="11"/>
  <c r="CC36" i="11"/>
  <c r="CB36" i="11"/>
  <c r="CC84" i="11"/>
  <c r="CB84" i="11"/>
  <c r="CB32" i="11"/>
  <c r="CC32" i="11"/>
  <c r="CE19" i="11"/>
  <c r="CE25" i="11"/>
  <c r="CE34" i="11"/>
  <c r="CF34" i="11"/>
  <c r="CE79" i="11"/>
  <c r="CF79" i="11"/>
  <c r="CF62" i="11"/>
  <c r="CE62" i="11"/>
  <c r="CE17" i="11"/>
  <c r="CF17" i="11"/>
  <c r="CE26" i="11"/>
  <c r="CF26" i="11"/>
  <c r="CF37" i="11"/>
  <c r="CE37" i="11"/>
  <c r="CF69" i="11"/>
  <c r="CE69" i="11"/>
  <c r="CF71" i="11"/>
  <c r="CE71" i="11"/>
  <c r="CE22" i="11"/>
  <c r="CF22" i="11"/>
  <c r="CF82" i="11"/>
  <c r="CE82" i="11"/>
  <c r="CE85" i="11"/>
  <c r="CF85" i="11"/>
  <c r="CF87" i="11"/>
  <c r="CE87" i="11"/>
  <c r="CF18" i="11"/>
  <c r="CE18" i="11"/>
  <c r="CF14" i="11"/>
  <c r="CE14" i="11"/>
  <c r="CF38" i="11"/>
  <c r="CE38" i="11"/>
  <c r="CE76" i="11"/>
  <c r="CF76" i="11"/>
  <c r="CF65" i="11"/>
  <c r="CE65" i="11"/>
  <c r="CE67" i="11"/>
  <c r="CF67" i="11"/>
  <c r="CF68" i="11"/>
  <c r="CE68" i="11"/>
  <c r="CF20" i="11"/>
  <c r="CE20" i="11"/>
  <c r="CF64" i="11"/>
  <c r="CE64" i="11"/>
  <c r="CF21" i="11"/>
  <c r="CE21" i="11"/>
  <c r="CE78" i="11"/>
  <c r="CF78" i="11"/>
  <c r="CF77" i="11"/>
  <c r="CE77" i="11"/>
  <c r="CF83" i="11"/>
  <c r="CE83" i="11"/>
  <c r="CE73" i="11"/>
  <c r="CF73" i="11"/>
  <c r="CE84" i="11"/>
  <c r="CF84" i="11"/>
  <c r="CF31" i="11"/>
  <c r="CE31" i="11"/>
  <c r="CF70" i="11"/>
  <c r="CE70" i="11"/>
  <c r="CE29" i="11"/>
  <c r="CF29" i="11"/>
  <c r="CE16" i="11"/>
  <c r="CF16" i="11"/>
  <c r="CF80" i="11"/>
  <c r="CE80" i="11"/>
  <c r="CF81" i="11"/>
  <c r="CE81" i="11"/>
  <c r="CE35" i="11"/>
  <c r="CF35" i="11"/>
  <c r="CF33" i="11"/>
  <c r="CE33" i="11"/>
  <c r="CF63" i="11"/>
  <c r="CE63" i="11"/>
  <c r="CF15" i="11"/>
  <c r="CE15" i="11"/>
  <c r="CE28" i="11"/>
  <c r="CF28" i="11"/>
  <c r="CE72" i="11"/>
  <c r="CF72" i="11"/>
  <c r="CF39" i="11"/>
  <c r="CE39" i="11"/>
  <c r="CF30" i="11"/>
  <c r="CE30" i="11"/>
  <c r="CF86" i="11"/>
  <c r="CE86" i="11"/>
  <c r="CE23" i="11"/>
  <c r="CF23" i="11"/>
  <c r="CE66" i="11"/>
  <c r="CF66" i="11"/>
  <c r="CF24" i="11"/>
  <c r="CE24" i="11"/>
  <c r="CF36" i="11"/>
  <c r="CE36" i="11"/>
  <c r="CF75" i="11"/>
  <c r="CE75" i="11"/>
  <c r="CF74" i="11"/>
  <c r="CE74" i="11"/>
  <c r="CF32" i="11"/>
  <c r="CE32" i="11"/>
  <c r="CF27" i="11"/>
  <c r="CE27" i="11"/>
  <c r="CF61" i="11"/>
  <c r="CE61" i="11"/>
  <c r="CE13" i="11"/>
  <c r="CF13" i="11"/>
  <c r="AQ109" i="5"/>
  <c r="AP108" i="5"/>
  <c r="H104" i="5"/>
  <c r="G104" i="5"/>
  <c r="F104" i="5"/>
  <c r="E104" i="5"/>
  <c r="D104" i="5"/>
  <c r="J92" i="5"/>
  <c r="I92" i="5"/>
  <c r="H92" i="5"/>
  <c r="G92" i="5"/>
  <c r="F92" i="5"/>
  <c r="E92" i="5"/>
  <c r="D92" i="5"/>
  <c r="C92" i="5"/>
  <c r="F67" i="5"/>
  <c r="E67" i="5"/>
  <c r="D67" i="5"/>
  <c r="C67" i="5"/>
  <c r="C150" i="11" l="1"/>
  <c r="D30" i="18" s="1"/>
  <c r="AQ31" i="11"/>
  <c r="AQ14" i="11"/>
  <c r="AQ25" i="11"/>
  <c r="AQ79" i="11"/>
  <c r="AQ19" i="11"/>
  <c r="AQ73" i="11"/>
  <c r="AP96" i="5"/>
  <c r="I96" i="5" s="1"/>
  <c r="AT96" i="5"/>
  <c r="AP98" i="5"/>
  <c r="I98" i="5" s="1"/>
  <c r="AT98" i="5"/>
  <c r="AP101" i="5"/>
  <c r="I101" i="5" s="1"/>
  <c r="AT101" i="5"/>
  <c r="AP103" i="5"/>
  <c r="I103" i="5" s="1"/>
  <c r="AT103" i="5"/>
  <c r="AP100" i="5"/>
  <c r="I100" i="5" s="1"/>
  <c r="AT100" i="5"/>
  <c r="AT102" i="5"/>
  <c r="AP102" i="5"/>
  <c r="I102" i="5" s="1"/>
  <c r="AT97" i="5"/>
  <c r="AP97" i="5"/>
  <c r="I97" i="5" s="1"/>
  <c r="AQ83" i="11"/>
  <c r="AQ64" i="11"/>
  <c r="AQ65" i="11"/>
  <c r="AQ29" i="11"/>
  <c r="AQ18" i="11"/>
  <c r="AQ76" i="11"/>
  <c r="AQ17" i="11"/>
  <c r="AQ63" i="11"/>
  <c r="AQ87" i="11"/>
  <c r="AQ37" i="11"/>
  <c r="AQ26" i="11"/>
  <c r="AQ36" i="11"/>
  <c r="AQ24" i="11"/>
  <c r="AQ23" i="11"/>
  <c r="AQ30" i="11"/>
  <c r="AQ72" i="11"/>
  <c r="AQ81" i="11"/>
  <c r="AQ16" i="11"/>
  <c r="AQ84" i="11"/>
  <c r="AQ78" i="11"/>
  <c r="AQ38" i="11"/>
  <c r="AQ85" i="11"/>
  <c r="AQ22" i="11"/>
  <c r="AQ34" i="11"/>
  <c r="AQ27" i="11"/>
  <c r="AQ21" i="11"/>
  <c r="AQ71" i="11"/>
  <c r="AQ80" i="11"/>
  <c r="AQ77" i="11"/>
  <c r="AQ32" i="11"/>
  <c r="AQ15" i="11"/>
  <c r="AQ70" i="11"/>
  <c r="AT108" i="5"/>
  <c r="I108" i="5"/>
  <c r="AU109" i="5"/>
  <c r="I109" i="5"/>
  <c r="AQ20" i="11"/>
  <c r="AQ74" i="11"/>
  <c r="AQ82" i="11"/>
  <c r="AQ28" i="11"/>
  <c r="AQ75" i="11"/>
  <c r="AQ86" i="11"/>
  <c r="AQ62" i="11"/>
  <c r="AQ67" i="11"/>
  <c r="AQ35" i="11"/>
  <c r="AQ33" i="11"/>
  <c r="AQ66" i="11"/>
  <c r="AQ61" i="11"/>
  <c r="AQ39" i="11"/>
  <c r="AQ69" i="11"/>
  <c r="AQ68" i="11"/>
  <c r="AQ13" i="11"/>
  <c r="C104" i="5"/>
  <c r="AP104" i="5" s="1"/>
  <c r="I104" i="5" s="1"/>
  <c r="AT104" i="5" l="1"/>
  <c r="Q13" i="5"/>
  <c r="AF13" i="5"/>
  <c r="AE13" i="5"/>
  <c r="AC13" i="5"/>
  <c r="AB13" i="5"/>
  <c r="Z13" i="5"/>
  <c r="Y13" i="5"/>
  <c r="X13" i="5"/>
  <c r="W13" i="5"/>
  <c r="U13" i="5"/>
  <c r="T13" i="5"/>
  <c r="S13" i="5"/>
  <c r="R13" i="5"/>
  <c r="P13" i="5"/>
  <c r="O13" i="5"/>
  <c r="N13" i="5"/>
  <c r="M13" i="5"/>
  <c r="K13" i="5"/>
  <c r="J13" i="5"/>
  <c r="I13" i="5"/>
  <c r="G13" i="5"/>
  <c r="F13" i="5"/>
  <c r="E13" i="5"/>
  <c r="D13" i="5"/>
  <c r="C13" i="5"/>
  <c r="V13" i="5" l="1"/>
  <c r="AD13" i="5"/>
  <c r="C201" i="5"/>
  <c r="D18" i="18" s="1"/>
  <c r="L13" i="5"/>
  <c r="H13" i="5"/>
  <c r="AA13" i="5"/>
  <c r="P197" i="4"/>
  <c r="O197" i="4"/>
  <c r="N197" i="4"/>
  <c r="M197" i="4"/>
  <c r="L197" i="4"/>
  <c r="K197" i="4"/>
  <c r="J197" i="4"/>
  <c r="I197" i="4"/>
  <c r="H197" i="4"/>
  <c r="G197" i="4"/>
  <c r="F197" i="4"/>
  <c r="BO199" i="4" l="1"/>
  <c r="B201" i="5"/>
  <c r="E18" i="18" s="1"/>
  <c r="BP200" i="4"/>
  <c r="E197" i="4"/>
  <c r="D197" i="4"/>
  <c r="BP192" i="4"/>
  <c r="BR192" i="4"/>
  <c r="BK199" i="4" l="1"/>
  <c r="BP199" i="4"/>
  <c r="BJ199" i="4"/>
  <c r="BL192" i="4"/>
  <c r="BM192" i="4"/>
  <c r="BQ192" i="4"/>
  <c r="BO192" i="4"/>
  <c r="BJ192" i="4"/>
  <c r="BK192" i="4"/>
  <c r="C197" i="4"/>
  <c r="BO200" i="4"/>
  <c r="BK200" i="4"/>
  <c r="BJ200" i="4"/>
  <c r="BK201" i="4"/>
  <c r="BO201" i="4"/>
  <c r="BP201" i="4"/>
  <c r="BJ201" i="4"/>
  <c r="BP202" i="4"/>
  <c r="BJ202" i="4"/>
  <c r="BK202" i="4"/>
  <c r="BO202" i="4"/>
  <c r="BK198" i="4"/>
  <c r="BO198" i="4"/>
  <c r="BJ198" i="4"/>
  <c r="BP198" i="4"/>
  <c r="BK183" i="4"/>
  <c r="C144" i="4"/>
  <c r="Q199" i="4" l="1"/>
  <c r="AP192" i="4"/>
  <c r="BJ182" i="4"/>
  <c r="BR182" i="4"/>
  <c r="BO182" i="4"/>
  <c r="BM182" i="4"/>
  <c r="BP182" i="4"/>
  <c r="BQ182" i="4"/>
  <c r="BO165" i="4"/>
  <c r="BJ165" i="4"/>
  <c r="J165" i="4" s="1"/>
  <c r="BO166" i="4"/>
  <c r="BJ166" i="4"/>
  <c r="J166" i="4" s="1"/>
  <c r="BO164" i="4"/>
  <c r="BJ164" i="4"/>
  <c r="J164" i="4" s="1"/>
  <c r="BO167" i="4"/>
  <c r="BJ167" i="4"/>
  <c r="J167" i="4" s="1"/>
  <c r="BJ152" i="4"/>
  <c r="N152" i="4" s="1"/>
  <c r="BO152" i="4"/>
  <c r="BO169" i="4"/>
  <c r="BJ169" i="4"/>
  <c r="J169" i="4" s="1"/>
  <c r="BJ183" i="4"/>
  <c r="BP183" i="4"/>
  <c r="BO183" i="4"/>
  <c r="BQ183" i="4"/>
  <c r="BM183" i="4"/>
  <c r="BR183" i="4"/>
  <c r="BO168" i="4"/>
  <c r="BJ168" i="4"/>
  <c r="J168" i="4" s="1"/>
  <c r="BO151" i="4"/>
  <c r="BJ151" i="4"/>
  <c r="N151" i="4" s="1"/>
  <c r="BL183" i="4"/>
  <c r="BL182" i="4"/>
  <c r="BK182" i="4"/>
  <c r="BP128" i="4"/>
  <c r="BK128" i="4"/>
  <c r="BK129" i="4"/>
  <c r="BP129" i="4"/>
  <c r="Q200" i="4"/>
  <c r="Q201" i="4"/>
  <c r="Q198" i="4"/>
  <c r="Q202" i="4"/>
  <c r="BO128" i="4"/>
  <c r="BJ129" i="4"/>
  <c r="BO129" i="4"/>
  <c r="R123" i="4" l="1"/>
  <c r="AM183" i="4"/>
  <c r="L129" i="4"/>
  <c r="AM182" i="4"/>
  <c r="L128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0" i="4"/>
  <c r="E90" i="4"/>
  <c r="D90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R124" i="4" l="1"/>
  <c r="BJ34" i="4"/>
  <c r="BJ64" i="4"/>
  <c r="AP64" i="4" s="1"/>
  <c r="BP114" i="4"/>
  <c r="BJ62" i="4"/>
  <c r="AP62" i="4" s="1"/>
  <c r="BJ32" i="4"/>
  <c r="BJ35" i="4"/>
  <c r="BJ33" i="4"/>
  <c r="BJ36" i="4"/>
  <c r="F95" i="4"/>
  <c r="E67" i="4"/>
  <c r="C90" i="4"/>
  <c r="E95" i="4"/>
  <c r="D67" i="4"/>
  <c r="BK99" i="4" l="1"/>
  <c r="BO99" i="4"/>
  <c r="BO100" i="4"/>
  <c r="BK100" i="4"/>
  <c r="BK96" i="4"/>
  <c r="BO96" i="4"/>
  <c r="BO101" i="4"/>
  <c r="BK101" i="4"/>
  <c r="BL97" i="4"/>
  <c r="BO97" i="4"/>
  <c r="BK97" i="4"/>
  <c r="BK98" i="4"/>
  <c r="BO98" i="4"/>
  <c r="BK102" i="4"/>
  <c r="BO102" i="4"/>
  <c r="BK46" i="4"/>
  <c r="BP46" i="4"/>
  <c r="BQ24" i="4"/>
  <c r="BL24" i="4"/>
  <c r="BL21" i="4"/>
  <c r="BQ21" i="4"/>
  <c r="BR21" i="4"/>
  <c r="BN14" i="4"/>
  <c r="BT14" i="4"/>
  <c r="BK55" i="4"/>
  <c r="BP55" i="4"/>
  <c r="BP43" i="4"/>
  <c r="BK43" i="4"/>
  <c r="BK56" i="4"/>
  <c r="BP56" i="4"/>
  <c r="BK54" i="4"/>
  <c r="BP54" i="4"/>
  <c r="BP45" i="4"/>
  <c r="BK45" i="4"/>
  <c r="BN13" i="4"/>
  <c r="BT13" i="4"/>
  <c r="BK53" i="4"/>
  <c r="BP53" i="4"/>
  <c r="BK41" i="4"/>
  <c r="BP41" i="4"/>
  <c r="BL22" i="4"/>
  <c r="BQ22" i="4"/>
  <c r="BL23" i="4"/>
  <c r="BQ23" i="4"/>
  <c r="BK44" i="4"/>
  <c r="BP44" i="4"/>
  <c r="BK42" i="4"/>
  <c r="BP42" i="4"/>
  <c r="BP31" i="4"/>
  <c r="BK31" i="4"/>
  <c r="BK51" i="4"/>
  <c r="BP51" i="4"/>
  <c r="BP52" i="4"/>
  <c r="BK52" i="4"/>
  <c r="BM96" i="4"/>
  <c r="BL96" i="4"/>
  <c r="BJ96" i="4"/>
  <c r="BJ100" i="4"/>
  <c r="BP100" i="4"/>
  <c r="BO44" i="4"/>
  <c r="BJ44" i="4"/>
  <c r="BO42" i="4"/>
  <c r="BJ42" i="4"/>
  <c r="BJ54" i="4"/>
  <c r="BO54" i="4"/>
  <c r="BQ97" i="4"/>
  <c r="BR97" i="4"/>
  <c r="BM97" i="4"/>
  <c r="BJ97" i="4"/>
  <c r="BP97" i="4"/>
  <c r="BJ26" i="4"/>
  <c r="BK26" i="4"/>
  <c r="BO26" i="4"/>
  <c r="BP26" i="4"/>
  <c r="BJ102" i="4"/>
  <c r="BP102" i="4"/>
  <c r="BJ52" i="4"/>
  <c r="BO52" i="4"/>
  <c r="BJ43" i="4"/>
  <c r="AP43" i="4" s="1"/>
  <c r="BO43" i="4"/>
  <c r="BJ45" i="4"/>
  <c r="AP45" i="4" s="1"/>
  <c r="BO45" i="4"/>
  <c r="BJ23" i="4"/>
  <c r="BK23" i="4"/>
  <c r="BO23" i="4"/>
  <c r="BP23" i="4"/>
  <c r="BJ22" i="4"/>
  <c r="BK22" i="4"/>
  <c r="BR22" i="4"/>
  <c r="BM22" i="4"/>
  <c r="BO22" i="4"/>
  <c r="BP22" i="4"/>
  <c r="BJ56" i="4"/>
  <c r="AP56" i="4" s="1"/>
  <c r="BO56" i="4"/>
  <c r="BJ99" i="4"/>
  <c r="BP99" i="4"/>
  <c r="BJ25" i="4"/>
  <c r="BK25" i="4"/>
  <c r="BO25" i="4"/>
  <c r="BP25" i="4"/>
  <c r="BJ101" i="4"/>
  <c r="BP101" i="4"/>
  <c r="BO53" i="4"/>
  <c r="BJ53" i="4"/>
  <c r="AP53" i="4" s="1"/>
  <c r="BP14" i="4"/>
  <c r="BQ14" i="4"/>
  <c r="BR14" i="4"/>
  <c r="BS14" i="4"/>
  <c r="BJ55" i="4"/>
  <c r="AP55" i="4" s="1"/>
  <c r="BO55" i="4"/>
  <c r="BP98" i="4"/>
  <c r="BQ98" i="4"/>
  <c r="BL98" i="4"/>
  <c r="BR98" i="4"/>
  <c r="BM98" i="4"/>
  <c r="BJ98" i="4"/>
  <c r="BJ46" i="4"/>
  <c r="AP46" i="4" s="1"/>
  <c r="BO46" i="4"/>
  <c r="BJ24" i="4"/>
  <c r="BK24" i="4"/>
  <c r="BM24" i="4"/>
  <c r="BR24" i="4"/>
  <c r="BO24" i="4"/>
  <c r="BP24" i="4"/>
  <c r="BR96" i="4"/>
  <c r="BQ96" i="4"/>
  <c r="BJ51" i="4"/>
  <c r="BJ41" i="4"/>
  <c r="BJ31" i="4"/>
  <c r="BM21" i="4"/>
  <c r="BJ21" i="4"/>
  <c r="BP21" i="4"/>
  <c r="BK21" i="4"/>
  <c r="BL13" i="4"/>
  <c r="BS13" i="4"/>
  <c r="BR13" i="4"/>
  <c r="BM13" i="4"/>
  <c r="BP13" i="4"/>
  <c r="BL14" i="4"/>
  <c r="BM14" i="4"/>
  <c r="BK14" i="4"/>
  <c r="BJ14" i="4"/>
  <c r="BK13" i="4"/>
  <c r="BJ13" i="4"/>
  <c r="BO64" i="4"/>
  <c r="BJ114" i="4"/>
  <c r="BK114" i="4"/>
  <c r="BO114" i="4"/>
  <c r="BO31" i="4"/>
  <c r="BO51" i="4"/>
  <c r="BO34" i="4"/>
  <c r="AP34" i="4"/>
  <c r="BO33" i="4"/>
  <c r="AP33" i="4"/>
  <c r="BO32" i="4"/>
  <c r="AP32" i="4"/>
  <c r="BO41" i="4"/>
  <c r="BO21" i="4"/>
  <c r="BJ15" i="4"/>
  <c r="AU15" i="4" s="1"/>
  <c r="BP15" i="4"/>
  <c r="BJ16" i="4"/>
  <c r="AU16" i="4" s="1"/>
  <c r="BP16" i="4"/>
  <c r="BO36" i="4"/>
  <c r="AP36" i="4"/>
  <c r="BO35" i="4"/>
  <c r="AP35" i="4"/>
  <c r="BP112" i="4"/>
  <c r="BK112" i="4"/>
  <c r="BP96" i="4"/>
  <c r="BK113" i="4"/>
  <c r="BP113" i="4"/>
  <c r="BO62" i="4"/>
  <c r="BO65" i="4"/>
  <c r="BJ65" i="4"/>
  <c r="AP65" i="4" s="1"/>
  <c r="BO113" i="4"/>
  <c r="BJ113" i="4"/>
  <c r="BQ13" i="4"/>
  <c r="BO63" i="4"/>
  <c r="BJ63" i="4"/>
  <c r="AP63" i="4" s="1"/>
  <c r="BJ112" i="4"/>
  <c r="BO112" i="4"/>
  <c r="BJ61" i="4"/>
  <c r="AP61" i="4" s="1"/>
  <c r="BO61" i="4"/>
  <c r="D95" i="4"/>
  <c r="C67" i="4"/>
  <c r="AP44" i="4" l="1"/>
  <c r="AP54" i="4"/>
  <c r="AP51" i="4"/>
  <c r="AP52" i="4"/>
  <c r="AP42" i="4"/>
  <c r="C248" i="4"/>
  <c r="D12" i="18" s="1"/>
  <c r="AQ102" i="4"/>
  <c r="AP41" i="4"/>
  <c r="AR24" i="4"/>
  <c r="AR21" i="4"/>
  <c r="AR23" i="4"/>
  <c r="AP113" i="4"/>
  <c r="AR26" i="4"/>
  <c r="AQ96" i="4"/>
  <c r="AR22" i="4"/>
  <c r="AQ98" i="4"/>
  <c r="AQ97" i="4"/>
  <c r="AR25" i="4"/>
  <c r="AU13" i="4"/>
  <c r="AU14" i="4"/>
  <c r="AP31" i="4"/>
  <c r="AP114" i="4"/>
  <c r="AQ101" i="4"/>
  <c r="AP112" i="4"/>
  <c r="AQ100" i="4"/>
  <c r="AQ99" i="4"/>
  <c r="B248" i="4"/>
  <c r="E12" i="18" s="1"/>
  <c r="T60" i="29" l="1"/>
  <c r="AZ19" i="13" l="1"/>
  <c r="S173" i="29" l="1"/>
  <c r="D9" i="18"/>
  <c r="D31" i="18" s="1"/>
  <c r="B7" i="44" s="1"/>
</calcChain>
</file>

<file path=xl/sharedStrings.xml><?xml version="1.0" encoding="utf-8"?>
<sst xmlns="http://schemas.openxmlformats.org/spreadsheetml/2006/main" count="94456" uniqueCount="5340">
  <si>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</si>
  <si>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</si>
  <si>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</si>
  <si>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</si>
  <si>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</si>
  <si>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</si>
  <si>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</si>
  <si>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</si>
  <si>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</si>
  <si>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</si>
  <si>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</si>
  <si>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</si>
  <si>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</si>
  <si>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</si>
  <si>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</si>
  <si>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</si>
  <si>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</si>
  <si>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</si>
  <si>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</si>
  <si>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</si>
  <si>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</si>
  <si>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</si>
  <si>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</si>
  <si>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</si>
  <si>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</si>
  <si>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</si>
  <si>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</si>
  <si>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</si>
  <si>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</si>
  <si>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</si>
  <si>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</si>
  <si>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</si>
  <si>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</si>
  <si>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</si>
  <si>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</si>
  <si>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</si>
  <si>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</si>
  <si>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</si>
  <si>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</si>
  <si>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</si>
  <si>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</si>
  <si>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</si>
  <si>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</si>
  <si>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</si>
  <si>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</si>
  <si>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</si>
  <si>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</si>
  <si>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</si>
  <si>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</si>
  <si>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</si>
  <si>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</si>
  <si>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</si>
  <si>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</si>
  <si>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</si>
  <si>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</si>
  <si>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</si>
  <si>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</si>
  <si>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</si>
  <si>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</si>
  <si>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</si>
  <si>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</si>
  <si>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</si>
  <si>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</si>
  <si>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</si>
  <si>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</si>
  <si>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</si>
  <si>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</si>
  <si>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</si>
  <si>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</si>
  <si>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</si>
  <si>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</si>
  <si>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</si>
  <si>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</si>
  <si>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</si>
  <si>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</si>
  <si>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</si>
  <si>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</si>
  <si>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</si>
  <si>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</si>
  <si>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</si>
  <si>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</si>
  <si>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</si>
  <si>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</si>
  <si>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</si>
  <si>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</si>
  <si>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</si>
  <si>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</si>
  <si>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</si>
  <si>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</si>
  <si>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</si>
  <si>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</si>
  <si>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</si>
  <si>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</si>
  <si>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</si>
  <si>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</si>
  <si>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</si>
  <si>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</si>
  <si>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</si>
  <si>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</si>
  <si>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</si>
  <si>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</si>
  <si>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</si>
  <si>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</si>
  <si>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</si>
  <si>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</si>
  <si>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</si>
  <si>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</si>
  <si>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</si>
  <si>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</si>
  <si>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</si>
  <si>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</si>
  <si>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</si>
  <si>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</si>
  <si>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</si>
  <si>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</si>
  <si>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</si>
  <si>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</si>
  <si>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</si>
  <si>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</si>
  <si>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</si>
  <si>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</si>
  <si>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</si>
  <si>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</si>
  <si>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</si>
  <si>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</si>
  <si>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</si>
  <si>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</si>
  <si>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</si>
  <si>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</si>
  <si>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</si>
  <si>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</si>
  <si>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</si>
  <si>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</si>
  <si>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</si>
  <si>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</si>
  <si>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</si>
  <si>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</si>
  <si>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</si>
  <si>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</si>
  <si>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</si>
  <si>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</si>
  <si>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</si>
  <si>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</si>
  <si>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</si>
  <si>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</si>
  <si>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</si>
  <si>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</si>
  <si>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</si>
  <si>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</si>
  <si>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</si>
  <si>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</si>
  <si>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</si>
  <si>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</si>
  <si>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</si>
  <si>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</si>
  <si>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</si>
  <si>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</si>
  <si>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</si>
  <si>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</si>
  <si>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</si>
  <si>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</si>
  <si>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</si>
  <si>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</si>
  <si>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</si>
  <si>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</si>
  <si>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</si>
  <si>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</si>
  <si>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</si>
  <si>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</si>
  <si>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</si>
  <si>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</si>
  <si>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</si>
  <si>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</si>
  <si>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</si>
  <si>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</si>
  <si>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</si>
  <si>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</si>
  <si>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</si>
  <si>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</si>
  <si>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</si>
  <si>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</si>
  <si>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</si>
  <si>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</si>
  <si>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</si>
  <si>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</si>
  <si>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</si>
  <si>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</si>
  <si>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</si>
  <si>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</si>
  <si>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</si>
  <si>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</si>
  <si>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</si>
  <si>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</si>
  <si>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</si>
  <si>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</si>
  <si>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</si>
  <si>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</si>
  <si>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</si>
  <si>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</si>
  <si>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</si>
  <si>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</si>
  <si>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</si>
  <si>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</si>
  <si>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</si>
  <si>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</si>
  <si>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</si>
  <si>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</si>
  <si>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</si>
  <si>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</si>
  <si>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</si>
  <si>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</si>
  <si>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</si>
  <si>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</si>
  <si>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</si>
  <si>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</si>
  <si>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</si>
  <si>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</si>
  <si>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</si>
  <si>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</si>
  <si>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</si>
  <si>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</si>
  <si>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</si>
  <si>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</si>
  <si>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</si>
  <si>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</si>
  <si>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</si>
  <si>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</si>
  <si>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</si>
  <si>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</si>
  <si>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</si>
  <si>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</si>
  <si>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</si>
  <si>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</si>
  <si>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</si>
  <si>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</si>
  <si>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</si>
  <si>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</si>
  <si>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</si>
  <si>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</si>
  <si>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</si>
  <si>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</si>
  <si>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</si>
  <si>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</si>
  <si>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</si>
  <si>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</si>
  <si>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</si>
  <si>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</si>
  <si>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</si>
  <si>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</si>
  <si>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</si>
  <si>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</si>
  <si>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</si>
  <si>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</si>
  <si>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</si>
  <si>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</si>
  <si>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</si>
  <si>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</si>
  <si>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</si>
  <si>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</si>
  <si>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</si>
  <si>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</si>
  <si>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</si>
  <si>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</si>
  <si>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</si>
  <si>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</si>
  <si>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</si>
  <si>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</si>
  <si>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</si>
  <si>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</si>
  <si>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</si>
  <si>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</si>
  <si>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</si>
  <si>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</si>
  <si>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</si>
  <si>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</si>
  <si>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</si>
  <si>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</si>
  <si>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</si>
  <si>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</si>
  <si>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</si>
  <si>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</si>
  <si>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</si>
  <si>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</si>
  <si>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</si>
  <si>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</si>
  <si>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</si>
  <si>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</si>
  <si>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</si>
  <si>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</si>
  <si>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</si>
  <si>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</si>
  <si>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</si>
  <si>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</si>
  <si>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</si>
  <si>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</si>
  <si>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</si>
  <si>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</si>
  <si>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</si>
  <si>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</si>
  <si>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</si>
  <si>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</si>
  <si>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</si>
  <si>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</si>
  <si>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</si>
  <si>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</si>
  <si>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</si>
  <si>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</si>
  <si>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</si>
  <si>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</si>
  <si>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</si>
  <si>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</si>
  <si>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</si>
  <si>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</si>
  <si>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</si>
  <si>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</si>
  <si>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</si>
  <si>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</si>
  <si>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</si>
  <si>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</si>
  <si>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</si>
  <si>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</si>
  <si>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</si>
  <si>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</si>
  <si>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</si>
  <si>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</si>
  <si>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</si>
  <si>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</si>
  <si>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</si>
  <si>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</si>
  <si>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</si>
  <si>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</si>
  <si>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</si>
  <si>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</si>
  <si>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</si>
  <si>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</si>
  <si>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</si>
  <si>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</si>
  <si>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</si>
  <si>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</si>
  <si>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</si>
  <si>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</si>
  <si>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</si>
  <si>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</si>
  <si>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</si>
  <si>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</si>
  <si>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</si>
  <si>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</si>
  <si>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</si>
  <si>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</si>
  <si>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</si>
  <si>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</si>
  <si>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</si>
  <si>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</si>
  <si>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</si>
  <si>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</si>
  <si>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</si>
  <si>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</si>
  <si>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</si>
  <si>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</si>
  <si>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</si>
  <si>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</si>
  <si>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</si>
  <si>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</si>
  <si>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</si>
  <si>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</si>
  <si>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</si>
  <si>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</si>
  <si>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</si>
  <si>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</si>
  <si>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</si>
  <si>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</si>
  <si>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</si>
  <si>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</si>
  <si>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</si>
  <si>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</si>
  <si>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</si>
  <si>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</si>
  <si>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</si>
  <si>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</si>
  <si>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</si>
  <si>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</si>
  <si>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</si>
  <si>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</si>
  <si>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</si>
  <si>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</si>
  <si>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</si>
  <si>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</si>
  <si>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</si>
  <si>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</si>
  <si>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</si>
  <si>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</si>
  <si>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</si>
  <si>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</si>
  <si>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</si>
  <si>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</si>
  <si>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</si>
  <si>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</si>
  <si>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</si>
  <si>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</si>
  <si>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</si>
  <si>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</si>
  <si>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</si>
  <si>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</si>
  <si>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</si>
  <si>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</si>
  <si>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</si>
  <si>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</si>
  <si>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</si>
  <si>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</si>
  <si>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</si>
  <si>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</si>
  <si>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</si>
  <si>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</si>
  <si>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</si>
  <si>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</si>
  <si>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</si>
  <si>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</si>
  <si>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</si>
  <si>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</si>
  <si>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</si>
  <si>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</si>
  <si>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</si>
  <si>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</si>
  <si>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</si>
  <si>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</si>
  <si>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</si>
  <si>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</si>
  <si>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</si>
  <si>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</si>
  <si>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</si>
  <si>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</si>
  <si>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</si>
  <si>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</si>
  <si>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</si>
  <si>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</si>
  <si>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</si>
  <si>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</si>
  <si>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</si>
  <si>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</si>
  <si>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</si>
  <si>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</si>
  <si>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</si>
  <si>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</si>
  <si>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</si>
  <si>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</si>
  <si>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</si>
  <si>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</si>
  <si>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</si>
  <si>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</si>
  <si>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</si>
  <si>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</si>
  <si>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</si>
  <si>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</si>
  <si>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</si>
  <si>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</si>
  <si>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</si>
  <si>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</si>
  <si>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</si>
  <si>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</si>
  <si>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</si>
  <si>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</si>
  <si>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</si>
  <si>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</si>
  <si>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</si>
  <si>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</si>
  <si>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</si>
  <si>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</si>
  <si>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</si>
  <si>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</si>
  <si>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</si>
  <si>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</si>
  <si>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</si>
  <si>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</si>
  <si>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</si>
  <si>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</si>
  <si>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</si>
  <si>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</si>
  <si>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</si>
  <si>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</si>
  <si>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</si>
  <si>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</si>
  <si>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</si>
  <si>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</si>
  <si>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</si>
  <si>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</si>
  <si>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</si>
  <si>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</si>
  <si>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</si>
  <si>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</si>
  <si>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</si>
  <si>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</si>
  <si>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</si>
  <si>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</si>
  <si>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</si>
  <si>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</si>
  <si>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</si>
  <si>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</si>
  <si>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</si>
  <si>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</si>
  <si>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</si>
  <si>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</si>
  <si>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</si>
  <si>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</si>
  <si>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</si>
  <si>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</si>
  <si>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</si>
  <si>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</si>
  <si>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</si>
  <si>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</si>
  <si>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</si>
  <si>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</si>
  <si>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</si>
  <si>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</si>
  <si>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</si>
  <si>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</si>
  <si>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</si>
  <si>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</si>
  <si>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</si>
  <si>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</si>
  <si>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</si>
  <si>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</si>
  <si>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</si>
  <si>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</si>
  <si>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</si>
  <si>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</si>
  <si>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</si>
  <si>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</si>
  <si>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</si>
  <si>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</si>
  <si>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</si>
  <si>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</si>
  <si>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</si>
  <si>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</si>
  <si>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</si>
  <si>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</si>
  <si>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</si>
  <si>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</si>
  <si>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</si>
  <si>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</si>
  <si>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</si>
  <si>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</si>
  <si>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</si>
  <si>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</si>
  <si>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</si>
  <si>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</si>
  <si>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</si>
  <si>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</si>
  <si>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</si>
  <si>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</si>
  <si>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</si>
  <si>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</si>
  <si>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</si>
  <si>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</si>
  <si>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</si>
  <si>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</si>
  <si>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</si>
  <si>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</si>
  <si>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</si>
  <si>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</si>
  <si>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</si>
  <si>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</si>
  <si>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</si>
  <si>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</si>
  <si>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</si>
  <si>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</si>
  <si>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</si>
  <si>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</si>
  <si>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</si>
  <si>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</si>
  <si>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</si>
  <si>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</si>
  <si>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</si>
  <si>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</si>
  <si>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</si>
  <si>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</si>
  <si>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</si>
  <si>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</si>
  <si>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</si>
  <si>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</si>
  <si>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</si>
  <si>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</si>
  <si>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</si>
  <si>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</si>
  <si>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</si>
  <si>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</si>
  <si>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</si>
  <si>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</si>
  <si>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</si>
  <si>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</si>
  <si>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</si>
  <si>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</si>
  <si>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</si>
  <si>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</si>
  <si>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</si>
  <si>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</si>
  <si>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</si>
  <si>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</si>
  <si>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</si>
  <si>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</si>
  <si>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</si>
  <si>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</si>
  <si>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</si>
  <si>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</si>
  <si>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</si>
  <si>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</si>
  <si>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</si>
  <si>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</si>
  <si>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</si>
  <si>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</si>
  <si>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</si>
  <si>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</si>
  <si>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</si>
  <si>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</si>
  <si>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</si>
  <si>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</si>
  <si>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</si>
  <si>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</si>
  <si>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</si>
  <si>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</si>
  <si>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</si>
  <si>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</si>
  <si>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</si>
  <si>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</si>
  <si>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</si>
  <si>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</si>
  <si>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</si>
  <si>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</si>
  <si>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</si>
  <si>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</si>
  <si>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</si>
  <si>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</si>
  <si>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</si>
  <si>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</si>
  <si>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</si>
  <si>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</si>
  <si>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</si>
  <si>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</si>
  <si>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</si>
  <si>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</si>
  <si>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</si>
  <si>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</si>
  <si>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</si>
  <si>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</si>
  <si>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</si>
  <si>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</si>
  <si>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</si>
  <si>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</si>
  <si>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</si>
  <si>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</si>
  <si>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</si>
  <si>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</si>
  <si>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</si>
  <si>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</si>
  <si>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</si>
  <si>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</si>
  <si>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</si>
  <si>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</si>
  <si>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</si>
  <si>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</si>
  <si>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</si>
  <si>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</si>
  <si>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</si>
  <si>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</si>
  <si>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</si>
  <si>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</si>
  <si>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</si>
  <si>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</si>
  <si>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</si>
  <si>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</si>
  <si>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</si>
  <si>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</si>
  <si>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</si>
  <si>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</si>
  <si>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</si>
  <si>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</si>
  <si>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</si>
  <si>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</si>
  <si>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</si>
  <si>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</si>
  <si>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</si>
  <si>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</si>
  <si>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</si>
  <si>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</si>
  <si>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</si>
  <si>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</si>
  <si>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</si>
  <si>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</si>
  <si>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</si>
  <si>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</si>
  <si>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</si>
  <si>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</si>
  <si>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</si>
  <si>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</si>
  <si>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</si>
  <si>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</si>
  <si>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</si>
  <si>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</si>
  <si>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</si>
  <si>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</si>
  <si>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</si>
  <si>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</si>
  <si>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</si>
  <si>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</si>
  <si>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</si>
  <si>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</si>
  <si>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</si>
  <si>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</si>
  <si>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</si>
  <si>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</si>
  <si>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</si>
  <si>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</si>
  <si>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</si>
  <si>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</si>
  <si>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</si>
  <si>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</si>
  <si>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</si>
  <si>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</si>
  <si>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</si>
  <si>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</si>
  <si>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</si>
  <si>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</si>
  <si>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</si>
  <si>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</si>
  <si>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</si>
  <si>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</si>
  <si>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</si>
  <si>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</si>
  <si>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</si>
  <si>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</si>
  <si>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</si>
  <si>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</si>
  <si>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</si>
  <si>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</si>
  <si>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</si>
  <si>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</si>
  <si>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</si>
  <si>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</si>
  <si>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</si>
  <si>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</si>
  <si>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</si>
  <si>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</si>
  <si>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</si>
  <si>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</si>
  <si>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</si>
  <si>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</si>
  <si>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</si>
  <si>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</si>
  <si>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</si>
  <si>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</si>
  <si>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</si>
  <si>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</si>
  <si>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</si>
  <si>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</si>
  <si>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</si>
  <si>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</si>
  <si>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</si>
  <si>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</si>
  <si>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</si>
  <si>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</si>
  <si>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</si>
  <si>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</si>
  <si>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</si>
  <si>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</si>
  <si>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</si>
  <si>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</si>
  <si>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</si>
  <si>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</si>
  <si>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</si>
  <si>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</si>
  <si>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</si>
  <si>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</si>
  <si>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</si>
  <si>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</si>
  <si>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</si>
  <si>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</si>
  <si>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</si>
  <si>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</si>
  <si>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</si>
  <si>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</si>
  <si>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</si>
  <si>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</si>
  <si>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</si>
  <si>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</si>
  <si>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</si>
  <si>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</si>
  <si>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</si>
  <si>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</si>
  <si>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</si>
  <si>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</si>
  <si>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</si>
  <si>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</si>
  <si>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</si>
  <si>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</si>
  <si>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</si>
  <si>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</si>
  <si>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</si>
  <si>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</si>
  <si>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</si>
  <si>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</si>
  <si>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</si>
  <si>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</si>
  <si>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</si>
  <si>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</si>
  <si>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</si>
  <si>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</si>
  <si>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</si>
  <si>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</si>
  <si>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</si>
  <si>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</si>
  <si>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</si>
  <si>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</si>
  <si>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</si>
  <si>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</si>
  <si>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</si>
  <si>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</si>
  <si>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</si>
  <si>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</si>
  <si>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</si>
  <si>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</si>
  <si>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</si>
  <si>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</si>
  <si>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</si>
  <si>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</si>
  <si>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</si>
  <si>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</si>
  <si>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</si>
  <si>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</si>
  <si>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</si>
  <si>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</si>
  <si>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</si>
  <si>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</si>
  <si>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</si>
  <si>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</si>
  <si>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</si>
  <si>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</si>
  <si>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</si>
  <si>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</si>
  <si>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</si>
  <si>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</si>
  <si>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</si>
  <si>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</si>
  <si>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</si>
  <si>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</si>
  <si>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</si>
  <si>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</si>
  <si>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</si>
  <si>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</si>
  <si>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</si>
  <si>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</si>
  <si>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</si>
  <si>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</si>
  <si>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</si>
  <si>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</si>
  <si>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</si>
  <si>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</si>
  <si>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</si>
  <si>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</si>
  <si>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</si>
  <si>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</si>
  <si>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</si>
  <si>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</si>
  <si>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</si>
  <si>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</si>
  <si>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</si>
  <si>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</si>
  <si>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</si>
  <si>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</si>
  <si>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</si>
  <si>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</si>
  <si>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</si>
  <si>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</si>
  <si>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</si>
  <si>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</si>
  <si>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</si>
  <si>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</si>
  <si>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</si>
  <si>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</si>
  <si>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</si>
  <si>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</si>
  <si>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</si>
  <si>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</si>
  <si>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</si>
  <si>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</si>
  <si>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</si>
  <si>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</si>
  <si>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</si>
  <si>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</si>
  <si>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</si>
  <si>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</si>
  <si>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</si>
  <si>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</si>
  <si>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</si>
  <si>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</si>
  <si>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</si>
  <si>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</si>
  <si>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</si>
  <si>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</si>
  <si>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</si>
  <si>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</si>
  <si>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</si>
  <si>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</si>
  <si>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</si>
  <si>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</si>
  <si>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</si>
  <si>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</si>
  <si>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</si>
  <si>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</si>
  <si>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</si>
  <si>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</si>
  <si>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</si>
  <si>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</si>
  <si>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</si>
  <si>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</si>
  <si>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</si>
  <si>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</si>
  <si>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</si>
  <si>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</si>
  <si>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</si>
  <si>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</si>
  <si>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</si>
  <si>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</si>
  <si>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</si>
  <si>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</si>
  <si>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</si>
  <si>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</si>
  <si>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</si>
  <si>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</si>
  <si>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</si>
  <si>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</si>
  <si>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</si>
  <si>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</si>
  <si>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</si>
  <si>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</si>
  <si>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</si>
  <si>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</si>
  <si>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</si>
  <si>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</si>
  <si>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</si>
  <si>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</si>
  <si>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</si>
  <si>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</si>
  <si>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</si>
  <si>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</si>
  <si>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</si>
  <si>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</si>
  <si>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</si>
  <si>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</si>
  <si>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</si>
  <si>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</si>
  <si>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</si>
  <si>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</si>
  <si>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</si>
  <si>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</si>
  <si>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</si>
  <si>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</si>
  <si>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</si>
  <si>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</si>
  <si>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</si>
  <si>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</si>
  <si>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</si>
  <si>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</si>
  <si>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</si>
  <si>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</si>
  <si>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</si>
  <si>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</si>
  <si>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</si>
  <si>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</si>
  <si>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</si>
  <si>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</si>
  <si>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</si>
  <si>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</si>
  <si>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</si>
  <si>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</si>
  <si>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</si>
  <si>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</si>
  <si>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</si>
  <si>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</si>
  <si>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</si>
  <si>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</si>
  <si>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</si>
  <si>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</si>
  <si>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</si>
  <si>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</si>
  <si>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</si>
  <si>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</si>
  <si>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</si>
  <si>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</si>
  <si>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</si>
  <si>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</si>
  <si>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</si>
  <si>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</si>
  <si>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</si>
  <si>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</si>
  <si>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</si>
  <si>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</si>
  <si>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</si>
  <si>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</si>
  <si>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</si>
  <si>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</si>
  <si>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</si>
  <si>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</si>
  <si>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</si>
  <si>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</si>
  <si>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</si>
  <si>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</si>
  <si>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</si>
  <si>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</si>
  <si>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</si>
  <si>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</si>
  <si>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</si>
  <si>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</si>
  <si>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</si>
  <si>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</si>
  <si>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</si>
  <si>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</si>
  <si>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</si>
  <si>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</si>
  <si>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</si>
  <si>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</si>
  <si>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</si>
  <si>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</si>
  <si>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</si>
  <si>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</si>
  <si>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</si>
  <si>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</si>
  <si>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</si>
  <si>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</si>
  <si>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</si>
  <si>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</si>
  <si>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</si>
  <si>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</si>
  <si>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</si>
  <si>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</si>
  <si>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</si>
  <si>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</si>
  <si>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</si>
  <si>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</si>
  <si>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</si>
  <si>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</si>
  <si>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</si>
  <si>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</si>
  <si>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</si>
  <si>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</si>
  <si>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</si>
  <si>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</si>
  <si>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</si>
  <si>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</si>
  <si>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</si>
  <si>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</si>
  <si>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</si>
  <si>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</si>
  <si>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</si>
  <si>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</si>
  <si>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</si>
  <si>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</si>
  <si>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</si>
  <si>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</si>
  <si>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</si>
  <si>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</si>
  <si>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</si>
  <si>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</si>
  <si>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</si>
  <si>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</si>
  <si>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</si>
  <si>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</si>
  <si>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</si>
  <si>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</si>
  <si>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</si>
  <si>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</si>
  <si>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</si>
  <si>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</si>
  <si>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</si>
  <si>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</si>
  <si>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</si>
  <si>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</si>
  <si>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</si>
  <si>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</si>
  <si>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</si>
  <si>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</si>
  <si>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</si>
  <si>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</si>
  <si>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</si>
  <si>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</si>
  <si>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</si>
  <si>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</si>
  <si>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</si>
  <si>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</si>
  <si>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</si>
  <si>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</si>
  <si>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</si>
  <si>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</si>
  <si>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</si>
  <si>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</si>
  <si>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</si>
  <si>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</si>
  <si>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</si>
  <si>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</si>
  <si>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</si>
  <si>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</si>
  <si>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</si>
  <si>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</si>
  <si>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</si>
  <si>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</si>
  <si>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</si>
  <si>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</si>
  <si>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</si>
  <si>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</si>
  <si>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</si>
  <si>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</si>
  <si>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</si>
  <si>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</si>
  <si>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</si>
  <si>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</si>
  <si>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</si>
  <si>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</si>
  <si>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</si>
  <si>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</si>
  <si>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</si>
  <si>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</si>
  <si>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</si>
  <si>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</si>
  <si>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</si>
  <si>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</si>
  <si>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</si>
  <si>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</si>
  <si>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</si>
  <si>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</si>
  <si>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</si>
  <si>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</si>
  <si>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</si>
  <si>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</si>
  <si>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</si>
  <si>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</si>
  <si>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</si>
  <si>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</si>
  <si>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</si>
  <si>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</si>
  <si>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</si>
  <si>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</si>
  <si>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</si>
  <si>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</si>
  <si>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</si>
  <si>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</si>
  <si>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</si>
  <si>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</si>
  <si>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</si>
  <si>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</si>
  <si>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</si>
  <si>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</si>
  <si>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</si>
  <si>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</si>
  <si>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</si>
  <si>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</si>
  <si>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</si>
  <si>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</si>
  <si>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</si>
  <si>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</si>
  <si>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</si>
  <si>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</si>
  <si>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</si>
  <si>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</si>
  <si>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</si>
  <si>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</si>
  <si>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</si>
  <si>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</si>
  <si>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</si>
  <si>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</si>
  <si>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</si>
  <si>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</si>
  <si>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</si>
  <si>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</si>
  <si>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</si>
  <si>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</si>
  <si>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</si>
  <si>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</si>
  <si>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</si>
  <si>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</si>
  <si>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</si>
  <si>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</si>
  <si>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</si>
  <si>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</si>
  <si>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</si>
  <si>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</si>
  <si>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</si>
  <si>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</si>
  <si>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</si>
  <si>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</si>
  <si>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</si>
  <si>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</si>
  <si>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</si>
  <si>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</si>
  <si>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</si>
  <si>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</si>
  <si>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</si>
  <si>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</si>
  <si>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</si>
  <si>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</si>
  <si>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</si>
  <si>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</si>
  <si>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</si>
  <si>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</si>
  <si>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</si>
  <si>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</si>
  <si>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</si>
  <si>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</si>
  <si>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</si>
  <si>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</si>
  <si>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</si>
  <si>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</si>
  <si>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</si>
  <si>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</si>
  <si>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</si>
  <si>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</si>
  <si>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</si>
  <si>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</si>
  <si>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</si>
  <si>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</si>
  <si>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</si>
  <si>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</si>
  <si>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</si>
  <si>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</si>
  <si>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</si>
  <si>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</si>
  <si>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</si>
  <si>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</si>
  <si>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</si>
  <si>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</si>
  <si>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</si>
  <si>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</si>
  <si>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</si>
  <si>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</si>
  <si>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</si>
  <si>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</si>
  <si>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</si>
  <si>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</si>
  <si>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</si>
  <si>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</si>
  <si>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</si>
  <si>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</si>
  <si>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</si>
  <si>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</si>
  <si>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</si>
  <si>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</si>
  <si>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</si>
  <si>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</si>
  <si>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</si>
  <si>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</si>
  <si>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</si>
  <si>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</si>
  <si>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</si>
  <si>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</si>
  <si>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</si>
  <si>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</si>
  <si>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</si>
  <si>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</si>
  <si>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</si>
  <si>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</si>
  <si>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</si>
  <si>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</si>
  <si>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</si>
  <si>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</si>
  <si>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</si>
  <si>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</si>
  <si>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</si>
  <si>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</si>
  <si>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</si>
  <si>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</si>
  <si>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</si>
  <si>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</si>
  <si>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</si>
  <si>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</si>
  <si>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</si>
  <si>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</si>
  <si>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</si>
  <si>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</si>
  <si>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</si>
  <si>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</si>
  <si>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</si>
  <si>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</si>
  <si>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</si>
  <si>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</si>
  <si>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</si>
  <si>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</si>
  <si>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</si>
  <si>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</si>
  <si>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</si>
  <si>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</si>
  <si>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</si>
  <si>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</si>
  <si>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</si>
  <si>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</si>
  <si>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</si>
  <si>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</si>
  <si>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</si>
  <si>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</si>
  <si>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</si>
  <si>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</si>
  <si>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</si>
  <si>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</si>
  <si>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</si>
  <si>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</si>
  <si>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</si>
  <si>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</si>
  <si>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</si>
  <si>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</si>
  <si>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</si>
  <si>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</si>
  <si>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</si>
  <si>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</si>
  <si>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</si>
  <si>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</si>
  <si>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</si>
  <si>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</si>
  <si>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</si>
  <si>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</si>
  <si>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</si>
  <si>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</si>
  <si>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</si>
  <si>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</si>
  <si>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</si>
  <si>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</si>
  <si>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</si>
  <si>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</si>
  <si>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</si>
  <si>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</si>
  <si>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</si>
  <si>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</si>
  <si>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</si>
  <si>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</si>
  <si>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</si>
  <si>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</si>
  <si>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</si>
  <si>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</si>
  <si>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</si>
  <si>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</si>
  <si>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</si>
  <si>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</si>
  <si>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</si>
  <si>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</si>
  <si>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</si>
  <si>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</si>
  <si>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</si>
  <si>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</si>
  <si>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</si>
  <si>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</si>
  <si>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</si>
  <si>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</si>
  <si>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</si>
  <si>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</si>
  <si>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</si>
  <si>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</si>
  <si>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</si>
  <si>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</si>
  <si>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</si>
  <si>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</si>
  <si>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</si>
  <si>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</si>
  <si>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</si>
  <si>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</si>
  <si>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</si>
  <si>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</si>
  <si>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</si>
  <si>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</si>
  <si>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</si>
  <si>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</si>
  <si>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</si>
  <si>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</si>
  <si>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</si>
  <si>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</si>
  <si>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</si>
  <si>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</si>
  <si>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</si>
  <si>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</si>
  <si>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</si>
  <si>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</si>
  <si>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</si>
  <si>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</si>
  <si>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</si>
  <si>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</si>
  <si>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</si>
  <si>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</si>
  <si>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</si>
  <si>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</si>
  <si>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</si>
  <si>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</si>
  <si>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</si>
  <si>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</si>
  <si>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</si>
  <si>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</si>
  <si>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</si>
  <si>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</si>
  <si>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</si>
  <si>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</si>
  <si>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</si>
  <si>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</si>
  <si>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</si>
  <si>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</si>
  <si>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</si>
  <si>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</si>
  <si>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</si>
  <si>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</si>
  <si>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</si>
  <si>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</si>
  <si>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</si>
  <si>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</si>
  <si>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</si>
  <si>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</si>
  <si>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</si>
  <si>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</si>
  <si>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</si>
  <si>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</si>
  <si>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</si>
  <si>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</si>
  <si>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</si>
  <si>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</si>
  <si>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</si>
  <si>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</si>
  <si>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</si>
  <si>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</si>
  <si>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</si>
  <si>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</si>
  <si>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</si>
  <si>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</si>
  <si>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</si>
  <si>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</si>
  <si>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</si>
  <si>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</si>
  <si>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</si>
  <si>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</si>
  <si>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</si>
  <si>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</si>
  <si>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</si>
  <si>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</si>
  <si>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</si>
  <si>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</si>
  <si>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</si>
  <si>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</si>
  <si>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</si>
  <si>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</si>
  <si>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</si>
  <si>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</si>
  <si>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</si>
  <si>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</si>
  <si>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</si>
  <si>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</si>
  <si>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</si>
  <si>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</si>
  <si>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</si>
  <si>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</si>
  <si>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</si>
  <si>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</si>
  <si>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</si>
  <si>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</si>
  <si>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</si>
  <si>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</si>
  <si>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</si>
  <si>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</si>
  <si>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</si>
  <si>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</si>
  <si>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</si>
  <si>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</si>
  <si>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</si>
  <si>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</si>
  <si>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</si>
  <si>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</si>
  <si>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</si>
  <si>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</si>
  <si>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</si>
  <si>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</si>
  <si>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</si>
  <si>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</si>
  <si>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</si>
  <si>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</si>
  <si>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</si>
  <si>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</si>
  <si>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</si>
  <si>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</si>
  <si>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</si>
  <si>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</si>
  <si>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</si>
  <si>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</si>
  <si>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</si>
  <si>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</si>
  <si>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</si>
  <si>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</si>
  <si>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</si>
  <si>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</si>
  <si>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</si>
  <si>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</si>
  <si>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</si>
  <si>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</si>
  <si>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</si>
  <si>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</si>
  <si>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</si>
  <si>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</si>
  <si>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</si>
  <si>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</si>
  <si>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</si>
  <si>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</si>
  <si>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</si>
  <si>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</si>
  <si>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</si>
  <si>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</si>
  <si>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</si>
  <si>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</si>
  <si>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</si>
  <si>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</si>
  <si>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</si>
  <si>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</si>
  <si>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</si>
  <si>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</si>
  <si>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</si>
  <si>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</si>
  <si>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</si>
  <si>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</si>
  <si>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</si>
  <si>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</si>
  <si>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</si>
  <si>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</si>
  <si>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</si>
  <si>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</si>
  <si>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</si>
  <si>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</si>
  <si>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</si>
  <si>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</si>
  <si>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</si>
  <si>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</si>
  <si>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</si>
  <si>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</si>
  <si>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</si>
  <si>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</si>
  <si>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</si>
  <si>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</si>
  <si>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</si>
  <si>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</si>
  <si>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</si>
  <si>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</si>
  <si>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</si>
  <si>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</si>
  <si>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</si>
  <si>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</si>
  <si>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</si>
  <si>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</si>
  <si>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</si>
  <si>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</si>
  <si>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</si>
  <si>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</si>
  <si>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</si>
  <si>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</si>
  <si>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</si>
  <si>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</si>
  <si>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</si>
  <si>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</si>
  <si>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</si>
  <si>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</si>
  <si>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</si>
  <si>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</si>
  <si>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</si>
  <si>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</si>
  <si>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</si>
  <si>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</si>
  <si>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</si>
  <si>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</si>
  <si>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</si>
  <si>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</si>
  <si>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</si>
  <si>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</si>
  <si>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</si>
  <si>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</si>
  <si>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</si>
  <si>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</si>
  <si>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</si>
  <si>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</si>
  <si>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</si>
  <si>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</si>
  <si>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</si>
  <si>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</si>
  <si>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</si>
  <si>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</si>
  <si>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</si>
  <si>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</si>
  <si>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</si>
  <si>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</si>
  <si>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</si>
  <si>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</si>
  <si>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</si>
  <si>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</si>
  <si>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</si>
  <si>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</si>
  <si>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</si>
  <si>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</si>
  <si>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</si>
  <si>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</si>
  <si>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</si>
  <si>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</si>
  <si>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</si>
  <si>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</si>
  <si>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</si>
  <si>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</si>
  <si>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</si>
  <si>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</si>
  <si>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</si>
  <si>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</si>
  <si>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</si>
  <si>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</si>
  <si>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</si>
  <si>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</si>
  <si>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</si>
  <si>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</si>
  <si>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</si>
  <si>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</si>
  <si>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</si>
  <si>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</si>
  <si>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</si>
  <si>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</si>
  <si>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</si>
  <si>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</si>
  <si>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</si>
  <si>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</si>
  <si>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</si>
  <si>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</si>
  <si>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</si>
  <si>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</si>
  <si>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</si>
  <si>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</si>
  <si>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</si>
  <si>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</si>
  <si>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</si>
  <si>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</si>
  <si>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</si>
  <si>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</si>
  <si>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</si>
  <si>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</si>
  <si>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</si>
  <si>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</si>
  <si>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</si>
  <si>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</si>
  <si>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</si>
  <si>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</si>
  <si>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</si>
  <si>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</si>
  <si>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</si>
  <si>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</si>
  <si>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</si>
  <si>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</si>
  <si>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</si>
  <si>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</si>
  <si>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</si>
  <si>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</si>
  <si>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</si>
  <si>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</si>
  <si>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</si>
  <si>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</si>
  <si>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</si>
  <si>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</si>
  <si>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</si>
  <si>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</si>
  <si>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</si>
  <si>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</si>
  <si>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</si>
  <si>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</si>
  <si>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</si>
  <si>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</si>
  <si>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</si>
  <si>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</si>
  <si>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</si>
  <si>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</si>
  <si>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</si>
  <si>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</si>
  <si>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</si>
  <si>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</si>
  <si>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</si>
  <si>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</si>
  <si>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</si>
  <si>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</si>
  <si>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</si>
  <si>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</si>
  <si>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</si>
  <si>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</si>
  <si>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</si>
  <si>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</si>
  <si>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</si>
  <si>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</si>
  <si>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</si>
  <si>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</si>
  <si>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</si>
  <si>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</si>
  <si>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</si>
  <si>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</si>
  <si>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</si>
  <si>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</si>
  <si>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</si>
  <si>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</si>
  <si>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</si>
  <si>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</si>
  <si>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</si>
  <si>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</si>
  <si>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</si>
  <si>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</si>
  <si>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</si>
  <si>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</si>
  <si>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</si>
  <si>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</si>
  <si>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</si>
  <si>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</si>
  <si>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</si>
  <si>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</si>
  <si>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</si>
  <si>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</si>
  <si>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</si>
  <si>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</si>
  <si>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</si>
  <si>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</si>
  <si>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</si>
  <si>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</si>
  <si>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</si>
  <si>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</si>
  <si>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</si>
  <si>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</si>
  <si>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</si>
  <si>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</si>
  <si>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</si>
  <si>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</si>
  <si>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</si>
  <si>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</si>
  <si>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</si>
  <si>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</si>
  <si>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</si>
  <si>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</si>
  <si>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</si>
  <si>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</si>
  <si>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</si>
  <si>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</si>
  <si>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</si>
  <si>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</si>
  <si>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</si>
  <si>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</si>
  <si>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</si>
  <si>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</si>
  <si>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</si>
  <si>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</si>
  <si>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</si>
  <si>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</si>
  <si>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</si>
  <si>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</si>
  <si>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</si>
  <si>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</si>
  <si>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</si>
  <si>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</si>
  <si>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</si>
  <si>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</si>
  <si>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</si>
  <si>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</si>
  <si>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</si>
  <si>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</si>
  <si>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</si>
  <si>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</si>
  <si>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</si>
  <si>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</si>
  <si>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</si>
  <si>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</si>
  <si>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</si>
  <si>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</si>
  <si>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</si>
  <si>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</si>
  <si>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</si>
  <si>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</si>
  <si>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</si>
  <si>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</si>
  <si>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</si>
  <si>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</si>
  <si>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</si>
  <si>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</si>
  <si>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</si>
  <si>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</si>
  <si>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</si>
  <si>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</si>
  <si>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</si>
  <si>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</si>
  <si>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</si>
  <si>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</si>
  <si>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</si>
  <si>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</si>
  <si>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</si>
  <si>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</si>
  <si>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</si>
  <si>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</si>
  <si>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</si>
  <si>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</si>
  <si>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</si>
  <si>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</si>
  <si>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</si>
  <si>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</si>
  <si>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</si>
  <si>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</si>
  <si>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</si>
  <si>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</si>
  <si>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</si>
  <si>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</si>
  <si>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</si>
  <si>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</si>
  <si>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</si>
  <si>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</si>
  <si>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</si>
  <si>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</si>
  <si>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</si>
  <si>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</si>
  <si>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</si>
  <si>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</si>
  <si>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</si>
  <si>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</si>
  <si>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</si>
  <si>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</si>
  <si>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</si>
  <si>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</si>
  <si>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</si>
  <si>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</si>
  <si>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</si>
  <si>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</si>
  <si>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</si>
  <si>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</si>
  <si>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</si>
  <si>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</si>
  <si>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</si>
  <si>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</si>
  <si>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</si>
  <si>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</si>
  <si>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</si>
  <si>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</si>
  <si>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</si>
  <si>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</si>
  <si>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</si>
  <si>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</si>
  <si>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</si>
  <si>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</si>
  <si>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</si>
  <si>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</si>
  <si>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</si>
  <si>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</si>
  <si>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</si>
  <si>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</si>
  <si>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</si>
  <si>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</si>
  <si>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</si>
  <si>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</si>
  <si>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</si>
  <si>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</si>
  <si>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</si>
  <si>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</si>
  <si>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</si>
  <si>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</si>
  <si>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</si>
  <si>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</si>
  <si>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</si>
  <si>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</si>
  <si>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</si>
  <si>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</si>
  <si>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</si>
  <si>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</si>
  <si>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</si>
  <si>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</si>
  <si>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</si>
  <si>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</si>
  <si>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</si>
  <si>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</si>
  <si>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</si>
  <si>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</si>
  <si>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</si>
  <si>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</si>
  <si>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</si>
  <si>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</si>
  <si>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</si>
  <si>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</si>
  <si>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</si>
  <si>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</si>
  <si>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</si>
  <si>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</si>
  <si>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</si>
  <si>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</si>
  <si>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</si>
  <si>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</si>
  <si>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</si>
  <si>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</si>
  <si>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</si>
  <si>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</si>
  <si>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</si>
  <si>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</si>
  <si>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</si>
  <si>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</si>
  <si>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</si>
  <si>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</si>
  <si>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</si>
  <si>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</si>
  <si>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</si>
  <si>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</si>
  <si>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</si>
  <si>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</si>
  <si>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</si>
  <si>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</si>
  <si>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</si>
  <si>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</si>
  <si>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</si>
  <si>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</si>
  <si>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</si>
  <si>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</si>
  <si>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</si>
  <si>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</si>
  <si>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</si>
  <si>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</si>
  <si>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</si>
  <si>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</si>
  <si>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</si>
  <si>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</si>
  <si>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</si>
  <si>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</si>
  <si>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</si>
  <si>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</si>
  <si>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</si>
  <si>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</si>
  <si>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</si>
  <si>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</si>
  <si>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</si>
  <si>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</si>
  <si>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</si>
  <si>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</si>
  <si>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</si>
  <si>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</si>
  <si>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</si>
  <si>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</si>
  <si>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</si>
  <si>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</si>
  <si>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</si>
  <si>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</si>
  <si>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</si>
  <si>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</si>
  <si>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</si>
  <si>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</si>
  <si>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</si>
  <si>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</si>
  <si>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</si>
  <si>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</si>
  <si>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</si>
  <si>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</si>
  <si>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</si>
  <si>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</si>
  <si>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</si>
  <si>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</si>
  <si>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</si>
  <si>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</si>
  <si>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</si>
  <si>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</si>
  <si>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</si>
  <si>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</si>
  <si>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</si>
  <si>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</si>
  <si>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</si>
  <si>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</si>
  <si>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</si>
  <si>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</si>
  <si>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</si>
  <si>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</si>
  <si>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</si>
  <si>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</si>
  <si>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</si>
  <si>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</si>
  <si>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</si>
  <si>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</si>
  <si>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</si>
  <si>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</si>
  <si>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</si>
  <si>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</si>
  <si>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</si>
  <si>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</si>
  <si>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</si>
  <si>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</si>
  <si>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</si>
  <si>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</si>
  <si>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</si>
  <si>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</si>
  <si>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</si>
  <si>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</si>
  <si>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</si>
  <si>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</si>
  <si>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</si>
  <si>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</si>
  <si>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</si>
  <si>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</si>
  <si>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</si>
  <si>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</si>
  <si>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</si>
  <si>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</si>
  <si>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</si>
  <si>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</si>
  <si>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</si>
  <si>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</si>
  <si>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</si>
  <si>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</si>
  <si>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</si>
  <si>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</si>
  <si>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</si>
  <si>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</si>
  <si>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</si>
  <si>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</si>
  <si>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</si>
  <si>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</si>
  <si>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</si>
  <si>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</si>
  <si>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</si>
  <si>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</si>
  <si>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</si>
  <si>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</si>
  <si>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</si>
  <si>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</si>
  <si>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</si>
  <si>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</si>
  <si>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</si>
  <si>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</si>
  <si>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</si>
  <si>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</si>
  <si>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</si>
  <si>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</si>
  <si>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</si>
  <si>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</si>
  <si>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</si>
  <si>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</si>
  <si>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</si>
  <si>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</si>
  <si>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</si>
  <si>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</si>
  <si>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</si>
  <si>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</si>
  <si>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</si>
  <si>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</si>
  <si>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</si>
  <si>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</si>
  <si>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</si>
  <si>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</si>
  <si>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</si>
  <si>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</si>
  <si>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</si>
  <si>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</si>
  <si>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</si>
  <si>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</si>
  <si>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</si>
  <si>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</si>
  <si>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</si>
  <si>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</si>
  <si>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</si>
  <si>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</si>
  <si>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</si>
  <si>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</si>
  <si>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</si>
  <si>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</si>
  <si>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</si>
  <si>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</si>
  <si>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</si>
  <si>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</si>
  <si>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</si>
  <si>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</si>
  <si>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</si>
  <si>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</si>
  <si>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</si>
  <si>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</si>
  <si>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</si>
  <si>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</si>
  <si>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</si>
  <si>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</si>
  <si>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</si>
  <si>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</si>
  <si>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</si>
  <si>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</si>
  <si>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</si>
  <si>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</si>
  <si>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</si>
  <si>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</si>
  <si>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</si>
  <si>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</si>
  <si>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</si>
  <si>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</si>
  <si>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</si>
  <si>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</si>
  <si>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</si>
  <si>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</si>
  <si>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</si>
  <si>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</si>
  <si>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</si>
  <si>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</si>
  <si>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</si>
  <si>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</si>
  <si>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</si>
  <si>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</si>
  <si>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</si>
  <si>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</si>
  <si>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</si>
  <si>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</si>
  <si>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</si>
  <si>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</si>
  <si>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</si>
  <si>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</si>
  <si>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</si>
  <si>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</si>
  <si>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</si>
  <si>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</si>
  <si>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</si>
  <si>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</si>
  <si>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</si>
  <si>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</si>
  <si>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</si>
  <si>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</si>
  <si>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</si>
  <si>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</si>
  <si>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</si>
  <si>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</si>
  <si>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</si>
  <si>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</si>
  <si>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</si>
  <si>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</si>
  <si>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</si>
  <si>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</si>
  <si>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</si>
  <si>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</si>
  <si>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</si>
  <si>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</si>
  <si>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</si>
  <si>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</si>
  <si>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</si>
  <si>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</si>
  <si>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</si>
  <si>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</si>
  <si>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</si>
  <si>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</si>
  <si>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</si>
  <si>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</si>
  <si>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</si>
  <si>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</si>
  <si>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</si>
  <si>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</si>
  <si>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</si>
  <si>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</si>
  <si>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</si>
  <si>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</si>
  <si>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</si>
  <si>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</si>
  <si>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</si>
  <si>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</si>
  <si>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</si>
  <si>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</si>
  <si>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</si>
  <si>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</si>
  <si>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</si>
  <si>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</si>
  <si>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</si>
  <si>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</si>
  <si>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</si>
  <si>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</si>
  <si>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</si>
  <si>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</si>
  <si>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</si>
  <si>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</si>
  <si>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</si>
  <si>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</si>
  <si>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</si>
  <si>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</si>
  <si>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</si>
  <si>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</si>
  <si>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</si>
  <si>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</si>
  <si>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</si>
  <si>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</si>
  <si>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</si>
  <si>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</si>
  <si>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</si>
  <si>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</si>
  <si>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</si>
  <si>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</si>
  <si>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</si>
  <si>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</si>
  <si>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</si>
  <si>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</si>
  <si>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</si>
  <si>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</si>
  <si>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</si>
  <si>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</si>
  <si>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</si>
  <si>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</si>
  <si>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</si>
  <si>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</si>
  <si>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</si>
  <si>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</si>
  <si>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</si>
  <si>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</si>
  <si>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</si>
  <si>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</si>
  <si>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</si>
  <si>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</si>
  <si>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</si>
  <si>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</si>
  <si>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</si>
  <si>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</si>
  <si>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</si>
  <si>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</si>
  <si>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</si>
  <si>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</si>
  <si>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</si>
  <si>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</si>
  <si>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</si>
  <si>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</si>
  <si>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</si>
  <si>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</si>
  <si>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</si>
  <si>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</si>
  <si>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</si>
  <si>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</si>
  <si>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</si>
  <si>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</si>
  <si>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</si>
  <si>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</si>
  <si>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</si>
  <si>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</si>
  <si>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</si>
  <si>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</si>
  <si>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</si>
  <si>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</si>
  <si>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</si>
  <si>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</si>
  <si>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</si>
  <si>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</si>
  <si>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</si>
  <si>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</si>
  <si>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</si>
  <si>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</si>
  <si>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</si>
  <si>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</si>
  <si>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</si>
  <si>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</si>
  <si>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</si>
  <si>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</si>
  <si>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</si>
  <si>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</si>
  <si>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</si>
  <si>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</si>
  <si>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</si>
  <si>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</si>
  <si>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</si>
  <si>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</si>
  <si>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</si>
  <si>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</si>
  <si>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</si>
  <si>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</si>
  <si>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</si>
  <si>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</si>
  <si>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</si>
  <si>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</si>
  <si>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</si>
  <si>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</si>
  <si>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</si>
  <si>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</si>
  <si>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</si>
  <si>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</si>
  <si>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</si>
  <si>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</si>
  <si>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</si>
  <si>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</si>
  <si>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</si>
  <si>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</si>
  <si>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</si>
  <si>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</si>
  <si>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</si>
  <si>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</si>
  <si>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</si>
  <si>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</si>
  <si>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</si>
  <si>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</si>
  <si>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</si>
  <si>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</si>
  <si>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</si>
  <si>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</si>
  <si>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</si>
  <si>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</si>
  <si>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</si>
  <si>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</si>
  <si>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</si>
  <si>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</si>
  <si>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</si>
  <si>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</si>
  <si>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</si>
  <si>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</si>
  <si>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</si>
  <si>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</si>
  <si>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</si>
  <si>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</si>
  <si>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</si>
  <si>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</si>
  <si>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</si>
  <si>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</si>
  <si>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</si>
  <si>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</si>
  <si>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</si>
  <si>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</si>
  <si>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</si>
  <si>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</si>
  <si>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</si>
  <si>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</si>
  <si>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</si>
  <si>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</si>
  <si>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</si>
  <si>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</si>
  <si>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</si>
  <si>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</si>
  <si>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</si>
  <si>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</si>
  <si>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</si>
  <si>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</si>
  <si>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</si>
  <si>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</si>
  <si>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</si>
  <si>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</si>
  <si>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</si>
  <si>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</si>
  <si>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</si>
  <si>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</si>
  <si>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</si>
  <si>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</si>
  <si>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</si>
  <si>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</si>
  <si>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</si>
  <si>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</si>
  <si>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</si>
  <si>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</si>
  <si>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</si>
  <si>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</si>
  <si>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</si>
  <si>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</si>
  <si>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</si>
  <si>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</si>
  <si>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</si>
  <si>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</si>
  <si>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</si>
  <si>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</si>
  <si>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</si>
  <si>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</si>
  <si>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</si>
  <si>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</si>
  <si>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</si>
  <si>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</si>
  <si>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</si>
  <si>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</si>
  <si>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</si>
  <si>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</si>
  <si>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</si>
  <si>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</si>
  <si>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</si>
  <si>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</si>
  <si>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</si>
  <si>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</si>
  <si>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</si>
  <si>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</si>
  <si>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</si>
  <si>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</si>
  <si>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</si>
  <si>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</si>
  <si>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</si>
  <si>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</si>
  <si>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</si>
  <si>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</si>
  <si>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</si>
  <si>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</si>
  <si>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</si>
  <si>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</si>
  <si>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</si>
  <si>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</si>
  <si>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</si>
  <si>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</si>
  <si>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</si>
  <si>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</si>
  <si>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</si>
  <si>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</si>
  <si>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</si>
  <si>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</si>
  <si>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</si>
  <si>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</si>
  <si>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</si>
  <si>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</si>
  <si>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</si>
  <si>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</si>
  <si>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</si>
  <si>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</si>
  <si>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</si>
  <si>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</si>
  <si>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</si>
  <si>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</si>
  <si>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</si>
  <si>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</si>
  <si>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</si>
  <si>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</si>
  <si>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</si>
  <si>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</si>
  <si>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</si>
  <si>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</si>
  <si>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</si>
  <si>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</si>
  <si>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</si>
  <si>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</si>
  <si>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</si>
  <si>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</si>
  <si>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</si>
  <si>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</si>
  <si>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</si>
  <si>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</si>
  <si>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</si>
  <si>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</si>
  <si>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</si>
  <si>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</si>
  <si>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</si>
  <si>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</si>
  <si>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</si>
  <si>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</si>
  <si>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</si>
  <si>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</si>
  <si>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</si>
  <si>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</si>
  <si>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</si>
  <si>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</si>
  <si>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</si>
  <si>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</si>
  <si>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</si>
  <si>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</si>
  <si>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</si>
  <si>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</si>
  <si>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</si>
  <si>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</si>
  <si>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</si>
  <si>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</si>
  <si>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</si>
  <si>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</si>
  <si>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</si>
  <si>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</si>
  <si>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</si>
  <si>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</si>
  <si>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</si>
  <si>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</si>
  <si>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</si>
  <si>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</si>
  <si>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</si>
  <si>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</si>
  <si>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</si>
  <si>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</si>
  <si>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</si>
  <si>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</si>
  <si>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</si>
  <si>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</si>
  <si>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</si>
  <si>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</si>
  <si>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</si>
  <si>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</si>
  <si>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</si>
  <si>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</si>
  <si>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</si>
  <si>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</si>
  <si>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</si>
  <si>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</si>
  <si>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</si>
  <si>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</si>
  <si>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</si>
  <si>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</si>
  <si>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</si>
  <si>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</si>
  <si>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</si>
  <si>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</si>
  <si>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</si>
  <si>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</si>
  <si>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</si>
  <si>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</si>
  <si>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</si>
  <si>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</si>
  <si>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</si>
  <si>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</si>
  <si>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</si>
  <si>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</si>
  <si>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</si>
  <si>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</si>
  <si>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</si>
  <si>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</si>
  <si>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</si>
  <si>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</si>
  <si>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</si>
  <si>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</si>
  <si>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</si>
  <si>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</si>
  <si>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</si>
  <si>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</si>
  <si>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</si>
  <si>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</si>
  <si>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</si>
  <si>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</si>
  <si>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</si>
  <si>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</si>
  <si>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</si>
  <si>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</si>
  <si>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</si>
  <si>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</si>
  <si>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</si>
  <si>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</si>
  <si>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</si>
  <si>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</si>
  <si>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</si>
  <si>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</si>
  <si>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</si>
  <si>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</si>
  <si>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</si>
  <si>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</si>
  <si>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</si>
  <si>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</si>
  <si>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</si>
  <si>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</si>
  <si>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</si>
  <si>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</si>
  <si>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</si>
  <si>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</si>
  <si>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</si>
  <si>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</si>
  <si>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</si>
  <si>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</si>
  <si>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</si>
  <si>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</si>
  <si>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</si>
  <si>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</si>
  <si>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</si>
  <si>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</si>
  <si>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</si>
  <si>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</si>
  <si>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</si>
  <si>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</si>
  <si>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</si>
  <si>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</si>
  <si>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</si>
  <si>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</si>
  <si>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</si>
  <si>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</si>
  <si>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</si>
  <si>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</si>
  <si>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</si>
  <si>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</si>
  <si>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</si>
  <si>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</si>
  <si>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</si>
  <si>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</si>
  <si>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</si>
  <si>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</si>
  <si>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</si>
  <si>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</si>
  <si>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</si>
  <si>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</si>
  <si>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</si>
  <si>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</si>
  <si>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</si>
  <si>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</si>
  <si>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</si>
  <si>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</si>
  <si>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</si>
  <si>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</si>
  <si>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</si>
  <si>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</si>
  <si>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</si>
  <si>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</si>
  <si>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</si>
  <si>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</si>
  <si>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</si>
  <si>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</si>
  <si>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</si>
  <si>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</si>
  <si>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</si>
  <si>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</si>
  <si>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</si>
  <si>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</si>
  <si>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</si>
  <si>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</si>
  <si>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</si>
  <si>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</si>
  <si>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</si>
  <si>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</si>
  <si>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</si>
  <si>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</si>
  <si>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</si>
  <si>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</si>
  <si>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</si>
  <si>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</si>
  <si>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</si>
  <si>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</si>
  <si>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</si>
  <si>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</si>
  <si>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</si>
  <si>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</si>
  <si>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</si>
  <si>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</si>
  <si>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</si>
  <si>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</si>
  <si>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</si>
  <si>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</si>
  <si>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</si>
  <si>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</si>
  <si>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</si>
  <si>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</si>
  <si>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</si>
  <si>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</si>
  <si>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</si>
  <si>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</si>
  <si>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</si>
  <si>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</si>
  <si>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</si>
  <si>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</si>
  <si>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</si>
  <si>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</si>
  <si>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</si>
  <si>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</si>
  <si>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</si>
  <si>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</si>
  <si>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</si>
  <si>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</si>
  <si>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</si>
  <si>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</si>
  <si>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</si>
  <si>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</si>
  <si>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</si>
  <si>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</si>
  <si>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</si>
  <si>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</si>
  <si>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</si>
  <si>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</si>
  <si>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</si>
  <si>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</si>
  <si>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</si>
  <si>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</si>
  <si>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</si>
  <si>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</si>
  <si>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</si>
  <si>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</si>
  <si>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</si>
  <si>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</si>
  <si>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</si>
  <si>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</si>
  <si>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</si>
  <si>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</si>
  <si>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</si>
  <si>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</si>
  <si>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</si>
  <si>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</si>
  <si>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</si>
  <si>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</si>
  <si>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</si>
  <si>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</si>
  <si>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</si>
  <si>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</si>
  <si>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</si>
  <si>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</si>
  <si>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</si>
  <si>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</si>
  <si>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</si>
  <si>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</si>
  <si>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</si>
  <si>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</si>
  <si>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</si>
  <si>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</si>
  <si>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</si>
  <si>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</si>
  <si>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</si>
  <si>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</si>
  <si>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</si>
  <si>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</si>
  <si>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</si>
  <si>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</si>
  <si>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</si>
  <si>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</si>
  <si>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</si>
  <si>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</si>
  <si>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</si>
  <si>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</si>
  <si>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</si>
  <si>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</si>
  <si>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</si>
  <si>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</si>
  <si>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</si>
  <si>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</si>
  <si>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</si>
  <si>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</si>
  <si>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</si>
  <si>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</si>
  <si>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</si>
  <si>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</si>
  <si>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</si>
  <si>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</si>
  <si>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</si>
  <si>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</si>
  <si>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</si>
  <si>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</si>
  <si>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</si>
  <si>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</si>
  <si>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</si>
  <si>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</si>
  <si>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</si>
  <si>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</si>
  <si>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</si>
  <si>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</si>
  <si>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</si>
  <si>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</si>
  <si>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</si>
  <si>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</si>
  <si>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</si>
  <si>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</si>
  <si>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</si>
  <si>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</si>
  <si>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</si>
  <si>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</si>
  <si>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</si>
  <si>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</si>
  <si>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</si>
  <si>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</si>
  <si>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</si>
  <si>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</si>
  <si>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</si>
  <si>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</si>
  <si>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</si>
  <si>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</si>
  <si>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</si>
  <si>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</si>
  <si>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</si>
  <si>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</si>
  <si>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</si>
  <si>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</si>
  <si>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</si>
  <si>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</si>
  <si>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</si>
  <si>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</si>
  <si>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</si>
  <si>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</si>
  <si>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</si>
  <si>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</si>
  <si>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</si>
  <si>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</si>
  <si>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</si>
  <si>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</si>
  <si>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</si>
  <si>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</si>
  <si>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</si>
  <si>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</si>
  <si>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</si>
  <si>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</si>
  <si>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</si>
  <si>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</si>
  <si>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</si>
  <si>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</si>
  <si>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</si>
  <si>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</si>
  <si>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</si>
  <si>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</si>
  <si>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</si>
  <si>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</si>
  <si>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</si>
  <si>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</si>
  <si>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</si>
  <si>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</si>
  <si>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</si>
  <si>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</si>
  <si>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</si>
  <si>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</si>
  <si>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</si>
  <si>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</si>
  <si>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</si>
  <si>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</si>
  <si>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</si>
  <si>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</si>
  <si>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</si>
  <si>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</si>
  <si>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</si>
  <si>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</si>
  <si>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</si>
  <si>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</si>
  <si>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</si>
  <si>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</si>
  <si>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</si>
  <si>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</si>
  <si>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</si>
  <si>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</si>
  <si>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</si>
  <si>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</si>
  <si>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</si>
  <si>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</si>
  <si>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</si>
  <si>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</si>
  <si>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</si>
  <si>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</si>
  <si>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</si>
  <si>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</si>
  <si>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</si>
  <si>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</si>
  <si>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</si>
  <si>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</si>
  <si>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</si>
  <si>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</si>
  <si>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</si>
  <si>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</si>
  <si>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</si>
  <si>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</si>
  <si>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</si>
  <si>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</si>
  <si>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</si>
  <si>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</si>
  <si>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</si>
  <si>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</si>
  <si>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</si>
  <si>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</si>
  <si>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</si>
  <si>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</si>
  <si>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</si>
  <si>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</si>
  <si>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</si>
  <si>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</si>
  <si>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</si>
  <si>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</si>
  <si>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</si>
  <si>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</si>
  <si>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</si>
  <si>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</si>
  <si>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</si>
  <si>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</si>
  <si>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</si>
  <si>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</si>
  <si>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</si>
  <si>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</si>
  <si>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</si>
  <si>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</si>
  <si>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</si>
  <si>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</si>
  <si>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</si>
  <si>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</si>
  <si>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</si>
  <si>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</si>
  <si>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</si>
  <si>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</si>
  <si>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</si>
  <si>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</si>
  <si>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</si>
  <si>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</si>
  <si>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</si>
  <si>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</si>
  <si>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</si>
  <si>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</si>
  <si>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</si>
  <si>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</si>
  <si>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</si>
  <si>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</si>
  <si>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</si>
  <si>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</si>
  <si>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</si>
  <si>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</si>
  <si>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</si>
  <si>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</si>
  <si>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</si>
  <si>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</si>
  <si>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</si>
  <si>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</si>
  <si>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</si>
  <si>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</si>
  <si>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</si>
  <si>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</si>
  <si>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</si>
  <si>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</si>
  <si>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</si>
  <si>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</si>
  <si>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</si>
  <si>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</si>
  <si>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</si>
  <si>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</si>
  <si>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</si>
  <si>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</si>
  <si>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</si>
  <si>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</si>
  <si>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</si>
  <si>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</si>
  <si>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</si>
  <si>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</si>
  <si>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</si>
  <si>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</si>
  <si>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</si>
  <si>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</si>
  <si>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</si>
  <si>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</si>
  <si>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</si>
  <si>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</si>
  <si>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</si>
  <si>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</si>
  <si>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</si>
  <si>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</si>
  <si>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</si>
  <si>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</si>
  <si>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</si>
  <si>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</si>
  <si>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</si>
  <si>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</si>
  <si>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</si>
  <si>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</si>
  <si>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</si>
  <si>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</si>
  <si>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</si>
  <si>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</si>
  <si>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</si>
  <si>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</si>
  <si>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</si>
  <si>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</si>
  <si>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</si>
  <si>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</si>
  <si>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</si>
  <si>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</si>
  <si>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</si>
  <si>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</si>
  <si>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</si>
  <si>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</si>
  <si>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</si>
  <si>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</si>
  <si>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</si>
  <si>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</si>
  <si>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</si>
  <si>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</si>
  <si>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</si>
  <si>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</si>
  <si>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</si>
  <si>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</si>
  <si>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</si>
  <si>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</si>
  <si>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</si>
  <si>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</si>
  <si>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</si>
  <si>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</si>
  <si>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</si>
  <si>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</si>
  <si>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</si>
  <si>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</si>
  <si>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</si>
  <si>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</si>
  <si>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</si>
  <si>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</si>
  <si>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</si>
  <si>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</si>
  <si>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</si>
  <si>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</si>
  <si>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</si>
  <si>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</si>
  <si>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</si>
  <si>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</si>
  <si>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</si>
  <si>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</si>
  <si>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</si>
  <si>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</si>
  <si>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</si>
  <si>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</si>
  <si>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</si>
  <si>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</si>
  <si>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</si>
  <si>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</si>
  <si>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</si>
  <si>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</si>
  <si>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</si>
  <si>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</si>
  <si>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</si>
  <si>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</si>
  <si>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</si>
  <si>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</si>
  <si>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</si>
  <si>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</si>
  <si>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</si>
  <si>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</si>
  <si>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</si>
  <si>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</si>
  <si>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</si>
  <si>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</si>
  <si>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</si>
  <si>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</si>
  <si>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</si>
  <si>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</si>
  <si>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</si>
  <si>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</si>
  <si>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</si>
  <si>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</si>
  <si>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</si>
  <si>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</si>
  <si>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</si>
  <si>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</si>
  <si>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</si>
  <si>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</si>
  <si>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</si>
  <si>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</si>
  <si>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</si>
  <si>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</si>
  <si>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</si>
  <si>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</si>
  <si>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</si>
  <si>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</si>
  <si>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</si>
  <si>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</si>
  <si>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</si>
  <si>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</si>
  <si>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</si>
  <si>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</si>
  <si>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</si>
  <si>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</si>
  <si>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</si>
  <si>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</si>
  <si>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</si>
  <si>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</si>
  <si>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</si>
  <si>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</si>
  <si>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</si>
  <si>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</si>
  <si>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</si>
  <si>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</si>
  <si>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</si>
  <si>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</si>
  <si>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</si>
  <si>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</si>
  <si>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</si>
  <si>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</si>
  <si>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</si>
  <si>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</si>
  <si>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</si>
  <si>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</si>
  <si>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</si>
  <si>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</si>
  <si>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</si>
  <si>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</si>
  <si>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</si>
  <si>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</si>
  <si>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</si>
  <si>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</si>
  <si>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</si>
  <si>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</si>
  <si>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</si>
  <si>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</si>
  <si>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</si>
  <si>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</si>
  <si>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</si>
  <si>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</si>
  <si>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</si>
  <si>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</si>
  <si>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</si>
  <si>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</si>
  <si>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</si>
  <si>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</si>
  <si>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</si>
  <si>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</si>
  <si>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</si>
  <si>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</si>
  <si>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</si>
  <si>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</si>
  <si>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</si>
  <si>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</si>
  <si>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</si>
  <si>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</si>
  <si>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</si>
  <si>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</si>
  <si>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</si>
  <si>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</si>
  <si>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</si>
  <si>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</si>
  <si>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</si>
  <si>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</si>
  <si>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</si>
  <si>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</si>
  <si>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</si>
  <si>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</si>
  <si>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</si>
  <si>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</si>
  <si>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</si>
  <si>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</si>
  <si>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</si>
  <si>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</si>
  <si>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</si>
  <si>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</si>
  <si>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</si>
  <si>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</si>
  <si>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</si>
  <si>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</si>
  <si>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</si>
  <si>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</si>
  <si>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</si>
  <si>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</si>
  <si>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</si>
  <si>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</si>
  <si>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</si>
  <si>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</si>
  <si>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</si>
  <si>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</si>
  <si>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</si>
  <si>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</si>
  <si>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</si>
  <si>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</si>
  <si>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</si>
  <si>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</si>
  <si>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</si>
  <si>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</si>
  <si>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</si>
  <si>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</si>
  <si>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</si>
  <si>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</si>
  <si>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</si>
  <si>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</si>
  <si>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</si>
  <si>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</si>
  <si>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</si>
  <si>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</si>
  <si>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</si>
  <si>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</si>
  <si>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</si>
  <si>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</si>
  <si>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</si>
  <si>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</si>
  <si>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</si>
  <si>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</si>
  <si>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</si>
  <si>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</si>
  <si>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</si>
  <si>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</si>
  <si>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</si>
  <si>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</si>
  <si>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</si>
  <si>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</si>
  <si>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</si>
  <si>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</si>
  <si>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</si>
  <si>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</si>
  <si>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</si>
  <si>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</si>
  <si>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</si>
  <si>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</si>
  <si>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</si>
  <si>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</si>
  <si>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</si>
  <si>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</si>
  <si>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</si>
  <si>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</si>
  <si>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</si>
  <si>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</si>
  <si>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</si>
  <si>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</si>
  <si>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</si>
  <si>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</si>
  <si>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</si>
  <si>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</si>
  <si>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</si>
  <si>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</si>
  <si>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</si>
  <si>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</si>
  <si>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</si>
  <si>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</si>
  <si>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</si>
  <si>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</si>
  <si>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</si>
  <si>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</si>
  <si>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</si>
  <si>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</si>
  <si>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</si>
  <si>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</si>
  <si>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</si>
  <si>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</si>
  <si>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</si>
  <si>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</si>
  <si>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</si>
  <si>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</si>
  <si>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</si>
  <si>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</si>
  <si>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</si>
  <si>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</si>
  <si>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</si>
  <si>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</si>
  <si>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</si>
  <si>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</si>
  <si>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</si>
  <si>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</si>
  <si>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</si>
  <si>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</si>
  <si>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</si>
  <si>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</si>
  <si>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</si>
  <si>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</si>
  <si>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</si>
  <si>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</si>
  <si>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</si>
  <si>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</si>
  <si>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</si>
  <si>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</si>
  <si>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</si>
  <si>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</si>
  <si>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</si>
  <si>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</si>
  <si>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</si>
  <si>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</si>
  <si>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</si>
  <si>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</si>
  <si>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</si>
  <si>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</si>
  <si>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</si>
  <si>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</si>
  <si>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</si>
  <si>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</si>
  <si>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</si>
  <si>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</si>
  <si>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</si>
  <si>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</si>
  <si>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</si>
  <si>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</si>
  <si>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</si>
  <si>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</si>
  <si>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</si>
  <si>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</si>
  <si>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</si>
  <si>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</si>
  <si>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</si>
  <si>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</si>
  <si>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</si>
  <si>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</si>
  <si>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</si>
  <si>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</si>
  <si>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</si>
  <si>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</si>
  <si>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</si>
  <si>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</si>
  <si>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</si>
  <si>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</si>
  <si>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</si>
  <si>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</si>
  <si>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</si>
  <si>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</si>
  <si>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</si>
  <si>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</si>
  <si>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</si>
  <si>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</si>
  <si>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</si>
  <si>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</si>
  <si>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</si>
  <si>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</si>
  <si>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</si>
  <si>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</si>
  <si>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</si>
  <si>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</si>
  <si>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</si>
  <si>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</si>
  <si>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</si>
  <si>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</si>
  <si>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</si>
  <si>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</si>
  <si>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</si>
  <si>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</si>
  <si>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</si>
  <si>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</si>
  <si>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</si>
  <si>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</si>
  <si>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</si>
  <si>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</si>
  <si>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</si>
  <si>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</si>
  <si>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</si>
  <si>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</si>
  <si>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</si>
  <si>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</si>
  <si>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</si>
  <si>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</si>
  <si>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</si>
  <si>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</si>
  <si>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</si>
  <si>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</si>
  <si>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</si>
  <si>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</si>
  <si>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</si>
  <si>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</si>
  <si>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</si>
  <si>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</si>
  <si>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</si>
  <si>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</si>
  <si>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</si>
  <si>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</si>
  <si>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</si>
  <si>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</si>
  <si>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</si>
  <si>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</si>
  <si>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</si>
  <si>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</si>
  <si>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</si>
  <si>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</si>
  <si>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</si>
  <si>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</si>
  <si>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</si>
  <si>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</si>
  <si>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</si>
  <si>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</si>
  <si>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</si>
  <si>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</si>
  <si>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</si>
  <si>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</si>
  <si>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</si>
  <si>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</si>
  <si>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</si>
  <si>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</si>
  <si>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</si>
  <si>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</si>
  <si>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</si>
  <si>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</si>
  <si>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</si>
  <si>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</si>
  <si>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</si>
  <si>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</si>
  <si>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</si>
  <si>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</si>
  <si>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</si>
  <si>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</si>
  <si>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</si>
  <si>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</si>
  <si>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</si>
  <si>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</si>
  <si>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</si>
  <si>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</si>
  <si>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</si>
  <si>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</si>
  <si>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</si>
  <si>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</si>
  <si>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</si>
  <si>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</si>
  <si>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</si>
  <si>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</si>
  <si>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</si>
  <si>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</si>
  <si>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</si>
  <si>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</si>
  <si>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</si>
  <si>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</si>
  <si>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</si>
  <si>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</si>
  <si>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</si>
  <si>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</si>
  <si>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</si>
  <si>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</si>
  <si>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</si>
  <si>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</si>
  <si>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</si>
  <si>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</si>
  <si>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</si>
  <si>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</si>
  <si>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</si>
  <si>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</si>
  <si>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</si>
  <si>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</si>
  <si>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</si>
  <si>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</si>
  <si>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</si>
  <si>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</si>
  <si>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</si>
  <si>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</si>
  <si>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</si>
  <si>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</si>
  <si>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</si>
  <si>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</si>
  <si>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</si>
  <si>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</si>
  <si>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</si>
  <si>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</si>
  <si>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</si>
  <si>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</si>
  <si>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</si>
  <si>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</si>
  <si>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</si>
  <si>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</si>
  <si>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</si>
  <si>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</si>
  <si>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</si>
  <si>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</si>
  <si>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</si>
  <si>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</si>
  <si>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</si>
  <si>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</si>
  <si>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</si>
  <si>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</si>
  <si>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</si>
  <si>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</si>
  <si>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</si>
  <si>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</si>
  <si>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</si>
  <si>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</si>
  <si>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</si>
  <si>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</si>
  <si>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</si>
  <si>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</si>
  <si>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</si>
  <si>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</si>
  <si>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</si>
  <si>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</si>
  <si>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</si>
  <si>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</si>
  <si>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</si>
  <si>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</si>
  <si>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</si>
  <si>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</si>
  <si>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</si>
  <si>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</si>
  <si>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</si>
  <si>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</si>
  <si>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</si>
  <si>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</si>
  <si>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</si>
  <si>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</si>
  <si>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</si>
  <si>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</si>
  <si>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</si>
  <si>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</si>
  <si>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</si>
  <si>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</si>
  <si>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</si>
  <si>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</si>
  <si>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</si>
  <si>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</si>
  <si>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</si>
  <si>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</si>
  <si>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</si>
  <si>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</si>
  <si>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</si>
  <si>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</si>
  <si>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</si>
  <si>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</si>
  <si>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</si>
  <si>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</si>
  <si>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</si>
  <si>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</si>
  <si>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</si>
  <si>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</si>
  <si>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</si>
  <si>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</si>
  <si>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</si>
  <si>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</si>
  <si>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</si>
  <si>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</si>
  <si>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</si>
  <si>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</si>
  <si>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</si>
  <si>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</si>
  <si>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</si>
  <si>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</si>
  <si>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</si>
  <si>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</si>
  <si>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</si>
  <si>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</si>
  <si>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</si>
  <si>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</si>
  <si>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</si>
  <si>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</si>
  <si>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</si>
  <si>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</si>
  <si>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</si>
  <si>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</si>
  <si>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</si>
  <si>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</si>
  <si>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</si>
  <si>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</si>
  <si>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</si>
  <si>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</si>
  <si>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</si>
  <si>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</si>
  <si>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</si>
  <si>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</si>
  <si>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</si>
  <si>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</si>
  <si>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</si>
  <si>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</si>
  <si>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</si>
  <si>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</si>
  <si>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</si>
  <si>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</si>
  <si>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</si>
  <si>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</si>
  <si>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</si>
  <si>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</si>
  <si>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</si>
  <si>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</si>
  <si>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</si>
  <si>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</si>
  <si>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</si>
  <si>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</si>
  <si>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</si>
  <si>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</si>
  <si>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</si>
  <si>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</si>
  <si>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</si>
  <si>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</si>
  <si>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</si>
  <si>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</si>
  <si>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</si>
  <si>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</si>
  <si>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</si>
  <si>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</si>
  <si>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</si>
  <si>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</si>
  <si>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</si>
  <si>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</si>
  <si>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</si>
  <si>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</si>
  <si>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</si>
  <si>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</si>
  <si>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</si>
  <si>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</si>
  <si>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</si>
  <si>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</si>
  <si>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</si>
  <si>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</si>
  <si>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</si>
  <si>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</si>
  <si>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</si>
  <si>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</si>
  <si>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</si>
  <si>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</si>
  <si>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</si>
  <si>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</si>
  <si>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</si>
  <si>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</si>
  <si>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</si>
  <si>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</si>
  <si>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</si>
  <si>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</si>
  <si>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</si>
  <si>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</si>
  <si>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</si>
  <si>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</si>
  <si>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</si>
  <si>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</si>
  <si>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</si>
  <si>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</si>
  <si>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</si>
  <si>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</si>
  <si>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</si>
  <si>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</si>
  <si>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</si>
  <si>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</si>
  <si>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</si>
  <si>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</si>
  <si>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</si>
  <si>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</si>
  <si>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</si>
  <si>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</si>
  <si>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</si>
  <si>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</si>
  <si>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</si>
  <si>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</si>
  <si>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</si>
  <si>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</si>
  <si>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</si>
  <si>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</si>
  <si>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</si>
  <si>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</si>
  <si>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</si>
  <si>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</si>
  <si>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</si>
  <si>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</si>
  <si>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</si>
  <si>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</si>
  <si>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</si>
  <si>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</si>
  <si>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</si>
  <si>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</si>
  <si>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</si>
  <si>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</si>
  <si>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</si>
  <si>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</si>
  <si>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</si>
  <si>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</si>
  <si>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</si>
  <si>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</si>
  <si>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</si>
  <si>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</si>
  <si>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</si>
  <si>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</si>
  <si>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</si>
  <si>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</si>
  <si>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</si>
  <si>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</si>
  <si>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</si>
  <si>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</si>
  <si>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</si>
  <si>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</si>
  <si>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</si>
  <si>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</si>
  <si>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</si>
  <si>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</si>
  <si>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</si>
  <si>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</si>
  <si>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</si>
  <si>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</si>
  <si>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</si>
  <si>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</si>
  <si>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</si>
  <si>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</si>
  <si>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</si>
  <si>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</si>
  <si>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</si>
  <si>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</si>
  <si>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</si>
  <si>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</si>
  <si>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</si>
  <si>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</si>
  <si>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</si>
  <si>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</si>
  <si>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</si>
  <si>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</si>
  <si>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</si>
  <si>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</si>
  <si>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</si>
  <si>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</si>
  <si>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</si>
  <si>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</si>
  <si>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</si>
  <si>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</si>
  <si>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</si>
  <si>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</si>
  <si>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</si>
  <si>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</si>
  <si>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</si>
  <si>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</si>
  <si>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</si>
  <si>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</si>
  <si>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</si>
  <si>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</si>
  <si>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</si>
  <si>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</si>
  <si>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</si>
  <si>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</si>
  <si>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</si>
  <si>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</si>
  <si>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</si>
  <si>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</si>
  <si>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</si>
  <si>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</si>
  <si>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</si>
  <si>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</si>
  <si>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</si>
  <si>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</si>
  <si>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</si>
  <si>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</si>
  <si>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</si>
  <si>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</si>
  <si>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</si>
  <si>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</si>
  <si>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</si>
  <si>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</si>
  <si>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</si>
  <si>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</si>
  <si>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</si>
  <si>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</si>
  <si>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</si>
  <si>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</si>
  <si>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</si>
  <si>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</si>
  <si>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</si>
  <si>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</si>
  <si>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</si>
  <si>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</si>
  <si>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</si>
  <si>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</si>
  <si>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</si>
  <si>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</si>
  <si>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</si>
  <si>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</si>
  <si>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</si>
  <si>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</si>
  <si>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</si>
  <si>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</si>
  <si>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</si>
  <si>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</si>
  <si>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</si>
  <si>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</si>
  <si>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</si>
  <si>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</si>
  <si>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</si>
  <si>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</si>
  <si>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</si>
  <si>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</si>
  <si>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</si>
  <si>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</si>
  <si>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</si>
  <si>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</si>
  <si>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</si>
  <si>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</si>
  <si>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</si>
  <si>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</si>
  <si>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</si>
  <si>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</si>
  <si>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</si>
  <si>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</si>
  <si>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</si>
  <si>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</si>
  <si>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</si>
  <si>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</si>
  <si>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</si>
  <si>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</si>
  <si>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</si>
  <si>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</si>
  <si>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</si>
  <si>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</si>
  <si>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</si>
  <si>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</si>
  <si>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</si>
  <si>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</si>
  <si>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</si>
  <si>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</si>
  <si>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</si>
  <si>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</si>
  <si>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</si>
  <si>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</si>
  <si>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</si>
  <si>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</si>
  <si>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</si>
  <si>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</si>
  <si>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</si>
  <si>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</si>
  <si>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</si>
  <si>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</si>
  <si>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</si>
  <si>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</si>
  <si>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</si>
  <si>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</si>
  <si>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</si>
  <si>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</si>
  <si>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</si>
  <si>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</si>
  <si>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</si>
  <si>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</si>
  <si>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</si>
  <si>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</si>
  <si>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</si>
  <si>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</si>
  <si>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</si>
  <si>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</si>
  <si>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</si>
  <si>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</si>
  <si>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</si>
  <si>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</si>
  <si>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</si>
  <si>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</si>
  <si>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</si>
  <si>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</si>
  <si>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</si>
  <si>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</si>
  <si>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</si>
  <si>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</si>
  <si>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</si>
  <si>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</si>
  <si>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</si>
  <si>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</si>
  <si>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</si>
  <si>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</si>
  <si>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</si>
  <si>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</si>
  <si>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</si>
  <si>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</si>
  <si>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</si>
  <si>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</si>
  <si>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</si>
  <si>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</si>
  <si>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</si>
  <si>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</si>
  <si>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</si>
  <si>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</si>
  <si>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</si>
  <si>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</si>
  <si>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</si>
  <si>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</si>
  <si>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</si>
  <si>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</si>
  <si>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</si>
  <si>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</si>
  <si>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</si>
  <si>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</si>
  <si>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</si>
  <si>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</si>
  <si>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</si>
  <si>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</si>
  <si>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</si>
  <si>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</si>
  <si>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</si>
  <si>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</si>
  <si>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</si>
  <si>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</si>
  <si>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</si>
  <si>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</si>
  <si>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</si>
  <si>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</si>
  <si>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</si>
  <si>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</si>
  <si>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</si>
  <si>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</si>
  <si>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</si>
  <si>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</si>
  <si>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</si>
  <si>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</si>
  <si>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</si>
  <si>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</si>
  <si>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</si>
  <si>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</si>
  <si>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</si>
  <si>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</si>
  <si>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</si>
  <si>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</si>
  <si>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</si>
  <si>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</si>
  <si>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</si>
  <si>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</si>
  <si>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</si>
  <si>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</si>
  <si>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</si>
  <si>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</si>
  <si>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</si>
  <si>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</si>
  <si>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</si>
  <si>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</si>
  <si>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</si>
  <si>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</si>
  <si>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</si>
  <si>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</si>
  <si>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</si>
  <si>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</si>
  <si>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</si>
  <si>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</si>
  <si>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</si>
  <si>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</si>
  <si>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</si>
  <si>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</si>
  <si>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</si>
  <si>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</si>
  <si>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</si>
  <si>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</si>
  <si>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</si>
  <si>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</si>
  <si>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</si>
  <si>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</si>
  <si>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</si>
  <si>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</si>
  <si>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</si>
  <si>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</si>
  <si>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</si>
  <si>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</si>
  <si>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</si>
  <si>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</si>
  <si>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</si>
  <si>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</si>
  <si>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</si>
  <si>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</si>
  <si>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</si>
  <si>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</si>
  <si>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</si>
  <si>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</si>
  <si>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</si>
  <si>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</si>
  <si>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</si>
  <si>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</si>
  <si>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</si>
  <si>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</si>
  <si>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</si>
  <si>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</si>
  <si>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</si>
  <si>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</si>
  <si>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</si>
  <si>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</si>
  <si>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</si>
  <si>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</si>
  <si>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</si>
  <si>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</si>
  <si>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</si>
  <si>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</si>
  <si>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</si>
  <si>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</si>
  <si>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</si>
  <si>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</si>
  <si>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</si>
  <si>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</si>
  <si>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</si>
  <si>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</si>
  <si>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</si>
  <si>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</si>
  <si>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</si>
  <si>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</si>
  <si>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</si>
  <si>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</si>
  <si>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</si>
  <si>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</si>
  <si>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</si>
  <si>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</si>
  <si>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</si>
  <si>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</si>
  <si>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</si>
  <si>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</si>
  <si>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</si>
  <si>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</si>
  <si>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</si>
  <si>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</si>
  <si>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</si>
  <si>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</si>
  <si>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</si>
  <si>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</si>
  <si>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</si>
  <si>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</si>
  <si>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</si>
  <si>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</si>
  <si>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</si>
  <si>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</si>
  <si>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</si>
  <si>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</si>
  <si>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</si>
  <si>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</si>
  <si>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</si>
  <si>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</si>
  <si>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</si>
  <si>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</si>
  <si>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</si>
  <si>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</si>
  <si>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</si>
  <si>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</si>
  <si>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</si>
  <si>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</si>
  <si>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</si>
  <si>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</si>
  <si>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</si>
  <si>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</si>
  <si>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</si>
  <si>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</si>
  <si>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</si>
  <si>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r>
      <t>SECCIÓN B: CATEGORIZACIÓN DE PACIENTES, PREVIA A LA ATENCIÓN MÉDICA Y ODONTOLÓGICA (Establecimientos Alta, Mediana, Baja Complejidad, SAR</t>
    </r>
    <r>
      <rPr>
        <b/>
        <sz val="9"/>
        <color rgb="FFFF0000"/>
        <rFont val="Verdana"/>
        <family val="2"/>
      </rPr>
      <t xml:space="preserve">, SUR </t>
    </r>
    <r>
      <rPr>
        <b/>
        <sz val="9"/>
        <rFont val="Verdana"/>
        <family val="2"/>
      </rPr>
      <t xml:space="preserve">y SAPU) </t>
    </r>
  </si>
  <si>
    <t>Trastornos de Ansiedad</t>
  </si>
  <si>
    <r>
      <t>Matrona/ón</t>
    </r>
    <r>
      <rPr>
        <sz val="8"/>
        <color rgb="FFFF0000"/>
        <rFont val="Verdana"/>
        <family val="2"/>
      </rPr>
      <t xml:space="preserve"> previo examen VIH</t>
    </r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</si>
  <si>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</si>
  <si>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</si>
  <si>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</si>
  <si>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</si>
  <si>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r>
      <t xml:space="preserve"> Total de</t>
    </r>
    <r>
      <rPr>
        <sz val="8"/>
        <color rgb="FFFF0000"/>
        <rFont val="Verdana"/>
        <family val="2"/>
      </rPr>
      <t xml:space="preserve"> atenciones</t>
    </r>
    <r>
      <rPr>
        <sz val="8"/>
        <rFont val="Verdana"/>
        <family val="2"/>
      </rPr>
      <t xml:space="preserve"> niños(as) en modalidades de apoyo</t>
    </r>
  </si>
  <si>
    <r>
      <rPr>
        <sz val="8"/>
        <color rgb="FFFF0000"/>
        <rFont val="Verdana"/>
        <family val="2"/>
      </rPr>
      <t>Atenciones</t>
    </r>
    <r>
      <rPr>
        <sz val="8"/>
        <rFont val="Verdana"/>
        <family val="2"/>
      </rPr>
      <t xml:space="preserve"> </t>
    </r>
    <r>
      <rPr>
        <sz val="8"/>
        <color rgb="FFFF0000"/>
        <rFont val="Verdana"/>
        <family val="2"/>
      </rPr>
      <t xml:space="preserve">individuales </t>
    </r>
    <r>
      <rPr>
        <sz val="8"/>
        <rFont val="Verdana"/>
        <family val="2"/>
      </rPr>
      <t xml:space="preserve">de seguimiento </t>
    </r>
    <r>
      <rPr>
        <sz val="8"/>
        <color rgb="FFFF0000"/>
        <rFont val="Verdana"/>
        <family val="2"/>
      </rPr>
      <t>a niñas/os categorizados</t>
    </r>
    <r>
      <rPr>
        <sz val="8"/>
        <rFont val="Verdana"/>
        <family val="2"/>
      </rPr>
      <t xml:space="preserve"> NORMAL CON REZAGO</t>
    </r>
  </si>
  <si>
    <r>
      <rPr>
        <sz val="8"/>
        <color rgb="FFFF0000"/>
        <rFont val="Verdana"/>
        <family val="2"/>
      </rPr>
      <t>Atenciones</t>
    </r>
    <r>
      <rPr>
        <sz val="8"/>
        <rFont val="Verdana"/>
        <family val="2"/>
      </rPr>
      <t xml:space="preserve"> </t>
    </r>
    <r>
      <rPr>
        <sz val="8"/>
        <color rgb="FFFF0000"/>
        <rFont val="Verdana"/>
        <family val="2"/>
      </rPr>
      <t xml:space="preserve">grupales </t>
    </r>
    <r>
      <rPr>
        <sz val="8"/>
        <rFont val="Verdana"/>
        <family val="2"/>
      </rPr>
      <t xml:space="preserve">de seguimiento </t>
    </r>
    <r>
      <rPr>
        <sz val="8"/>
        <color rgb="FFFF0000"/>
        <rFont val="Verdana"/>
        <family val="2"/>
      </rPr>
      <t>a niñas/os categorizados</t>
    </r>
    <r>
      <rPr>
        <sz val="8"/>
        <rFont val="Verdana"/>
        <family val="2"/>
      </rPr>
      <t xml:space="preserve"> NORMAL CON REZAGO</t>
    </r>
  </si>
  <si>
    <r>
      <rPr>
        <sz val="8"/>
        <color rgb="FFFF0000"/>
        <rFont val="Verdana"/>
        <family val="2"/>
      </rPr>
      <t>Atenciones individuales de</t>
    </r>
    <r>
      <rPr>
        <sz val="8"/>
        <rFont val="Verdana"/>
        <family val="2"/>
      </rPr>
      <t xml:space="preserve"> seguimiento </t>
    </r>
    <r>
      <rPr>
        <sz val="8"/>
        <color rgb="FFFF0000"/>
        <rFont val="Verdana"/>
        <family val="2"/>
      </rPr>
      <t>a niñas/os categorizados con</t>
    </r>
    <r>
      <rPr>
        <sz val="8"/>
        <rFont val="Verdana"/>
        <family val="2"/>
      </rPr>
      <t xml:space="preserve"> RIESGO</t>
    </r>
  </si>
  <si>
    <r>
      <t xml:space="preserve">Atenciones grupales de </t>
    </r>
    <r>
      <rPr>
        <sz val="8"/>
        <rFont val="Verdana"/>
        <family val="2"/>
      </rPr>
      <t xml:space="preserve">seguimiento </t>
    </r>
    <r>
      <rPr>
        <sz val="8"/>
        <color rgb="FFFF0000"/>
        <rFont val="Verdana"/>
        <family val="2"/>
      </rPr>
      <t>a niñas/os categorizados con</t>
    </r>
    <r>
      <rPr>
        <sz val="8"/>
        <rFont val="Verdana"/>
        <family val="2"/>
      </rPr>
      <t xml:space="preserve"> RIESGO</t>
    </r>
  </si>
  <si>
    <r>
      <rPr>
        <sz val="8"/>
        <color rgb="FFFF0000"/>
        <rFont val="Verdana"/>
        <family val="2"/>
      </rPr>
      <t>Atenciones individuales</t>
    </r>
    <r>
      <rPr>
        <sz val="8"/>
        <rFont val="Verdana"/>
        <family val="2"/>
      </rPr>
      <t xml:space="preserve"> de seguimiento</t>
    </r>
    <r>
      <rPr>
        <sz val="8"/>
        <color rgb="FFFF0000"/>
        <rFont val="Verdana"/>
        <family val="2"/>
      </rPr>
      <t xml:space="preserve"> a niñas/os categorizados con</t>
    </r>
    <r>
      <rPr>
        <sz val="8"/>
        <rFont val="Verdana"/>
        <family val="2"/>
      </rPr>
      <t xml:space="preserve"> RETRASO</t>
    </r>
  </si>
  <si>
    <r>
      <rPr>
        <sz val="8"/>
        <color rgb="FFFF0000"/>
        <rFont val="Verdana"/>
        <family val="2"/>
      </rPr>
      <t>Atenciones grupales</t>
    </r>
    <r>
      <rPr>
        <sz val="8"/>
        <rFont val="Verdana"/>
        <family val="2"/>
      </rPr>
      <t xml:space="preserve"> de seguimiento </t>
    </r>
    <r>
      <rPr>
        <sz val="8"/>
        <color rgb="FFFF0000"/>
        <rFont val="Verdana"/>
        <family val="2"/>
      </rPr>
      <t>a niñas/os categorizados con</t>
    </r>
    <r>
      <rPr>
        <sz val="8"/>
        <rFont val="Verdana"/>
        <family val="2"/>
      </rPr>
      <t xml:space="preserve"> RETRASO</t>
    </r>
  </si>
  <si>
    <r>
      <rPr>
        <sz val="8"/>
        <color rgb="FFFF0000"/>
        <rFont val="Verdana"/>
        <family val="2"/>
      </rPr>
      <t xml:space="preserve">Atenciones individuales </t>
    </r>
    <r>
      <rPr>
        <sz val="8"/>
        <rFont val="Verdana"/>
        <family val="2"/>
      </rPr>
      <t xml:space="preserve">de seguimiento </t>
    </r>
    <r>
      <rPr>
        <sz val="8"/>
        <color rgb="FFFF0000"/>
        <rFont val="Verdana"/>
        <family val="2"/>
      </rPr>
      <t>a niñas/os categorizados</t>
    </r>
    <r>
      <rPr>
        <sz val="8"/>
        <rFont val="Verdana"/>
        <family val="2"/>
      </rPr>
      <t xml:space="preserve"> NORMAL CON RIESGO BIOPSICOSOCIAL</t>
    </r>
  </si>
  <si>
    <r>
      <rPr>
        <sz val="8"/>
        <color rgb="FFFF0000"/>
        <rFont val="Verdana"/>
        <family val="2"/>
      </rPr>
      <t>Atenciones grupales</t>
    </r>
    <r>
      <rPr>
        <sz val="8"/>
        <rFont val="Verdana"/>
        <family val="2"/>
      </rPr>
      <t xml:space="preserve"> de seguimiento </t>
    </r>
    <r>
      <rPr>
        <sz val="8"/>
        <color rgb="FFFF0000"/>
        <rFont val="Verdana"/>
        <family val="2"/>
      </rPr>
      <t xml:space="preserve">a niñas/os categorizados </t>
    </r>
    <r>
      <rPr>
        <sz val="8"/>
        <rFont val="Verdana"/>
        <family val="2"/>
      </rPr>
      <t>NORMAL CON RIESGO BIOPSICOSOCIAL</t>
    </r>
  </si>
  <si>
    <t>Versión 1.1: Marzo 2024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</si>
  <si>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</si>
  <si>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</si>
  <si>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</si>
  <si>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</si>
  <si>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</si>
  <si>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</si>
  <si>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</si>
  <si>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</si>
  <si>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</si>
  <si>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</si>
  <si>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</si>
  <si>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</si>
  <si>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</si>
  <si>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</si>
  <si>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</si>
  <si>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</si>
  <si>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</si>
  <si>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</si>
  <si>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</si>
  <si>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</si>
  <si>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</si>
  <si>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</si>
  <si>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</si>
  <si>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</si>
  <si>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</si>
  <si>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</si>
  <si>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</si>
  <si>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</si>
  <si>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</si>
  <si>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</si>
  <si>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</si>
  <si>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</si>
  <si>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09600204</t>
  </si>
  <si>
    <t>01030300C</t>
  </si>
  <si>
    <t>01030400D</t>
  </si>
  <si>
    <t>09600205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</si>
  <si>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</si>
  <si>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</si>
  <si>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</si>
  <si>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</si>
  <si>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</si>
  <si>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</si>
  <si>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</si>
  <si>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</si>
  <si>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09600206</t>
  </si>
  <si>
    <t>01200031</t>
  </si>
  <si>
    <t>01200032</t>
  </si>
  <si>
    <t>01200033</t>
  </si>
  <si>
    <t>01200034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</si>
  <si>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</si>
  <si>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</si>
  <si>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</si>
  <si>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</si>
  <si>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</si>
  <si>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</si>
  <si>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</si>
  <si>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</si>
  <si>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</si>
  <si>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01502041</t>
  </si>
  <si>
    <t>01501010</t>
  </si>
  <si>
    <t>01501020</t>
  </si>
  <si>
    <t>01501030</t>
  </si>
  <si>
    <t>01502030</t>
  </si>
  <si>
    <t>01502040</t>
  </si>
  <si>
    <t>01501040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</si>
  <si>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</si>
  <si>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</si>
  <si>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</si>
  <si>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</si>
  <si>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</si>
  <si>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</si>
  <si>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</si>
  <si>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</si>
  <si>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</si>
  <si>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</si>
  <si>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</si>
  <si>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</si>
  <si>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</si>
  <si>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</si>
  <si>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</si>
  <si>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</si>
  <si>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</si>
  <si>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</si>
  <si>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</si>
  <si>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</si>
  <si>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</si>
  <si>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</si>
  <si>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</si>
  <si>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</si>
  <si>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</si>
  <si>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</si>
  <si>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</si>
  <si>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</si>
  <si>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</si>
  <si>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</si>
  <si>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</si>
  <si>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</si>
  <si>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</si>
  <si>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</si>
  <si>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</si>
  <si>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</si>
  <si>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</si>
  <si>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</si>
  <si>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</si>
  <si>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</si>
  <si>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</si>
  <si>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</si>
  <si>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03700101</t>
  </si>
  <si>
    <t>03500040</t>
  </si>
  <si>
    <t>03500050</t>
  </si>
  <si>
    <t>03500060</t>
  </si>
  <si>
    <t>A0200002</t>
  </si>
  <si>
    <t>03500359</t>
  </si>
  <si>
    <t>03500360</t>
  </si>
  <si>
    <t>A0200003</t>
  </si>
  <si>
    <t>03600140</t>
  </si>
  <si>
    <t>03600150</t>
  </si>
  <si>
    <t>A0200001</t>
  </si>
  <si>
    <t>09600207</t>
  </si>
  <si>
    <t>09600208</t>
  </si>
  <si>
    <t>09600209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</si>
  <si>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</si>
  <si>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</si>
  <si>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</si>
  <si>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</si>
  <si>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</si>
  <si>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</si>
  <si>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</si>
  <si>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</si>
  <si>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</si>
  <si>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</si>
  <si>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</si>
  <si>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</si>
  <si>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</si>
  <si>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</si>
  <si>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</si>
  <si>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</si>
  <si>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</si>
  <si>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</si>
  <si>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</si>
  <si>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</si>
  <si>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</si>
  <si>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</si>
  <si>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</si>
  <si>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</si>
  <si>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</si>
  <si>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</si>
  <si>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</si>
  <si>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</si>
  <si>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</si>
  <si>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</si>
  <si>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</si>
  <si>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</si>
  <si>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</si>
  <si>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</si>
  <si>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</si>
  <si>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</si>
  <si>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</si>
  <si>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</si>
  <si>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</si>
  <si>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</si>
  <si>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</si>
  <si>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</si>
  <si>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</si>
  <si>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</si>
  <si>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</si>
  <si>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</si>
  <si>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</si>
  <si>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</si>
  <si>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</si>
  <si>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</si>
  <si>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</si>
  <si>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</si>
  <si>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</si>
  <si>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</si>
  <si>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</si>
  <si>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</si>
  <si>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</si>
  <si>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</si>
  <si>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</si>
  <si>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</si>
  <si>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</si>
  <si>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</si>
  <si>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</si>
  <si>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</si>
  <si>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</si>
  <si>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</si>
  <si>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</si>
  <si>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</si>
  <si>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</si>
  <si>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</si>
  <si>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</si>
  <si>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</si>
  <si>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</si>
  <si>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</si>
  <si>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</si>
  <si>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</si>
  <si>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</si>
  <si>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</si>
  <si>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</si>
  <si>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</si>
  <si>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</si>
  <si>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03500364</t>
  </si>
  <si>
    <t>03500365</t>
  </si>
  <si>
    <t>03500403</t>
  </si>
  <si>
    <t>03700102</t>
  </si>
  <si>
    <t>03700103</t>
  </si>
  <si>
    <t>03500404</t>
  </si>
  <si>
    <t>03500405</t>
  </si>
  <si>
    <t>09600212</t>
  </si>
  <si>
    <t>09600213</t>
  </si>
  <si>
    <t>09600214</t>
  </si>
  <si>
    <t>09600215</t>
  </si>
  <si>
    <t>09600216</t>
  </si>
  <si>
    <t>09600218</t>
  </si>
  <si>
    <t>09600219</t>
  </si>
  <si>
    <t>03700104</t>
  </si>
  <si>
    <t>03700105</t>
  </si>
  <si>
    <t>03700106</t>
  </si>
  <si>
    <t>03700107</t>
  </si>
  <si>
    <t>03700108</t>
  </si>
  <si>
    <t>03700109</t>
  </si>
  <si>
    <t>03600180</t>
  </si>
  <si>
    <t>03600190</t>
  </si>
  <si>
    <t>03600210</t>
  </si>
  <si>
    <t>03600220</t>
  </si>
  <si>
    <t>03600230</t>
  </si>
  <si>
    <t>09600220</t>
  </si>
  <si>
    <t>09600221</t>
  </si>
  <si>
    <t>09600222</t>
  </si>
  <si>
    <t>09600223</t>
  </si>
  <si>
    <t>09600224</t>
  </si>
  <si>
    <t>09600225</t>
  </si>
  <si>
    <t>09600226</t>
  </si>
  <si>
    <t>09600227</t>
  </si>
  <si>
    <t>09600228</t>
  </si>
  <si>
    <t>09600229</t>
  </si>
  <si>
    <t>09600230</t>
  </si>
  <si>
    <t>09600231</t>
  </si>
  <si>
    <t>09600232</t>
  </si>
  <si>
    <t>09600233</t>
  </si>
  <si>
    <t>09600234</t>
  </si>
  <si>
    <t>09600235</t>
  </si>
  <si>
    <t>03700110</t>
  </si>
  <si>
    <t>03700111</t>
  </si>
  <si>
    <t>03700112</t>
  </si>
  <si>
    <t>03700113</t>
  </si>
  <si>
    <t>03700114</t>
  </si>
  <si>
    <t>03700115</t>
  </si>
  <si>
    <t>03700116</t>
  </si>
  <si>
    <t>03700117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</si>
  <si>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</si>
  <si>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</si>
  <si>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</si>
  <si>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</si>
  <si>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</si>
  <si>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</si>
  <si>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</si>
  <si>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</si>
  <si>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</si>
  <si>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</si>
  <si>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</si>
  <si>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</si>
  <si>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</si>
  <si>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</si>
  <si>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</si>
  <si>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</si>
  <si>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04025040</t>
  </si>
  <si>
    <t>04040200</t>
  </si>
  <si>
    <t>04025050</t>
  </si>
  <si>
    <t>04050100</t>
  </si>
  <si>
    <t>09600278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</si>
  <si>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</si>
  <si>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</si>
  <si>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</si>
  <si>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</si>
  <si>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</si>
  <si>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</si>
  <si>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</si>
  <si>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</si>
  <si>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04070100</t>
  </si>
  <si>
    <t>01080003</t>
  </si>
  <si>
    <t>01080004</t>
  </si>
  <si>
    <t>04021101</t>
  </si>
  <si>
    <t>04021103</t>
  </si>
  <si>
    <t>04021102</t>
  </si>
  <si>
    <t>04021104</t>
  </si>
  <si>
    <t>03030290</t>
  </si>
  <si>
    <t>04040400</t>
  </si>
  <si>
    <t>04025070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</si>
  <si>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</si>
  <si>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</si>
  <si>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</si>
  <si>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</si>
  <si>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</si>
  <si>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</si>
  <si>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</si>
  <si>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</si>
  <si>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</si>
  <si>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</si>
  <si>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</si>
  <si>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</si>
  <si>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04040412</t>
  </si>
  <si>
    <t>04040413</t>
  </si>
  <si>
    <t>04050210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</si>
  <si>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</si>
  <si>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</si>
  <si>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</si>
  <si>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</si>
  <si>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</si>
  <si>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</si>
  <si>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</si>
  <si>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</si>
  <si>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09600287</t>
  </si>
  <si>
    <t>09600288</t>
  </si>
  <si>
    <t>09600289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</si>
  <si>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</si>
  <si>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</si>
  <si>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</si>
  <si>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</si>
  <si>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</si>
  <si>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</si>
  <si>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</si>
  <si>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</si>
  <si>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</si>
  <si>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</si>
  <si>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</si>
  <si>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</si>
  <si>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</si>
  <si>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</si>
  <si>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</si>
  <si>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</si>
  <si>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</si>
  <si>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</si>
  <si>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</si>
  <si>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</si>
  <si>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</si>
  <si>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</si>
  <si>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</si>
  <si>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</si>
  <si>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</si>
  <si>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</si>
  <si>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</si>
  <si>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</si>
  <si>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</si>
  <si>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</si>
  <si>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</si>
  <si>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</si>
  <si>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</si>
  <si>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</si>
  <si>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</si>
  <si>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</si>
  <si>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</si>
  <si>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</si>
  <si>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</si>
  <si>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</si>
  <si>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</si>
  <si>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09600290</t>
  </si>
  <si>
    <t>01080013</t>
  </si>
  <si>
    <t>01080014</t>
  </si>
  <si>
    <t>05970040</t>
  </si>
  <si>
    <t>05970041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</si>
  <si>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</si>
  <si>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</si>
  <si>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</si>
  <si>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</si>
  <si>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</si>
  <si>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</si>
  <si>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</si>
  <si>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</si>
  <si>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</si>
  <si>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</si>
  <si>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</si>
  <si>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</si>
  <si>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</si>
  <si>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</si>
  <si>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</si>
  <si>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09600291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</si>
  <si>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</si>
  <si>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</si>
  <si>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</si>
  <si>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</si>
  <si>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</si>
  <si>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</si>
  <si>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</si>
  <si>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</si>
  <si>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</si>
  <si>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</si>
  <si>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</si>
  <si>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</si>
  <si>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</si>
  <si>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</si>
  <si>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</si>
  <si>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</si>
  <si>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05990065</t>
  </si>
  <si>
    <t>05970010</t>
  </si>
  <si>
    <t>05970011</t>
  </si>
  <si>
    <t>05970012</t>
  </si>
  <si>
    <t>05990066</t>
  </si>
  <si>
    <t>05990067</t>
  </si>
  <si>
    <t>05990068</t>
  </si>
  <si>
    <t>05990069</t>
  </si>
  <si>
    <t>03030360</t>
  </si>
  <si>
    <t>03021106</t>
  </si>
  <si>
    <t>03021107</t>
  </si>
  <si>
    <t>03021108</t>
  </si>
  <si>
    <t>05810431</t>
  </si>
  <si>
    <t>09600292</t>
  </si>
  <si>
    <t>09600293</t>
  </si>
  <si>
    <t>05810432</t>
  </si>
  <si>
    <t>09600294</t>
  </si>
  <si>
    <t>05810040</t>
  </si>
  <si>
    <t>05225400</t>
  </si>
  <si>
    <t>05225401</t>
  </si>
  <si>
    <t>05225402</t>
  </si>
  <si>
    <t>05810433</t>
  </si>
  <si>
    <t>09600295</t>
  </si>
  <si>
    <t>09600296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</si>
  <si>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</si>
  <si>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</si>
  <si>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</si>
  <si>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</si>
  <si>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</si>
  <si>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</si>
  <si>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</si>
  <si>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</si>
  <si>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</si>
  <si>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</si>
  <si>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</si>
  <si>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</si>
  <si>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</si>
  <si>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</si>
  <si>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</si>
  <si>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</si>
  <si>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</si>
  <si>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</si>
  <si>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</si>
  <si>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</si>
  <si>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</si>
  <si>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</si>
  <si>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</si>
  <si>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</si>
  <si>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</si>
  <si>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</si>
  <si>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</si>
  <si>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</si>
  <si>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06900700</t>
  </si>
  <si>
    <t>06900800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</si>
  <si>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</si>
  <si>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</si>
  <si>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</si>
  <si>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</si>
  <si>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</si>
  <si>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</si>
  <si>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</si>
  <si>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</si>
  <si>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</si>
  <si>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</si>
  <si>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</si>
  <si>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</si>
  <si>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09600297</t>
  </si>
  <si>
    <t>09600298</t>
  </si>
  <si>
    <t>09600299</t>
  </si>
  <si>
    <t>05990035</t>
  </si>
  <si>
    <t>05990036</t>
  </si>
  <si>
    <t>06902200</t>
  </si>
  <si>
    <t>05051700</t>
  </si>
  <si>
    <t>05051800</t>
  </si>
  <si>
    <t>06902300</t>
  </si>
  <si>
    <t>05970016</t>
  </si>
  <si>
    <t>05990037</t>
  </si>
  <si>
    <t>05970019</t>
  </si>
  <si>
    <t>05970020</t>
  </si>
  <si>
    <t>05970021</t>
  </si>
  <si>
    <t>05901801</t>
  </si>
  <si>
    <t>05901802</t>
  </si>
  <si>
    <t>05901803</t>
  </si>
  <si>
    <t>05990038</t>
  </si>
  <si>
    <t>05990039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</si>
  <si>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</si>
  <si>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</si>
  <si>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</si>
  <si>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</si>
  <si>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</si>
  <si>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</si>
  <si>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</si>
  <si>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</si>
  <si>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</si>
  <si>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</si>
  <si>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</si>
  <si>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05223100</t>
  </si>
  <si>
    <t>05223200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</si>
  <si>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</si>
  <si>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</si>
  <si>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</si>
  <si>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</si>
  <si>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</si>
  <si>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</si>
  <si>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</si>
  <si>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</si>
  <si>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</si>
  <si>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</si>
  <si>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</si>
  <si>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</si>
  <si>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05990040</t>
  </si>
  <si>
    <t>05990041</t>
  </si>
  <si>
    <t>05990042</t>
  </si>
  <si>
    <t>05990043</t>
  </si>
  <si>
    <t>05990044</t>
  </si>
  <si>
    <t>05224600</t>
  </si>
  <si>
    <t>05052200</t>
  </si>
  <si>
    <t>05052300</t>
  </si>
  <si>
    <t>05224700</t>
  </si>
  <si>
    <t>05970025</t>
  </si>
  <si>
    <t>05990045</t>
  </si>
  <si>
    <t>05970028</t>
  </si>
  <si>
    <t>05970029</t>
  </si>
  <si>
    <t>05970030</t>
  </si>
  <si>
    <t>05224201</t>
  </si>
  <si>
    <t>05224202</t>
  </si>
  <si>
    <t>05224203</t>
  </si>
  <si>
    <t>05990046</t>
  </si>
  <si>
    <t>05990047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</si>
  <si>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</si>
  <si>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</si>
  <si>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</si>
  <si>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</si>
  <si>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</si>
  <si>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</si>
  <si>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</si>
  <si>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</si>
  <si>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</si>
  <si>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</si>
  <si>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</si>
  <si>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</si>
  <si>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</si>
  <si>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</si>
  <si>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</si>
  <si>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</si>
  <si>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</si>
  <si>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</si>
  <si>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</si>
  <si>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</si>
  <si>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</si>
  <si>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</si>
  <si>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</si>
  <si>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</si>
  <si>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</si>
  <si>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</si>
  <si>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</si>
  <si>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</si>
  <si>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</si>
  <si>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</si>
  <si>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</si>
  <si>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</si>
  <si>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</si>
  <si>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</si>
  <si>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</si>
  <si>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</si>
  <si>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</si>
  <si>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</si>
  <si>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</si>
  <si>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</si>
  <si>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</si>
  <si>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</si>
  <si>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</si>
  <si>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</si>
  <si>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</si>
  <si>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</si>
  <si>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</si>
  <si>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</si>
  <si>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</si>
  <si>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</si>
  <si>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</si>
  <si>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</si>
  <si>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</si>
  <si>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</si>
  <si>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05990048</t>
  </si>
  <si>
    <t>05990049</t>
  </si>
  <si>
    <t>05990050</t>
  </si>
  <si>
    <t>05990051</t>
  </si>
  <si>
    <t>05990058</t>
  </si>
  <si>
    <t>05990059</t>
  </si>
  <si>
    <t>05990060</t>
  </si>
  <si>
    <t>05990061</t>
  </si>
  <si>
    <t>05990062</t>
  </si>
  <si>
    <t>05990063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</si>
  <si>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</si>
  <si>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</si>
  <si>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</si>
  <si>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</si>
  <si>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</si>
  <si>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</si>
  <si>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</si>
  <si>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</si>
  <si>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</si>
  <si>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</si>
  <si>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</si>
  <si>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</si>
  <si>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</si>
  <si>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</si>
  <si>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</si>
  <si>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</si>
  <si>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</si>
  <si>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</si>
  <si>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</si>
  <si>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</si>
  <si>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</si>
  <si>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</si>
  <si>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</si>
  <si>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</si>
  <si>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</si>
  <si>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</si>
  <si>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</si>
  <si>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</si>
  <si>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</si>
  <si>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</si>
  <si>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</si>
  <si>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</si>
  <si>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</si>
  <si>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</si>
  <si>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</si>
  <si>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</si>
  <si>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</si>
  <si>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</si>
  <si>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</si>
  <si>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</si>
  <si>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</si>
  <si>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</si>
  <si>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</si>
  <si>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</si>
  <si>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</si>
  <si>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</si>
  <si>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</si>
  <si>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</si>
  <si>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</si>
  <si>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</si>
  <si>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</si>
  <si>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</si>
  <si>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</si>
  <si>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</si>
  <si>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</si>
  <si>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</si>
  <si>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</si>
  <si>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06905500</t>
  </si>
  <si>
    <t>06905600</t>
  </si>
  <si>
    <t>06905700</t>
  </si>
  <si>
    <t>06905800</t>
  </si>
  <si>
    <t>06905900</t>
  </si>
  <si>
    <t>06905901</t>
  </si>
  <si>
    <t>06907019</t>
  </si>
  <si>
    <t>06905902</t>
  </si>
  <si>
    <t>06906105</t>
  </si>
  <si>
    <t>06906135</t>
  </si>
  <si>
    <t>06906140</t>
  </si>
  <si>
    <t>06906145</t>
  </si>
  <si>
    <t>06906150</t>
  </si>
  <si>
    <t>06907014</t>
  </si>
  <si>
    <t>06907015</t>
  </si>
  <si>
    <t>06907016</t>
  </si>
  <si>
    <t>06907020</t>
  </si>
  <si>
    <t>06907021</t>
  </si>
  <si>
    <t>06907022</t>
  </si>
  <si>
    <t>06907023</t>
  </si>
  <si>
    <t>06907024</t>
  </si>
  <si>
    <t>06907025</t>
  </si>
  <si>
    <t>06907026</t>
  </si>
  <si>
    <t>06907027</t>
  </si>
  <si>
    <t>09600340</t>
  </si>
  <si>
    <t>09600341</t>
  </si>
  <si>
    <t>06907028</t>
  </si>
  <si>
    <t>06907029</t>
  </si>
  <si>
    <t>06907030</t>
  </si>
  <si>
    <t>06907031</t>
  </si>
  <si>
    <t>06907032</t>
  </si>
  <si>
    <t>06907033</t>
  </si>
  <si>
    <t>06907012</t>
  </si>
  <si>
    <t>06907034</t>
  </si>
  <si>
    <t>06907035</t>
  </si>
  <si>
    <t>06907036</t>
  </si>
  <si>
    <t>CODIGOS ELIMINADOS</t>
  </si>
  <si>
    <t>06907002</t>
  </si>
  <si>
    <t>06907003</t>
  </si>
  <si>
    <t>06907004</t>
  </si>
  <si>
    <t>06907005</t>
  </si>
  <si>
    <t>06907006</t>
  </si>
  <si>
    <t>06907007</t>
  </si>
  <si>
    <t>06907008</t>
  </si>
  <si>
    <t>06907009</t>
  </si>
  <si>
    <t>06907010</t>
  </si>
  <si>
    <t>06907011</t>
  </si>
  <si>
    <t>06907013</t>
  </si>
  <si>
    <t>CODIGOS NUEVOS</t>
  </si>
  <si>
    <t>07020130</t>
  </si>
  <si>
    <t>07020230</t>
  </si>
  <si>
    <t>07020330</t>
  </si>
  <si>
    <t>07020331</t>
  </si>
  <si>
    <t>07020332</t>
  </si>
  <si>
    <t>07024219</t>
  </si>
  <si>
    <t>07020500</t>
  </si>
  <si>
    <t>07020501</t>
  </si>
  <si>
    <t>07020600</t>
  </si>
  <si>
    <t>07020601</t>
  </si>
  <si>
    <t>07020700</t>
  </si>
  <si>
    <t>07020800</t>
  </si>
  <si>
    <t>07020801</t>
  </si>
  <si>
    <t>07020900</t>
  </si>
  <si>
    <t>07020901</t>
  </si>
  <si>
    <t>07021000</t>
  </si>
  <si>
    <t>07021001</t>
  </si>
  <si>
    <t>07021100</t>
  </si>
  <si>
    <t>07021101</t>
  </si>
  <si>
    <t>07021230</t>
  </si>
  <si>
    <t>07021300</t>
  </si>
  <si>
    <t>07021301</t>
  </si>
  <si>
    <t>07022000</t>
  </si>
  <si>
    <t>07022001</t>
  </si>
  <si>
    <t>07021531</t>
  </si>
  <si>
    <t>07022132</t>
  </si>
  <si>
    <t>07022133</t>
  </si>
  <si>
    <t>07022134</t>
  </si>
  <si>
    <t>07021700</t>
  </si>
  <si>
    <t>07021800</t>
  </si>
  <si>
    <t>07021801</t>
  </si>
  <si>
    <t>07021900</t>
  </si>
  <si>
    <t>07022130</t>
  </si>
  <si>
    <t>07022142</t>
  </si>
  <si>
    <t>07022143</t>
  </si>
  <si>
    <t>07022144</t>
  </si>
  <si>
    <t>07022135</t>
  </si>
  <si>
    <t>07022136</t>
  </si>
  <si>
    <t>07022137</t>
  </si>
  <si>
    <t>07022700</t>
  </si>
  <si>
    <t>07022800</t>
  </si>
  <si>
    <t>07022900</t>
  </si>
  <si>
    <t>07021701</t>
  </si>
  <si>
    <t>07023100</t>
  </si>
  <si>
    <t>07023200</t>
  </si>
  <si>
    <t>07023201</t>
  </si>
  <si>
    <t>07023202</t>
  </si>
  <si>
    <t>07023203</t>
  </si>
  <si>
    <t>07023700</t>
  </si>
  <si>
    <t>07023701</t>
  </si>
  <si>
    <t>07023702</t>
  </si>
  <si>
    <t>07023703</t>
  </si>
  <si>
    <t>07024000</t>
  </si>
  <si>
    <t>07024001</t>
  </si>
  <si>
    <t>07024200</t>
  </si>
  <si>
    <t>07030500</t>
  </si>
  <si>
    <t>07024201</t>
  </si>
  <si>
    <t>07024202</t>
  </si>
  <si>
    <t>07030501</t>
  </si>
  <si>
    <t>07030502</t>
  </si>
  <si>
    <t>09600342</t>
  </si>
  <si>
    <t>09600343</t>
  </si>
  <si>
    <t>09600344</t>
  </si>
  <si>
    <t>09600345</t>
  </si>
  <si>
    <t>09600346</t>
  </si>
  <si>
    <t>09600347</t>
  </si>
  <si>
    <t>09600348</t>
  </si>
  <si>
    <t>09600349</t>
  </si>
  <si>
    <t>09600350</t>
  </si>
  <si>
    <t>09600351</t>
  </si>
  <si>
    <t>09600352</t>
  </si>
  <si>
    <t>09600353</t>
  </si>
  <si>
    <t>09600354</t>
  </si>
  <si>
    <t>09600355</t>
  </si>
  <si>
    <t>09600356</t>
  </si>
  <si>
    <t>09600357</t>
  </si>
  <si>
    <t>09600358</t>
  </si>
  <si>
    <t>09600359</t>
  </si>
  <si>
    <t>09600360</t>
  </si>
  <si>
    <t>09600361</t>
  </si>
  <si>
    <t>09600362</t>
  </si>
  <si>
    <t>09600363</t>
  </si>
  <si>
    <t>09600364</t>
  </si>
  <si>
    <t>09600365</t>
  </si>
  <si>
    <t>09600366</t>
  </si>
  <si>
    <t>09600367</t>
  </si>
  <si>
    <t>09600368</t>
  </si>
  <si>
    <t>09600369</t>
  </si>
  <si>
    <t>09600370</t>
  </si>
  <si>
    <t>09600371</t>
  </si>
  <si>
    <t>09600372</t>
  </si>
  <si>
    <t>09600373</t>
  </si>
  <si>
    <t>09600374</t>
  </si>
  <si>
    <t>09600375</t>
  </si>
  <si>
    <t>09600376</t>
  </si>
  <si>
    <t>09600377</t>
  </si>
  <si>
    <t>09600378</t>
  </si>
  <si>
    <t>09600379</t>
  </si>
  <si>
    <t>09600380</t>
  </si>
  <si>
    <t>09600381</t>
  </si>
  <si>
    <t>09600382</t>
  </si>
  <si>
    <t>09600383</t>
  </si>
  <si>
    <t>09600384</t>
  </si>
  <si>
    <t>09600385</t>
  </si>
  <si>
    <t>09600386</t>
  </si>
  <si>
    <t>09600387</t>
  </si>
  <si>
    <t>09600388</t>
  </si>
  <si>
    <t>09600389</t>
  </si>
  <si>
    <t>09600390</t>
  </si>
  <si>
    <t>09600391</t>
  </si>
  <si>
    <t>09600392</t>
  </si>
  <si>
    <t>09600393</t>
  </si>
  <si>
    <t>09600394</t>
  </si>
  <si>
    <t>09600395</t>
  </si>
  <si>
    <t>09600396</t>
  </si>
  <si>
    <t>09600397</t>
  </si>
  <si>
    <t>09600398</t>
  </si>
  <si>
    <t>09600399</t>
  </si>
  <si>
    <t>09600400</t>
  </si>
  <si>
    <t>09600401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</si>
  <si>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</si>
  <si>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</si>
  <si>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</si>
  <si>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</si>
  <si>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</si>
  <si>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</si>
  <si>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</si>
  <si>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</si>
  <si>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</si>
  <si>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</si>
  <si>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</si>
  <si>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</si>
  <si>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</si>
  <si>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</si>
  <si>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</si>
  <si>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09600402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</si>
  <si>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</si>
  <si>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</si>
  <si>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</si>
  <si>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</si>
  <si>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</si>
  <si>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</si>
  <si>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</si>
  <si>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</si>
  <si>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</si>
  <si>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</si>
  <si>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09600403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</si>
  <si>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</si>
  <si>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</si>
  <si>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</si>
  <si>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</si>
  <si>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</si>
  <si>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</si>
  <si>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</si>
  <si>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</si>
  <si>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</si>
  <si>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</si>
  <si>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</si>
  <si>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07031122</t>
  </si>
  <si>
    <t>07031123</t>
  </si>
  <si>
    <t>07031124</t>
  </si>
  <si>
    <t>07031125</t>
  </si>
  <si>
    <t>07031126</t>
  </si>
  <si>
    <t>07031127</t>
  </si>
  <si>
    <t>07031128</t>
  </si>
  <si>
    <t>07031129</t>
  </si>
  <si>
    <t>07031130</t>
  </si>
  <si>
    <t>07031131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</si>
  <si>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</si>
  <si>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</si>
  <si>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</si>
  <si>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</si>
  <si>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</si>
  <si>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</si>
  <si>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</si>
  <si>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</si>
  <si>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09600404</t>
  </si>
  <si>
    <t>09600405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</si>
  <si>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</si>
  <si>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</si>
  <si>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</si>
  <si>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</si>
  <si>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</si>
  <si>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</si>
  <si>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</si>
  <si>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</si>
  <si>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</si>
  <si>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</si>
  <si>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</si>
  <si>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</si>
  <si>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</si>
  <si>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</si>
  <si>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</si>
  <si>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</si>
  <si>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</si>
  <si>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</si>
  <si>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</si>
  <si>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</si>
  <si>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</si>
  <si>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</si>
  <si>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</si>
  <si>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</si>
  <si>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</si>
  <si>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</si>
  <si>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</si>
  <si>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</si>
  <si>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</si>
  <si>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</si>
  <si>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</si>
  <si>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</si>
  <si>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</si>
  <si>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</si>
  <si>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</si>
  <si>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</si>
  <si>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</si>
  <si>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</si>
  <si>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</si>
  <si>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</si>
  <si>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</si>
  <si>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</si>
  <si>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</si>
  <si>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09600406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</si>
  <si>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</si>
  <si>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</si>
  <si>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</si>
  <si>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</si>
  <si>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</si>
  <si>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</si>
  <si>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</si>
  <si>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</si>
  <si>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</si>
  <si>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</si>
  <si>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</si>
  <si>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</si>
  <si>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</si>
  <si>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</si>
  <si>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</si>
  <si>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09600407</t>
  </si>
  <si>
    <t>09600408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</si>
  <si>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</si>
  <si>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</si>
  <si>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</si>
  <si>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</si>
  <si>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</si>
  <si>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</si>
  <si>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</si>
  <si>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</si>
  <si>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</si>
  <si>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</si>
  <si>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</si>
  <si>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</si>
  <si>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</si>
  <si>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</si>
  <si>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</si>
  <si>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</si>
  <si>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</si>
  <si>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</si>
  <si>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</si>
  <si>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</si>
  <si>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</si>
  <si>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</si>
  <si>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</si>
  <si>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</si>
  <si>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</si>
  <si>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</si>
  <si>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</si>
  <si>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</si>
  <si>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</si>
  <si>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</si>
  <si>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</si>
  <si>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</si>
  <si>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</si>
  <si>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</si>
  <si>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</si>
  <si>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</si>
  <si>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</si>
  <si>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</si>
  <si>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</si>
  <si>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</si>
  <si>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</si>
  <si>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</si>
  <si>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</si>
  <si>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</si>
  <si>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</si>
  <si>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</si>
  <si>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</si>
  <si>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</si>
  <si>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</si>
  <si>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</si>
  <si>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</si>
  <si>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</si>
  <si>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</si>
  <si>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</si>
  <si>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</si>
  <si>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</si>
  <si>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</si>
  <si>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</si>
  <si>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</si>
  <si>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09215013</t>
  </si>
  <si>
    <t>09215014</t>
  </si>
  <si>
    <t>09215015</t>
  </si>
  <si>
    <t>09215313</t>
  </si>
  <si>
    <t>09215413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</si>
  <si>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</si>
  <si>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</si>
  <si>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</si>
  <si>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</si>
  <si>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</si>
  <si>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</si>
  <si>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</si>
  <si>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</si>
  <si>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</si>
  <si>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</si>
  <si>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</si>
  <si>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</si>
  <si>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</si>
  <si>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</si>
  <si>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</si>
  <si>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</si>
  <si>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</si>
  <si>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</si>
  <si>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09600311</t>
  </si>
  <si>
    <t>09600312</t>
  </si>
  <si>
    <t>09204931</t>
  </si>
  <si>
    <t>09600313</t>
  </si>
  <si>
    <t>09204934</t>
  </si>
  <si>
    <t>09305400</t>
  </si>
  <si>
    <t>09305500</t>
  </si>
  <si>
    <t>09310800</t>
  </si>
  <si>
    <t>09600315</t>
  </si>
  <si>
    <t>09230100</t>
  </si>
  <si>
    <t>09230200</t>
  </si>
  <si>
    <t>09600411</t>
  </si>
  <si>
    <t>09600412</t>
  </si>
  <si>
    <t>09600111</t>
  </si>
  <si>
    <t>09600112</t>
  </si>
  <si>
    <t>09600113</t>
  </si>
  <si>
    <t>09600114</t>
  </si>
  <si>
    <t>09600115</t>
  </si>
  <si>
    <t>09203813</t>
  </si>
  <si>
    <t>09600117</t>
  </si>
  <si>
    <t>09600118</t>
  </si>
  <si>
    <t>09203213</t>
  </si>
  <si>
    <t>09305700</t>
  </si>
  <si>
    <t>09305800</t>
  </si>
  <si>
    <t>09600119</t>
  </si>
  <si>
    <t>09600120</t>
  </si>
  <si>
    <t>09600121</t>
  </si>
  <si>
    <t>09202725</t>
  </si>
  <si>
    <t>09202735</t>
  </si>
  <si>
    <t>09202745</t>
  </si>
  <si>
    <t>09600122</t>
  </si>
  <si>
    <t>09600123</t>
  </si>
  <si>
    <t>09600124</t>
  </si>
  <si>
    <t>09600125</t>
  </si>
  <si>
    <t>09600126</t>
  </si>
  <si>
    <t>09600127</t>
  </si>
  <si>
    <t>09600128</t>
  </si>
  <si>
    <t>09305600</t>
  </si>
  <si>
    <t>09600129</t>
  </si>
  <si>
    <t>09600130</t>
  </si>
  <si>
    <t>09600131</t>
  </si>
  <si>
    <t>09600132</t>
  </si>
  <si>
    <t>09203425</t>
  </si>
  <si>
    <t>09203435</t>
  </si>
  <si>
    <t>09203313</t>
  </si>
  <si>
    <t>09600133</t>
  </si>
  <si>
    <t>09600134</t>
  </si>
  <si>
    <t>09306000</t>
  </si>
  <si>
    <t>09600135</t>
  </si>
  <si>
    <t>09600137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</si>
  <si>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</si>
  <si>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</si>
  <si>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</si>
  <si>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</si>
  <si>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</si>
  <si>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</si>
  <si>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</si>
  <si>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</si>
  <si>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</si>
  <si>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</si>
  <si>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</si>
  <si>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</si>
  <si>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09600148</t>
  </si>
  <si>
    <t>09600318</t>
  </si>
  <si>
    <t>09600149</t>
  </si>
  <si>
    <t>09600319</t>
  </si>
  <si>
    <t>09203913</t>
  </si>
  <si>
    <t>09306200</t>
  </si>
  <si>
    <t>09306300</t>
  </si>
  <si>
    <t>09306400</t>
  </si>
  <si>
    <t>09306500</t>
  </si>
  <si>
    <t>09204013</t>
  </si>
  <si>
    <t>09600150</t>
  </si>
  <si>
    <t>09306900</t>
  </si>
  <si>
    <t>09202313</t>
  </si>
  <si>
    <t>09600409</t>
  </si>
  <si>
    <t>09202413</t>
  </si>
  <si>
    <t>09260500</t>
  </si>
  <si>
    <t>09260600</t>
  </si>
  <si>
    <t>09600103</t>
  </si>
  <si>
    <t>09204944</t>
  </si>
  <si>
    <t>09400092</t>
  </si>
  <si>
    <t>09400093</t>
  </si>
  <si>
    <t>09500500</t>
  </si>
  <si>
    <t>09500503</t>
  </si>
  <si>
    <t>09500501</t>
  </si>
  <si>
    <t>09600410</t>
  </si>
  <si>
    <t>09500502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</si>
  <si>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</si>
  <si>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</si>
  <si>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</si>
  <si>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</si>
  <si>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</si>
  <si>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</si>
  <si>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</si>
  <si>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</si>
  <si>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</si>
  <si>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</si>
  <si>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</si>
  <si>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</si>
  <si>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</si>
  <si>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</si>
  <si>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</si>
  <si>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</si>
  <si>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</si>
  <si>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</si>
  <si>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</si>
  <si>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</si>
  <si>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09400090</t>
  </si>
  <si>
    <t>09400091</t>
  </si>
  <si>
    <t>09306600</t>
  </si>
  <si>
    <t>09306800</t>
  </si>
  <si>
    <t>09600105</t>
  </si>
  <si>
    <t>09600324</t>
  </si>
  <si>
    <t>09306801</t>
  </si>
  <si>
    <t>09600106</t>
  </si>
  <si>
    <t>09204213</t>
  </si>
  <si>
    <t>09204214</t>
  </si>
  <si>
    <t>09240700</t>
  </si>
  <si>
    <t>09600325</t>
  </si>
  <si>
    <t>09600155</t>
  </si>
  <si>
    <t>09600156</t>
  </si>
  <si>
    <t>09216113</t>
  </si>
  <si>
    <t>09216213</t>
  </si>
  <si>
    <t>09600326</t>
  </si>
  <si>
    <t>09600157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</si>
  <si>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</si>
  <si>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</si>
  <si>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</si>
  <si>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</si>
  <si>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</si>
  <si>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</si>
  <si>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</si>
  <si>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</si>
  <si>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</si>
  <si>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</si>
  <si>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</si>
  <si>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</si>
  <si>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</si>
  <si>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</si>
  <si>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</si>
  <si>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</si>
  <si>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</si>
  <si>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</si>
  <si>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</si>
  <si>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</si>
  <si>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</si>
  <si>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</si>
  <si>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</si>
  <si>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</si>
  <si>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</si>
  <si>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</si>
  <si>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</si>
  <si>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</si>
  <si>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</si>
  <si>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</si>
  <si>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</si>
  <si>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</si>
  <si>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</si>
  <si>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</si>
  <si>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</si>
  <si>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</si>
  <si>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</si>
  <si>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</si>
  <si>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</si>
  <si>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</si>
  <si>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</si>
  <si>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</si>
  <si>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</si>
  <si>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</si>
  <si>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</si>
  <si>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</si>
  <si>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</si>
  <si>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</si>
  <si>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</si>
  <si>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</si>
  <si>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</si>
  <si>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</si>
  <si>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</si>
  <si>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</si>
  <si>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</si>
  <si>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</si>
  <si>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</si>
  <si>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</si>
  <si>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</si>
  <si>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</si>
  <si>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</si>
  <si>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</si>
  <si>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</si>
  <si>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</si>
  <si>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</si>
  <si>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</si>
  <si>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</si>
  <si>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</si>
  <si>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</si>
  <si>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</si>
  <si>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</si>
  <si>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</si>
  <si>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09204317</t>
  </si>
  <si>
    <t>09204417</t>
  </si>
  <si>
    <t>09204517</t>
  </si>
  <si>
    <t>09204717</t>
  </si>
  <si>
    <t>09400080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</si>
  <si>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</si>
  <si>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</si>
  <si>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</si>
  <si>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</si>
  <si>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</si>
  <si>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</si>
  <si>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</si>
  <si>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</si>
  <si>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</si>
  <si>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</si>
  <si>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09204935</t>
  </si>
  <si>
    <t>09600110</t>
  </si>
  <si>
    <t>19191021</t>
  </si>
  <si>
    <t>19191022</t>
  </si>
  <si>
    <t>19191023</t>
  </si>
  <si>
    <t>19191024</t>
  </si>
  <si>
    <t>19191025</t>
  </si>
  <si>
    <t>19191026</t>
  </si>
  <si>
    <t>19191027</t>
  </si>
  <si>
    <t>19191028</t>
  </si>
  <si>
    <t>19191029</t>
  </si>
  <si>
    <t>19191030</t>
  </si>
  <si>
    <t>19191031</t>
  </si>
  <si>
    <t>19191032</t>
  </si>
  <si>
    <t>19191033</t>
  </si>
  <si>
    <t>19191034</t>
  </si>
  <si>
    <t>19191035</t>
  </si>
  <si>
    <t>19191036</t>
  </si>
  <si>
    <t>19191037</t>
  </si>
  <si>
    <t>19191038</t>
  </si>
  <si>
    <t>19191039</t>
  </si>
  <si>
    <t>19191040</t>
  </si>
  <si>
    <t>19191041</t>
  </si>
  <si>
    <t>19191042</t>
  </si>
  <si>
    <t>19191043</t>
  </si>
  <si>
    <t>19191044</t>
  </si>
  <si>
    <t>19191045</t>
  </si>
  <si>
    <t>19191046</t>
  </si>
  <si>
    <t>19191047</t>
  </si>
  <si>
    <t>19191048</t>
  </si>
  <si>
    <t>19191049</t>
  </si>
  <si>
    <t>19191050</t>
  </si>
  <si>
    <t>19191051</t>
  </si>
  <si>
    <t>19191052</t>
  </si>
  <si>
    <t>19191053</t>
  </si>
  <si>
    <t>19191054</t>
  </si>
  <si>
    <t>Código nuevo</t>
  </si>
  <si>
    <t>23042000A</t>
  </si>
  <si>
    <t>23044400A</t>
  </si>
  <si>
    <t>01030100</t>
  </si>
  <si>
    <t>01030300</t>
  </si>
  <si>
    <t>01060100</t>
  </si>
  <si>
    <t>01030400</t>
  </si>
  <si>
    <t>25502200A</t>
  </si>
  <si>
    <t>27281615A</t>
  </si>
  <si>
    <t>27281615B</t>
  </si>
  <si>
    <t>27281615C</t>
  </si>
  <si>
    <t>05226600</t>
  </si>
  <si>
    <t>05226700</t>
  </si>
  <si>
    <t>05226800</t>
  </si>
  <si>
    <t>29000002</t>
  </si>
  <si>
    <t>29000003</t>
  </si>
  <si>
    <t>29000004</t>
  </si>
  <si>
    <t>29000005</t>
  </si>
  <si>
    <t>01031500</t>
  </si>
  <si>
    <t>01031600</t>
  </si>
  <si>
    <t>01031700</t>
  </si>
  <si>
    <t>01031800</t>
  </si>
  <si>
    <t>01031900</t>
  </si>
  <si>
    <t>CODIGO NUEVO</t>
  </si>
  <si>
    <t>02021760</t>
  </si>
  <si>
    <t>05225307</t>
  </si>
  <si>
    <t>09600210</t>
  </si>
  <si>
    <t>09600211</t>
  </si>
  <si>
    <t>09600217</t>
  </si>
  <si>
    <t>09600236</t>
  </si>
  <si>
    <t>09600237</t>
  </si>
  <si>
    <t>09600238</t>
  </si>
  <si>
    <t>09600239</t>
  </si>
  <si>
    <t>09600240</t>
  </si>
  <si>
    <t>09600241</t>
  </si>
  <si>
    <t>09600242</t>
  </si>
  <si>
    <t>09600243</t>
  </si>
  <si>
    <t>09600244</t>
  </si>
  <si>
    <t>09600245</t>
  </si>
  <si>
    <t>09600246</t>
  </si>
  <si>
    <t>09600247</t>
  </si>
  <si>
    <t>09600248</t>
  </si>
  <si>
    <t>09600249</t>
  </si>
  <si>
    <t>09600250</t>
  </si>
  <si>
    <t>09600251</t>
  </si>
  <si>
    <t>09600252</t>
  </si>
  <si>
    <t>09600253</t>
  </si>
  <si>
    <t>09600254</t>
  </si>
  <si>
    <t>09600255</t>
  </si>
  <si>
    <t>09600256</t>
  </si>
  <si>
    <t>09600257</t>
  </si>
  <si>
    <t>09600258</t>
  </si>
  <si>
    <t>09600259</t>
  </si>
  <si>
    <t>09600260</t>
  </si>
  <si>
    <t>09600261</t>
  </si>
  <si>
    <t>09600262</t>
  </si>
  <si>
    <t>09600263</t>
  </si>
  <si>
    <t>09600264</t>
  </si>
  <si>
    <t>09600265</t>
  </si>
  <si>
    <t>09600266</t>
  </si>
  <si>
    <t>09600267</t>
  </si>
  <si>
    <t>09600268</t>
  </si>
  <si>
    <t>09600269</t>
  </si>
  <si>
    <t>09600270</t>
  </si>
  <si>
    <t>09600271</t>
  </si>
  <si>
    <t>09600272</t>
  </si>
  <si>
    <t>09600273</t>
  </si>
  <si>
    <t>09600274</t>
  </si>
  <si>
    <t>09600275</t>
  </si>
  <si>
    <t>09600276</t>
  </si>
  <si>
    <t>09600277</t>
  </si>
  <si>
    <t>09600279</t>
  </si>
  <si>
    <t>09600280</t>
  </si>
  <si>
    <t>09600281</t>
  </si>
  <si>
    <t>09600282</t>
  </si>
  <si>
    <t>09600283</t>
  </si>
  <si>
    <t>09600284</t>
  </si>
  <si>
    <t>09600285</t>
  </si>
  <si>
    <t>09600286</t>
  </si>
  <si>
    <t>06902604</t>
  </si>
  <si>
    <t>05970013</t>
  </si>
  <si>
    <t>05225102</t>
  </si>
  <si>
    <t>05990064</t>
  </si>
  <si>
    <t>09600330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</si>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</sst>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8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b/>
      <sz val="9"/>
      <color rgb="FFFF0000"/>
      <name val="Verdana"/>
      <family val="2"/>
    </font>
    <font>
      <sz val="7"/>
      <color rgb="FFFF0000"/>
      <name val="Verdana"/>
      <family val="2"/>
    </font>
    <font>
      <sz val="9"/>
      <color theme="8"/>
      <name val="Verdana"/>
      <family val="2"/>
    </font>
    <font>
      <sz val="11"/>
      <color rgb="FFFF0000"/>
      <name val="Verdana"/>
      <family val="2"/>
    </font>
    <font>
      <sz val="9"/>
      <color rgb="FF4472C4"/>
      <name val="Verdana"/>
      <family val="2"/>
    </font>
    <font>
      <sz val="9"/>
      <color rgb="FFFF0000"/>
      <name val="Verdana"/>
      <family val="2"/>
    </font>
    <font>
      <sz val="11"/>
      <color indexed="8"/>
      <name val="Verdana"/>
      <family val="2"/>
    </font>
    <font>
      <sz val="9"/>
      <color rgb="FF00B050"/>
      <name val="Verdana"/>
      <family val="2"/>
    </font>
    <font>
      <sz val="10"/>
      <color theme="8"/>
      <name val="Verdana"/>
      <family val="2"/>
    </font>
    <font>
      <sz val="12"/>
      <color rgb="FFFF0000"/>
      <name val="Arial"/>
      <family val="2"/>
    </font>
    <font>
      <sz val="11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9050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104" xfId="0" applyNumberFormat="1" applyFont="1" applyFill="1" applyBorder="1"/>
    <xf numFmtId="1" fontId="5" fillId="6" borderId="201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7" borderId="16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378" xfId="16" applyNumberFormat="1" applyFont="1" applyBorder="1" applyAlignment="1">
      <alignment vertical="center" wrapText="1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4" borderId="466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420" xfId="0" applyFont="1" applyBorder="1" applyAlignment="1">
      <alignment horizontal="left" vertical="center" wrapText="1"/>
    </xf>
    <xf numFmtId="0" fontId="5" fillId="0" borderId="373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0" fontId="5" fillId="0" borderId="378" xfId="0" applyFont="1" applyBorder="1" applyAlignment="1">
      <alignment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1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wrapText="1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170" xfId="0" applyNumberFormat="1" applyFont="1" applyBorder="1" applyAlignment="1">
      <alignment horizontal="left" vertical="center" wrapText="1"/>
    </xf>
    <xf numFmtId="1" fontId="5" fillId="0" borderId="1112" xfId="0" applyNumberFormat="1" applyFont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3" fillId="5" borderId="1168" xfId="0" applyNumberFormat="1" applyFont="1" applyFill="1" applyBorder="1" applyAlignment="1">
      <alignment horizontal="center" vertical="center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1" fontId="5" fillId="4" borderId="1199" xfId="0" applyNumberFormat="1" applyFont="1" applyFill="1" applyBorder="1" applyProtection="1">
      <protection locked="0"/>
    </xf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31" borderId="838" xfId="0" applyNumberFormat="1" applyFont="1" applyFill="1" applyBorder="1"/>
    <xf numFmtId="1" fontId="3" fillId="6" borderId="1438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6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38" fillId="0" borderId="1439" xfId="0" applyNumberFormat="1" applyFont="1" applyBorder="1" applyAlignment="1">
      <alignment horizontal="left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5" fillId="0" borderId="220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204" xfId="6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 vertical="center"/>
    </xf>
    <xf numFmtId="1" fontId="5" fillId="0" borderId="14" xfId="0" applyNumberFormat="1" applyFont="1" applyBorder="1" applyAlignment="1">
      <alignment horizontal="left"/>
    </xf>
    <xf numFmtId="49" fontId="72" fillId="3" borderId="0" xfId="0" applyNumberFormat="1" applyFont="1" applyFill="1" applyAlignment="1">
      <alignment horizontal="center"/>
    </xf>
    <xf numFmtId="0" fontId="72" fillId="3" borderId="0" xfId="0" applyFont="1" applyFill="1" applyAlignment="1">
      <alignment horizontal="center"/>
    </xf>
    <xf numFmtId="0" fontId="0" fillId="51" borderId="0" xfId="0" applyFill="1"/>
    <xf numFmtId="0" fontId="0" fillId="0" borderId="220" xfId="0" applyBorder="1"/>
    <xf numFmtId="1" fontId="73" fillId="3" borderId="0" xfId="0" quotePrefix="1" applyNumberFormat="1" applyFont="1" applyFill="1" applyAlignment="1">
      <alignment horizontal="center"/>
    </xf>
    <xf numFmtId="1" fontId="19" fillId="51" borderId="0" xfId="0" applyNumberFormat="1" applyFont="1" applyFill="1"/>
    <xf numFmtId="0" fontId="74" fillId="22" borderId="0" xfId="0" applyFont="1" applyFill="1" applyAlignment="1">
      <alignment horizontal="center"/>
    </xf>
    <xf numFmtId="0" fontId="72" fillId="3" borderId="220" xfId="0" applyFont="1" applyFill="1" applyBorder="1" applyAlignment="1">
      <alignment horizontal="center"/>
    </xf>
    <xf numFmtId="0" fontId="75" fillId="3" borderId="0" xfId="0" applyFont="1" applyFill="1" applyAlignment="1">
      <alignment horizontal="center"/>
    </xf>
    <xf numFmtId="0" fontId="72" fillId="51" borderId="0" xfId="0" applyFont="1" applyFill="1" applyAlignment="1">
      <alignment horizontal="center"/>
    </xf>
    <xf numFmtId="0" fontId="0" fillId="51" borderId="220" xfId="0" applyFill="1" applyBorder="1"/>
    <xf numFmtId="0" fontId="72" fillId="3" borderId="0" xfId="0" quotePrefix="1" applyFont="1" applyFill="1" applyAlignment="1">
      <alignment horizontal="center"/>
    </xf>
    <xf numFmtId="1" fontId="26" fillId="51" borderId="0" xfId="0" applyNumberFormat="1" applyFont="1" applyFill="1"/>
    <xf numFmtId="0" fontId="75" fillId="3" borderId="220" xfId="0" applyFont="1" applyFill="1" applyBorder="1" applyAlignment="1">
      <alignment horizontal="center"/>
    </xf>
    <xf numFmtId="49" fontId="75" fillId="3" borderId="0" xfId="0" applyNumberFormat="1" applyFont="1" applyFill="1" applyAlignment="1">
      <alignment horizontal="center"/>
    </xf>
    <xf numFmtId="49" fontId="72" fillId="3" borderId="220" xfId="0" applyNumberFormat="1" applyFont="1" applyFill="1" applyBorder="1" applyAlignment="1">
      <alignment horizontal="center"/>
    </xf>
    <xf numFmtId="1" fontId="8" fillId="3" borderId="0" xfId="0" applyNumberFormat="1" applyFont="1" applyFill="1" applyAlignment="1">
      <alignment horizontal="center"/>
    </xf>
    <xf numFmtId="1" fontId="76" fillId="51" borderId="0" xfId="0" applyNumberFormat="1" applyFont="1" applyFill="1" applyAlignment="1">
      <alignment horizontal="center"/>
    </xf>
    <xf numFmtId="1" fontId="19" fillId="51" borderId="0" xfId="0" applyNumberFormat="1" applyFont="1" applyFill="1" applyAlignment="1">
      <alignment horizontal="center"/>
    </xf>
    <xf numFmtId="49" fontId="72" fillId="51" borderId="220" xfId="0" applyNumberFormat="1" applyFont="1" applyFill="1" applyBorder="1" applyAlignment="1">
      <alignment horizontal="center"/>
    </xf>
    <xf numFmtId="49" fontId="77" fillId="51" borderId="0" xfId="0" applyNumberFormat="1" applyFont="1" applyFill="1" applyAlignment="1">
      <alignment horizontal="center"/>
    </xf>
    <xf numFmtId="49" fontId="72" fillId="3" borderId="220" xfId="0" applyNumberFormat="1" applyFont="1" applyFill="1" applyBorder="1" applyAlignment="1">
      <alignment horizontal="center" vertical="center"/>
    </xf>
    <xf numFmtId="1" fontId="8" fillId="51" borderId="0" xfId="0" applyNumberFormat="1" applyFont="1" applyFill="1" applyAlignment="1">
      <alignment horizontal="center"/>
    </xf>
    <xf numFmtId="1" fontId="76" fillId="51" borderId="220" xfId="0" applyNumberFormat="1" applyFont="1" applyFill="1" applyBorder="1" applyAlignment="1">
      <alignment horizontal="center"/>
    </xf>
    <xf numFmtId="1" fontId="8" fillId="3" borderId="220" xfId="0" applyNumberFormat="1" applyFont="1" applyFill="1" applyBorder="1" applyAlignment="1">
      <alignment horizontal="center"/>
    </xf>
    <xf numFmtId="0" fontId="72" fillId="3" borderId="0" xfId="0" applyFont="1" applyFill="1" applyAlignment="1">
      <alignment horizontal="center" vertical="center"/>
    </xf>
    <xf numFmtId="49" fontId="72" fillId="3" borderId="0" xfId="0" applyNumberFormat="1" applyFont="1" applyFill="1" applyAlignment="1">
      <alignment horizontal="center" vertical="center"/>
    </xf>
    <xf numFmtId="0" fontId="72" fillId="3" borderId="0" xfId="0" quotePrefix="1" applyFont="1" applyFill="1" applyAlignment="1">
      <alignment horizontal="center" vertical="center"/>
    </xf>
    <xf numFmtId="0" fontId="72" fillId="3" borderId="220" xfId="0" applyFont="1" applyFill="1" applyBorder="1" applyAlignment="1">
      <alignment horizontal="center" vertical="center"/>
    </xf>
    <xf numFmtId="1" fontId="5" fillId="51" borderId="0" xfId="0" applyNumberFormat="1" applyFont="1" applyFill="1"/>
    <xf numFmtId="49" fontId="43" fillId="51" borderId="0" xfId="0" applyNumberFormat="1" applyFont="1" applyFill="1" applyAlignment="1">
      <alignment horizontal="center" vertical="center"/>
    </xf>
    <xf numFmtId="0" fontId="72" fillId="3" borderId="220" xfId="0" quotePrefix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75" fillId="3" borderId="220" xfId="0" quotePrefix="1" applyFont="1" applyFill="1" applyBorder="1" applyAlignment="1">
      <alignment horizontal="center" vertical="center"/>
    </xf>
    <xf numFmtId="1" fontId="8" fillId="51" borderId="0" xfId="0" applyNumberFormat="1" applyFont="1" applyFill="1"/>
    <xf numFmtId="0" fontId="72" fillId="5" borderId="220" xfId="0" applyFont="1" applyFill="1" applyBorder="1" applyAlignment="1">
      <alignment horizontal="center"/>
    </xf>
    <xf numFmtId="0" fontId="72" fillId="5" borderId="0" xfId="0" applyFont="1" applyFill="1" applyAlignment="1">
      <alignment horizontal="center"/>
    </xf>
    <xf numFmtId="49" fontId="43" fillId="0" borderId="0" xfId="0" applyNumberFormat="1" applyFont="1" applyAlignment="1">
      <alignment horizontal="center" vertical="center"/>
    </xf>
    <xf numFmtId="0" fontId="72" fillId="5" borderId="0" xfId="0" applyFont="1" applyFill="1" applyAlignment="1">
      <alignment horizontal="center" vertical="center"/>
    </xf>
    <xf numFmtId="0" fontId="72" fillId="5" borderId="0" xfId="0" quotePrefix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26" fillId="51" borderId="220" xfId="0" applyFont="1" applyFill="1" applyBorder="1"/>
    <xf numFmtId="0" fontId="26" fillId="0" borderId="220" xfId="0" applyFont="1" applyBorder="1"/>
    <xf numFmtId="0" fontId="41" fillId="51" borderId="220" xfId="0" applyFont="1" applyFill="1" applyBorder="1"/>
    <xf numFmtId="1" fontId="72" fillId="3" borderId="220" xfId="0" applyNumberFormat="1" applyFont="1" applyFill="1" applyBorder="1" applyAlignment="1">
      <alignment horizontal="center"/>
    </xf>
    <xf numFmtId="1" fontId="76" fillId="51" borderId="0" xfId="0" applyNumberFormat="1" applyFont="1" applyFill="1"/>
    <xf numFmtId="0" fontId="74" fillId="22" borderId="220" xfId="0" applyFont="1" applyFill="1" applyBorder="1" applyAlignment="1">
      <alignment horizontal="center"/>
    </xf>
    <xf numFmtId="1" fontId="19" fillId="51" borderId="220" xfId="0" applyNumberFormat="1" applyFont="1" applyFill="1" applyBorder="1"/>
    <xf numFmtId="0" fontId="74" fillId="22" borderId="0" xfId="0" applyFont="1" applyFill="1" applyAlignment="1">
      <alignment horizontal="center" vertical="center"/>
    </xf>
    <xf numFmtId="0" fontId="3" fillId="0" borderId="220" xfId="0" applyFont="1" applyBorder="1"/>
    <xf numFmtId="1" fontId="8" fillId="3" borderId="220" xfId="0" applyNumberFormat="1" applyFont="1" applyFill="1" applyBorder="1"/>
    <xf numFmtId="0" fontId="75" fillId="51" borderId="220" xfId="0" applyFont="1" applyFill="1" applyBorder="1" applyAlignment="1">
      <alignment horizontal="center"/>
    </xf>
    <xf numFmtId="1" fontId="72" fillId="3" borderId="0" xfId="0" applyNumberFormat="1" applyFont="1" applyFill="1" applyAlignment="1">
      <alignment horizontal="center"/>
    </xf>
    <xf numFmtId="1" fontId="75" fillId="3" borderId="0" xfId="0" applyNumberFormat="1" applyFont="1" applyFill="1" applyAlignment="1">
      <alignment horizontal="center"/>
    </xf>
    <xf numFmtId="1" fontId="76" fillId="51" borderId="0" xfId="0" applyNumberFormat="1" applyFont="1" applyFill="1" applyProtection="1">
      <protection locked="0"/>
    </xf>
    <xf numFmtId="0" fontId="41" fillId="0" borderId="0" xfId="0" applyFont="1" applyAlignment="1">
      <alignment horizontal="center"/>
    </xf>
    <xf numFmtId="1" fontId="0" fillId="51" borderId="0" xfId="0" applyNumberFormat="1" applyFill="1"/>
    <xf numFmtId="0" fontId="74" fillId="5" borderId="220" xfId="0" applyFont="1" applyFill="1" applyBorder="1" applyAlignment="1">
      <alignment horizontal="center"/>
    </xf>
    <xf numFmtId="49" fontId="72" fillId="5" borderId="0" xfId="0" applyNumberFormat="1" applyFont="1" applyFill="1" applyAlignment="1">
      <alignment horizontal="center"/>
    </xf>
    <xf numFmtId="0" fontId="72" fillId="5" borderId="220" xfId="0" applyFont="1" applyFill="1" applyBorder="1" applyAlignment="1">
      <alignment horizontal="center" vertical="center"/>
    </xf>
    <xf numFmtId="0" fontId="0" fillId="51" borderId="0" xfId="0" applyFill="1" applyAlignment="1">
      <alignment horizontal="center"/>
    </xf>
    <xf numFmtId="0" fontId="78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8" fillId="3" borderId="220" xfId="0" applyFont="1" applyFill="1" applyBorder="1" applyAlignment="1">
      <alignment horizontal="center"/>
    </xf>
    <xf numFmtId="1" fontId="19" fillId="3" borderId="220" xfId="0" applyNumberFormat="1" applyFont="1" applyFill="1" applyBorder="1"/>
    <xf numFmtId="1" fontId="76" fillId="51" borderId="0" xfId="0" applyNumberFormat="1" applyFont="1" applyFill="1" applyAlignment="1">
      <alignment vertical="center"/>
    </xf>
    <xf numFmtId="1" fontId="75" fillId="51" borderId="0" xfId="0" applyNumberFormat="1" applyFont="1" applyFill="1" applyAlignment="1">
      <alignment horizontal="center"/>
    </xf>
    <xf numFmtId="0" fontId="12" fillId="51" borderId="0" xfId="0" applyFont="1" applyFill="1"/>
    <xf numFmtId="0" fontId="64" fillId="0" borderId="220" xfId="0" applyFont="1" applyBorder="1"/>
    <xf numFmtId="0" fontId="48" fillId="5" borderId="0" xfId="0" applyFont="1" applyFill="1"/>
    <xf numFmtId="0" fontId="48" fillId="5" borderId="220" xfId="0" applyFont="1" applyFill="1" applyBorder="1"/>
    <xf numFmtId="0" fontId="30" fillId="51" borderId="0" xfId="0" applyFont="1" applyFill="1"/>
    <xf numFmtId="0" fontId="30" fillId="5" borderId="0" xfId="0" applyFont="1" applyFill="1"/>
    <xf numFmtId="0" fontId="79" fillId="51" borderId="0" xfId="22" applyFont="1" applyFill="1" applyAlignment="1" applyProtection="1"/>
    <xf numFmtId="0" fontId="30" fillId="0" borderId="0" xfId="0" applyFont="1"/>
    <xf numFmtId="0" fontId="80" fillId="5" borderId="0" xfId="0" applyFont="1" applyFill="1"/>
    <xf numFmtId="0" fontId="15" fillId="3" borderId="0" xfId="0" applyFont="1" applyFill="1" applyAlignment="1">
      <alignment horizontal="center"/>
    </xf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38" fillId="0" borderId="952" xfId="2" applyNumberFormat="1" applyFont="1" applyBorder="1" applyAlignment="1">
      <alignment horizontal="left" vertical="center"/>
    </xf>
    <xf numFmtId="1" fontId="38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38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38" fillId="0" borderId="309" xfId="2" applyNumberFormat="1" applyFont="1" applyBorder="1" applyAlignment="1">
      <alignment horizontal="left" vertical="center"/>
    </xf>
    <xf numFmtId="1" fontId="38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70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8" fillId="0" borderId="699" xfId="0" applyNumberFormat="1" applyFont="1" applyBorder="1" applyAlignment="1">
      <alignment horizontal="left" vertical="center" wrapText="1"/>
    </xf>
    <xf numFmtId="1" fontId="38" fillId="0" borderId="26" xfId="0" applyNumberFormat="1" applyFont="1" applyBorder="1" applyAlignment="1">
      <alignment horizontal="left" vertical="center" wrapText="1"/>
    </xf>
    <xf numFmtId="1" fontId="38" fillId="0" borderId="67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1" fillId="0" borderId="1345" xfId="0" applyFont="1" applyBorder="1" applyAlignment="1">
      <alignment horizontal="center" vertical="center" wrapText="1"/>
    </xf>
    <xf numFmtId="0" fontId="38" fillId="0" borderId="977" xfId="0" applyFont="1" applyBorder="1" applyAlignment="1">
      <alignment horizontal="center" vertical="center" wrapText="1"/>
    </xf>
    <xf numFmtId="0" fontId="38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1" fillId="0" borderId="1314" xfId="15" applyNumberFormat="1" applyFont="1" applyBorder="1" applyAlignment="1">
      <alignment horizontal="center" vertical="center" wrapText="1"/>
    </xf>
    <xf numFmtId="1" fontId="71" fillId="0" borderId="43" xfId="15" applyNumberFormat="1" applyFont="1" applyBorder="1" applyAlignment="1">
      <alignment horizontal="center" vertical="center" wrapText="1"/>
    </xf>
    <xf numFmtId="1" fontId="71" fillId="0" borderId="1365" xfId="15" applyNumberFormat="1" applyFont="1" applyBorder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0" fontId="2" fillId="0" borderId="1255" xfId="20" applyFont="1" applyBorder="1" applyAlignment="1">
      <alignment horizontal="left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1" fontId="5" fillId="4" borderId="25" xfId="15" applyNumberFormat="1" applyFont="1" applyFill="1" applyBorder="1" applyProtection="1">
      <protection locked="0"/>
    </xf>
    <xf numFmtId="1" fontId="5" fillId="6" borderId="1418" xfId="0" applyNumberFormat="1" applyFont="1" applyFill="1" applyBorder="1" applyProtection="1">
      <protection locked="0"/>
    </xf>
    <xf numFmtId="1" fontId="5" fillId="6" borderId="259" xfId="0" applyNumberFormat="1" applyFont="1" applyFill="1" applyBorder="1" applyProtection="1">
      <protection locked="0"/>
    </xf>
    <xf numFmtId="1" fontId="5" fillId="6" borderId="920" xfId="0" applyNumberFormat="1" applyFont="1" applyFill="1" applyBorder="1" applyProtection="1">
      <protection locked="0"/>
    </xf>
    <xf numFmtId="1" fontId="5" fillId="5" borderId="1059" xfId="0" applyNumberFormat="1" applyFont="1" applyFill="1" applyBorder="1" applyAlignment="1">
      <alignment horizontal="left" wrapText="1"/>
    </xf>
    <xf numFmtId="1" fontId="5" fillId="5" borderId="1182" xfId="0" applyNumberFormat="1" applyFont="1" applyFill="1" applyBorder="1" applyAlignment="1">
      <alignment horizontal="left" wrapText="1"/>
    </xf>
    <xf numFmtId="1" fontId="5" fillId="0" borderId="1079" xfId="0" applyNumberFormat="1" applyFont="1" applyBorder="1" applyAlignment="1">
      <alignment horizontal="left"/>
    </xf>
    <xf numFmtId="1" fontId="5" fillId="0" borderId="982" xfId="0" applyNumberFormat="1" applyFont="1" applyBorder="1" applyAlignment="1">
      <alignment horizontal="left"/>
    </xf>
    <xf numFmtId="1" fontId="5" fillId="4" borderId="1078" xfId="0" applyNumberFormat="1" applyFont="1" applyFill="1" applyBorder="1" applyAlignment="1" applyProtection="1">
      <alignment horizontal="left"/>
      <protection locked="0"/>
    </xf>
    <xf numFmtId="1" fontId="5" fillId="4" borderId="982" xfId="0" applyNumberFormat="1" applyFont="1" applyFill="1" applyBorder="1" applyAlignment="1" applyProtection="1">
      <alignment horizontal="left"/>
      <protection locked="0"/>
    </xf>
    <xf numFmtId="0" fontId="5" fillId="0" borderId="1182" xfId="0" applyFont="1" applyBorder="1" applyAlignment="1">
      <alignment horizontal="left"/>
    </xf>
    <xf numFmtId="1" fontId="5" fillId="0" borderId="1179" xfId="0" applyNumberFormat="1" applyFont="1" applyBorder="1" applyAlignment="1">
      <alignment horizontal="left"/>
    </xf>
    <xf numFmtId="1" fontId="5" fillId="0" borderId="1199" xfId="0" applyNumberFormat="1" applyFont="1" applyBorder="1" applyAlignment="1">
      <alignment horizontal="left"/>
    </xf>
    <xf numFmtId="1" fontId="5" fillId="4" borderId="1182" xfId="0" applyNumberFormat="1" applyFont="1" applyFill="1" applyBorder="1" applyAlignment="1" applyProtection="1">
      <alignment horizontal="left"/>
      <protection locked="0"/>
    </xf>
    <xf numFmtId="1" fontId="5" fillId="4" borderId="1199" xfId="0" applyNumberFormat="1" applyFont="1" applyFill="1" applyBorder="1" applyAlignment="1" applyProtection="1">
      <alignment horizontal="left"/>
      <protection locked="0"/>
    </xf>
    <xf numFmtId="1" fontId="5" fillId="0" borderId="1182" xfId="0" applyNumberFormat="1" applyFont="1" applyBorder="1" applyAlignment="1">
      <alignment horizontal="left"/>
    </xf>
    <xf numFmtId="1" fontId="5" fillId="4" borderId="991" xfId="0" applyNumberFormat="1" applyFont="1" applyFill="1" applyBorder="1" applyAlignment="1" applyProtection="1">
      <alignment horizontal="left"/>
      <protection locked="0"/>
    </xf>
    <xf numFmtId="1" fontId="5" fillId="4" borderId="1082" xfId="0" applyNumberFormat="1" applyFont="1" applyFill="1" applyBorder="1" applyAlignment="1" applyProtection="1">
      <alignment horizontal="left"/>
      <protection locked="0"/>
    </xf>
    <xf numFmtId="1" fontId="5" fillId="4" borderId="1412" xfId="0" applyNumberFormat="1" applyFont="1" applyFill="1" applyBorder="1" applyAlignment="1" applyProtection="1">
      <alignment horizontal="left"/>
      <protection locked="0"/>
    </xf>
    <xf numFmtId="1" fontId="5" fillId="5" borderId="13" xfId="0" applyNumberFormat="1" applyFont="1" applyFill="1" applyBorder="1" applyAlignment="1">
      <alignment horizontal="left" wrapText="1"/>
    </xf>
    <xf numFmtId="1" fontId="5" fillId="5" borderId="831" xfId="0" applyNumberFormat="1" applyFont="1" applyFill="1" applyBorder="1" applyAlignment="1">
      <alignment horizontal="left" wrapText="1"/>
    </xf>
    <xf numFmtId="1" fontId="5" fillId="5" borderId="27" xfId="0" applyNumberFormat="1" applyFont="1" applyFill="1" applyBorder="1" applyAlignment="1">
      <alignment horizontal="left" wrapText="1"/>
    </xf>
    <xf numFmtId="1" fontId="5" fillId="5" borderId="833" xfId="0" applyNumberFormat="1" applyFont="1" applyFill="1" applyBorder="1" applyAlignment="1">
      <alignment horizontal="left" wrapText="1"/>
    </xf>
    <xf numFmtId="1" fontId="5" fillId="4" borderId="831" xfId="0" applyNumberFormat="1" applyFont="1" applyFill="1" applyBorder="1" applyAlignment="1" applyProtection="1">
      <alignment horizontal="left"/>
      <protection locked="0"/>
    </xf>
    <xf numFmtId="1" fontId="5" fillId="4" borderId="833" xfId="0" applyNumberFormat="1" applyFont="1" applyFill="1" applyBorder="1" applyAlignment="1" applyProtection="1">
      <alignment horizontal="left"/>
      <protection locked="0"/>
    </xf>
    <xf numFmtId="1" fontId="5" fillId="33" borderId="1200" xfId="2" applyNumberFormat="1" applyFont="1" applyFill="1" applyBorder="1" applyAlignment="1">
      <alignment horizontal="left"/>
    </xf>
    <xf numFmtId="1" fontId="5" fillId="33" borderId="1201" xfId="2" applyNumberFormat="1" applyFont="1" applyFill="1" applyBorder="1" applyAlignment="1">
      <alignment horizontal="left"/>
    </xf>
    <xf numFmtId="1" fontId="5" fillId="33" borderId="282" xfId="2" applyNumberFormat="1" applyFont="1" applyFill="1" applyBorder="1" applyAlignment="1">
      <alignment horizontal="left"/>
    </xf>
    <xf numFmtId="1" fontId="5" fillId="0" borderId="831" xfId="0" applyNumberFormat="1" applyFont="1" applyBorder="1" applyAlignment="1">
      <alignment horizontal="left"/>
    </xf>
    <xf numFmtId="1" fontId="5" fillId="0" borderId="27" xfId="0" applyNumberFormat="1" applyFont="1" applyBorder="1" applyAlignment="1">
      <alignment horizontal="left"/>
    </xf>
    <xf numFmtId="1" fontId="5" fillId="0" borderId="833" xfId="0" applyNumberFormat="1" applyFont="1" applyBorder="1" applyAlignment="1">
      <alignment horizontal="left"/>
    </xf>
    <xf numFmtId="1" fontId="5" fillId="4" borderId="854" xfId="0" applyNumberFormat="1" applyFont="1" applyFill="1" applyBorder="1" applyAlignment="1" applyProtection="1">
      <alignment horizontal="left"/>
      <protection locked="0"/>
    </xf>
    <xf numFmtId="1" fontId="5" fillId="4" borderId="57" xfId="0" applyNumberFormat="1" applyFont="1" applyFill="1" applyBorder="1" applyAlignment="1" applyProtection="1">
      <alignment horizontal="left"/>
      <protection locked="0"/>
    </xf>
    <xf numFmtId="1" fontId="5" fillId="5" borderId="1079" xfId="0" applyNumberFormat="1" applyFont="1" applyFill="1" applyBorder="1" applyAlignment="1">
      <alignment horizontal="left" wrapText="1"/>
    </xf>
    <xf numFmtId="1" fontId="5" fillId="5" borderId="982" xfId="0" applyNumberFormat="1" applyFont="1" applyFill="1" applyBorder="1" applyAlignment="1">
      <alignment horizontal="left" wrapText="1"/>
    </xf>
    <xf numFmtId="1" fontId="5" fillId="5" borderId="31" xfId="0" applyNumberFormat="1" applyFont="1" applyFill="1" applyBorder="1" applyAlignment="1">
      <alignment horizontal="left" wrapText="1"/>
    </xf>
    <xf numFmtId="1" fontId="5" fillId="5" borderId="20" xfId="0" applyNumberFormat="1" applyFont="1" applyFill="1" applyBorder="1" applyAlignment="1">
      <alignment horizontal="left" wrapText="1"/>
    </xf>
    <xf numFmtId="1" fontId="5" fillId="5" borderId="225" xfId="0" applyNumberFormat="1" applyFont="1" applyFill="1" applyBorder="1" applyAlignment="1">
      <alignment horizontal="left" wrapText="1"/>
    </xf>
    <xf numFmtId="1" fontId="5" fillId="5" borderId="226" xfId="0" applyNumberFormat="1" applyFont="1" applyFill="1" applyBorder="1" applyAlignment="1">
      <alignment horizontal="left" wrapText="1"/>
    </xf>
    <xf numFmtId="1" fontId="5" fillId="4" borderId="20" xfId="0" applyNumberFormat="1" applyFont="1" applyFill="1" applyBorder="1" applyAlignment="1" applyProtection="1">
      <alignment horizontal="left"/>
      <protection locked="0"/>
    </xf>
    <xf numFmtId="1" fontId="5" fillId="4" borderId="226" xfId="0" applyNumberFormat="1" applyFont="1" applyFill="1" applyBorder="1" applyAlignment="1" applyProtection="1">
      <alignment horizontal="left"/>
      <protection locked="0"/>
    </xf>
    <xf numFmtId="0" fontId="5" fillId="0" borderId="222" xfId="0" applyFont="1" applyBorder="1" applyAlignment="1">
      <alignment horizontal="left"/>
    </xf>
    <xf numFmtId="1" fontId="5" fillId="0" borderId="225" xfId="0" applyNumberFormat="1" applyFont="1" applyBorder="1" applyAlignment="1">
      <alignment horizontal="left"/>
    </xf>
    <xf numFmtId="1" fontId="5" fillId="4" borderId="222" xfId="0" applyNumberFormat="1" applyFont="1" applyFill="1" applyBorder="1" applyAlignment="1" applyProtection="1">
      <alignment horizontal="left"/>
      <protection locked="0"/>
    </xf>
    <xf numFmtId="1" fontId="5" fillId="4" borderId="1099" xfId="0" applyNumberFormat="1" applyFont="1" applyFill="1" applyBorder="1" applyAlignment="1" applyProtection="1">
      <alignment horizontal="left"/>
      <protection locked="0"/>
    </xf>
    <xf numFmtId="1" fontId="5" fillId="0" borderId="222" xfId="0" applyNumberFormat="1" applyFont="1" applyBorder="1" applyAlignment="1">
      <alignment horizontal="left"/>
    </xf>
    <xf numFmtId="1" fontId="5" fillId="0" borderId="226" xfId="0" applyNumberFormat="1" applyFont="1" applyBorder="1" applyAlignment="1">
      <alignment horizontal="left"/>
    </xf>
    <xf numFmtId="1" fontId="5" fillId="4" borderId="256" xfId="0" applyNumberFormat="1" applyFont="1" applyFill="1" applyBorder="1" applyAlignment="1" applyProtection="1">
      <alignment horizontal="left"/>
      <protection locked="0"/>
    </xf>
    <xf numFmtId="1" fontId="5" fillId="4" borderId="55" xfId="0" applyNumberFormat="1" applyFont="1" applyFill="1" applyBorder="1" applyAlignment="1" applyProtection="1">
      <alignment horizontal="left"/>
      <protection locked="0"/>
    </xf>
    <xf numFmtId="1" fontId="5" fillId="4" borderId="1208" xfId="0" applyNumberFormat="1" applyFont="1" applyFill="1" applyBorder="1" applyAlignment="1" applyProtection="1">
      <alignment horizontal="left"/>
      <protection locked="0"/>
    </xf>
    <xf numFmtId="1" fontId="5" fillId="33" borderId="1202" xfId="2" applyNumberFormat="1" applyFont="1" applyFill="1" applyBorder="1" applyAlignment="1">
      <alignment horizontal="left"/>
    </xf>
    <xf numFmtId="1" fontId="5" fillId="33" borderId="27" xfId="2" applyNumberFormat="1" applyFont="1" applyFill="1" applyBorder="1" applyAlignment="1">
      <alignment horizontal="left"/>
    </xf>
    <xf numFmtId="1" fontId="5" fillId="33" borderId="1203" xfId="2" applyNumberFormat="1" applyFont="1" applyFill="1" applyBorder="1" applyAlignment="1">
      <alignment horizontal="left"/>
    </xf>
    <xf numFmtId="1" fontId="5" fillId="33" borderId="792" xfId="2" applyNumberFormat="1" applyFont="1" applyFill="1" applyBorder="1" applyAlignment="1">
      <alignment horizontal="left"/>
    </xf>
    <xf numFmtId="1" fontId="5" fillId="0" borderId="59" xfId="6" applyNumberFormat="1" applyFont="1" applyBorder="1" applyAlignment="1">
      <alignment horizontal="left"/>
    </xf>
    <xf numFmtId="1" fontId="5" fillId="4" borderId="201" xfId="6" applyNumberFormat="1" applyFont="1" applyFill="1" applyBorder="1" applyAlignment="1" applyProtection="1">
      <alignment horizontal="left"/>
      <protection locked="0"/>
    </xf>
    <xf numFmtId="1" fontId="5" fillId="4" borderId="31" xfId="6" applyNumberFormat="1" applyFont="1" applyFill="1" applyBorder="1" applyAlignment="1" applyProtection="1">
      <alignment horizontal="left"/>
      <protection locked="0"/>
    </xf>
    <xf numFmtId="1" fontId="5" fillId="4" borderId="48" xfId="6" applyNumberFormat="1" applyFont="1" applyFill="1" applyBorder="1" applyAlignment="1" applyProtection="1">
      <alignment horizontal="left"/>
      <protection locked="0"/>
    </xf>
    <xf numFmtId="1" fontId="5" fillId="4" borderId="22" xfId="6" applyNumberFormat="1" applyFont="1" applyFill="1" applyBorder="1" applyAlignment="1" applyProtection="1">
      <alignment horizontal="left"/>
      <protection locked="0"/>
    </xf>
    <xf numFmtId="1" fontId="5" fillId="4" borderId="13" xfId="6" applyNumberFormat="1" applyFont="1" applyFill="1" applyBorder="1" applyAlignment="1" applyProtection="1">
      <alignment horizontal="left"/>
      <protection locked="0"/>
    </xf>
    <xf numFmtId="1" fontId="5" fillId="4" borderId="38" xfId="6" applyNumberFormat="1" applyFont="1" applyFill="1" applyBorder="1" applyAlignment="1" applyProtection="1">
      <alignment horizontal="left"/>
      <protection locked="0"/>
    </xf>
    <xf numFmtId="1" fontId="5" fillId="4" borderId="12" xfId="6" applyNumberFormat="1" applyFont="1" applyFill="1" applyBorder="1" applyAlignment="1" applyProtection="1">
      <alignment horizontal="left"/>
      <protection locked="0"/>
    </xf>
    <xf numFmtId="1" fontId="5" fillId="0" borderId="74" xfId="6" applyNumberFormat="1" applyFont="1" applyBorder="1" applyAlignment="1">
      <alignment horizontal="left"/>
    </xf>
    <xf numFmtId="1" fontId="5" fillId="4" borderId="76" xfId="6" applyNumberFormat="1" applyFont="1" applyFill="1" applyBorder="1" applyAlignment="1" applyProtection="1">
      <alignment horizontal="left"/>
      <protection locked="0"/>
    </xf>
    <xf numFmtId="1" fontId="5" fillId="4" borderId="202" xfId="6" applyNumberFormat="1" applyFont="1" applyFill="1" applyBorder="1" applyAlignment="1" applyProtection="1">
      <alignment horizontal="left"/>
      <protection locked="0"/>
    </xf>
    <xf numFmtId="1" fontId="5" fillId="4" borderId="75" xfId="6" applyNumberFormat="1" applyFont="1" applyFill="1" applyBorder="1" applyAlignment="1" applyProtection="1">
      <alignment horizontal="left"/>
      <protection locked="0"/>
    </xf>
    <xf numFmtId="1" fontId="5" fillId="4" borderId="203" xfId="6" applyNumberFormat="1" applyFont="1" applyFill="1" applyBorder="1" applyAlignment="1" applyProtection="1">
      <alignment horizontal="left"/>
      <protection locked="0"/>
    </xf>
    <xf numFmtId="1" fontId="5" fillId="0" borderId="420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left"/>
    </xf>
    <xf numFmtId="1" fontId="5" fillId="0" borderId="441" xfId="0" applyNumberFormat="1" applyFont="1" applyBorder="1" applyAlignment="1">
      <alignment horizontal="left"/>
    </xf>
    <xf numFmtId="1" fontId="5" fillId="4" borderId="61" xfId="0" applyNumberFormat="1" applyFont="1" applyFill="1" applyBorder="1" applyAlignment="1" applyProtection="1">
      <alignment horizontal="left"/>
      <protection locked="0"/>
    </xf>
    <xf numFmtId="1" fontId="5" fillId="4" borderId="451" xfId="0" applyNumberFormat="1" applyFont="1" applyFill="1" applyBorder="1" applyAlignment="1" applyProtection="1">
      <alignment horizontal="left"/>
      <protection locked="0"/>
    </xf>
    <xf numFmtId="1" fontId="5" fillId="4" borderId="30" xfId="0" applyNumberFormat="1" applyFont="1" applyFill="1" applyBorder="1" applyAlignment="1" applyProtection="1">
      <alignment horizontal="left"/>
      <protection locked="0"/>
    </xf>
    <xf numFmtId="1" fontId="5" fillId="4" borderId="466" xfId="0" applyNumberFormat="1" applyFont="1" applyFill="1" applyBorder="1" applyAlignment="1" applyProtection="1">
      <alignment horizontal="left"/>
      <protection locked="0"/>
    </xf>
    <xf numFmtId="1" fontId="5" fillId="8" borderId="43" xfId="0" applyNumberFormat="1" applyFont="1" applyFill="1" applyBorder="1" applyAlignment="1" applyProtection="1">
      <alignment horizontal="left"/>
      <protection locked="0"/>
    </xf>
    <xf numFmtId="1" fontId="5" fillId="4" borderId="435" xfId="0" applyNumberFormat="1" applyFont="1" applyFill="1" applyBorder="1" applyAlignment="1" applyProtection="1">
      <alignment horizontal="left"/>
      <protection locked="0"/>
    </xf>
    <xf numFmtId="1" fontId="5" fillId="4" borderId="220" xfId="0" applyNumberFormat="1" applyFont="1" applyFill="1" applyBorder="1" applyAlignment="1" applyProtection="1">
      <alignment horizontal="left"/>
      <protection locked="0"/>
    </xf>
    <xf numFmtId="1" fontId="5" fillId="4" borderId="410" xfId="0" applyNumberFormat="1" applyFont="1" applyFill="1" applyBorder="1" applyAlignment="1" applyProtection="1">
      <alignment horizontal="left"/>
      <protection locked="0"/>
    </xf>
    <xf numFmtId="1" fontId="5" fillId="4" borderId="432" xfId="0" applyNumberFormat="1" applyFont="1" applyFill="1" applyBorder="1" applyAlignment="1" applyProtection="1">
      <alignment horizontal="left"/>
      <protection locked="0"/>
    </xf>
    <xf numFmtId="1" fontId="5" fillId="4" borderId="43" xfId="0" applyNumberFormat="1" applyFont="1" applyFill="1" applyBorder="1" applyAlignment="1" applyProtection="1">
      <alignment horizontal="left"/>
      <protection locked="0"/>
    </xf>
    <xf numFmtId="1" fontId="5" fillId="0" borderId="371" xfId="0" applyNumberFormat="1" applyFont="1" applyBorder="1" applyAlignment="1">
      <alignment horizontal="left"/>
    </xf>
    <xf numFmtId="1" fontId="5" fillId="4" borderId="23" xfId="0" applyNumberFormat="1" applyFont="1" applyFill="1" applyBorder="1" applyAlignment="1" applyProtection="1">
      <alignment horizontal="left"/>
      <protection locked="0"/>
    </xf>
    <xf numFmtId="1" fontId="5" fillId="4" borderId="42" xfId="0" applyNumberFormat="1" applyFont="1" applyFill="1" applyBorder="1" applyAlignment="1" applyProtection="1">
      <alignment horizontal="left"/>
      <protection locked="0"/>
    </xf>
    <xf numFmtId="1" fontId="5" fillId="4" borderId="41" xfId="0" applyNumberFormat="1" applyFont="1" applyFill="1" applyBorder="1" applyAlignment="1" applyProtection="1">
      <alignment horizontal="left"/>
      <protection locked="0"/>
    </xf>
    <xf numFmtId="1" fontId="5" fillId="4" borderId="86" xfId="0" applyNumberFormat="1" applyFont="1" applyFill="1" applyBorder="1" applyAlignment="1" applyProtection="1">
      <alignment horizontal="left"/>
      <protection locked="0"/>
    </xf>
    <xf numFmtId="1" fontId="5" fillId="8" borderId="46" xfId="0" applyNumberFormat="1" applyFont="1" applyFill="1" applyBorder="1" applyAlignment="1" applyProtection="1">
      <alignment horizontal="left"/>
      <protection locked="0"/>
    </xf>
    <xf numFmtId="1" fontId="5" fillId="4" borderId="33" xfId="0" applyNumberFormat="1" applyFont="1" applyFill="1" applyBorder="1" applyAlignment="1" applyProtection="1">
      <alignment horizontal="left"/>
      <protection locked="0"/>
    </xf>
    <xf numFmtId="1" fontId="5" fillId="4" borderId="25" xfId="0" applyNumberFormat="1" applyFont="1" applyFill="1" applyBorder="1" applyAlignment="1" applyProtection="1">
      <alignment horizontal="left"/>
      <protection locked="0"/>
    </xf>
    <xf numFmtId="1" fontId="5" fillId="4" borderId="70" xfId="0" applyNumberFormat="1" applyFont="1" applyFill="1" applyBorder="1" applyAlignment="1" applyProtection="1">
      <alignment horizontal="left"/>
      <protection locked="0"/>
    </xf>
    <xf numFmtId="1" fontId="5" fillId="4" borderId="46" xfId="0" applyNumberFormat="1" applyFont="1" applyFill="1" applyBorder="1" applyAlignment="1" applyProtection="1">
      <alignment horizontal="left"/>
      <protection locked="0"/>
    </xf>
    <xf numFmtId="1" fontId="5" fillId="4" borderId="14" xfId="0" applyNumberFormat="1" applyFont="1" applyFill="1" applyBorder="1" applyAlignment="1" applyProtection="1">
      <alignment horizontal="left"/>
      <protection locked="0"/>
    </xf>
    <xf numFmtId="1" fontId="5" fillId="4" borderId="18" xfId="0" applyNumberFormat="1" applyFont="1" applyFill="1" applyBorder="1" applyAlignment="1" applyProtection="1">
      <alignment horizontal="left"/>
      <protection locked="0"/>
    </xf>
    <xf numFmtId="1" fontId="5" fillId="4" borderId="27" xfId="0" applyNumberFormat="1" applyFont="1" applyFill="1" applyBorder="1" applyAlignment="1" applyProtection="1">
      <alignment horizontal="left"/>
      <protection locked="0"/>
    </xf>
    <xf numFmtId="1" fontId="5" fillId="4" borderId="16" xfId="0" applyNumberFormat="1" applyFont="1" applyFill="1" applyBorder="1" applyAlignment="1" applyProtection="1">
      <alignment horizontal="left"/>
      <protection locked="0"/>
    </xf>
    <xf numFmtId="1" fontId="5" fillId="8" borderId="47" xfId="0" applyNumberFormat="1" applyFont="1" applyFill="1" applyBorder="1" applyAlignment="1" applyProtection="1">
      <alignment horizontal="left"/>
      <protection locked="0"/>
    </xf>
    <xf numFmtId="1" fontId="5" fillId="4" borderId="13" xfId="0" applyNumberFormat="1" applyFont="1" applyFill="1" applyBorder="1" applyAlignment="1" applyProtection="1">
      <alignment horizontal="left"/>
      <protection locked="0"/>
    </xf>
    <xf numFmtId="1" fontId="5" fillId="4" borderId="12" xfId="0" applyNumberFormat="1" applyFont="1" applyFill="1" applyBorder="1" applyAlignment="1" applyProtection="1">
      <alignment horizontal="left"/>
      <protection locked="0"/>
    </xf>
    <xf numFmtId="1" fontId="5" fillId="4" borderId="11" xfId="0" applyNumberFormat="1" applyFont="1" applyFill="1" applyBorder="1" applyAlignment="1" applyProtection="1">
      <alignment horizontal="left"/>
      <protection locked="0"/>
    </xf>
    <xf numFmtId="1" fontId="5" fillId="4" borderId="47" xfId="0" applyNumberFormat="1" applyFont="1" applyFill="1" applyBorder="1" applyAlignment="1" applyProtection="1">
      <alignment horizontal="left"/>
      <protection locked="0"/>
    </xf>
    <xf numFmtId="0" fontId="5" fillId="0" borderId="222" xfId="0" applyFont="1" applyBorder="1" applyAlignment="1">
      <alignment horizontal="left" vertical="center" wrapText="1"/>
    </xf>
    <xf numFmtId="0" fontId="5" fillId="0" borderId="441" xfId="0" applyFont="1" applyBorder="1" applyAlignment="1">
      <alignment horizontal="left"/>
    </xf>
    <xf numFmtId="1" fontId="5" fillId="4" borderId="225" xfId="0" applyNumberFormat="1" applyFont="1" applyFill="1" applyBorder="1" applyAlignment="1" applyProtection="1">
      <alignment horizontal="left"/>
      <protection locked="0"/>
    </xf>
    <xf numFmtId="1" fontId="5" fillId="4" borderId="22" xfId="0" applyNumberFormat="1" applyFont="1" applyFill="1" applyBorder="1" applyAlignment="1" applyProtection="1">
      <alignment horizontal="left"/>
      <protection locked="0"/>
    </xf>
    <xf numFmtId="1" fontId="5" fillId="8" borderId="263" xfId="0" applyNumberFormat="1" applyFont="1" applyFill="1" applyBorder="1" applyAlignment="1" applyProtection="1">
      <alignment horizontal="left"/>
      <protection locked="0"/>
    </xf>
    <xf numFmtId="1" fontId="5" fillId="4" borderId="208" xfId="0" applyNumberFormat="1" applyFont="1" applyFill="1" applyBorder="1" applyAlignment="1" applyProtection="1">
      <alignment horizontal="left"/>
      <protection locked="0"/>
    </xf>
    <xf numFmtId="1" fontId="5" fillId="4" borderId="59" xfId="0" applyNumberFormat="1" applyFont="1" applyFill="1" applyBorder="1" applyAlignment="1" applyProtection="1">
      <alignment horizontal="left"/>
      <protection locked="0"/>
    </xf>
    <xf numFmtId="1" fontId="5" fillId="4" borderId="263" xfId="0" applyNumberFormat="1" applyFont="1" applyFill="1" applyBorder="1" applyAlignment="1" applyProtection="1">
      <alignment horizontal="left"/>
      <protection locked="0"/>
    </xf>
    <xf numFmtId="0" fontId="5" fillId="0" borderId="22" xfId="0" applyFont="1" applyBorder="1" applyAlignment="1">
      <alignment horizontal="left"/>
    </xf>
    <xf numFmtId="1" fontId="5" fillId="0" borderId="222" xfId="0" applyNumberFormat="1" applyFont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/>
    </xf>
    <xf numFmtId="1" fontId="5" fillId="4" borderId="371" xfId="0" applyNumberFormat="1" applyFont="1" applyFill="1" applyBorder="1" applyAlignment="1" applyProtection="1">
      <alignment horizontal="left"/>
      <protection locked="0"/>
    </xf>
    <xf numFmtId="1" fontId="5" fillId="4" borderId="372" xfId="0" applyNumberFormat="1" applyFont="1" applyFill="1" applyBorder="1" applyAlignment="1" applyProtection="1">
      <alignment horizontal="left"/>
      <protection locked="0"/>
    </xf>
    <xf numFmtId="1" fontId="5" fillId="4" borderId="375" xfId="0" applyNumberFormat="1" applyFont="1" applyFill="1" applyBorder="1" applyAlignment="1" applyProtection="1">
      <alignment horizontal="left"/>
      <protection locked="0"/>
    </xf>
    <xf numFmtId="1" fontId="5" fillId="4" borderId="10" xfId="0" applyNumberFormat="1" applyFont="1" applyFill="1" applyBorder="1" applyAlignment="1" applyProtection="1">
      <alignment horizontal="left"/>
      <protection locked="0"/>
    </xf>
    <xf numFmtId="1" fontId="5" fillId="4" borderId="52" xfId="0" applyNumberFormat="1" applyFont="1" applyFill="1" applyBorder="1" applyAlignment="1" applyProtection="1">
      <alignment horizontal="left"/>
      <protection locked="0"/>
    </xf>
    <xf numFmtId="1" fontId="5" fillId="8" borderId="408" xfId="0" applyNumberFormat="1" applyFont="1" applyFill="1" applyBorder="1" applyAlignment="1" applyProtection="1">
      <alignment horizontal="left"/>
      <protection locked="0"/>
    </xf>
    <xf numFmtId="1" fontId="5" fillId="4" borderId="373" xfId="0" applyNumberFormat="1" applyFont="1" applyFill="1" applyBorder="1" applyAlignment="1" applyProtection="1">
      <alignment horizontal="left"/>
      <protection locked="0"/>
    </xf>
    <xf numFmtId="1" fontId="5" fillId="4" borderId="378" xfId="0" applyNumberFormat="1" applyFont="1" applyFill="1" applyBorder="1" applyAlignment="1" applyProtection="1">
      <alignment horizontal="left"/>
      <protection locked="0"/>
    </xf>
    <xf numFmtId="1" fontId="5" fillId="4" borderId="408" xfId="0" applyNumberFormat="1" applyFont="1" applyFill="1" applyBorder="1" applyAlignment="1" applyProtection="1">
      <alignment horizontal="left"/>
      <protection locked="0"/>
    </xf>
    <xf numFmtId="0" fontId="5" fillId="0" borderId="410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/>
    </xf>
    <xf numFmtId="1" fontId="5" fillId="4" borderId="461" xfId="0" applyNumberFormat="1" applyFont="1" applyFill="1" applyBorder="1" applyAlignment="1" applyProtection="1">
      <alignment horizontal="left"/>
      <protection locked="0"/>
    </xf>
    <xf numFmtId="1" fontId="5" fillId="0" borderId="22" xfId="0" applyNumberFormat="1" applyFont="1" applyBorder="1" applyAlignment="1">
      <alignment horizontal="left"/>
    </xf>
    <xf numFmtId="1" fontId="5" fillId="4" borderId="441" xfId="0" applyNumberFormat="1" applyFont="1" applyFill="1" applyBorder="1" applyAlignment="1" applyProtection="1">
      <alignment horizontal="left"/>
      <protection locked="0"/>
    </xf>
    <xf numFmtId="1" fontId="5" fillId="4" borderId="420" xfId="0" applyNumberFormat="1" applyFont="1" applyFill="1" applyBorder="1" applyAlignment="1" applyProtection="1">
      <alignment horizontal="left"/>
      <protection locked="0"/>
    </xf>
    <xf numFmtId="1" fontId="5" fillId="4" borderId="262" xfId="0" applyNumberFormat="1" applyFont="1" applyFill="1" applyBorder="1" applyAlignment="1" applyProtection="1">
      <alignment horizontal="left"/>
      <protection locked="0"/>
    </xf>
    <xf numFmtId="0" fontId="5" fillId="0" borderId="22" xfId="0" applyFont="1" applyBorder="1" applyAlignment="1">
      <alignment horizontal="left" vertical="center" wrapText="1"/>
    </xf>
    <xf numFmtId="1" fontId="5" fillId="4" borderId="407" xfId="0" applyNumberFormat="1" applyFont="1" applyFill="1" applyBorder="1" applyAlignment="1" applyProtection="1">
      <alignment horizontal="left"/>
      <protection locked="0"/>
    </xf>
    <xf numFmtId="1" fontId="3" fillId="6" borderId="1059" xfId="0" applyNumberFormat="1" applyFont="1" applyFill="1" applyBorder="1" applyAlignment="1">
      <alignment horizontal="left" vertical="center"/>
    </xf>
    <xf numFmtId="1" fontId="3" fillId="7" borderId="1059" xfId="0" applyNumberFormat="1" applyFont="1" applyFill="1" applyBorder="1" applyAlignment="1">
      <alignment horizontal="left"/>
    </xf>
    <xf numFmtId="1" fontId="3" fillId="7" borderId="1064" xfId="0" applyNumberFormat="1" applyFont="1" applyFill="1" applyBorder="1" applyAlignment="1">
      <alignment horizontal="left"/>
    </xf>
    <xf numFmtId="1" fontId="3" fillId="4" borderId="1065" xfId="0" applyNumberFormat="1" applyFont="1" applyFill="1" applyBorder="1" applyAlignment="1" applyProtection="1">
      <alignment horizontal="left"/>
      <protection locked="0"/>
    </xf>
    <xf numFmtId="1" fontId="3" fillId="4" borderId="1059" xfId="0" applyNumberFormat="1" applyFont="1" applyFill="1" applyBorder="1" applyAlignment="1" applyProtection="1">
      <alignment horizontal="left"/>
      <protection locked="0"/>
    </xf>
    <xf numFmtId="1" fontId="3" fillId="5" borderId="835" xfId="26" applyNumberFormat="1" applyFont="1" applyFill="1" applyBorder="1" applyAlignment="1" applyProtection="1">
      <alignment horizontal="left" wrapText="1"/>
    </xf>
    <xf numFmtId="1" fontId="3" fillId="4" borderId="835" xfId="0" applyNumberFormat="1" applyFont="1" applyFill="1" applyBorder="1" applyAlignment="1" applyProtection="1">
      <alignment horizontal="left"/>
      <protection locked="0"/>
    </xf>
    <xf numFmtId="1" fontId="3" fillId="4" borderId="913" xfId="0" applyNumberFormat="1" applyFont="1" applyFill="1" applyBorder="1" applyAlignment="1" applyProtection="1">
      <alignment horizontal="left"/>
      <protection locked="0"/>
    </xf>
    <xf numFmtId="1" fontId="3" fillId="4" borderId="838" xfId="0" applyNumberFormat="1" applyFont="1" applyFill="1" applyBorder="1" applyAlignment="1" applyProtection="1">
      <alignment horizontal="left"/>
      <protection locked="0"/>
    </xf>
    <xf numFmtId="1" fontId="3" fillId="5" borderId="676" xfId="26" applyNumberFormat="1" applyFont="1" applyFill="1" applyBorder="1" applyAlignment="1" applyProtection="1">
      <alignment horizontal="left" wrapText="1"/>
    </xf>
    <xf numFmtId="1" fontId="3" fillId="4" borderId="676" xfId="0" applyNumberFormat="1" applyFont="1" applyFill="1" applyBorder="1" applyAlignment="1" applyProtection="1">
      <alignment horizontal="left"/>
      <protection locked="0"/>
    </xf>
    <xf numFmtId="1" fontId="3" fillId="4" borderId="995" xfId="0" applyNumberFormat="1" applyFont="1" applyFill="1" applyBorder="1" applyAlignment="1" applyProtection="1">
      <alignment horizontal="left"/>
      <protection locked="0"/>
    </xf>
    <xf numFmtId="1" fontId="3" fillId="4" borderId="1014" xfId="0" applyNumberFormat="1" applyFont="1" applyFill="1" applyBorder="1" applyAlignment="1" applyProtection="1">
      <alignment horizontal="left"/>
      <protection locked="0"/>
    </xf>
    <xf numFmtId="1" fontId="5" fillId="0" borderId="1153" xfId="0" applyNumberFormat="1" applyFont="1" applyBorder="1" applyAlignment="1">
      <alignment horizontal="left"/>
    </xf>
    <xf numFmtId="1" fontId="5" fillId="0" borderId="1166" xfId="0" applyNumberFormat="1" applyFont="1" applyBorder="1" applyAlignment="1">
      <alignment horizontal="left"/>
    </xf>
    <xf numFmtId="1" fontId="5" fillId="4" borderId="502" xfId="0" applyNumberFormat="1" applyFont="1" applyFill="1" applyBorder="1" applyAlignment="1" applyProtection="1">
      <alignment horizontal="left"/>
      <protection locked="0"/>
    </xf>
    <xf numFmtId="1" fontId="5" fillId="4" borderId="555" xfId="0" applyNumberFormat="1" applyFont="1" applyFill="1" applyBorder="1" applyAlignment="1" applyProtection="1">
      <alignment horizontal="left"/>
      <protection locked="0"/>
    </xf>
    <xf numFmtId="1" fontId="5" fillId="4" borderId="454" xfId="0" applyNumberFormat="1" applyFont="1" applyFill="1" applyBorder="1" applyAlignment="1" applyProtection="1">
      <alignment horizontal="left"/>
      <protection locked="0"/>
    </xf>
    <xf numFmtId="1" fontId="5" fillId="4" borderId="440" xfId="0" applyNumberFormat="1" applyFont="1" applyFill="1" applyBorder="1" applyAlignment="1" applyProtection="1">
      <alignment horizontal="left"/>
      <protection locked="0"/>
    </xf>
    <xf numFmtId="1" fontId="5" fillId="4" borderId="938" xfId="0" applyNumberFormat="1" applyFont="1" applyFill="1" applyBorder="1" applyAlignment="1" applyProtection="1">
      <alignment horizontal="left"/>
      <protection locked="0"/>
    </xf>
    <xf numFmtId="1" fontId="5" fillId="4" borderId="438" xfId="0" applyNumberFormat="1" applyFont="1" applyFill="1" applyBorder="1" applyAlignment="1" applyProtection="1">
      <alignment horizontal="left"/>
      <protection locked="0"/>
    </xf>
    <xf numFmtId="1" fontId="5" fillId="4" borderId="899" xfId="0" applyNumberFormat="1" applyFont="1" applyFill="1" applyBorder="1" applyAlignment="1" applyProtection="1">
      <alignment horizontal="left"/>
      <protection locked="0"/>
    </xf>
    <xf numFmtId="1" fontId="5" fillId="4" borderId="894" xfId="0" applyNumberFormat="1" applyFont="1" applyFill="1" applyBorder="1" applyAlignment="1" applyProtection="1">
      <alignment horizontal="left"/>
      <protection locked="0"/>
    </xf>
    <xf numFmtId="1" fontId="5" fillId="6" borderId="894" xfId="0" applyNumberFormat="1" applyFont="1" applyFill="1" applyBorder="1" applyAlignment="1">
      <alignment horizontal="left"/>
    </xf>
    <xf numFmtId="1" fontId="5" fillId="4" borderId="835" xfId="0" applyNumberFormat="1" applyFont="1" applyFill="1" applyBorder="1" applyAlignment="1" applyProtection="1">
      <alignment horizontal="left"/>
      <protection locked="0"/>
    </xf>
    <xf numFmtId="1" fontId="5" fillId="0" borderId="911" xfId="0" applyNumberFormat="1" applyFont="1" applyBorder="1" applyAlignment="1">
      <alignment horizontal="left"/>
    </xf>
    <xf numFmtId="1" fontId="5" fillId="4" borderId="245" xfId="0" applyNumberFormat="1" applyFont="1" applyFill="1" applyBorder="1" applyAlignment="1" applyProtection="1">
      <alignment horizontal="left"/>
      <protection locked="0"/>
    </xf>
    <xf numFmtId="1" fontId="5" fillId="4" borderId="838" xfId="0" applyNumberFormat="1" applyFont="1" applyFill="1" applyBorder="1" applyAlignment="1" applyProtection="1">
      <alignment horizontal="left"/>
      <protection locked="0"/>
    </xf>
    <xf numFmtId="1" fontId="5" fillId="4" borderId="246" xfId="0" applyNumberFormat="1" applyFont="1" applyFill="1" applyBorder="1" applyAlignment="1" applyProtection="1">
      <alignment horizontal="left"/>
      <protection locked="0"/>
    </xf>
    <xf numFmtId="1" fontId="5" fillId="4" borderId="903" xfId="0" applyNumberFormat="1" applyFont="1" applyFill="1" applyBorder="1" applyAlignment="1" applyProtection="1">
      <alignment horizontal="left"/>
      <protection locked="0"/>
    </xf>
    <xf numFmtId="1" fontId="5" fillId="4" borderId="248" xfId="0" applyNumberFormat="1" applyFont="1" applyFill="1" applyBorder="1" applyAlignment="1" applyProtection="1">
      <alignment horizontal="left"/>
      <protection locked="0"/>
    </xf>
    <xf numFmtId="1" fontId="5" fillId="4" borderId="259" xfId="0" applyNumberFormat="1" applyFont="1" applyFill="1" applyBorder="1" applyAlignment="1" applyProtection="1">
      <alignment horizontal="left"/>
      <protection locked="0"/>
    </xf>
    <xf numFmtId="1" fontId="5" fillId="4" borderId="911" xfId="0" applyNumberFormat="1" applyFont="1" applyFill="1" applyBorder="1" applyAlignment="1" applyProtection="1">
      <alignment horizontal="left"/>
      <protection locked="0"/>
    </xf>
    <xf numFmtId="1" fontId="5" fillId="6" borderId="835" xfId="0" applyNumberFormat="1" applyFont="1" applyFill="1" applyBorder="1" applyAlignment="1">
      <alignment horizontal="left"/>
    </xf>
    <xf numFmtId="1" fontId="5" fillId="0" borderId="911" xfId="0" applyNumberFormat="1" applyFont="1" applyBorder="1" applyAlignment="1">
      <alignment horizontal="left" wrapText="1"/>
    </xf>
    <xf numFmtId="1" fontId="5" fillId="0" borderId="942" xfId="0" applyNumberFormat="1" applyFont="1" applyBorder="1" applyAlignment="1">
      <alignment horizontal="left" wrapText="1"/>
    </xf>
    <xf numFmtId="1" fontId="5" fillId="4" borderId="40" xfId="0" applyNumberFormat="1" applyFont="1" applyFill="1" applyBorder="1" applyAlignment="1" applyProtection="1">
      <alignment horizontal="left"/>
      <protection locked="0"/>
    </xf>
    <xf numFmtId="1" fontId="5" fillId="0" borderId="1091" xfId="0" applyNumberFormat="1" applyFont="1" applyBorder="1" applyAlignment="1">
      <alignment horizontal="left"/>
    </xf>
    <xf numFmtId="1" fontId="5" fillId="0" borderId="53" xfId="0" applyNumberFormat="1" applyFont="1" applyBorder="1" applyAlignment="1">
      <alignment horizontal="left"/>
    </xf>
    <xf numFmtId="1" fontId="5" fillId="4" borderId="939" xfId="0" applyNumberFormat="1" applyFont="1" applyFill="1" applyBorder="1" applyAlignment="1" applyProtection="1">
      <alignment horizontal="left"/>
      <protection locked="0"/>
    </xf>
    <xf numFmtId="1" fontId="5" fillId="4" borderId="651" xfId="0" applyNumberFormat="1" applyFont="1" applyFill="1" applyBorder="1" applyAlignment="1" applyProtection="1">
      <alignment horizontal="left"/>
      <protection locked="0"/>
    </xf>
    <xf numFmtId="1" fontId="5" fillId="4" borderId="947" xfId="0" applyNumberFormat="1" applyFont="1" applyFill="1" applyBorder="1" applyAlignment="1" applyProtection="1">
      <alignment horizontal="left"/>
      <protection locked="0"/>
    </xf>
    <xf numFmtId="1" fontId="5" fillId="4" borderId="807" xfId="0" applyNumberFormat="1" applyFont="1" applyFill="1" applyBorder="1" applyAlignment="1" applyProtection="1">
      <alignment horizontal="left"/>
      <protection locked="0"/>
    </xf>
    <xf numFmtId="1" fontId="5" fillId="4" borderId="804" xfId="0" applyNumberFormat="1" applyFont="1" applyFill="1" applyBorder="1" applyAlignment="1" applyProtection="1">
      <alignment horizontal="left"/>
      <protection locked="0"/>
    </xf>
    <xf numFmtId="1" fontId="5" fillId="4" borderId="920" xfId="0" applyNumberFormat="1" applyFont="1" applyFill="1" applyBorder="1" applyAlignment="1" applyProtection="1">
      <alignment horizontal="left"/>
      <protection locked="0"/>
    </xf>
    <xf numFmtId="1" fontId="5" fillId="4" borderId="739" xfId="0" applyNumberFormat="1" applyFont="1" applyFill="1" applyBorder="1" applyAlignment="1" applyProtection="1">
      <alignment horizontal="left"/>
      <protection locked="0"/>
    </xf>
    <xf numFmtId="1" fontId="5" fillId="6" borderId="13" xfId="0" applyNumberFormat="1" applyFont="1" applyFill="1" applyBorder="1" applyAlignment="1">
      <alignment horizontal="left"/>
    </xf>
    <xf numFmtId="1" fontId="5" fillId="7" borderId="502" xfId="0" applyNumberFormat="1" applyFont="1" applyFill="1" applyBorder="1" applyAlignment="1">
      <alignment horizontal="left"/>
    </xf>
    <xf numFmtId="1" fontId="5" fillId="7" borderId="555" xfId="0" applyNumberFormat="1" applyFont="1" applyFill="1" applyBorder="1" applyAlignment="1">
      <alignment horizontal="left"/>
    </xf>
    <xf numFmtId="1" fontId="5" fillId="4" borderId="31" xfId="0" applyNumberFormat="1" applyFont="1" applyFill="1" applyBorder="1" applyAlignment="1" applyProtection="1">
      <alignment horizontal="left"/>
      <protection locked="0"/>
    </xf>
    <xf numFmtId="1" fontId="5" fillId="7" borderId="23" xfId="0" applyNumberFormat="1" applyFont="1" applyFill="1" applyBorder="1" applyAlignment="1">
      <alignment horizontal="left"/>
    </xf>
    <xf numFmtId="1" fontId="5" fillId="7" borderId="25" xfId="0" applyNumberFormat="1" applyFont="1" applyFill="1" applyBorder="1" applyAlignment="1">
      <alignment horizontal="left"/>
    </xf>
    <xf numFmtId="1" fontId="5" fillId="7" borderId="246" xfId="0" applyNumberFormat="1" applyFont="1" applyFill="1" applyBorder="1" applyAlignment="1">
      <alignment horizontal="left"/>
    </xf>
    <xf numFmtId="1" fontId="5" fillId="7" borderId="226" xfId="0" applyNumberFormat="1" applyFont="1" applyFill="1" applyBorder="1" applyAlignment="1">
      <alignment horizontal="left"/>
    </xf>
    <xf numFmtId="1" fontId="5" fillId="7" borderId="831" xfId="0" applyNumberFormat="1" applyFont="1" applyFill="1" applyBorder="1" applyAlignment="1">
      <alignment horizontal="left"/>
    </xf>
    <xf numFmtId="1" fontId="5" fillId="7" borderId="947" xfId="0" applyNumberFormat="1" applyFont="1" applyFill="1" applyBorder="1" applyAlignment="1">
      <alignment horizontal="left"/>
    </xf>
    <xf numFmtId="1" fontId="5" fillId="4" borderId="946" xfId="0" applyNumberFormat="1" applyFont="1" applyFill="1" applyBorder="1" applyAlignment="1" applyProtection="1">
      <alignment horizontal="left"/>
      <protection locked="0"/>
    </xf>
    <xf numFmtId="1" fontId="5" fillId="6" borderId="31" xfId="0" applyNumberFormat="1" applyFont="1" applyFill="1" applyBorder="1" applyAlignment="1">
      <alignment horizontal="left"/>
    </xf>
    <xf numFmtId="1" fontId="5" fillId="4" borderId="264" xfId="0" applyNumberFormat="1" applyFont="1" applyFill="1" applyBorder="1" applyAlignment="1" applyProtection="1">
      <alignment horizontal="left"/>
      <protection locked="0"/>
    </xf>
    <xf numFmtId="1" fontId="5" fillId="0" borderId="977" xfId="0" applyNumberFormat="1" applyFont="1" applyBorder="1" applyAlignment="1">
      <alignment horizontal="left"/>
    </xf>
    <xf numFmtId="1" fontId="5" fillId="7" borderId="12" xfId="0" applyNumberFormat="1" applyFont="1" applyFill="1" applyBorder="1" applyAlignment="1">
      <alignment horizontal="left"/>
    </xf>
    <xf numFmtId="1" fontId="5" fillId="6" borderId="245" xfId="0" applyNumberFormat="1" applyFont="1" applyFill="1" applyBorder="1" applyAlignment="1">
      <alignment horizontal="left"/>
    </xf>
    <xf numFmtId="1" fontId="5" fillId="6" borderId="246" xfId="0" applyNumberFormat="1" applyFont="1" applyFill="1" applyBorder="1" applyAlignment="1">
      <alignment horizontal="left"/>
    </xf>
    <xf numFmtId="1" fontId="5" fillId="7" borderId="897" xfId="0" applyNumberFormat="1" applyFont="1" applyFill="1" applyBorder="1" applyAlignment="1">
      <alignment horizontal="left"/>
    </xf>
    <xf numFmtId="1" fontId="5" fillId="7" borderId="898" xfId="0" applyNumberFormat="1" applyFont="1" applyFill="1" applyBorder="1" applyAlignment="1">
      <alignment horizontal="left"/>
    </xf>
    <xf numFmtId="1" fontId="5" fillId="7" borderId="900" xfId="0" applyNumberFormat="1" applyFont="1" applyFill="1" applyBorder="1" applyAlignment="1">
      <alignment horizontal="left"/>
    </xf>
    <xf numFmtId="1" fontId="5" fillId="7" borderId="901" xfId="0" applyNumberFormat="1" applyFont="1" applyFill="1" applyBorder="1" applyAlignment="1">
      <alignment horizontal="left"/>
    </xf>
    <xf numFmtId="1" fontId="5" fillId="4" borderId="940" xfId="0" applyNumberFormat="1" applyFont="1" applyFill="1" applyBorder="1" applyAlignment="1" applyProtection="1">
      <alignment horizontal="left"/>
      <protection locked="0"/>
    </xf>
    <xf numFmtId="1" fontId="5" fillId="7" borderId="245" xfId="0" applyNumberFormat="1" applyFont="1" applyFill="1" applyBorder="1" applyAlignment="1">
      <alignment horizontal="left"/>
    </xf>
    <xf numFmtId="1" fontId="5" fillId="7" borderId="903" xfId="0" applyNumberFormat="1" applyFont="1" applyFill="1" applyBorder="1" applyAlignment="1">
      <alignment horizontal="left"/>
    </xf>
    <xf numFmtId="1" fontId="5" fillId="7" borderId="248" xfId="0" applyNumberFormat="1" applyFont="1" applyFill="1" applyBorder="1" applyAlignment="1">
      <alignment horizontal="left"/>
    </xf>
    <xf numFmtId="1" fontId="5" fillId="7" borderId="42" xfId="0" applyNumberFormat="1" applyFont="1" applyFill="1" applyBorder="1" applyAlignment="1">
      <alignment horizontal="left"/>
    </xf>
    <xf numFmtId="1" fontId="5" fillId="7" borderId="70" xfId="0" applyNumberFormat="1" applyFont="1" applyFill="1" applyBorder="1" applyAlignment="1">
      <alignment horizontal="left"/>
    </xf>
    <xf numFmtId="1" fontId="5" fillId="7" borderId="40" xfId="0" applyNumberFormat="1" applyFont="1" applyFill="1" applyBorder="1" applyAlignment="1">
      <alignment horizontal="left"/>
    </xf>
    <xf numFmtId="1" fontId="5" fillId="7" borderId="833" xfId="0" applyNumberFormat="1" applyFont="1" applyFill="1" applyBorder="1" applyAlignment="1">
      <alignment horizontal="left"/>
    </xf>
    <xf numFmtId="1" fontId="5" fillId="7" borderId="11" xfId="0" applyNumberFormat="1" applyFont="1" applyFill="1" applyBorder="1" applyAlignment="1">
      <alignment horizontal="left"/>
    </xf>
    <xf numFmtId="1" fontId="5" fillId="7" borderId="854" xfId="0" applyNumberFormat="1" applyFont="1" applyFill="1" applyBorder="1" applyAlignment="1">
      <alignment horizontal="left"/>
    </xf>
    <xf numFmtId="1" fontId="5" fillId="4" borderId="500" xfId="0" applyNumberFormat="1" applyFont="1" applyFill="1" applyBorder="1" applyAlignment="1" applyProtection="1">
      <alignment horizontal="left"/>
      <protection locked="0"/>
    </xf>
    <xf numFmtId="1" fontId="5" fillId="7" borderId="1167" xfId="0" applyNumberFormat="1" applyFont="1" applyFill="1" applyBorder="1" applyAlignment="1">
      <alignment horizontal="left"/>
    </xf>
    <xf numFmtId="1" fontId="5" fillId="6" borderId="23" xfId="0" applyNumberFormat="1" applyFont="1" applyFill="1" applyBorder="1" applyAlignment="1">
      <alignment horizontal="left"/>
    </xf>
    <xf numFmtId="1" fontId="5" fillId="6" borderId="42" xfId="0" applyNumberFormat="1" applyFont="1" applyFill="1" applyBorder="1" applyAlignment="1">
      <alignment horizontal="left"/>
    </xf>
    <xf numFmtId="1" fontId="5" fillId="7" borderId="41" xfId="0" applyNumberFormat="1" applyFont="1" applyFill="1" applyBorder="1" applyAlignment="1">
      <alignment horizontal="left"/>
    </xf>
    <xf numFmtId="1" fontId="5" fillId="7" borderId="911" xfId="0" applyNumberFormat="1" applyFont="1" applyFill="1" applyBorder="1" applyAlignment="1">
      <alignment horizontal="left"/>
    </xf>
    <xf numFmtId="1" fontId="5" fillId="7" borderId="838" xfId="0" applyNumberFormat="1" applyFont="1" applyFill="1" applyBorder="1" applyAlignment="1">
      <alignment horizontal="left"/>
    </xf>
    <xf numFmtId="1" fontId="5" fillId="0" borderId="1154" xfId="0" applyNumberFormat="1" applyFont="1" applyBorder="1" applyAlignment="1">
      <alignment horizontal="left"/>
    </xf>
    <xf numFmtId="1" fontId="5" fillId="7" borderId="27" xfId="0" applyNumberFormat="1" applyFont="1" applyFill="1" applyBorder="1" applyAlignment="1">
      <alignment horizontal="left"/>
    </xf>
    <xf numFmtId="1" fontId="5" fillId="6" borderId="831" xfId="0" applyNumberFormat="1" applyFont="1" applyFill="1" applyBorder="1" applyAlignment="1">
      <alignment horizontal="left"/>
    </xf>
    <xf numFmtId="1" fontId="5" fillId="6" borderId="833" xfId="0" applyNumberFormat="1" applyFont="1" applyFill="1" applyBorder="1" applyAlignment="1">
      <alignment horizontal="left"/>
    </xf>
    <xf numFmtId="1" fontId="5" fillId="0" borderId="1170" xfId="0" applyNumberFormat="1" applyFont="1" applyBorder="1" applyAlignment="1">
      <alignment horizontal="left"/>
    </xf>
    <xf numFmtId="1" fontId="5" fillId="0" borderId="1158" xfId="0" applyNumberFormat="1" applyFont="1" applyBorder="1" applyAlignment="1">
      <alignment horizontal="left"/>
    </xf>
    <xf numFmtId="1" fontId="5" fillId="0" borderId="1060" xfId="0" applyNumberFormat="1" applyFont="1" applyBorder="1" applyAlignment="1">
      <alignment horizontal="left"/>
    </xf>
    <xf numFmtId="1" fontId="5" fillId="4" borderId="1171" xfId="0" applyNumberFormat="1" applyFont="1" applyFill="1" applyBorder="1" applyAlignment="1" applyProtection="1">
      <alignment horizontal="left"/>
      <protection locked="0"/>
    </xf>
    <xf numFmtId="1" fontId="5" fillId="4" borderId="1057" xfId="0" applyNumberFormat="1" applyFont="1" applyFill="1" applyBorder="1" applyAlignment="1" applyProtection="1">
      <alignment horizontal="left"/>
      <protection locked="0"/>
    </xf>
    <xf numFmtId="1" fontId="5" fillId="4" borderId="1172" xfId="0" applyNumberFormat="1" applyFont="1" applyFill="1" applyBorder="1" applyAlignment="1" applyProtection="1">
      <alignment horizontal="left"/>
      <protection locked="0"/>
    </xf>
    <xf numFmtId="1" fontId="5" fillId="7" borderId="1171" xfId="0" applyNumberFormat="1" applyFont="1" applyFill="1" applyBorder="1" applyAlignment="1">
      <alignment horizontal="left"/>
    </xf>
    <xf numFmtId="1" fontId="5" fillId="7" borderId="1172" xfId="0" applyNumberFormat="1" applyFont="1" applyFill="1" applyBorder="1" applyAlignment="1">
      <alignment horizontal="left"/>
    </xf>
    <xf numFmtId="1" fontId="5" fillId="6" borderId="1171" xfId="0" applyNumberFormat="1" applyFont="1" applyFill="1" applyBorder="1" applyAlignment="1">
      <alignment horizontal="left"/>
    </xf>
    <xf numFmtId="1" fontId="5" fillId="6" borderId="1172" xfId="0" applyNumberFormat="1" applyFont="1" applyFill="1" applyBorder="1" applyAlignment="1">
      <alignment horizontal="left"/>
    </xf>
    <xf numFmtId="1" fontId="5" fillId="7" borderId="1062" xfId="0" applyNumberFormat="1" applyFont="1" applyFill="1" applyBorder="1" applyAlignment="1">
      <alignment horizontal="left"/>
    </xf>
    <xf numFmtId="1" fontId="5" fillId="7" borderId="1159" xfId="0" applyNumberFormat="1" applyFont="1" applyFill="1" applyBorder="1" applyAlignment="1">
      <alignment horizontal="left"/>
    </xf>
    <xf numFmtId="1" fontId="5" fillId="4" borderId="1094" xfId="0" applyNumberFormat="1" applyFont="1" applyFill="1" applyBorder="1" applyAlignment="1" applyProtection="1">
      <alignment horizontal="left"/>
      <protection locked="0"/>
    </xf>
    <xf numFmtId="1" fontId="5" fillId="4" borderId="1158" xfId="0" applyNumberFormat="1" applyFont="1" applyFill="1" applyBorder="1" applyAlignment="1" applyProtection="1">
      <alignment horizontal="left"/>
      <protection locked="0"/>
    </xf>
    <xf numFmtId="1" fontId="5" fillId="4" borderId="1170" xfId="0" applyNumberFormat="1" applyFont="1" applyFill="1" applyBorder="1" applyAlignment="1" applyProtection="1">
      <alignment horizontal="left"/>
      <protection locked="0"/>
    </xf>
    <xf numFmtId="1" fontId="5" fillId="4" borderId="792" xfId="0" applyNumberFormat="1" applyFont="1" applyFill="1" applyBorder="1" applyAlignment="1" applyProtection="1">
      <alignment horizontal="left"/>
      <protection locked="0"/>
    </xf>
    <xf numFmtId="1" fontId="5" fillId="0" borderId="1347" xfId="0" applyNumberFormat="1" applyFont="1" applyBorder="1" applyAlignment="1">
      <alignment horizontal="left" vertical="center"/>
    </xf>
    <xf numFmtId="1" fontId="5" fillId="0" borderId="1352" xfId="0" applyNumberFormat="1" applyFont="1" applyBorder="1" applyAlignment="1">
      <alignment horizontal="left" vertical="center"/>
    </xf>
    <xf numFmtId="1" fontId="5" fillId="0" borderId="1271" xfId="0" applyNumberFormat="1" applyFont="1" applyBorder="1" applyAlignment="1">
      <alignment horizontal="left" vertical="center"/>
    </xf>
    <xf numFmtId="1" fontId="5" fillId="4" borderId="1340" xfId="0" applyNumberFormat="1" applyFont="1" applyFill="1" applyBorder="1" applyAlignment="1" applyProtection="1">
      <alignment horizontal="left"/>
      <protection locked="0"/>
    </xf>
    <xf numFmtId="1" fontId="5" fillId="4" borderId="1346" xfId="0" applyNumberFormat="1" applyFont="1" applyFill="1" applyBorder="1" applyAlignment="1" applyProtection="1">
      <alignment horizontal="left"/>
      <protection locked="0"/>
    </xf>
    <xf numFmtId="1" fontId="5" fillId="4" borderId="1336" xfId="0" applyNumberFormat="1" applyFont="1" applyFill="1" applyBorder="1" applyAlignment="1" applyProtection="1">
      <alignment horizontal="left"/>
      <protection locked="0"/>
    </xf>
    <xf numFmtId="1" fontId="5" fillId="4" borderId="1339" xfId="0" applyNumberFormat="1" applyFont="1" applyFill="1" applyBorder="1" applyAlignment="1" applyProtection="1">
      <alignment horizontal="left"/>
      <protection locked="0"/>
    </xf>
    <xf numFmtId="1" fontId="5" fillId="4" borderId="1343" xfId="0" applyNumberFormat="1" applyFont="1" applyFill="1" applyBorder="1" applyAlignment="1" applyProtection="1">
      <alignment horizontal="left"/>
      <protection locked="0"/>
    </xf>
    <xf numFmtId="1" fontId="5" fillId="4" borderId="1424" xfId="0" applyNumberFormat="1" applyFont="1" applyFill="1" applyBorder="1" applyAlignment="1" applyProtection="1">
      <alignment horizontal="left"/>
      <protection locked="0"/>
    </xf>
    <xf numFmtId="1" fontId="5" fillId="4" borderId="1409" xfId="0" applyNumberFormat="1" applyFont="1" applyFill="1" applyBorder="1" applyAlignment="1" applyProtection="1">
      <alignment horizontal="left"/>
      <protection locked="0"/>
    </xf>
    <xf numFmtId="1" fontId="5" fillId="5" borderId="55" xfId="0" applyNumberFormat="1" applyFont="1" applyFill="1" applyBorder="1" applyAlignment="1">
      <alignment horizontal="left"/>
    </xf>
    <xf numFmtId="1" fontId="5" fillId="0" borderId="1333" xfId="0" applyNumberFormat="1" applyFont="1" applyBorder="1" applyAlignment="1">
      <alignment horizontal="left" vertical="center"/>
    </xf>
    <xf numFmtId="1" fontId="5" fillId="0" borderId="1330" xfId="0" applyNumberFormat="1" applyFont="1" applyBorder="1" applyAlignment="1">
      <alignment horizontal="left" vertical="center"/>
    </xf>
    <xf numFmtId="1" fontId="5" fillId="4" borderId="1225" xfId="0" applyNumberFormat="1" applyFont="1" applyFill="1" applyBorder="1" applyAlignment="1" applyProtection="1">
      <alignment horizontal="left"/>
      <protection locked="0"/>
    </xf>
    <xf numFmtId="1" fontId="5" fillId="4" borderId="1207" xfId="0" applyNumberFormat="1" applyFont="1" applyFill="1" applyBorder="1" applyAlignment="1" applyProtection="1">
      <alignment horizontal="left"/>
      <protection locked="0"/>
    </xf>
    <xf numFmtId="1" fontId="5" fillId="5" borderId="942" xfId="0" applyNumberFormat="1" applyFont="1" applyFill="1" applyBorder="1" applyAlignment="1">
      <alignment horizontal="left"/>
    </xf>
    <xf numFmtId="1" fontId="5" fillId="0" borderId="371" xfId="0" applyNumberFormat="1" applyFont="1" applyBorder="1" applyAlignment="1">
      <alignment horizontal="left" vertical="center"/>
    </xf>
    <xf numFmtId="1" fontId="5" fillId="4" borderId="942" xfId="0" applyNumberFormat="1" applyFont="1" applyFill="1" applyBorder="1" applyAlignment="1" applyProtection="1">
      <alignment horizontal="left"/>
      <protection locked="0"/>
    </xf>
    <xf numFmtId="1" fontId="5" fillId="4" borderId="253" xfId="0" applyNumberFormat="1" applyFont="1" applyFill="1" applyBorder="1" applyAlignment="1" applyProtection="1">
      <alignment horizontal="left"/>
      <protection locked="0"/>
    </xf>
    <xf numFmtId="1" fontId="5" fillId="4" borderId="244" xfId="0" applyNumberFormat="1" applyFont="1" applyFill="1" applyBorder="1" applyAlignment="1" applyProtection="1">
      <alignment horizontal="left"/>
      <protection locked="0"/>
    </xf>
    <xf numFmtId="1" fontId="5" fillId="5" borderId="942" xfId="0" applyNumberFormat="1" applyFont="1" applyFill="1" applyBorder="1" applyAlignment="1">
      <alignment horizontal="left" wrapText="1"/>
    </xf>
    <xf numFmtId="1" fontId="5" fillId="0" borderId="942" xfId="0" applyNumberFormat="1" applyFont="1" applyBorder="1" applyAlignment="1">
      <alignment horizontal="left" vertical="center"/>
    </xf>
    <xf numFmtId="1" fontId="5" fillId="5" borderId="835" xfId="0" applyNumberFormat="1" applyFont="1" applyFill="1" applyBorder="1" applyAlignment="1">
      <alignment horizontal="left" vertical="center" wrapText="1"/>
    </xf>
    <xf numFmtId="1" fontId="5" fillId="5" borderId="835" xfId="0" applyNumberFormat="1" applyFont="1" applyFill="1" applyBorder="1" applyAlignment="1">
      <alignment horizontal="left" wrapText="1"/>
    </xf>
    <xf numFmtId="1" fontId="5" fillId="0" borderId="20" xfId="0" applyNumberFormat="1" applyFont="1" applyBorder="1" applyAlignment="1">
      <alignment horizontal="left" vertical="center"/>
    </xf>
    <xf numFmtId="1" fontId="5" fillId="4" borderId="374" xfId="0" applyNumberFormat="1" applyFont="1" applyFill="1" applyBorder="1" applyAlignment="1" applyProtection="1">
      <alignment horizontal="left"/>
      <protection locked="0"/>
    </xf>
    <xf numFmtId="1" fontId="5" fillId="4" borderId="377" xfId="0" applyNumberFormat="1" applyFont="1" applyFill="1" applyBorder="1" applyAlignment="1" applyProtection="1">
      <alignment horizontal="left"/>
      <protection locked="0"/>
    </xf>
    <xf numFmtId="1" fontId="5" fillId="5" borderId="1099" xfId="0" applyNumberFormat="1" applyFont="1" applyFill="1" applyBorder="1" applyAlignment="1">
      <alignment horizontal="left"/>
    </xf>
    <xf numFmtId="1" fontId="5" fillId="5" borderId="220" xfId="0" applyNumberFormat="1" applyFont="1" applyFill="1" applyBorder="1" applyAlignment="1">
      <alignment horizontal="left"/>
    </xf>
    <xf numFmtId="1" fontId="5" fillId="0" borderId="61" xfId="0" applyNumberFormat="1" applyFont="1" applyBorder="1" applyAlignment="1">
      <alignment horizontal="left" vertical="center"/>
    </xf>
    <xf numFmtId="1" fontId="5" fillId="4" borderId="24" xfId="0" applyNumberFormat="1" applyFont="1" applyFill="1" applyBorder="1" applyAlignment="1" applyProtection="1">
      <alignment horizontal="left"/>
      <protection locked="0"/>
    </xf>
    <xf numFmtId="1" fontId="5" fillId="4" borderId="54" xfId="0" applyNumberFormat="1" applyFont="1" applyFill="1" applyBorder="1" applyAlignment="1" applyProtection="1">
      <alignment horizontal="left"/>
      <protection locked="0"/>
    </xf>
    <xf numFmtId="1" fontId="5" fillId="5" borderId="12" xfId="0" applyNumberFormat="1" applyFont="1" applyFill="1" applyBorder="1" applyAlignment="1">
      <alignment horizontal="left"/>
    </xf>
    <xf numFmtId="1" fontId="5" fillId="0" borderId="831" xfId="0" applyNumberFormat="1" applyFont="1" applyBorder="1" applyAlignment="1">
      <alignment horizontal="left" vertical="center"/>
    </xf>
    <xf numFmtId="1" fontId="5" fillId="4" borderId="832" xfId="0" applyNumberFormat="1" applyFont="1" applyFill="1" applyBorder="1" applyAlignment="1" applyProtection="1">
      <alignment horizontal="left"/>
      <protection locked="0"/>
    </xf>
    <xf numFmtId="1" fontId="5" fillId="4" borderId="936" xfId="0" applyNumberFormat="1" applyFont="1" applyFill="1" applyBorder="1" applyAlignment="1" applyProtection="1">
      <alignment horizontal="left"/>
      <protection locked="0"/>
    </xf>
    <xf numFmtId="1" fontId="5" fillId="4" borderId="62" xfId="0" applyNumberFormat="1" applyFont="1" applyFill="1" applyBorder="1" applyAlignment="1" applyProtection="1">
      <alignment horizontal="left"/>
      <protection locked="0"/>
    </xf>
    <xf numFmtId="1" fontId="5" fillId="0" borderId="55" xfId="0" applyNumberFormat="1" applyFont="1" applyBorder="1" applyAlignment="1">
      <alignment horizontal="left" vertical="center"/>
    </xf>
    <xf numFmtId="1" fontId="5" fillId="0" borderId="528" xfId="0" applyNumberFormat="1" applyFont="1" applyBorder="1" applyAlignment="1">
      <alignment horizontal="left"/>
    </xf>
    <xf numFmtId="1" fontId="5" fillId="0" borderId="530" xfId="0" applyNumberFormat="1" applyFont="1" applyBorder="1" applyAlignment="1">
      <alignment horizontal="left"/>
    </xf>
    <xf numFmtId="1" fontId="5" fillId="0" borderId="531" xfId="0" applyNumberFormat="1" applyFont="1" applyBorder="1" applyAlignment="1">
      <alignment horizontal="left"/>
    </xf>
    <xf numFmtId="1" fontId="5" fillId="4" borderId="528" xfId="0" applyNumberFormat="1" applyFont="1" applyFill="1" applyBorder="1" applyAlignment="1" applyProtection="1">
      <alignment horizontal="left"/>
      <protection locked="0"/>
    </xf>
    <xf numFmtId="1" fontId="5" fillId="4" borderId="526" xfId="0" applyNumberFormat="1" applyFont="1" applyFill="1" applyBorder="1" applyAlignment="1" applyProtection="1">
      <alignment horizontal="left"/>
      <protection locked="0"/>
    </xf>
    <xf numFmtId="1" fontId="5" fillId="0" borderId="23" xfId="0" applyNumberFormat="1" applyFont="1" applyBorder="1" applyAlignment="1">
      <alignment horizontal="left"/>
    </xf>
    <xf numFmtId="1" fontId="5" fillId="0" borderId="24" xfId="0" applyNumberFormat="1" applyFont="1" applyBorder="1" applyAlignment="1">
      <alignment horizontal="left"/>
    </xf>
    <xf numFmtId="1" fontId="5" fillId="0" borderId="42" xfId="0" applyNumberFormat="1" applyFont="1" applyBorder="1" applyAlignment="1">
      <alignment horizontal="left"/>
    </xf>
    <xf numFmtId="1" fontId="5" fillId="4" borderId="510" xfId="0" applyNumberFormat="1" applyFont="1" applyFill="1" applyBorder="1" applyAlignment="1" applyProtection="1">
      <alignment horizontal="left"/>
      <protection locked="0"/>
    </xf>
    <xf numFmtId="1" fontId="5" fillId="4" borderId="512" xfId="0" applyNumberFormat="1" applyFont="1" applyFill="1" applyBorder="1" applyAlignment="1" applyProtection="1">
      <alignment horizontal="left"/>
      <protection locked="0"/>
    </xf>
    <xf numFmtId="1" fontId="5" fillId="0" borderId="1073" xfId="0" applyNumberFormat="1" applyFont="1" applyBorder="1" applyAlignment="1">
      <alignment horizontal="left"/>
    </xf>
    <xf numFmtId="1" fontId="5" fillId="0" borderId="1076" xfId="0" applyNumberFormat="1" applyFont="1" applyBorder="1" applyAlignment="1">
      <alignment horizontal="left"/>
    </xf>
    <xf numFmtId="1" fontId="5" fillId="0" borderId="1072" xfId="0" applyNumberFormat="1" applyFont="1" applyBorder="1" applyAlignment="1">
      <alignment horizontal="left"/>
    </xf>
    <xf numFmtId="1" fontId="5" fillId="4" borderId="505" xfId="0" applyNumberFormat="1" applyFont="1" applyFill="1" applyBorder="1" applyAlignment="1" applyProtection="1">
      <alignment horizontal="left"/>
      <protection locked="0"/>
    </xf>
    <xf numFmtId="1" fontId="5" fillId="4" borderId="445" xfId="0" applyNumberFormat="1" applyFont="1" applyFill="1" applyBorder="1" applyAlignment="1" applyProtection="1">
      <alignment horizontal="left"/>
      <protection locked="0"/>
    </xf>
    <xf numFmtId="1" fontId="5" fillId="0" borderId="1408" xfId="0" applyNumberFormat="1" applyFont="1" applyBorder="1" applyAlignment="1">
      <alignment horizontal="left"/>
    </xf>
    <xf numFmtId="1" fontId="5" fillId="0" borderId="1409" xfId="0" applyNumberFormat="1" applyFont="1" applyBorder="1" applyAlignment="1">
      <alignment horizontal="left"/>
    </xf>
    <xf numFmtId="1" fontId="5" fillId="0" borderId="1405" xfId="0" applyNumberFormat="1" applyFont="1" applyBorder="1" applyAlignment="1">
      <alignment horizontal="left"/>
    </xf>
    <xf numFmtId="1" fontId="5" fillId="7" borderId="1207" xfId="0" applyNumberFormat="1" applyFont="1" applyFill="1" applyBorder="1" applyAlignment="1">
      <alignment horizontal="left"/>
    </xf>
    <xf numFmtId="1" fontId="5" fillId="7" borderId="225" xfId="0" applyNumberFormat="1" applyFont="1" applyFill="1" applyBorder="1" applyAlignment="1">
      <alignment horizontal="left"/>
    </xf>
    <xf numFmtId="1" fontId="5" fillId="7" borderId="1099" xfId="0" applyNumberFormat="1" applyFont="1" applyFill="1" applyBorder="1" applyAlignment="1">
      <alignment horizontal="left"/>
    </xf>
    <xf numFmtId="1" fontId="5" fillId="7" borderId="511" xfId="0" applyNumberFormat="1" applyFont="1" applyFill="1" applyBorder="1" applyAlignment="1">
      <alignment horizontal="left"/>
    </xf>
    <xf numFmtId="1" fontId="5" fillId="7" borderId="533" xfId="0" applyNumberFormat="1" applyFont="1" applyFill="1" applyBorder="1" applyAlignment="1">
      <alignment horizontal="left"/>
    </xf>
    <xf numFmtId="1" fontId="5" fillId="7" borderId="512" xfId="0" applyNumberFormat="1" applyFont="1" applyFill="1" applyBorder="1" applyAlignment="1">
      <alignment horizontal="left"/>
    </xf>
    <xf numFmtId="1" fontId="5" fillId="4" borderId="525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28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30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26" xfId="0" applyNumberFormat="1" applyFont="1" applyFill="1" applyBorder="1" applyAlignment="1" applyProtection="1">
      <alignment horizontal="left" vertical="center" wrapText="1"/>
      <protection locked="0"/>
    </xf>
    <xf numFmtId="1" fontId="5" fillId="4" borderId="373" xfId="0" applyNumberFormat="1" applyFont="1" applyFill="1" applyBorder="1" applyAlignment="1" applyProtection="1">
      <alignment horizontal="left" vertical="center" wrapText="1"/>
      <protection locked="0"/>
    </xf>
    <xf numFmtId="1" fontId="5" fillId="4" borderId="371" xfId="0" applyNumberFormat="1" applyFont="1" applyFill="1" applyBorder="1" applyAlignment="1" applyProtection="1">
      <alignment horizontal="left" vertical="center" wrapText="1"/>
      <protection locked="0"/>
    </xf>
    <xf numFmtId="1" fontId="5" fillId="4" borderId="374" xfId="0" applyNumberFormat="1" applyFont="1" applyFill="1" applyBorder="1" applyAlignment="1" applyProtection="1">
      <alignment horizontal="left" vertical="center" wrapText="1"/>
      <protection locked="0"/>
    </xf>
    <xf numFmtId="1" fontId="5" fillId="4" borderId="10" xfId="0" applyNumberFormat="1" applyFont="1" applyFill="1" applyBorder="1" applyAlignment="1" applyProtection="1">
      <alignment horizontal="left" vertical="center" wrapText="1"/>
      <protection locked="0"/>
    </xf>
    <xf numFmtId="1" fontId="5" fillId="4" borderId="33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3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4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5" xfId="0" applyNumberFormat="1" applyFont="1" applyFill="1" applyBorder="1" applyAlignment="1" applyProtection="1">
      <alignment horizontal="left" vertical="center" wrapText="1"/>
      <protection locked="0"/>
    </xf>
    <xf numFmtId="1" fontId="5" fillId="4" borderId="15" xfId="0" applyNumberFormat="1" applyFont="1" applyFill="1" applyBorder="1" applyAlignment="1" applyProtection="1">
      <alignment horizontal="left"/>
      <protection locked="0"/>
    </xf>
    <xf numFmtId="1" fontId="5" fillId="4" borderId="532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31" xfId="0" applyNumberFormat="1" applyFont="1" applyFill="1" applyBorder="1" applyAlignment="1" applyProtection="1">
      <alignment horizontal="left" vertical="center" wrapText="1"/>
      <protection locked="0"/>
    </xf>
    <xf numFmtId="1" fontId="5" fillId="0" borderId="507" xfId="0" applyNumberFormat="1" applyFont="1" applyBorder="1" applyAlignment="1">
      <alignment horizontal="left" vertical="center" wrapText="1"/>
    </xf>
    <xf numFmtId="1" fontId="5" fillId="4" borderId="505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06" xfId="0" applyNumberFormat="1" applyFont="1" applyFill="1" applyBorder="1" applyAlignment="1" applyProtection="1">
      <alignment horizontal="left" vertical="center" wrapText="1"/>
      <protection locked="0"/>
    </xf>
    <xf numFmtId="1" fontId="5" fillId="4" borderId="512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0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51" xfId="0" applyNumberFormat="1" applyFont="1" applyFill="1" applyBorder="1" applyAlignment="1" applyProtection="1">
      <alignment horizontal="left" vertical="center" wrapText="1"/>
      <protection locked="0"/>
    </xf>
    <xf numFmtId="1" fontId="5" fillId="4" borderId="22" xfId="0" applyNumberFormat="1" applyFont="1" applyFill="1" applyBorder="1" applyAlignment="1" applyProtection="1">
      <alignment horizontal="left" vertical="center" wrapText="1"/>
      <protection locked="0"/>
    </xf>
    <xf numFmtId="1" fontId="5" fillId="4" borderId="14" xfId="0" applyNumberFormat="1" applyFont="1" applyFill="1" applyBorder="1" applyAlignment="1" applyProtection="1">
      <alignment horizontal="left" vertical="center" wrapText="1"/>
      <protection locked="0"/>
    </xf>
    <xf numFmtId="1" fontId="5" fillId="4" borderId="15" xfId="0" applyNumberFormat="1" applyFont="1" applyFill="1" applyBorder="1" applyAlignment="1" applyProtection="1">
      <alignment horizontal="left" vertical="center" wrapText="1"/>
      <protection locked="0"/>
    </xf>
    <xf numFmtId="1" fontId="5" fillId="4" borderId="12" xfId="0" applyNumberFormat="1" applyFont="1" applyFill="1" applyBorder="1" applyAlignment="1" applyProtection="1">
      <alignment horizontal="left" vertical="center" wrapText="1"/>
      <protection locked="0"/>
    </xf>
    <xf numFmtId="1" fontId="5" fillId="3" borderId="435" xfId="0" applyNumberFormat="1" applyFont="1" applyFill="1" applyBorder="1" applyAlignment="1">
      <alignment horizontal="left" vertical="center" wrapText="1"/>
    </xf>
    <xf numFmtId="1" fontId="5" fillId="4" borderId="502" xfId="0" applyNumberFormat="1" applyFont="1" applyFill="1" applyBorder="1" applyAlignment="1" applyProtection="1">
      <alignment horizontal="left" vertical="center" wrapText="1"/>
      <protection locked="0"/>
    </xf>
    <xf numFmtId="1" fontId="5" fillId="4" borderId="458" xfId="0" applyNumberFormat="1" applyFont="1" applyFill="1" applyBorder="1" applyAlignment="1" applyProtection="1">
      <alignment horizontal="left" vertical="center" wrapText="1"/>
      <protection locked="0"/>
    </xf>
    <xf numFmtId="1" fontId="5" fillId="4" borderId="431" xfId="0" applyNumberFormat="1" applyFont="1" applyFill="1" applyBorder="1" applyAlignment="1" applyProtection="1">
      <alignment horizontal="left" vertical="center" wrapText="1"/>
      <protection locked="0"/>
    </xf>
    <xf numFmtId="1" fontId="5" fillId="3" borderId="373" xfId="0" applyNumberFormat="1" applyFont="1" applyFill="1" applyBorder="1" applyAlignment="1">
      <alignment horizontal="left"/>
    </xf>
    <xf numFmtId="1" fontId="5" fillId="3" borderId="13" xfId="0" applyNumberFormat="1" applyFont="1" applyFill="1" applyBorder="1" applyAlignment="1">
      <alignment horizontal="left"/>
    </xf>
    <xf numFmtId="1" fontId="5" fillId="3" borderId="31" xfId="0" applyNumberFormat="1" applyFont="1" applyFill="1" applyBorder="1" applyAlignment="1">
      <alignment horizontal="left"/>
    </xf>
    <xf numFmtId="1" fontId="5" fillId="4" borderId="251" xfId="0" applyNumberFormat="1" applyFont="1" applyFill="1" applyBorder="1" applyAlignment="1" applyProtection="1">
      <alignment horizontal="left"/>
      <protection locked="0"/>
    </xf>
    <xf numFmtId="1" fontId="3" fillId="0" borderId="420" xfId="15" applyNumberFormat="1" applyFont="1" applyBorder="1" applyAlignment="1">
      <alignment horizontal="left" wrapText="1"/>
    </xf>
    <xf numFmtId="1" fontId="3" fillId="0" borderId="422" xfId="15" applyNumberFormat="1" applyFont="1" applyBorder="1" applyAlignment="1">
      <alignment horizontal="left" wrapText="1"/>
    </xf>
    <xf numFmtId="1" fontId="3" fillId="0" borderId="441" xfId="14" applyNumberFormat="1" applyFont="1" applyBorder="1" applyAlignment="1">
      <alignment horizontal="left"/>
    </xf>
    <xf numFmtId="1" fontId="3" fillId="4" borderId="428" xfId="14" applyNumberFormat="1" applyFont="1" applyFill="1" applyBorder="1" applyAlignment="1" applyProtection="1">
      <alignment horizontal="left"/>
      <protection locked="0"/>
    </xf>
    <xf numFmtId="1" fontId="3" fillId="4" borderId="441" xfId="14" applyNumberFormat="1" applyFont="1" applyFill="1" applyBorder="1" applyAlignment="1" applyProtection="1">
      <alignment horizontal="left"/>
      <protection locked="0"/>
    </xf>
    <xf numFmtId="1" fontId="3" fillId="7" borderId="428" xfId="14" applyNumberFormat="1" applyFont="1" applyFill="1" applyBorder="1" applyAlignment="1">
      <alignment horizontal="left"/>
    </xf>
    <xf numFmtId="1" fontId="3" fillId="7" borderId="22" xfId="14" applyNumberFormat="1" applyFont="1" applyFill="1" applyBorder="1" applyAlignment="1">
      <alignment horizontal="left"/>
    </xf>
    <xf numFmtId="1" fontId="3" fillId="7" borderId="441" xfId="14" applyNumberFormat="1" applyFont="1" applyFill="1" applyBorder="1" applyAlignment="1">
      <alignment horizontal="left"/>
    </xf>
    <xf numFmtId="1" fontId="3" fillId="7" borderId="1124" xfId="14" applyNumberFormat="1" applyFont="1" applyFill="1" applyBorder="1" applyAlignment="1">
      <alignment horizontal="left"/>
    </xf>
    <xf numFmtId="1" fontId="3" fillId="4" borderId="1225" xfId="14" applyNumberFormat="1" applyFont="1" applyFill="1" applyBorder="1" applyAlignment="1" applyProtection="1">
      <alignment horizontal="left"/>
      <protection locked="0"/>
    </xf>
    <xf numFmtId="1" fontId="3" fillId="4" borderId="1208" xfId="14" applyNumberFormat="1" applyFont="1" applyFill="1" applyBorder="1" applyAlignment="1" applyProtection="1">
      <alignment horizontal="left"/>
      <protection locked="0"/>
    </xf>
    <xf numFmtId="1" fontId="3" fillId="0" borderId="373" xfId="16" applyNumberFormat="1" applyFont="1" applyBorder="1" applyAlignment="1">
      <alignment horizontal="left" wrapText="1"/>
    </xf>
    <xf numFmtId="1" fontId="3" fillId="0" borderId="375" xfId="16" applyNumberFormat="1" applyFont="1" applyBorder="1" applyAlignment="1">
      <alignment horizontal="left" wrapText="1"/>
    </xf>
    <xf numFmtId="1" fontId="3" fillId="0" borderId="10" xfId="14" applyNumberFormat="1" applyFont="1" applyBorder="1" applyAlignment="1">
      <alignment horizontal="left"/>
    </xf>
    <xf numFmtId="1" fontId="3" fillId="7" borderId="371" xfId="14" applyNumberFormat="1" applyFont="1" applyFill="1" applyBorder="1" applyAlignment="1">
      <alignment horizontal="left"/>
    </xf>
    <xf numFmtId="1" fontId="3" fillId="7" borderId="220" xfId="14" applyNumberFormat="1" applyFont="1" applyFill="1" applyBorder="1" applyAlignment="1">
      <alignment horizontal="left"/>
    </xf>
    <xf numFmtId="1" fontId="3" fillId="4" borderId="61" xfId="14" applyNumberFormat="1" applyFont="1" applyFill="1" applyBorder="1" applyAlignment="1" applyProtection="1">
      <alignment horizontal="left"/>
      <protection locked="0"/>
    </xf>
    <xf numFmtId="1" fontId="3" fillId="4" borderId="220" xfId="14" applyNumberFormat="1" applyFont="1" applyFill="1" applyBorder="1" applyAlignment="1" applyProtection="1">
      <alignment horizontal="left"/>
      <protection locked="0"/>
    </xf>
    <xf numFmtId="1" fontId="3" fillId="4" borderId="23" xfId="14" applyNumberFormat="1" applyFont="1" applyFill="1" applyBorder="1" applyAlignment="1" applyProtection="1">
      <alignment horizontal="left"/>
      <protection locked="0"/>
    </xf>
    <xf numFmtId="1" fontId="3" fillId="4" borderId="25" xfId="14" applyNumberFormat="1" applyFont="1" applyFill="1" applyBorder="1" applyAlignment="1" applyProtection="1">
      <alignment horizontal="left"/>
      <protection locked="0"/>
    </xf>
    <xf numFmtId="1" fontId="3" fillId="4" borderId="371" xfId="14" applyNumberFormat="1" applyFont="1" applyFill="1" applyBorder="1" applyAlignment="1" applyProtection="1">
      <alignment horizontal="left"/>
      <protection locked="0"/>
    </xf>
    <xf numFmtId="1" fontId="3" fillId="4" borderId="10" xfId="14" applyNumberFormat="1" applyFont="1" applyFill="1" applyBorder="1" applyAlignment="1" applyProtection="1">
      <alignment horizontal="left"/>
      <protection locked="0"/>
    </xf>
    <xf numFmtId="1" fontId="3" fillId="4" borderId="942" xfId="14" applyNumberFormat="1" applyFont="1" applyFill="1" applyBorder="1" applyAlignment="1" applyProtection="1">
      <alignment horizontal="left"/>
      <protection locked="0"/>
    </xf>
    <xf numFmtId="1" fontId="3" fillId="4" borderId="376" xfId="14" applyNumberFormat="1" applyFont="1" applyFill="1" applyBorder="1" applyAlignment="1" applyProtection="1">
      <alignment horizontal="left"/>
      <protection locked="0"/>
    </xf>
    <xf numFmtId="1" fontId="3" fillId="4" borderId="372" xfId="14" applyNumberFormat="1" applyFont="1" applyFill="1" applyBorder="1" applyAlignment="1" applyProtection="1">
      <alignment horizontal="left"/>
      <protection locked="0"/>
    </xf>
    <xf numFmtId="1" fontId="3" fillId="0" borderId="208" xfId="16" applyNumberFormat="1" applyFont="1" applyBorder="1" applyAlignment="1">
      <alignment horizontal="left" wrapText="1"/>
    </xf>
    <xf numFmtId="1" fontId="3" fillId="0" borderId="225" xfId="16" applyNumberFormat="1" applyFont="1" applyBorder="1" applyAlignment="1">
      <alignment horizontal="left" wrapText="1"/>
    </xf>
    <xf numFmtId="1" fontId="3" fillId="0" borderId="22" xfId="14" applyNumberFormat="1" applyFont="1" applyBorder="1" applyAlignment="1">
      <alignment horizontal="left"/>
    </xf>
    <xf numFmtId="1" fontId="3" fillId="7" borderId="10" xfId="14" applyNumberFormat="1" applyFont="1" applyFill="1" applyBorder="1" applyAlignment="1">
      <alignment horizontal="left"/>
    </xf>
    <xf numFmtId="1" fontId="3" fillId="7" borderId="222" xfId="14" applyNumberFormat="1" applyFont="1" applyFill="1" applyBorder="1" applyAlignment="1">
      <alignment horizontal="left"/>
    </xf>
    <xf numFmtId="1" fontId="3" fillId="4" borderId="222" xfId="14" applyNumberFormat="1" applyFont="1" applyFill="1" applyBorder="1" applyAlignment="1" applyProtection="1">
      <alignment horizontal="left"/>
      <protection locked="0"/>
    </xf>
    <xf numFmtId="1" fontId="3" fillId="4" borderId="22" xfId="14" applyNumberFormat="1" applyFont="1" applyFill="1" applyBorder="1" applyAlignment="1" applyProtection="1">
      <alignment horizontal="left"/>
      <protection locked="0"/>
    </xf>
    <xf numFmtId="1" fontId="3" fillId="4" borderId="55" xfId="14" applyNumberFormat="1" applyFont="1" applyFill="1" applyBorder="1" applyAlignment="1" applyProtection="1">
      <alignment horizontal="left"/>
      <protection locked="0"/>
    </xf>
    <xf numFmtId="1" fontId="3" fillId="0" borderId="208" xfId="0" applyNumberFormat="1" applyFont="1" applyBorder="1" applyAlignment="1">
      <alignment horizontal="left"/>
    </xf>
    <xf numFmtId="1" fontId="3" fillId="0" borderId="225" xfId="0" applyNumberFormat="1" applyFont="1" applyBorder="1" applyAlignment="1">
      <alignment horizontal="left"/>
    </xf>
    <xf numFmtId="1" fontId="3" fillId="0" borderId="22" xfId="0" applyNumberFormat="1" applyFont="1" applyBorder="1" applyAlignment="1">
      <alignment horizontal="left"/>
    </xf>
    <xf numFmtId="1" fontId="3" fillId="4" borderId="222" xfId="0" applyNumberFormat="1" applyFont="1" applyFill="1" applyBorder="1" applyAlignment="1" applyProtection="1">
      <alignment horizontal="left"/>
      <protection locked="0"/>
    </xf>
    <xf numFmtId="1" fontId="3" fillId="4" borderId="22" xfId="0" applyNumberFormat="1" applyFont="1" applyFill="1" applyBorder="1" applyAlignment="1" applyProtection="1">
      <alignment horizontal="left"/>
      <protection locked="0"/>
    </xf>
    <xf numFmtId="1" fontId="3" fillId="4" borderId="55" xfId="0" applyNumberFormat="1" applyFont="1" applyFill="1" applyBorder="1" applyAlignment="1" applyProtection="1">
      <alignment horizontal="left"/>
      <protection locked="0"/>
    </xf>
    <xf numFmtId="1" fontId="3" fillId="0" borderId="375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30" xfId="0" applyNumberFormat="1" applyFont="1" applyBorder="1" applyAlignment="1">
      <alignment horizontal="left"/>
    </xf>
    <xf numFmtId="1" fontId="3" fillId="4" borderId="54" xfId="14" applyNumberFormat="1" applyFont="1" applyFill="1" applyBorder="1" applyAlignment="1" applyProtection="1">
      <alignment horizontal="left"/>
      <protection locked="0"/>
    </xf>
    <xf numFmtId="1" fontId="3" fillId="4" borderId="42" xfId="14" applyNumberFormat="1" applyFont="1" applyFill="1" applyBorder="1" applyAlignment="1" applyProtection="1">
      <alignment horizontal="left"/>
      <protection locked="0"/>
    </xf>
    <xf numFmtId="1" fontId="3" fillId="0" borderId="415" xfId="0" applyNumberFormat="1" applyFont="1" applyBorder="1" applyAlignment="1">
      <alignment horizontal="left"/>
    </xf>
    <xf numFmtId="1" fontId="3" fillId="0" borderId="417" xfId="0" applyNumberFormat="1" applyFont="1" applyBorder="1" applyAlignment="1">
      <alignment horizontal="left"/>
    </xf>
    <xf numFmtId="1" fontId="3" fillId="0" borderId="12" xfId="14" applyNumberFormat="1" applyFont="1" applyBorder="1" applyAlignment="1">
      <alignment horizontal="left"/>
    </xf>
    <xf numFmtId="1" fontId="3" fillId="4" borderId="14" xfId="14" applyNumberFormat="1" applyFont="1" applyFill="1" applyBorder="1" applyAlignment="1" applyProtection="1">
      <alignment horizontal="left"/>
      <protection locked="0"/>
    </xf>
    <xf numFmtId="1" fontId="3" fillId="4" borderId="12" xfId="14" applyNumberFormat="1" applyFont="1" applyFill="1" applyBorder="1" applyAlignment="1" applyProtection="1">
      <alignment horizontal="left"/>
      <protection locked="0"/>
    </xf>
    <xf numFmtId="1" fontId="3" fillId="4" borderId="57" xfId="14" applyNumberFormat="1" applyFont="1" applyFill="1" applyBorder="1" applyAlignment="1" applyProtection="1">
      <alignment horizontal="left"/>
      <protection locked="0"/>
    </xf>
    <xf numFmtId="1" fontId="3" fillId="4" borderId="841" xfId="14" applyNumberFormat="1" applyFont="1" applyFill="1" applyBorder="1" applyAlignment="1" applyProtection="1">
      <alignment horizontal="left"/>
      <protection locked="0"/>
    </xf>
    <xf numFmtId="1" fontId="3" fillId="4" borderId="833" xfId="14" applyNumberFormat="1" applyFont="1" applyFill="1" applyBorder="1" applyAlignment="1" applyProtection="1">
      <alignment horizontal="left"/>
      <protection locked="0"/>
    </xf>
    <xf numFmtId="1" fontId="5" fillId="3" borderId="205" xfId="0" applyNumberFormat="1" applyFont="1" applyFill="1" applyBorder="1" applyAlignment="1">
      <alignment horizontal="left" wrapText="1"/>
    </xf>
    <xf numFmtId="1" fontId="5" fillId="0" borderId="103" xfId="0" applyNumberFormat="1" applyFont="1" applyBorder="1" applyAlignment="1">
      <alignment horizontal="left"/>
    </xf>
    <xf numFmtId="1" fontId="5" fillId="7" borderId="205" xfId="0" applyNumberFormat="1" applyFont="1" applyFill="1" applyBorder="1" applyAlignment="1">
      <alignment horizontal="left"/>
    </xf>
    <xf numFmtId="1" fontId="5" fillId="7" borderId="200" xfId="0" applyNumberFormat="1" applyFont="1" applyFill="1" applyBorder="1" applyAlignment="1">
      <alignment horizontal="left"/>
    </xf>
    <xf numFmtId="1" fontId="5" fillId="4" borderId="205" xfId="0" applyNumberFormat="1" applyFont="1" applyFill="1" applyBorder="1" applyAlignment="1" applyProtection="1">
      <alignment horizontal="left"/>
      <protection locked="0"/>
    </xf>
    <xf numFmtId="1" fontId="5" fillId="4" borderId="200" xfId="0" applyNumberFormat="1" applyFont="1" applyFill="1" applyBorder="1" applyAlignment="1" applyProtection="1">
      <alignment horizontal="left"/>
      <protection locked="0"/>
    </xf>
    <xf numFmtId="1" fontId="5" fillId="6" borderId="205" xfId="0" applyNumberFormat="1" applyFont="1" applyFill="1" applyBorder="1" applyAlignment="1">
      <alignment horizontal="left"/>
    </xf>
    <xf numFmtId="1" fontId="5" fillId="6" borderId="200" xfId="0" applyNumberFormat="1" applyFont="1" applyFill="1" applyBorder="1" applyAlignment="1">
      <alignment horizontal="left"/>
    </xf>
    <xf numFmtId="1" fontId="5" fillId="6" borderId="228" xfId="0" applyNumberFormat="1" applyFont="1" applyFill="1" applyBorder="1" applyAlignment="1">
      <alignment horizontal="left"/>
    </xf>
    <xf numFmtId="1" fontId="5" fillId="4" borderId="258" xfId="0" applyNumberFormat="1" applyFont="1" applyFill="1" applyBorder="1" applyAlignment="1" applyProtection="1">
      <alignment horizontal="left"/>
      <protection locked="0"/>
    </xf>
    <xf numFmtId="1" fontId="5" fillId="3" borderId="222" xfId="0" applyNumberFormat="1" applyFont="1" applyFill="1" applyBorder="1" applyAlignment="1">
      <alignment horizontal="left" wrapText="1"/>
    </xf>
    <xf numFmtId="1" fontId="5" fillId="0" borderId="244" xfId="0" applyNumberFormat="1" applyFont="1" applyBorder="1" applyAlignment="1">
      <alignment horizontal="left"/>
    </xf>
    <xf numFmtId="1" fontId="5" fillId="7" borderId="222" xfId="0" applyNumberFormat="1" applyFont="1" applyFill="1" applyBorder="1" applyAlignment="1">
      <alignment horizontal="left"/>
    </xf>
    <xf numFmtId="1" fontId="5" fillId="7" borderId="22" xfId="0" applyNumberFormat="1" applyFont="1" applyFill="1" applyBorder="1" applyAlignment="1">
      <alignment horizontal="left"/>
    </xf>
    <xf numFmtId="1" fontId="5" fillId="6" borderId="22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/>
    </xf>
    <xf numFmtId="1" fontId="5" fillId="6" borderId="55" xfId="0" applyNumberFormat="1" applyFont="1" applyFill="1" applyBorder="1" applyAlignment="1">
      <alignment horizontal="left"/>
    </xf>
    <xf numFmtId="1" fontId="5" fillId="0" borderId="250" xfId="0" applyNumberFormat="1" applyFont="1" applyBorder="1" applyAlignment="1">
      <alignment horizontal="left"/>
    </xf>
    <xf numFmtId="1" fontId="5" fillId="3" borderId="245" xfId="0" applyNumberFormat="1" applyFont="1" applyFill="1" applyBorder="1" applyAlignment="1">
      <alignment horizontal="left" wrapText="1"/>
    </xf>
    <xf numFmtId="1" fontId="5" fillId="7" borderId="10" xfId="0" applyNumberFormat="1" applyFont="1" applyFill="1" applyBorder="1" applyAlignment="1">
      <alignment horizontal="left"/>
    </xf>
    <xf numFmtId="1" fontId="5" fillId="6" borderId="10" xfId="0" applyNumberFormat="1" applyFont="1" applyFill="1" applyBorder="1" applyAlignment="1">
      <alignment horizontal="left"/>
    </xf>
    <xf numFmtId="1" fontId="5" fillId="6" borderId="52" xfId="0" applyNumberFormat="1" applyFont="1" applyFill="1" applyBorder="1" applyAlignment="1">
      <alignment horizontal="left"/>
    </xf>
    <xf numFmtId="1" fontId="5" fillId="6" borderId="23" xfId="0" applyNumberFormat="1" applyFont="1" applyFill="1" applyBorder="1" applyAlignment="1">
      <alignment horizontal="left" wrapText="1"/>
    </xf>
    <xf numFmtId="1" fontId="5" fillId="6" borderId="24" xfId="0" applyNumberFormat="1" applyFont="1" applyFill="1" applyBorder="1" applyAlignment="1">
      <alignment horizontal="left"/>
    </xf>
    <xf numFmtId="1" fontId="5" fillId="6" borderId="25" xfId="0" applyNumberFormat="1" applyFont="1" applyFill="1" applyBorder="1" applyAlignment="1">
      <alignment horizontal="left"/>
    </xf>
    <xf numFmtId="1" fontId="5" fillId="7" borderId="86" xfId="0" applyNumberFormat="1" applyFont="1" applyFill="1" applyBorder="1" applyAlignment="1">
      <alignment horizontal="left"/>
    </xf>
    <xf numFmtId="1" fontId="5" fillId="6" borderId="46" xfId="0" applyNumberFormat="1" applyFont="1" applyFill="1" applyBorder="1" applyAlignment="1">
      <alignment horizontal="left"/>
    </xf>
    <xf numFmtId="1" fontId="5" fillId="6" borderId="14" xfId="0" applyNumberFormat="1" applyFont="1" applyFill="1" applyBorder="1" applyAlignment="1">
      <alignment horizontal="left" wrapText="1"/>
    </xf>
    <xf numFmtId="1" fontId="5" fillId="6" borderId="15" xfId="0" applyNumberFormat="1" applyFont="1" applyFill="1" applyBorder="1" applyAlignment="1">
      <alignment horizontal="left"/>
    </xf>
    <xf numFmtId="1" fontId="5" fillId="7" borderId="14" xfId="0" applyNumberFormat="1" applyFont="1" applyFill="1" applyBorder="1" applyAlignment="1">
      <alignment horizontal="left"/>
    </xf>
    <xf numFmtId="1" fontId="5" fillId="7" borderId="16" xfId="0" applyNumberFormat="1" applyFont="1" applyFill="1" applyBorder="1" applyAlignment="1">
      <alignment horizontal="left"/>
    </xf>
    <xf numFmtId="1" fontId="5" fillId="6" borderId="47" xfId="0" applyNumberFormat="1" applyFont="1" applyFill="1" applyBorder="1" applyAlignment="1">
      <alignment horizontal="left"/>
    </xf>
    <xf numFmtId="1" fontId="5" fillId="23" borderId="373" xfId="0" applyNumberFormat="1" applyFont="1" applyFill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left" wrapText="1"/>
    </xf>
    <xf numFmtId="1" fontId="70" fillId="0" borderId="741" xfId="0" applyNumberFormat="1" applyFont="1" applyBorder="1"/>
    <xf numFmtId="1" fontId="70" fillId="3" borderId="777" xfId="0" applyNumberFormat="1" applyFont="1" applyFill="1" applyBorder="1" applyAlignment="1">
      <alignment horizontal="left"/>
    </xf>
    <xf numFmtId="0" fontId="70" fillId="0" borderId="0" xfId="0" applyFont="1"/>
    <xf numFmtId="1" fontId="70" fillId="0" borderId="34" xfId="0" applyNumberFormat="1" applyFont="1" applyBorder="1"/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</xdr:row>
          <xdr:rowOff>121920</xdr:rowOff>
        </xdr:from>
        <xdr:to>
          <xdr:col>4</xdr:col>
          <xdr:colOff>1584960</xdr:colOff>
          <xdr:row>4</xdr:row>
          <xdr:rowOff>632460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sqref="A1:B1"/>
    </sheetView>
  </sheetViews>
  <sheetFormatPr baseColWidth="10" defaultColWidth="11.44140625" defaultRowHeight="10.199999999999999" x14ac:dyDescent="0.2"/>
  <cols>
    <col min="1" max="1" width="49.44140625" style="4609" customWidth="1"/>
    <col min="2" max="2" width="60.6640625" style="3251" customWidth="1"/>
    <col min="3" max="8" width="5.6640625" style="3251" customWidth="1"/>
    <col min="9" max="9" width="16.88671875" style="4581" customWidth="1"/>
    <col min="10" max="18" width="11.88671875" style="4581" customWidth="1"/>
    <col min="19" max="21" width="23.109375" style="4581" customWidth="1"/>
    <col min="22" max="23" width="23.109375" style="4581" hidden="1" customWidth="1"/>
    <col min="24" max="24" width="23.109375" style="3251" hidden="1" customWidth="1"/>
    <col min="25" max="26" width="23.109375" style="3251" customWidth="1"/>
    <col min="27" max="27" width="11.44140625" style="3251" customWidth="1"/>
    <col min="28" max="28" width="54.33203125" style="3251" customWidth="1"/>
    <col min="29" max="29" width="27.44140625" style="3251" customWidth="1"/>
    <col min="30" max="30" width="8.6640625" style="3251" customWidth="1"/>
    <col min="31" max="32" width="23.109375" style="3251" customWidth="1"/>
    <col min="33" max="33" width="39.5546875" style="3251" customWidth="1"/>
    <col min="34" max="37" width="23.109375" style="3251" customWidth="1"/>
    <col min="38" max="39" width="23.109375" style="4581" customWidth="1"/>
    <col min="40" max="50" width="23.109375" style="3251" customWidth="1"/>
    <col min="51" max="16384" width="11.44140625" style="3251"/>
  </cols>
  <sheetData>
    <row r="1" spans="1:39" ht="36" customHeight="1" x14ac:dyDescent="0.2">
      <c r="A1" s="6313" t="s">
        <v>3841</v>
      </c>
      <c r="B1" s="6314"/>
      <c r="C1" s="6315" t="s">
        <v>3842</v>
      </c>
      <c r="D1" s="6316"/>
      <c r="E1" s="6316"/>
      <c r="F1" s="6316"/>
      <c r="G1" s="6316"/>
      <c r="H1" s="6317"/>
    </row>
    <row r="2" spans="1:39" ht="21.75" customHeight="1" x14ac:dyDescent="0.25">
      <c r="A2" s="4582" t="s">
        <v>3843</v>
      </c>
      <c r="B2" s="4583"/>
      <c r="C2" s="4584"/>
      <c r="D2" s="4585"/>
      <c r="E2" s="4585"/>
      <c r="F2" s="4585"/>
      <c r="G2" s="4586"/>
      <c r="H2" s="4796"/>
      <c r="I2" s="4795" t="str">
        <f>IF(OR(C2="",D2="",E2="",F2="",G2=""),"Falta Cód. Com.","")</f>
        <v>Falta Cód. Com.</v>
      </c>
      <c r="J2" s="4587"/>
      <c r="K2" s="4587"/>
      <c r="L2" s="4587"/>
      <c r="M2" s="4587"/>
      <c r="N2" s="4587"/>
      <c r="O2" s="4587"/>
      <c r="P2" s="4587"/>
      <c r="Q2" s="4587"/>
      <c r="R2" s="4587"/>
      <c r="S2" s="4587"/>
      <c r="T2" s="4587"/>
      <c r="U2" s="4587"/>
      <c r="V2" s="4587"/>
      <c r="W2" s="4797">
        <f>IF(OR(C2="",D2="",E2="",F2="",G2=""),1,0)</f>
        <v>1</v>
      </c>
      <c r="X2" s="4587"/>
      <c r="Y2" s="4587"/>
      <c r="Z2" s="4587"/>
      <c r="AD2" s="4790"/>
      <c r="AG2" s="4791"/>
    </row>
    <row r="3" spans="1:39" ht="21.75" customHeight="1" x14ac:dyDescent="0.25">
      <c r="A3" s="5821" t="s">
        <v>3844</v>
      </c>
      <c r="B3" s="5822"/>
      <c r="C3" s="5823"/>
      <c r="D3" s="5824"/>
      <c r="E3" s="5824"/>
      <c r="F3" s="5824"/>
      <c r="G3" s="5824"/>
      <c r="H3" s="5825"/>
      <c r="I3" s="4588" t="str">
        <f>IF(OR(C3="",D3="",E3="",F3="",G3="",H3=""),"Falta Cód. Est.","")</f>
        <v>Falta Cód. Est.</v>
      </c>
      <c r="J3" s="4587"/>
      <c r="K3" s="4587"/>
      <c r="L3" s="4587"/>
      <c r="M3" s="4587"/>
      <c r="N3" s="4587"/>
      <c r="O3" s="4587"/>
      <c r="P3" s="4587"/>
      <c r="Q3" s="4587"/>
      <c r="R3" s="4587"/>
      <c r="S3" s="4587"/>
      <c r="T3" s="4587"/>
      <c r="U3" s="4587"/>
      <c r="V3" s="4587"/>
      <c r="W3" s="4797">
        <f>IF(OR(C3="",D3="",E3="",F3="",G3="",H3=""),1,0)</f>
        <v>1</v>
      </c>
      <c r="X3" s="4587"/>
      <c r="Y3" s="4587"/>
      <c r="Z3" s="4587"/>
      <c r="AD3" s="4790"/>
      <c r="AG3" s="4791"/>
    </row>
    <row r="4" spans="1:39" ht="9.75" customHeight="1" x14ac:dyDescent="0.25">
      <c r="A4" s="5816"/>
      <c r="B4" s="5820"/>
      <c r="C4" s="5815"/>
      <c r="D4" s="5815"/>
      <c r="E4" s="5815"/>
      <c r="F4" s="5815"/>
      <c r="G4" s="5815"/>
      <c r="H4" s="5815"/>
      <c r="I4" s="4795"/>
      <c r="J4" s="4587"/>
      <c r="K4" s="4587"/>
      <c r="L4" s="4587"/>
      <c r="M4" s="4587"/>
      <c r="N4" s="4587"/>
      <c r="O4" s="4587"/>
      <c r="P4" s="4587"/>
      <c r="Q4" s="4587"/>
      <c r="R4" s="4587"/>
      <c r="S4" s="4587"/>
      <c r="T4" s="4587"/>
      <c r="U4" s="4587"/>
      <c r="V4" s="4587"/>
      <c r="W4" s="4587"/>
      <c r="X4" s="4587"/>
      <c r="Y4" s="4587"/>
      <c r="Z4" s="4587"/>
      <c r="AD4" s="4790"/>
      <c r="AG4" s="4791"/>
      <c r="AL4" s="3251"/>
      <c r="AM4" s="3251"/>
    </row>
    <row r="5" spans="1:39" ht="9.75" customHeight="1" x14ac:dyDescent="0.25">
      <c r="A5" s="5826"/>
      <c r="B5" s="5827"/>
      <c r="C5" s="5828"/>
      <c r="D5" s="5828"/>
      <c r="E5" s="5815"/>
      <c r="F5" s="5815"/>
      <c r="G5" s="5815"/>
      <c r="H5" s="5815"/>
      <c r="I5" s="4795"/>
      <c r="J5" s="4587"/>
      <c r="K5" s="4587"/>
      <c r="L5" s="4587"/>
      <c r="M5" s="4587"/>
      <c r="N5" s="4587"/>
      <c r="O5" s="4587"/>
      <c r="P5" s="4587"/>
      <c r="Q5" s="4587"/>
      <c r="R5" s="4587"/>
      <c r="S5" s="4587"/>
      <c r="T5" s="4587"/>
      <c r="U5" s="4587"/>
      <c r="V5" s="4587"/>
      <c r="W5" s="4587"/>
      <c r="X5" s="4587"/>
      <c r="Y5" s="4587"/>
      <c r="Z5" s="4587"/>
      <c r="AD5" s="4790"/>
      <c r="AG5" s="4791"/>
      <c r="AL5" s="3251"/>
      <c r="AM5" s="3251"/>
    </row>
    <row r="6" spans="1:39" ht="21.75" customHeight="1" x14ac:dyDescent="0.25">
      <c r="A6" s="5816" t="s">
        <v>3845</v>
      </c>
      <c r="B6" s="5817"/>
      <c r="C6" s="5818"/>
      <c r="D6" s="5819"/>
      <c r="E6" s="4589"/>
      <c r="F6" s="4589"/>
      <c r="G6" s="4589"/>
      <c r="H6" s="4589"/>
      <c r="I6" s="4590" t="str">
        <f>IF(OR(C6="",D6=""),"Falta Cód. Mes.","")</f>
        <v>Falta Cód. Mes.</v>
      </c>
      <c r="J6" s="4591"/>
      <c r="K6" s="4591"/>
      <c r="L6" s="4591"/>
      <c r="M6" s="4592"/>
      <c r="N6" s="4592"/>
      <c r="O6" s="4592"/>
      <c r="P6" s="4592"/>
      <c r="Q6" s="4592"/>
      <c r="R6" s="4592"/>
      <c r="S6" s="4592"/>
      <c r="T6" s="4592"/>
      <c r="U6" s="4592"/>
      <c r="V6" s="4592"/>
      <c r="W6" s="4797">
        <f>IF(OR(C6="",D6=""),1,0)</f>
        <v>1</v>
      </c>
      <c r="X6" s="4592"/>
      <c r="Y6" s="4592"/>
      <c r="Z6" s="4592"/>
      <c r="AD6" s="4790"/>
      <c r="AG6" s="4791"/>
    </row>
    <row r="7" spans="1:39" ht="21.75" customHeight="1" x14ac:dyDescent="0.3">
      <c r="A7" s="4582" t="s">
        <v>3846</v>
      </c>
      <c r="B7" s="4593">
        <v>2024</v>
      </c>
      <c r="C7" s="4581"/>
      <c r="D7" s="4581"/>
      <c r="E7" s="4581"/>
      <c r="F7" s="4581"/>
      <c r="G7" s="4581"/>
      <c r="H7" s="4581"/>
      <c r="AG7" s="4792"/>
    </row>
    <row r="8" spans="1:39" ht="12" customHeight="1" x14ac:dyDescent="0.2">
      <c r="A8" s="4594"/>
      <c r="B8" s="4595"/>
      <c r="C8" s="4581"/>
      <c r="D8" s="4581"/>
      <c r="E8" s="4581"/>
      <c r="F8" s="4581"/>
      <c r="G8" s="4581"/>
      <c r="H8" s="4581"/>
    </row>
    <row r="9" spans="1:39" ht="28.5" customHeight="1" x14ac:dyDescent="0.2">
      <c r="A9" s="6318" t="s">
        <v>3944</v>
      </c>
      <c r="B9" s="6319"/>
      <c r="C9" s="4581"/>
      <c r="D9" s="4581"/>
      <c r="E9" s="4581"/>
      <c r="F9" s="4581"/>
      <c r="G9" s="4581"/>
      <c r="H9" s="4581"/>
      <c r="AL9" s="3251"/>
      <c r="AM9" s="3251"/>
    </row>
    <row r="10" spans="1:39" ht="12" customHeight="1" x14ac:dyDescent="0.2">
      <c r="A10" s="4596"/>
      <c r="B10" s="4597"/>
      <c r="C10" s="4581"/>
      <c r="D10" s="4581"/>
      <c r="E10" s="4581"/>
      <c r="F10" s="4581"/>
      <c r="G10" s="4581"/>
      <c r="H10" s="4581"/>
      <c r="AL10" s="3251"/>
      <c r="AM10" s="3251"/>
    </row>
    <row r="11" spans="1:39" ht="27" customHeight="1" x14ac:dyDescent="0.2">
      <c r="A11" s="4598" t="s">
        <v>3860</v>
      </c>
      <c r="B11" s="4599"/>
      <c r="C11" s="4581"/>
      <c r="D11" s="4581"/>
      <c r="E11" s="4581"/>
      <c r="F11" s="4581"/>
      <c r="G11" s="4581"/>
      <c r="H11" s="4600"/>
      <c r="I11" s="4600"/>
      <c r="J11" s="4601"/>
      <c r="K11" s="4601"/>
      <c r="L11" s="4601"/>
      <c r="M11" s="4601"/>
      <c r="N11" s="4601"/>
      <c r="O11" s="4601"/>
      <c r="P11" s="4601"/>
      <c r="Q11" s="4601"/>
      <c r="R11" s="4601"/>
      <c r="S11" s="4601"/>
      <c r="T11" s="4601"/>
      <c r="U11" s="4601"/>
      <c r="V11" s="4601"/>
      <c r="W11" s="4602" t="s">
        <v>3847</v>
      </c>
      <c r="AL11" s="3251"/>
      <c r="AM11" s="3251"/>
    </row>
    <row r="12" spans="1:39" ht="23.25" customHeight="1" x14ac:dyDescent="0.2">
      <c r="A12" s="4603" t="s">
        <v>3861</v>
      </c>
      <c r="B12" s="4599"/>
      <c r="C12" s="4581"/>
      <c r="D12" s="4581"/>
      <c r="E12" s="4581"/>
      <c r="F12" s="4581"/>
      <c r="G12" s="4581"/>
      <c r="H12" s="4600"/>
      <c r="I12" s="4600"/>
      <c r="J12" s="4601"/>
      <c r="K12" s="4601"/>
      <c r="L12" s="4601"/>
      <c r="M12" s="4601"/>
      <c r="N12" s="4601"/>
      <c r="O12" s="4601"/>
      <c r="P12" s="4601"/>
      <c r="Q12" s="4601"/>
      <c r="R12" s="4601"/>
      <c r="S12" s="4601"/>
      <c r="T12" s="4601"/>
      <c r="U12" s="4601"/>
      <c r="V12" s="4601"/>
      <c r="W12" s="4602" t="s">
        <v>3848</v>
      </c>
      <c r="AL12" s="3251"/>
      <c r="AM12" s="3251"/>
    </row>
    <row r="13" spans="1:39" ht="23.25" customHeight="1" x14ac:dyDescent="0.2">
      <c r="A13" s="4597"/>
      <c r="B13" s="4604"/>
      <c r="C13" s="4581"/>
      <c r="D13" s="4581"/>
      <c r="E13" s="4581"/>
      <c r="F13" s="4581"/>
      <c r="G13" s="4581"/>
      <c r="H13" s="4600" t="s">
        <v>1761</v>
      </c>
      <c r="I13" s="4600"/>
      <c r="J13" s="4601"/>
      <c r="K13" s="4601"/>
      <c r="L13" s="4601"/>
      <c r="M13" s="4601"/>
      <c r="N13" s="4601"/>
      <c r="O13" s="4601"/>
      <c r="P13" s="4601"/>
      <c r="Q13" s="4601"/>
      <c r="R13" s="4601"/>
      <c r="S13" s="4601"/>
      <c r="T13" s="4601"/>
      <c r="U13" s="4601"/>
      <c r="V13" s="4601"/>
      <c r="W13" s="4602" t="s">
        <v>3849</v>
      </c>
      <c r="AL13" s="3251"/>
      <c r="AM13" s="3251"/>
    </row>
    <row r="14" spans="1:39" ht="23.25" customHeight="1" x14ac:dyDescent="0.2">
      <c r="A14" s="4605"/>
      <c r="B14" s="4581"/>
      <c r="C14" s="4581"/>
      <c r="D14" s="4581"/>
      <c r="E14" s="4581"/>
      <c r="F14" s="4581"/>
      <c r="G14" s="4581"/>
      <c r="H14" s="4600"/>
      <c r="I14" s="4600"/>
      <c r="J14" s="4601"/>
      <c r="K14" s="4601"/>
      <c r="L14" s="4601"/>
      <c r="M14" s="4601"/>
      <c r="N14" s="4601"/>
      <c r="O14" s="4601"/>
      <c r="P14" s="4601"/>
      <c r="Q14" s="4601"/>
      <c r="R14" s="4601"/>
      <c r="S14" s="4601"/>
      <c r="T14" s="4601"/>
      <c r="U14" s="4601"/>
      <c r="V14" s="4601"/>
      <c r="W14" s="4602" t="s">
        <v>3850</v>
      </c>
      <c r="Y14" s="4793"/>
      <c r="AL14" s="3251"/>
      <c r="AM14" s="3251"/>
    </row>
    <row r="15" spans="1:39" ht="21" customHeight="1" x14ac:dyDescent="0.2">
      <c r="A15" s="6320" t="s">
        <v>3851</v>
      </c>
      <c r="B15" s="6321"/>
      <c r="C15" s="4581"/>
      <c r="D15" s="4581"/>
      <c r="E15" s="4581"/>
      <c r="F15" s="4581"/>
      <c r="G15" s="4581"/>
      <c r="H15" s="4600"/>
      <c r="I15" s="4600"/>
      <c r="J15" s="4601"/>
      <c r="K15" s="4601"/>
      <c r="L15" s="4601"/>
      <c r="M15" s="4601"/>
      <c r="N15" s="4601"/>
      <c r="O15" s="4601"/>
      <c r="P15" s="4601"/>
      <c r="Q15" s="4601"/>
      <c r="R15" s="4601"/>
      <c r="S15" s="4601"/>
      <c r="T15" s="4601"/>
      <c r="U15" s="4601"/>
      <c r="V15" s="4601"/>
      <c r="W15" s="4602" t="s">
        <v>3852</v>
      </c>
      <c r="Y15" s="4793"/>
      <c r="AL15" s="3251"/>
      <c r="AM15" s="3251"/>
    </row>
    <row r="16" spans="1:39" ht="21.75" customHeight="1" x14ac:dyDescent="0.2">
      <c r="A16" s="4605"/>
      <c r="B16" s="4581"/>
      <c r="C16" s="4581"/>
      <c r="D16" s="4581"/>
      <c r="E16" s="4581"/>
      <c r="F16" s="4581"/>
      <c r="G16" s="4581"/>
      <c r="H16" s="4600"/>
      <c r="I16" s="4600"/>
      <c r="J16" s="4601"/>
      <c r="K16" s="4601"/>
      <c r="L16" s="4601"/>
      <c r="M16" s="4601"/>
      <c r="N16" s="4601"/>
      <c r="O16" s="4601"/>
      <c r="P16" s="4601"/>
      <c r="Q16" s="4601"/>
      <c r="R16" s="4601"/>
      <c r="S16" s="4601"/>
      <c r="T16" s="4601"/>
      <c r="U16" s="4601"/>
      <c r="V16" s="4601"/>
      <c r="W16" s="4602" t="s">
        <v>3853</v>
      </c>
      <c r="Y16" s="4793"/>
      <c r="AL16" s="3251"/>
      <c r="AM16" s="3251"/>
    </row>
    <row r="17" spans="1:39" ht="21" customHeight="1" x14ac:dyDescent="0.2">
      <c r="A17" s="4605"/>
      <c r="B17" s="6310" t="s">
        <v>3900</v>
      </c>
      <c r="C17" s="4581"/>
      <c r="D17" s="4581"/>
      <c r="E17" s="4581"/>
      <c r="F17" s="4581"/>
      <c r="G17" s="4581"/>
      <c r="H17" s="4600"/>
      <c r="I17" s="4600"/>
      <c r="J17" s="4601"/>
      <c r="K17" s="4601"/>
      <c r="L17" s="4601"/>
      <c r="M17" s="4601"/>
      <c r="N17" s="4601"/>
      <c r="O17" s="4601"/>
      <c r="P17" s="4601"/>
      <c r="Q17" s="4601"/>
      <c r="R17" s="4601"/>
      <c r="S17" s="4601"/>
      <c r="T17" s="4601"/>
      <c r="U17" s="4601"/>
      <c r="V17" s="4601"/>
      <c r="W17" s="4602" t="s">
        <v>3854</v>
      </c>
      <c r="Y17" s="4793"/>
      <c r="AL17" s="3251"/>
      <c r="AM17" s="3251"/>
    </row>
    <row r="18" spans="1:39" ht="21" customHeight="1" x14ac:dyDescent="0.2">
      <c r="A18" s="4605"/>
      <c r="B18" s="6311"/>
      <c r="C18" s="4581"/>
      <c r="D18" s="4581"/>
      <c r="E18" s="4581"/>
      <c r="F18" s="4581"/>
      <c r="G18" s="4581"/>
      <c r="H18" s="4600"/>
      <c r="I18" s="4600"/>
      <c r="J18" s="4601"/>
      <c r="K18" s="4601"/>
      <c r="L18" s="4601"/>
      <c r="M18" s="4601"/>
      <c r="N18" s="4601"/>
      <c r="O18" s="4601"/>
      <c r="P18" s="4601"/>
      <c r="Q18" s="4601"/>
      <c r="R18" s="4601"/>
      <c r="S18" s="4601"/>
      <c r="T18" s="4601"/>
      <c r="U18" s="4601"/>
      <c r="V18" s="4601"/>
      <c r="W18" s="4602" t="s">
        <v>3855</v>
      </c>
      <c r="Y18" s="4793"/>
      <c r="AL18" s="3251"/>
      <c r="AM18" s="3251"/>
    </row>
    <row r="19" spans="1:39" ht="21" customHeight="1" x14ac:dyDescent="0.2">
      <c r="A19" s="4605"/>
      <c r="B19" s="6312"/>
      <c r="C19" s="4581"/>
      <c r="D19" s="4581"/>
      <c r="E19" s="4581"/>
      <c r="F19" s="4581"/>
      <c r="G19" s="4581"/>
      <c r="H19" s="4600"/>
      <c r="I19" s="4600"/>
      <c r="J19" s="4601"/>
      <c r="K19" s="4601"/>
      <c r="L19" s="4601"/>
      <c r="M19" s="4601"/>
      <c r="N19" s="4601"/>
      <c r="O19" s="4601"/>
      <c r="P19" s="4601"/>
      <c r="Q19" s="4601"/>
      <c r="R19" s="4601"/>
      <c r="S19" s="4601"/>
      <c r="T19" s="4601"/>
      <c r="U19" s="4601"/>
      <c r="V19" s="4601"/>
      <c r="W19" s="4602" t="s">
        <v>3856</v>
      </c>
      <c r="Y19" s="4793"/>
      <c r="AL19" s="3251"/>
      <c r="AM19" s="3251"/>
    </row>
    <row r="20" spans="1:39" ht="21" customHeight="1" x14ac:dyDescent="0.2">
      <c r="A20" s="4605"/>
      <c r="B20" s="4581"/>
      <c r="C20" s="4581"/>
      <c r="D20" s="4581"/>
      <c r="E20" s="4581"/>
      <c r="F20" s="4581"/>
      <c r="G20" s="4581"/>
      <c r="H20" s="4600"/>
      <c r="I20" s="4600"/>
      <c r="J20" s="4601"/>
      <c r="K20" s="4601"/>
      <c r="L20" s="4601"/>
      <c r="M20" s="4601"/>
      <c r="N20" s="4601"/>
      <c r="O20" s="4601"/>
      <c r="P20" s="4601"/>
      <c r="Q20" s="4601"/>
      <c r="R20" s="4601"/>
      <c r="S20" s="4601"/>
      <c r="T20" s="4601"/>
      <c r="U20" s="4601"/>
      <c r="V20" s="4601"/>
      <c r="W20" s="4602" t="s">
        <v>3857</v>
      </c>
      <c r="Y20" s="4793"/>
      <c r="AL20" s="3251"/>
      <c r="AM20" s="3251"/>
    </row>
    <row r="21" spans="1:39" ht="21" customHeight="1" x14ac:dyDescent="0.2">
      <c r="A21" s="4605"/>
      <c r="B21" s="4581"/>
      <c r="C21" s="4581"/>
      <c r="D21" s="4581"/>
      <c r="E21" s="4581"/>
      <c r="F21" s="4581"/>
      <c r="G21" s="4606"/>
      <c r="H21" s="4606"/>
      <c r="I21" s="4606"/>
      <c r="J21" s="4606"/>
      <c r="N21" s="4601"/>
      <c r="O21" s="4601"/>
      <c r="P21" s="4601"/>
      <c r="Q21" s="4601"/>
      <c r="R21" s="4601"/>
      <c r="S21" s="4601"/>
      <c r="T21" s="4601"/>
      <c r="U21" s="4601"/>
      <c r="V21" s="4601"/>
      <c r="W21" s="4602" t="s">
        <v>3858</v>
      </c>
      <c r="X21" s="4794"/>
      <c r="Y21" s="4794"/>
      <c r="Z21" s="4794"/>
      <c r="AC21" s="4793"/>
    </row>
    <row r="22" spans="1:39" ht="21" customHeight="1" x14ac:dyDescent="0.2">
      <c r="A22" s="4605"/>
      <c r="B22" s="4581"/>
      <c r="C22" s="4581"/>
      <c r="D22" s="4581"/>
      <c r="E22" s="4581"/>
      <c r="F22" s="4581"/>
      <c r="G22" s="4606"/>
      <c r="H22" s="4606"/>
      <c r="I22" s="4606"/>
      <c r="J22" s="4606"/>
      <c r="N22" s="4601"/>
      <c r="O22" s="4601"/>
      <c r="P22" s="4601"/>
      <c r="Q22" s="4601"/>
      <c r="R22" s="4601"/>
      <c r="S22" s="4601"/>
      <c r="T22" s="4601"/>
      <c r="U22" s="4601"/>
      <c r="V22" s="4601"/>
      <c r="W22" s="4602" t="s">
        <v>3859</v>
      </c>
      <c r="X22" s="4794"/>
      <c r="Y22" s="4794"/>
      <c r="Z22" s="4794"/>
      <c r="AC22" s="4793"/>
    </row>
    <row r="23" spans="1:39" ht="17.25" customHeight="1" x14ac:dyDescent="0.2">
      <c r="A23" s="4605"/>
      <c r="B23" s="4581"/>
      <c r="C23" s="4581"/>
      <c r="D23" s="4581"/>
      <c r="E23" s="4581"/>
      <c r="F23" s="4581"/>
      <c r="G23" s="4581"/>
      <c r="H23" s="4581"/>
      <c r="I23" s="4607"/>
      <c r="J23" s="4607"/>
      <c r="N23" s="4601"/>
      <c r="O23" s="4601"/>
      <c r="P23" s="4601"/>
      <c r="Q23" s="4601"/>
      <c r="R23" s="4601"/>
      <c r="S23" s="4601"/>
      <c r="T23" s="4601"/>
      <c r="U23" s="4601"/>
      <c r="V23" s="4601"/>
      <c r="W23" s="4601"/>
      <c r="X23" s="4794"/>
      <c r="Y23" s="4794"/>
      <c r="Z23" s="4794"/>
      <c r="AA23" s="4793"/>
      <c r="AC23" s="4793"/>
    </row>
    <row r="24" spans="1:39" ht="18.75" customHeight="1" x14ac:dyDescent="0.2">
      <c r="A24" s="4608"/>
      <c r="B24" s="4608"/>
      <c r="C24" s="4608"/>
      <c r="D24" s="4608"/>
      <c r="E24" s="4608"/>
      <c r="F24" s="4608"/>
      <c r="G24" s="4608"/>
      <c r="H24" s="4608"/>
      <c r="I24" s="4608"/>
      <c r="J24" s="4608"/>
      <c r="K24" s="4608"/>
      <c r="L24" s="4608"/>
      <c r="M24" s="4608"/>
      <c r="N24" s="4608"/>
      <c r="O24" s="4608"/>
      <c r="P24" s="4608"/>
      <c r="Q24" s="4608"/>
      <c r="R24" s="4601"/>
      <c r="S24" s="4601"/>
      <c r="T24" s="4601"/>
      <c r="U24" s="4601"/>
      <c r="V24" s="4601"/>
      <c r="W24" s="4601"/>
      <c r="X24" s="4794"/>
      <c r="Y24" s="4794"/>
      <c r="Z24" s="4794"/>
      <c r="AA24" s="4793"/>
      <c r="AC24" s="4793"/>
    </row>
    <row r="25" spans="1:39" ht="18" customHeight="1" x14ac:dyDescent="0.2">
      <c r="A25" s="4608"/>
      <c r="B25" s="4608"/>
      <c r="C25" s="4608"/>
      <c r="D25" s="4608"/>
      <c r="E25" s="4608"/>
      <c r="F25" s="4608"/>
      <c r="G25" s="4608"/>
      <c r="H25" s="4608"/>
      <c r="I25" s="4608"/>
      <c r="J25" s="4608"/>
      <c r="K25" s="4608"/>
      <c r="L25" s="4608"/>
      <c r="M25" s="4608"/>
      <c r="N25" s="4608"/>
      <c r="O25" s="4608"/>
      <c r="P25" s="4608"/>
      <c r="Q25" s="4608"/>
      <c r="R25" s="4601"/>
      <c r="S25" s="4601"/>
      <c r="T25" s="4601"/>
      <c r="U25" s="4601"/>
      <c r="V25" s="4601"/>
      <c r="W25" s="4601"/>
      <c r="X25" s="4794"/>
      <c r="Y25" s="4794"/>
      <c r="Z25" s="4794"/>
      <c r="AA25" s="4793"/>
      <c r="AC25" s="4793"/>
    </row>
    <row r="26" spans="1:39" ht="19.5" customHeight="1" x14ac:dyDescent="0.2">
      <c r="A26" s="4608"/>
      <c r="B26" s="4608"/>
      <c r="C26" s="4608"/>
      <c r="D26" s="4608"/>
      <c r="E26" s="4608"/>
      <c r="F26" s="4608"/>
      <c r="G26" s="4608"/>
      <c r="H26" s="4608"/>
      <c r="I26" s="4608"/>
      <c r="J26" s="4608"/>
      <c r="K26" s="4608"/>
      <c r="L26" s="4608"/>
      <c r="M26" s="4608"/>
      <c r="N26" s="4608"/>
      <c r="O26" s="4608"/>
      <c r="P26" s="4608"/>
      <c r="Q26" s="4608"/>
      <c r="R26" s="4601"/>
      <c r="S26" s="4601"/>
      <c r="T26" s="4601"/>
      <c r="U26" s="4601"/>
      <c r="V26" s="4601"/>
      <c r="W26" s="4601"/>
      <c r="X26" s="4794"/>
      <c r="Y26" s="4794"/>
      <c r="Z26" s="4794"/>
      <c r="AA26" s="4793"/>
      <c r="AC26" s="4793"/>
    </row>
    <row r="27" spans="1:39" ht="19.5" customHeight="1" x14ac:dyDescent="0.2">
      <c r="A27" s="4608"/>
      <c r="B27" s="4608"/>
      <c r="C27" s="4608"/>
      <c r="D27" s="4608"/>
      <c r="E27" s="4608"/>
      <c r="F27" s="4608"/>
      <c r="G27" s="4608"/>
      <c r="H27" s="4608"/>
      <c r="I27" s="4608"/>
      <c r="J27" s="4608"/>
      <c r="K27" s="4608"/>
      <c r="L27" s="4608"/>
      <c r="M27" s="4608"/>
      <c r="N27" s="4608"/>
      <c r="O27" s="4608"/>
      <c r="P27" s="4608"/>
      <c r="Q27" s="4608"/>
      <c r="R27" s="4601"/>
      <c r="S27" s="4601"/>
      <c r="T27" s="4601"/>
      <c r="U27" s="4601"/>
      <c r="V27" s="4601"/>
      <c r="W27" s="4601"/>
      <c r="X27" s="4794"/>
      <c r="Y27" s="4794"/>
      <c r="Z27" s="4794"/>
      <c r="AA27" s="4793"/>
      <c r="AC27" s="4793"/>
    </row>
    <row r="28" spans="1:39" ht="18.75" customHeight="1" x14ac:dyDescent="0.2">
      <c r="A28" s="4608"/>
      <c r="B28" s="4608"/>
      <c r="C28" s="4608"/>
      <c r="D28" s="4608"/>
      <c r="E28" s="4608"/>
      <c r="F28" s="4608"/>
      <c r="G28" s="4608"/>
      <c r="H28" s="4608"/>
      <c r="I28" s="4608"/>
      <c r="J28" s="4608"/>
      <c r="K28" s="4608"/>
      <c r="L28" s="4608"/>
      <c r="M28" s="4608"/>
      <c r="N28" s="4608"/>
      <c r="O28" s="4608"/>
      <c r="P28" s="4608"/>
      <c r="Q28" s="4608"/>
      <c r="R28" s="4601"/>
      <c r="S28" s="4601"/>
      <c r="T28" s="4601"/>
      <c r="U28" s="4601"/>
      <c r="V28" s="4601"/>
      <c r="W28" s="4601"/>
      <c r="X28" s="4794"/>
      <c r="Y28" s="4794"/>
      <c r="Z28" s="4794"/>
      <c r="AA28" s="4793"/>
      <c r="AC28" s="4793"/>
    </row>
    <row r="29" spans="1:39" ht="18.75" customHeight="1" x14ac:dyDescent="0.2">
      <c r="A29" s="4608"/>
      <c r="B29" s="4608"/>
      <c r="C29" s="4608"/>
      <c r="D29" s="4608"/>
      <c r="E29" s="4608"/>
      <c r="F29" s="4608"/>
      <c r="G29" s="4608"/>
      <c r="H29" s="4608"/>
      <c r="I29" s="4608"/>
      <c r="J29" s="4608"/>
      <c r="K29" s="4608"/>
      <c r="L29" s="4608"/>
      <c r="M29" s="4608"/>
      <c r="N29" s="4608"/>
      <c r="O29" s="4608"/>
      <c r="P29" s="4608"/>
      <c r="Q29" s="4608"/>
      <c r="R29" s="4601"/>
      <c r="S29" s="4601"/>
      <c r="T29" s="4601"/>
      <c r="U29" s="4601"/>
      <c r="V29" s="4601"/>
      <c r="W29" s="4601"/>
      <c r="X29" s="4794"/>
      <c r="Y29" s="4794"/>
      <c r="Z29" s="4794"/>
      <c r="AA29" s="4793"/>
      <c r="AC29" s="4793"/>
    </row>
    <row r="30" spans="1:39" ht="18.75" customHeight="1" x14ac:dyDescent="0.3">
      <c r="A30" s="4608"/>
      <c r="B30" s="4608"/>
      <c r="C30" s="4608"/>
      <c r="D30" s="4608"/>
      <c r="E30" s="4608"/>
      <c r="F30" s="4608"/>
      <c r="G30" s="4608"/>
      <c r="H30" s="4608"/>
      <c r="I30" s="4608"/>
      <c r="J30" s="4608"/>
      <c r="K30" s="4608"/>
      <c r="L30" s="4608"/>
      <c r="M30" s="4608"/>
      <c r="N30" s="4608"/>
      <c r="O30" s="4608"/>
      <c r="P30" s="4608"/>
      <c r="Q30" s="4608"/>
      <c r="R30" s="4601"/>
      <c r="S30" s="4601"/>
      <c r="T30" s="4601"/>
      <c r="U30" s="4601"/>
      <c r="V30" s="4601"/>
      <c r="W30" s="4601"/>
      <c r="X30" s="4794"/>
      <c r="Y30" s="4794"/>
      <c r="Z30" s="4794"/>
      <c r="AA30"/>
      <c r="AC30"/>
    </row>
    <row r="31" spans="1:39" ht="17.25" customHeight="1" x14ac:dyDescent="0.3">
      <c r="A31" s="4608"/>
      <c r="B31" s="4608"/>
      <c r="C31" s="4608"/>
      <c r="D31" s="4608"/>
      <c r="E31" s="4608"/>
      <c r="F31" s="4608"/>
      <c r="G31" s="4608"/>
      <c r="H31" s="4608"/>
      <c r="I31" s="4608"/>
      <c r="J31" s="4608"/>
      <c r="K31" s="4608"/>
      <c r="L31" s="4608"/>
      <c r="M31" s="4608"/>
      <c r="N31" s="4608"/>
      <c r="O31" s="4608"/>
      <c r="P31" s="4608"/>
      <c r="Q31" s="4608"/>
      <c r="R31" s="4601"/>
      <c r="S31" s="4601"/>
      <c r="T31" s="4601"/>
      <c r="U31" s="4601"/>
      <c r="V31" s="4601"/>
      <c r="W31" s="4601"/>
      <c r="X31" s="4794"/>
      <c r="Y31" s="4794"/>
      <c r="Z31" s="4794"/>
      <c r="AA31"/>
      <c r="AC31"/>
    </row>
    <row r="32" spans="1:39" ht="17.25" hidden="1" customHeight="1" x14ac:dyDescent="0.3">
      <c r="A32" s="4798">
        <f>SUM(W2:W6)</f>
        <v>3</v>
      </c>
      <c r="B32" s="4608"/>
      <c r="C32" s="4608"/>
      <c r="D32" s="4608"/>
      <c r="E32" s="4608"/>
      <c r="F32" s="4608"/>
      <c r="G32" s="4608"/>
      <c r="H32" s="4608"/>
      <c r="I32" s="4608"/>
      <c r="J32" s="4608"/>
      <c r="K32" s="4608"/>
      <c r="L32" s="4608"/>
      <c r="M32" s="4608"/>
      <c r="N32" s="4608"/>
      <c r="O32" s="4608"/>
      <c r="P32" s="4608"/>
      <c r="Q32" s="4608"/>
      <c r="R32" s="4601"/>
      <c r="S32" s="4601"/>
      <c r="T32" s="4601"/>
      <c r="U32" s="4601"/>
      <c r="V32" s="4601"/>
      <c r="W32" s="4601"/>
      <c r="X32" s="4794"/>
      <c r="Y32" s="4794"/>
      <c r="Z32" s="4794"/>
      <c r="AA32"/>
      <c r="AC32"/>
    </row>
    <row r="33" spans="1:29" ht="17.25" customHeight="1" x14ac:dyDescent="0.3">
      <c r="A33" s="4608"/>
      <c r="B33" s="4608"/>
      <c r="C33" s="4608"/>
      <c r="D33" s="4608"/>
      <c r="E33" s="4608"/>
      <c r="F33" s="4608"/>
      <c r="G33" s="4608"/>
      <c r="H33" s="4608"/>
      <c r="I33" s="4608"/>
      <c r="J33" s="4608"/>
      <c r="K33" s="4608"/>
      <c r="L33" s="4608"/>
      <c r="M33" s="4608"/>
      <c r="N33" s="4608"/>
      <c r="O33" s="4608"/>
      <c r="P33" s="4608"/>
      <c r="Q33" s="4608"/>
      <c r="R33" s="4601"/>
      <c r="S33" s="4601"/>
      <c r="T33" s="4601"/>
      <c r="U33" s="4601"/>
      <c r="V33" s="4601"/>
      <c r="W33" s="4601"/>
      <c r="X33" s="4794"/>
      <c r="Y33" s="4794"/>
      <c r="Z33" s="4794"/>
      <c r="AA33"/>
      <c r="AC33"/>
    </row>
    <row r="34" spans="1:29" ht="17.25" customHeight="1" x14ac:dyDescent="0.3">
      <c r="A34" s="4608"/>
      <c r="B34" s="4608"/>
      <c r="C34" s="4608"/>
      <c r="D34" s="4608"/>
      <c r="E34" s="4608"/>
      <c r="F34" s="4608"/>
      <c r="G34" s="4608"/>
      <c r="H34" s="4608"/>
      <c r="I34" s="4608"/>
      <c r="J34" s="4608"/>
      <c r="K34" s="4608"/>
      <c r="L34" s="4608"/>
      <c r="M34" s="4608"/>
      <c r="N34" s="4608"/>
      <c r="O34" s="4608"/>
      <c r="P34" s="4608"/>
      <c r="Q34" s="4608"/>
      <c r="R34" s="4601"/>
      <c r="S34" s="4601"/>
      <c r="T34" s="4601"/>
      <c r="U34" s="4601"/>
      <c r="V34" s="4601"/>
      <c r="W34" s="4601"/>
      <c r="X34" s="4794"/>
      <c r="Y34" s="4794"/>
      <c r="Z34" s="4794"/>
      <c r="AA34"/>
      <c r="AC34"/>
    </row>
    <row r="35" spans="1:29" ht="17.25" customHeight="1" x14ac:dyDescent="0.2">
      <c r="A35" s="4605"/>
      <c r="B35" s="4581"/>
      <c r="C35" s="4581"/>
      <c r="D35" s="4581"/>
      <c r="E35" s="4581"/>
      <c r="F35" s="4581"/>
      <c r="G35" s="4581"/>
      <c r="H35" s="4581"/>
      <c r="N35" s="4601"/>
      <c r="O35" s="4601"/>
      <c r="P35" s="4601"/>
      <c r="Q35" s="4601"/>
      <c r="R35" s="4601"/>
      <c r="S35" s="4601"/>
      <c r="T35" s="4601"/>
      <c r="U35" s="4601"/>
      <c r="V35" s="4601"/>
      <c r="W35" s="4601"/>
      <c r="X35" s="4794"/>
      <c r="Y35" s="4794"/>
      <c r="Z35" s="4794"/>
    </row>
    <row r="36" spans="1:29" ht="17.25" customHeight="1" x14ac:dyDescent="0.2">
      <c r="A36" s="4605"/>
      <c r="B36" s="4581"/>
      <c r="C36" s="4581"/>
      <c r="D36" s="4581"/>
      <c r="E36" s="4581"/>
      <c r="F36" s="4581"/>
      <c r="G36" s="4581"/>
      <c r="H36" s="4581"/>
      <c r="N36" s="4601"/>
      <c r="O36" s="4601"/>
      <c r="P36" s="4601"/>
      <c r="Q36" s="4601"/>
      <c r="R36" s="4601"/>
      <c r="S36" s="4601"/>
      <c r="T36" s="4601"/>
      <c r="U36" s="4601"/>
      <c r="V36" s="4601"/>
      <c r="W36" s="4601"/>
      <c r="X36" s="4794"/>
      <c r="Y36" s="4794"/>
      <c r="Z36" s="4794"/>
    </row>
    <row r="37" spans="1:29" ht="17.25" customHeight="1" x14ac:dyDescent="0.2">
      <c r="A37" s="4605"/>
      <c r="B37" s="4581"/>
      <c r="C37" s="4581"/>
      <c r="D37" s="4581"/>
      <c r="E37" s="4581"/>
      <c r="F37" s="4581"/>
      <c r="G37" s="4581"/>
      <c r="H37" s="4581"/>
      <c r="N37" s="4601"/>
      <c r="O37" s="4601"/>
      <c r="P37" s="4601"/>
      <c r="Q37" s="4601"/>
      <c r="R37" s="4601"/>
      <c r="S37" s="4601"/>
      <c r="T37" s="4601"/>
      <c r="U37" s="4601"/>
      <c r="V37" s="4601"/>
      <c r="W37" s="4601"/>
      <c r="X37" s="4794"/>
      <c r="Y37" s="4794"/>
      <c r="Z37" s="4794"/>
    </row>
    <row r="38" spans="1:29" ht="17.25" customHeight="1" x14ac:dyDescent="0.2">
      <c r="A38" s="4605"/>
      <c r="B38" s="4581"/>
      <c r="C38" s="4581"/>
      <c r="D38" s="4581"/>
      <c r="E38" s="4581"/>
      <c r="F38" s="4581"/>
      <c r="G38" s="4581"/>
      <c r="H38" s="4581"/>
    </row>
    <row r="39" spans="1:29" ht="17.25" customHeight="1" x14ac:dyDescent="0.2">
      <c r="A39" s="4605"/>
      <c r="B39" s="4581"/>
      <c r="C39" s="4581"/>
      <c r="D39" s="4581"/>
      <c r="E39" s="4581"/>
      <c r="F39" s="4581"/>
      <c r="G39" s="4581"/>
      <c r="H39" s="4581"/>
    </row>
    <row r="40" spans="1:29" ht="17.25" customHeight="1" x14ac:dyDescent="0.2">
      <c r="A40" s="4605"/>
      <c r="C40" s="4581"/>
      <c r="D40" s="4581"/>
      <c r="E40" s="4581"/>
      <c r="F40" s="4581"/>
      <c r="G40" s="4581"/>
      <c r="H40" s="4581"/>
    </row>
    <row r="41" spans="1:29" x14ac:dyDescent="0.2">
      <c r="A41" s="4605"/>
      <c r="C41" s="4581"/>
      <c r="D41" s="4581"/>
      <c r="E41" s="4581"/>
      <c r="F41" s="4581"/>
      <c r="G41" s="4581"/>
      <c r="H41" s="4581"/>
    </row>
    <row r="42" spans="1:29" x14ac:dyDescent="0.2">
      <c r="A42" s="4605"/>
      <c r="C42" s="4581"/>
      <c r="D42" s="4581"/>
      <c r="E42" s="4581"/>
      <c r="F42" s="4581"/>
      <c r="G42" s="4581"/>
      <c r="H42" s="4581"/>
    </row>
    <row r="43" spans="1:29" x14ac:dyDescent="0.2">
      <c r="A43" s="4605"/>
      <c r="C43" s="4581"/>
      <c r="D43" s="4581"/>
      <c r="E43" s="4581"/>
      <c r="F43" s="4581"/>
      <c r="G43" s="4581"/>
      <c r="H43" s="4581"/>
    </row>
    <row r="44" spans="1:29" x14ac:dyDescent="0.2">
      <c r="A44" s="4605"/>
      <c r="C44" s="4581"/>
      <c r="D44" s="4581"/>
      <c r="E44" s="4581"/>
      <c r="F44" s="4581"/>
      <c r="G44" s="4581"/>
      <c r="H44" s="4581"/>
    </row>
    <row r="45" spans="1:29" x14ac:dyDescent="0.2">
      <c r="A45" s="4605"/>
      <c r="C45" s="4581"/>
      <c r="D45" s="4581"/>
      <c r="E45" s="4581"/>
      <c r="F45" s="4581"/>
      <c r="G45" s="4581"/>
      <c r="H45" s="4581"/>
    </row>
    <row r="46" spans="1:29" x14ac:dyDescent="0.2">
      <c r="A46" s="4605"/>
      <c r="C46" s="4581"/>
      <c r="D46" s="4581"/>
      <c r="E46" s="4581"/>
      <c r="F46" s="4581"/>
      <c r="G46" s="4581"/>
      <c r="H46" s="4581"/>
    </row>
    <row r="47" spans="1:29" x14ac:dyDescent="0.2">
      <c r="A47" s="4605"/>
      <c r="C47" s="4581"/>
      <c r="D47" s="4581"/>
      <c r="E47" s="4581"/>
      <c r="F47" s="4581"/>
      <c r="G47" s="4581"/>
      <c r="H47" s="4581"/>
    </row>
    <row r="48" spans="1:29" x14ac:dyDescent="0.2">
      <c r="A48" s="4605"/>
      <c r="C48" s="4581"/>
      <c r="D48" s="4581"/>
      <c r="E48" s="4581"/>
      <c r="F48" s="4581"/>
      <c r="G48" s="4581"/>
      <c r="H48" s="4581"/>
    </row>
    <row r="49" spans="1:8" x14ac:dyDescent="0.2">
      <c r="A49" s="4605"/>
      <c r="C49" s="4581"/>
      <c r="D49" s="4581"/>
      <c r="E49" s="4581"/>
      <c r="F49" s="4581"/>
      <c r="G49" s="4581"/>
      <c r="H49" s="4581"/>
    </row>
    <row r="50" spans="1:8" x14ac:dyDescent="0.2">
      <c r="A50" s="4605"/>
      <c r="C50" s="4581"/>
      <c r="D50" s="4581"/>
      <c r="E50" s="4581"/>
      <c r="F50" s="4581"/>
      <c r="G50" s="4581"/>
      <c r="H50" s="4581"/>
    </row>
    <row r="51" spans="1:8" x14ac:dyDescent="0.2">
      <c r="C51" s="4581"/>
      <c r="D51" s="4581"/>
      <c r="E51" s="4581"/>
      <c r="F51" s="4581"/>
      <c r="G51" s="4581"/>
      <c r="H51" s="4581"/>
    </row>
    <row r="52" spans="1:8" x14ac:dyDescent="0.2">
      <c r="C52" s="4581"/>
      <c r="D52" s="4581"/>
      <c r="E52" s="4581"/>
      <c r="F52" s="4581"/>
      <c r="G52" s="4581"/>
      <c r="H52" s="4581"/>
    </row>
    <row r="53" spans="1:8" x14ac:dyDescent="0.2">
      <c r="C53" s="4581"/>
      <c r="D53" s="4581"/>
      <c r="E53" s="4581"/>
      <c r="F53" s="4581"/>
      <c r="G53" s="4581"/>
      <c r="H53" s="4581"/>
    </row>
    <row r="54" spans="1:8" x14ac:dyDescent="0.2">
      <c r="C54" s="4581"/>
      <c r="D54" s="4581"/>
      <c r="E54" s="4581"/>
      <c r="F54" s="4581"/>
      <c r="G54" s="4581"/>
      <c r="H54" s="4581"/>
    </row>
    <row r="55" spans="1:8" x14ac:dyDescent="0.2">
      <c r="C55" s="4581"/>
      <c r="D55" s="4581"/>
      <c r="E55" s="4581"/>
      <c r="F55" s="4581"/>
      <c r="G55" s="4581"/>
      <c r="H55" s="4581"/>
    </row>
    <row r="56" spans="1:8" x14ac:dyDescent="0.2">
      <c r="C56" s="4581"/>
      <c r="D56" s="4581"/>
      <c r="E56" s="4581"/>
      <c r="F56" s="4581"/>
      <c r="G56" s="4581"/>
      <c r="H56" s="4581"/>
    </row>
    <row r="57" spans="1:8" x14ac:dyDescent="0.2">
      <c r="C57" s="4581"/>
      <c r="D57" s="4581"/>
      <c r="E57" s="4581"/>
      <c r="F57" s="4581"/>
      <c r="G57" s="4581"/>
      <c r="H57" s="4581"/>
    </row>
    <row r="58" spans="1:8" x14ac:dyDescent="0.2">
      <c r="C58" s="4581"/>
      <c r="D58" s="4581"/>
      <c r="E58" s="4581"/>
      <c r="F58" s="4581"/>
      <c r="G58" s="4581"/>
      <c r="H58" s="4581"/>
    </row>
    <row r="59" spans="1:8" x14ac:dyDescent="0.2">
      <c r="C59" s="4581"/>
      <c r="D59" s="4581"/>
      <c r="E59" s="4581"/>
      <c r="F59" s="4581"/>
      <c r="G59" s="4581"/>
      <c r="H59" s="4581"/>
    </row>
    <row r="60" spans="1:8" x14ac:dyDescent="0.2">
      <c r="C60" s="4581"/>
      <c r="D60" s="4581"/>
      <c r="E60" s="4581"/>
      <c r="F60" s="4581"/>
      <c r="G60" s="4581"/>
      <c r="H60" s="4581"/>
    </row>
    <row r="61" spans="1:8" x14ac:dyDescent="0.2">
      <c r="C61" s="4581"/>
      <c r="D61" s="4581"/>
      <c r="E61" s="4581"/>
      <c r="F61" s="4581"/>
      <c r="G61" s="4581"/>
      <c r="H61" s="4581"/>
    </row>
    <row r="62" spans="1:8" x14ac:dyDescent="0.2">
      <c r="C62" s="4581"/>
      <c r="D62" s="4581"/>
      <c r="E62" s="4581"/>
      <c r="F62" s="4581"/>
      <c r="G62" s="4581"/>
      <c r="H62" s="4581"/>
    </row>
    <row r="63" spans="1:8" x14ac:dyDescent="0.2">
      <c r="C63" s="4581"/>
      <c r="D63" s="4581"/>
      <c r="E63" s="4581"/>
      <c r="F63" s="4581"/>
      <c r="G63" s="4581"/>
      <c r="H63" s="4581"/>
    </row>
    <row r="64" spans="1:8" x14ac:dyDescent="0.2">
      <c r="C64" s="4581"/>
      <c r="D64" s="4581"/>
      <c r="E64" s="4581"/>
      <c r="F64" s="4581"/>
      <c r="G64" s="4581"/>
      <c r="H64" s="4581"/>
    </row>
    <row r="65" spans="3:8" x14ac:dyDescent="0.2">
      <c r="C65" s="4581"/>
      <c r="D65" s="4581"/>
      <c r="E65" s="4581"/>
      <c r="F65" s="4581"/>
      <c r="G65" s="4581"/>
      <c r="H65" s="4581"/>
    </row>
    <row r="66" spans="3:8" x14ac:dyDescent="0.2">
      <c r="C66" s="4581"/>
      <c r="D66" s="4581"/>
      <c r="E66" s="4581"/>
      <c r="F66" s="4581"/>
      <c r="G66" s="4581"/>
      <c r="H66" s="4581"/>
    </row>
    <row r="67" spans="3:8" x14ac:dyDescent="0.2">
      <c r="C67" s="4581"/>
      <c r="D67" s="4581"/>
      <c r="E67" s="4581"/>
      <c r="F67" s="4581"/>
      <c r="G67" s="4581"/>
      <c r="H67" s="4581"/>
    </row>
    <row r="68" spans="3:8" x14ac:dyDescent="0.2">
      <c r="C68" s="4581"/>
      <c r="D68" s="4581"/>
      <c r="E68" s="4581"/>
      <c r="F68" s="4581"/>
      <c r="G68" s="4581"/>
      <c r="H68" s="4581"/>
    </row>
    <row r="69" spans="3:8" x14ac:dyDescent="0.2">
      <c r="C69" s="4581"/>
      <c r="D69" s="4581"/>
      <c r="E69" s="4581"/>
      <c r="F69" s="4581"/>
      <c r="G69" s="4581"/>
      <c r="H69" s="4581"/>
    </row>
    <row r="70" spans="3:8" x14ac:dyDescent="0.2">
      <c r="C70" s="4581"/>
      <c r="D70" s="4581"/>
      <c r="E70" s="4581"/>
      <c r="F70" s="4581"/>
      <c r="G70" s="4581"/>
      <c r="H70" s="4581"/>
    </row>
    <row r="71" spans="3:8" x14ac:dyDescent="0.2">
      <c r="C71" s="4581"/>
      <c r="D71" s="4581"/>
      <c r="E71" s="4581"/>
      <c r="F71" s="4581"/>
      <c r="G71" s="4581"/>
      <c r="H71" s="4581"/>
    </row>
    <row r="72" spans="3:8" x14ac:dyDescent="0.2">
      <c r="C72" s="4581"/>
      <c r="D72" s="4581"/>
      <c r="E72" s="4581"/>
      <c r="F72" s="4581"/>
      <c r="G72" s="4581"/>
      <c r="H72" s="4581"/>
    </row>
    <row r="73" spans="3:8" x14ac:dyDescent="0.2">
      <c r="C73" s="4581"/>
      <c r="D73" s="4581"/>
      <c r="E73" s="4581"/>
      <c r="F73" s="4581"/>
      <c r="G73" s="4581"/>
      <c r="H73" s="4581"/>
    </row>
    <row r="74" spans="3:8" x14ac:dyDescent="0.2">
      <c r="C74" s="4581"/>
      <c r="D74" s="4581"/>
      <c r="E74" s="4581"/>
      <c r="F74" s="4581"/>
      <c r="G74" s="4581"/>
      <c r="H74" s="4581"/>
    </row>
    <row r="75" spans="3:8" x14ac:dyDescent="0.2">
      <c r="C75" s="4581"/>
      <c r="D75" s="4581"/>
      <c r="E75" s="4581"/>
      <c r="F75" s="4581"/>
      <c r="G75" s="4581"/>
      <c r="H75" s="4581"/>
    </row>
    <row r="76" spans="3:8" x14ac:dyDescent="0.2">
      <c r="C76" s="4581"/>
      <c r="D76" s="4581"/>
      <c r="E76" s="4581"/>
      <c r="F76" s="4581"/>
      <c r="G76" s="4581"/>
      <c r="H76" s="4581"/>
    </row>
    <row r="77" spans="3:8" x14ac:dyDescent="0.2">
      <c r="C77" s="4581"/>
      <c r="D77" s="4581"/>
      <c r="E77" s="4581"/>
      <c r="F77" s="4581"/>
      <c r="G77" s="4581"/>
      <c r="H77" s="4581"/>
    </row>
    <row r="78" spans="3:8" x14ac:dyDescent="0.2">
      <c r="C78" s="4581"/>
      <c r="D78" s="4581"/>
      <c r="E78" s="4581"/>
      <c r="F78" s="4581"/>
      <c r="G78" s="4581"/>
      <c r="H78" s="4581"/>
    </row>
    <row r="79" spans="3:8" x14ac:dyDescent="0.2">
      <c r="C79" s="4581"/>
      <c r="D79" s="4581"/>
      <c r="E79" s="4581"/>
      <c r="F79" s="4581"/>
      <c r="G79" s="4581"/>
      <c r="H79" s="4581"/>
    </row>
    <row r="80" spans="3:8" x14ac:dyDescent="0.2">
      <c r="C80" s="4581"/>
      <c r="D80" s="4581"/>
      <c r="E80" s="4581"/>
      <c r="F80" s="4581"/>
      <c r="G80" s="4581"/>
      <c r="H80" s="4581"/>
    </row>
    <row r="81" spans="3:8" x14ac:dyDescent="0.2">
      <c r="C81" s="4581"/>
      <c r="D81" s="4581"/>
      <c r="E81" s="4581"/>
      <c r="F81" s="4581"/>
      <c r="G81" s="4581"/>
      <c r="H81" s="4581"/>
    </row>
    <row r="82" spans="3:8" x14ac:dyDescent="0.2">
      <c r="C82" s="4581"/>
      <c r="D82" s="4581"/>
      <c r="E82" s="4581"/>
      <c r="F82" s="4581"/>
      <c r="G82" s="4581"/>
      <c r="H82" s="4581"/>
    </row>
    <row r="83" spans="3:8" x14ac:dyDescent="0.2">
      <c r="C83" s="4581"/>
      <c r="D83" s="4581"/>
      <c r="E83" s="4581"/>
      <c r="F83" s="4581"/>
      <c r="G83" s="4581"/>
      <c r="H83" s="4581"/>
    </row>
    <row r="84" spans="3:8" x14ac:dyDescent="0.2">
      <c r="C84" s="4581"/>
      <c r="D84" s="4581"/>
      <c r="E84" s="4581"/>
      <c r="F84" s="4581"/>
      <c r="G84" s="4581"/>
      <c r="H84" s="4581"/>
    </row>
    <row r="85" spans="3:8" x14ac:dyDescent="0.2">
      <c r="C85" s="4581"/>
      <c r="D85" s="4581"/>
      <c r="E85" s="4581"/>
      <c r="F85" s="4581"/>
      <c r="G85" s="4581"/>
      <c r="H85" s="4581"/>
    </row>
    <row r="86" spans="3:8" x14ac:dyDescent="0.2">
      <c r="C86" s="4581"/>
      <c r="D86" s="4581"/>
      <c r="E86" s="4581"/>
      <c r="F86" s="4581"/>
      <c r="G86" s="4581"/>
      <c r="H86" s="4581"/>
    </row>
    <row r="87" spans="3:8" x14ac:dyDescent="0.2">
      <c r="C87" s="4581"/>
      <c r="D87" s="4581"/>
      <c r="E87" s="4581"/>
      <c r="F87" s="4581"/>
      <c r="G87" s="4581"/>
      <c r="H87" s="4581"/>
    </row>
    <row r="88" spans="3:8" x14ac:dyDescent="0.2">
      <c r="C88" s="4581"/>
      <c r="D88" s="4581"/>
      <c r="E88" s="4581"/>
      <c r="F88" s="4581"/>
      <c r="G88" s="4581"/>
      <c r="H88" s="4581"/>
    </row>
    <row r="89" spans="3:8" x14ac:dyDescent="0.2">
      <c r="C89" s="4581"/>
      <c r="D89" s="4581"/>
      <c r="E89" s="4581"/>
      <c r="F89" s="4581"/>
      <c r="G89" s="4581"/>
      <c r="H89" s="4581"/>
    </row>
    <row r="90" spans="3:8" x14ac:dyDescent="0.2">
      <c r="C90" s="4581"/>
      <c r="D90" s="4581"/>
      <c r="E90" s="4581"/>
      <c r="F90" s="4581"/>
      <c r="G90" s="4581"/>
      <c r="H90" s="4581"/>
    </row>
    <row r="91" spans="3:8" x14ac:dyDescent="0.2">
      <c r="C91" s="4581"/>
      <c r="D91" s="4581"/>
      <c r="E91" s="4581"/>
      <c r="F91" s="4581"/>
      <c r="G91" s="4581"/>
      <c r="H91" s="4581"/>
    </row>
    <row r="92" spans="3:8" x14ac:dyDescent="0.2">
      <c r="C92" s="4581"/>
      <c r="D92" s="4581"/>
      <c r="E92" s="4581"/>
      <c r="F92" s="4581"/>
      <c r="G92" s="4581"/>
      <c r="H92" s="4581"/>
    </row>
    <row r="93" spans="3:8" x14ac:dyDescent="0.2">
      <c r="C93" s="4581"/>
      <c r="D93" s="4581"/>
      <c r="E93" s="4581"/>
      <c r="F93" s="4581"/>
      <c r="G93" s="4581"/>
      <c r="H93" s="4581"/>
    </row>
    <row r="94" spans="3:8" x14ac:dyDescent="0.2">
      <c r="C94" s="4581"/>
      <c r="D94" s="4581"/>
      <c r="E94" s="4581"/>
      <c r="F94" s="4581"/>
      <c r="G94" s="4581"/>
      <c r="H94" s="4581"/>
    </row>
    <row r="95" spans="3:8" x14ac:dyDescent="0.2">
      <c r="C95" s="4581"/>
      <c r="D95" s="4581"/>
      <c r="E95" s="4581"/>
      <c r="F95" s="4581"/>
      <c r="G95" s="4581"/>
      <c r="H95" s="4581"/>
    </row>
    <row r="96" spans="3:8" x14ac:dyDescent="0.2">
      <c r="C96" s="4581"/>
      <c r="D96" s="4581"/>
      <c r="E96" s="4581"/>
      <c r="F96" s="4581"/>
      <c r="G96" s="4581"/>
      <c r="H96" s="4581"/>
    </row>
    <row r="97" spans="3:8" x14ac:dyDescent="0.2">
      <c r="C97" s="4581"/>
      <c r="D97" s="4581"/>
      <c r="E97" s="4581"/>
      <c r="F97" s="4581"/>
      <c r="G97" s="4581"/>
      <c r="H97" s="4581"/>
    </row>
    <row r="98" spans="3:8" x14ac:dyDescent="0.2">
      <c r="C98" s="4581"/>
      <c r="D98" s="4581"/>
      <c r="E98" s="4581"/>
      <c r="F98" s="4581"/>
      <c r="G98" s="4581"/>
      <c r="H98" s="4581"/>
    </row>
    <row r="99" spans="3:8" x14ac:dyDescent="0.2">
      <c r="C99" s="4581"/>
      <c r="D99" s="4581"/>
      <c r="E99" s="4581"/>
      <c r="F99" s="4581"/>
      <c r="G99" s="4581"/>
      <c r="H99" s="4581"/>
    </row>
    <row r="100" spans="3:8" x14ac:dyDescent="0.2">
      <c r="C100" s="4581"/>
      <c r="D100" s="4581"/>
      <c r="E100" s="4581"/>
      <c r="F100" s="4581"/>
      <c r="G100" s="4581"/>
      <c r="H100" s="4581"/>
    </row>
    <row r="101" spans="3:8" x14ac:dyDescent="0.2">
      <c r="C101" s="4581"/>
      <c r="D101" s="4581"/>
      <c r="E101" s="4581"/>
      <c r="F101" s="4581"/>
      <c r="G101" s="4581"/>
      <c r="H101" s="4581"/>
    </row>
    <row r="102" spans="3:8" x14ac:dyDescent="0.2">
      <c r="C102" s="4581"/>
      <c r="D102" s="4581"/>
      <c r="E102" s="4581"/>
      <c r="F102" s="4581"/>
      <c r="G102" s="4581"/>
      <c r="H102" s="4581"/>
    </row>
    <row r="103" spans="3:8" x14ac:dyDescent="0.2">
      <c r="C103" s="4581"/>
      <c r="D103" s="4581"/>
      <c r="E103" s="4581"/>
      <c r="F103" s="4581"/>
      <c r="G103" s="4581"/>
      <c r="H103" s="4581"/>
    </row>
    <row r="104" spans="3:8" x14ac:dyDescent="0.2">
      <c r="C104" s="4581"/>
      <c r="D104" s="4581"/>
      <c r="E104" s="4581"/>
      <c r="F104" s="4581"/>
      <c r="G104" s="4581"/>
      <c r="H104" s="4581"/>
    </row>
    <row r="105" spans="3:8" x14ac:dyDescent="0.2">
      <c r="C105" s="4581"/>
      <c r="D105" s="4581"/>
      <c r="E105" s="4581"/>
      <c r="F105" s="4581"/>
      <c r="G105" s="4581"/>
      <c r="H105" s="4581"/>
    </row>
    <row r="106" spans="3:8" x14ac:dyDescent="0.2">
      <c r="C106" s="4581"/>
      <c r="D106" s="4581"/>
      <c r="E106" s="4581"/>
      <c r="F106" s="4581"/>
      <c r="G106" s="4581"/>
      <c r="H106" s="4581"/>
    </row>
    <row r="107" spans="3:8" x14ac:dyDescent="0.2">
      <c r="C107" s="4581"/>
      <c r="D107" s="4581"/>
      <c r="E107" s="4581"/>
      <c r="F107" s="4581"/>
      <c r="G107" s="4581"/>
      <c r="H107" s="4581"/>
    </row>
    <row r="108" spans="3:8" x14ac:dyDescent="0.2">
      <c r="C108" s="4581"/>
      <c r="D108" s="4581"/>
      <c r="E108" s="4581"/>
      <c r="F108" s="4581"/>
      <c r="G108" s="4581"/>
      <c r="H108" s="4581"/>
    </row>
    <row r="109" spans="3:8" x14ac:dyDescent="0.2">
      <c r="C109" s="4581"/>
      <c r="D109" s="4581"/>
      <c r="E109" s="4581"/>
      <c r="F109" s="4581"/>
      <c r="G109" s="4581"/>
      <c r="H109" s="4581"/>
    </row>
    <row r="110" spans="3:8" x14ac:dyDescent="0.2">
      <c r="C110" s="4581"/>
      <c r="D110" s="4581"/>
      <c r="E110" s="4581"/>
      <c r="F110" s="4581"/>
      <c r="G110" s="4581"/>
      <c r="H110" s="4581"/>
    </row>
    <row r="111" spans="3:8" x14ac:dyDescent="0.2">
      <c r="C111" s="4581"/>
      <c r="D111" s="4581"/>
      <c r="E111" s="4581"/>
      <c r="F111" s="4581"/>
      <c r="G111" s="4581"/>
      <c r="H111" s="4581"/>
    </row>
    <row r="112" spans="3:8" x14ac:dyDescent="0.2">
      <c r="C112" s="4581"/>
      <c r="D112" s="4581"/>
      <c r="E112" s="4581"/>
      <c r="F112" s="4581"/>
      <c r="G112" s="4581"/>
      <c r="H112" s="4581"/>
    </row>
    <row r="113" spans="3:8" x14ac:dyDescent="0.2">
      <c r="C113" s="4581"/>
      <c r="D113" s="4581"/>
      <c r="E113" s="4581"/>
      <c r="F113" s="4581"/>
      <c r="G113" s="4581"/>
      <c r="H113" s="4581"/>
    </row>
    <row r="114" spans="3:8" x14ac:dyDescent="0.2">
      <c r="C114" s="4581"/>
      <c r="D114" s="4581"/>
      <c r="E114" s="4581"/>
      <c r="F114" s="4581"/>
      <c r="G114" s="4581"/>
      <c r="H114" s="4581"/>
    </row>
    <row r="115" spans="3:8" x14ac:dyDescent="0.2">
      <c r="C115" s="4581"/>
      <c r="D115" s="4581"/>
      <c r="E115" s="4581"/>
      <c r="F115" s="4581"/>
      <c r="G115" s="4581"/>
      <c r="H115" s="4581"/>
    </row>
    <row r="116" spans="3:8" x14ac:dyDescent="0.2">
      <c r="C116" s="4581"/>
      <c r="D116" s="4581"/>
      <c r="E116" s="4581"/>
      <c r="F116" s="4581"/>
      <c r="G116" s="4581"/>
      <c r="H116" s="4581"/>
    </row>
    <row r="117" spans="3:8" x14ac:dyDescent="0.2">
      <c r="C117" s="4581"/>
      <c r="D117" s="4581"/>
      <c r="E117" s="4581"/>
      <c r="F117" s="4581"/>
      <c r="G117" s="4581"/>
      <c r="H117" s="4581"/>
    </row>
    <row r="118" spans="3:8" x14ac:dyDescent="0.2">
      <c r="C118" s="4581"/>
      <c r="D118" s="4581"/>
      <c r="E118" s="4581"/>
      <c r="F118" s="4581"/>
      <c r="G118" s="4581"/>
      <c r="H118" s="4581"/>
    </row>
    <row r="119" spans="3:8" x14ac:dyDescent="0.2">
      <c r="C119" s="4581"/>
      <c r="D119" s="4581"/>
      <c r="E119" s="4581"/>
      <c r="F119" s="4581"/>
      <c r="G119" s="4581"/>
      <c r="H119" s="4581"/>
    </row>
    <row r="120" spans="3:8" x14ac:dyDescent="0.2">
      <c r="C120" s="4581"/>
      <c r="D120" s="4581"/>
      <c r="E120" s="4581"/>
      <c r="F120" s="4581"/>
      <c r="G120" s="4581"/>
      <c r="H120" s="4581"/>
    </row>
    <row r="121" spans="3:8" x14ac:dyDescent="0.2">
      <c r="C121" s="4581"/>
      <c r="D121" s="4581"/>
      <c r="E121" s="4581"/>
      <c r="F121" s="4581"/>
      <c r="G121" s="4581"/>
      <c r="H121" s="4581"/>
    </row>
    <row r="122" spans="3:8" x14ac:dyDescent="0.2">
      <c r="C122" s="4581"/>
      <c r="D122" s="4581"/>
      <c r="E122" s="4581"/>
      <c r="F122" s="4581"/>
      <c r="G122" s="4581"/>
      <c r="H122" s="4581"/>
    </row>
    <row r="123" spans="3:8" x14ac:dyDescent="0.2">
      <c r="C123" s="4581"/>
      <c r="D123" s="4581"/>
      <c r="E123" s="4581"/>
      <c r="F123" s="4581"/>
      <c r="G123" s="4581"/>
      <c r="H123" s="4581"/>
    </row>
    <row r="124" spans="3:8" x14ac:dyDescent="0.2">
      <c r="C124" s="4581"/>
      <c r="D124" s="4581"/>
      <c r="E124" s="4581"/>
      <c r="F124" s="4581"/>
      <c r="G124" s="4581"/>
      <c r="H124" s="4581"/>
    </row>
    <row r="125" spans="3:8" x14ac:dyDescent="0.2">
      <c r="C125" s="4581"/>
      <c r="D125" s="4581"/>
      <c r="E125" s="4581"/>
      <c r="F125" s="4581"/>
      <c r="G125" s="4581"/>
      <c r="H125" s="4581"/>
    </row>
    <row r="126" spans="3:8" x14ac:dyDescent="0.2">
      <c r="C126" s="4581"/>
      <c r="D126" s="4581"/>
      <c r="E126" s="4581"/>
      <c r="F126" s="4581"/>
      <c r="G126" s="4581"/>
      <c r="H126" s="4581"/>
    </row>
    <row r="127" spans="3:8" x14ac:dyDescent="0.2">
      <c r="C127" s="4581"/>
      <c r="D127" s="4581"/>
      <c r="E127" s="4581"/>
      <c r="F127" s="4581"/>
      <c r="G127" s="4581"/>
      <c r="H127" s="4581"/>
    </row>
    <row r="128" spans="3:8" x14ac:dyDescent="0.2">
      <c r="C128" s="4581"/>
      <c r="D128" s="4581"/>
      <c r="E128" s="4581"/>
      <c r="F128" s="4581"/>
      <c r="G128" s="4581"/>
      <c r="H128" s="4581"/>
    </row>
    <row r="129" spans="3:8" x14ac:dyDescent="0.2">
      <c r="C129" s="4581"/>
      <c r="D129" s="4581"/>
      <c r="E129" s="4581"/>
      <c r="F129" s="4581"/>
      <c r="G129" s="4581"/>
      <c r="H129" s="4581"/>
    </row>
    <row r="130" spans="3:8" x14ac:dyDescent="0.2">
      <c r="C130" s="4581"/>
      <c r="D130" s="4581"/>
      <c r="E130" s="4581"/>
      <c r="F130" s="4581"/>
      <c r="G130" s="4581"/>
      <c r="H130" s="4581"/>
    </row>
    <row r="131" spans="3:8" x14ac:dyDescent="0.2">
      <c r="C131" s="4581"/>
      <c r="D131" s="4581"/>
      <c r="E131" s="4581"/>
      <c r="F131" s="4581"/>
      <c r="G131" s="4581"/>
      <c r="H131" s="4581"/>
    </row>
    <row r="132" spans="3:8" x14ac:dyDescent="0.2">
      <c r="C132" s="4581"/>
      <c r="D132" s="4581"/>
      <c r="E132" s="4581"/>
      <c r="F132" s="4581"/>
      <c r="G132" s="4581"/>
      <c r="H132" s="4581"/>
    </row>
    <row r="133" spans="3:8" x14ac:dyDescent="0.2">
      <c r="C133" s="4581"/>
      <c r="D133" s="4581"/>
      <c r="E133" s="4581"/>
      <c r="F133" s="4581"/>
      <c r="G133" s="4581"/>
      <c r="H133" s="4581"/>
    </row>
    <row r="134" spans="3:8" x14ac:dyDescent="0.2">
      <c r="C134" s="4581"/>
      <c r="D134" s="4581"/>
      <c r="E134" s="4581"/>
      <c r="F134" s="4581"/>
      <c r="G134" s="4581"/>
      <c r="H134" s="4581"/>
    </row>
    <row r="135" spans="3:8" x14ac:dyDescent="0.2">
      <c r="C135" s="4581"/>
      <c r="D135" s="4581"/>
      <c r="E135" s="4581"/>
      <c r="F135" s="4581"/>
      <c r="G135" s="4581"/>
      <c r="H135" s="4581"/>
    </row>
    <row r="136" spans="3:8" x14ac:dyDescent="0.2">
      <c r="C136" s="4581"/>
      <c r="D136" s="4581"/>
      <c r="E136" s="4581"/>
      <c r="F136" s="4581"/>
      <c r="G136" s="4581"/>
      <c r="H136" s="4581"/>
    </row>
    <row r="137" spans="3:8" x14ac:dyDescent="0.2">
      <c r="C137" s="4581"/>
      <c r="D137" s="4581"/>
      <c r="E137" s="4581"/>
      <c r="F137" s="4581"/>
      <c r="G137" s="4581"/>
      <c r="H137" s="4581"/>
    </row>
    <row r="138" spans="3:8" x14ac:dyDescent="0.2">
      <c r="C138" s="4581"/>
      <c r="D138" s="4581"/>
      <c r="E138" s="4581"/>
      <c r="F138" s="4581"/>
      <c r="G138" s="4581"/>
      <c r="H138" s="4581"/>
    </row>
    <row r="139" spans="3:8" x14ac:dyDescent="0.2">
      <c r="C139" s="4581"/>
      <c r="D139" s="4581"/>
      <c r="E139" s="4581"/>
      <c r="F139" s="4581"/>
      <c r="G139" s="4581"/>
      <c r="H139" s="4581"/>
    </row>
    <row r="140" spans="3:8" x14ac:dyDescent="0.2">
      <c r="C140" s="4581"/>
      <c r="D140" s="4581"/>
      <c r="E140" s="4581"/>
      <c r="F140" s="4581"/>
      <c r="G140" s="4581"/>
      <c r="H140" s="4581"/>
    </row>
    <row r="141" spans="3:8" x14ac:dyDescent="0.2">
      <c r="C141" s="4581"/>
      <c r="D141" s="4581"/>
      <c r="E141" s="4581"/>
      <c r="F141" s="4581"/>
      <c r="G141" s="4581"/>
      <c r="H141" s="4581"/>
    </row>
    <row r="142" spans="3:8" x14ac:dyDescent="0.2">
      <c r="C142" s="4581"/>
      <c r="D142" s="4581"/>
      <c r="E142" s="4581"/>
      <c r="F142" s="4581"/>
      <c r="G142" s="4581"/>
      <c r="H142" s="4581"/>
    </row>
    <row r="143" spans="3:8" x14ac:dyDescent="0.2">
      <c r="C143" s="4581"/>
      <c r="D143" s="4581"/>
      <c r="E143" s="4581"/>
      <c r="F143" s="4581"/>
      <c r="G143" s="4581"/>
      <c r="H143" s="4581"/>
    </row>
    <row r="144" spans="3:8" x14ac:dyDescent="0.2">
      <c r="C144" s="4581"/>
      <c r="D144" s="4581"/>
      <c r="E144" s="4581"/>
      <c r="F144" s="4581"/>
      <c r="G144" s="4581"/>
      <c r="H144" s="4581"/>
    </row>
    <row r="145" spans="3:8" x14ac:dyDescent="0.2">
      <c r="C145" s="4581"/>
      <c r="D145" s="4581"/>
      <c r="E145" s="4581"/>
      <c r="F145" s="4581"/>
      <c r="G145" s="4581"/>
      <c r="H145" s="4581"/>
    </row>
    <row r="146" spans="3:8" x14ac:dyDescent="0.2">
      <c r="C146" s="4581"/>
      <c r="D146" s="4581"/>
      <c r="E146" s="4581"/>
      <c r="F146" s="4581"/>
      <c r="G146" s="4581"/>
      <c r="H146" s="4581"/>
    </row>
    <row r="147" spans="3:8" x14ac:dyDescent="0.2">
      <c r="C147" s="4581"/>
      <c r="D147" s="4581"/>
      <c r="E147" s="4581"/>
      <c r="F147" s="4581"/>
      <c r="G147" s="4581"/>
      <c r="H147" s="4581"/>
    </row>
    <row r="148" spans="3:8" x14ac:dyDescent="0.2">
      <c r="C148" s="4581"/>
      <c r="D148" s="4581"/>
      <c r="E148" s="4581"/>
      <c r="F148" s="4581"/>
      <c r="G148" s="4581"/>
      <c r="H148" s="4581"/>
    </row>
    <row r="149" spans="3:8" x14ac:dyDescent="0.2">
      <c r="C149" s="4581"/>
      <c r="D149" s="4581"/>
      <c r="E149" s="4581"/>
      <c r="F149" s="4581"/>
      <c r="G149" s="4581"/>
      <c r="H149" s="4581"/>
    </row>
    <row r="150" spans="3:8" x14ac:dyDescent="0.2">
      <c r="C150" s="4581"/>
      <c r="D150" s="4581"/>
      <c r="E150" s="4581"/>
      <c r="F150" s="4581"/>
      <c r="G150" s="4581"/>
      <c r="H150" s="4581"/>
    </row>
    <row r="151" spans="3:8" x14ac:dyDescent="0.2">
      <c r="C151" s="4581"/>
      <c r="D151" s="4581"/>
      <c r="E151" s="4581"/>
      <c r="F151" s="4581"/>
      <c r="G151" s="4581"/>
      <c r="H151" s="4581"/>
    </row>
    <row r="152" spans="3:8" x14ac:dyDescent="0.2">
      <c r="C152" s="4581"/>
      <c r="D152" s="4581"/>
      <c r="E152" s="4581"/>
      <c r="F152" s="4581"/>
      <c r="G152" s="4581"/>
      <c r="H152" s="4581"/>
    </row>
    <row r="153" spans="3:8" x14ac:dyDescent="0.2">
      <c r="C153" s="4581"/>
      <c r="D153" s="4581"/>
      <c r="E153" s="4581"/>
      <c r="F153" s="4581"/>
      <c r="G153" s="4581"/>
      <c r="H153" s="4581"/>
    </row>
    <row r="154" spans="3:8" x14ac:dyDescent="0.2">
      <c r="C154" s="4581"/>
      <c r="D154" s="4581"/>
      <c r="E154" s="4581"/>
      <c r="F154" s="4581"/>
      <c r="G154" s="4581"/>
      <c r="H154" s="4581"/>
    </row>
    <row r="155" spans="3:8" x14ac:dyDescent="0.2">
      <c r="C155" s="4581"/>
      <c r="D155" s="4581"/>
      <c r="E155" s="4581"/>
      <c r="F155" s="4581"/>
      <c r="G155" s="4581"/>
      <c r="H155" s="4581"/>
    </row>
    <row r="156" spans="3:8" x14ac:dyDescent="0.2">
      <c r="C156" s="4581"/>
      <c r="D156" s="4581"/>
      <c r="E156" s="4581"/>
      <c r="F156" s="4581"/>
      <c r="G156" s="4581"/>
      <c r="H156" s="4581"/>
    </row>
    <row r="157" spans="3:8" x14ac:dyDescent="0.2">
      <c r="C157" s="4581"/>
      <c r="D157" s="4581"/>
      <c r="E157" s="4581"/>
      <c r="F157" s="4581"/>
      <c r="G157" s="4581"/>
      <c r="H157" s="4581"/>
    </row>
    <row r="158" spans="3:8" x14ac:dyDescent="0.2">
      <c r="C158" s="4581"/>
      <c r="D158" s="4581"/>
      <c r="E158" s="4581"/>
      <c r="F158" s="4581"/>
      <c r="G158" s="4581"/>
      <c r="H158" s="4581"/>
    </row>
    <row r="159" spans="3:8" x14ac:dyDescent="0.2">
      <c r="C159" s="4581"/>
      <c r="D159" s="4581"/>
      <c r="E159" s="4581"/>
      <c r="F159" s="4581"/>
      <c r="G159" s="4581"/>
      <c r="H159" s="4581"/>
    </row>
    <row r="160" spans="3:8" x14ac:dyDescent="0.2">
      <c r="C160" s="4581"/>
      <c r="D160" s="4581"/>
      <c r="E160" s="4581"/>
      <c r="F160" s="4581"/>
      <c r="G160" s="4581"/>
      <c r="H160" s="4581"/>
    </row>
    <row r="161" spans="3:8" x14ac:dyDescent="0.2">
      <c r="C161" s="4581"/>
      <c r="D161" s="4581"/>
      <c r="E161" s="4581"/>
      <c r="F161" s="4581"/>
      <c r="G161" s="4581"/>
      <c r="H161" s="4581"/>
    </row>
    <row r="162" spans="3:8" x14ac:dyDescent="0.2">
      <c r="C162" s="4581"/>
      <c r="D162" s="4581"/>
      <c r="E162" s="4581"/>
      <c r="F162" s="4581"/>
      <c r="G162" s="4581"/>
      <c r="H162" s="4581"/>
    </row>
    <row r="163" spans="3:8" x14ac:dyDescent="0.2">
      <c r="C163" s="4581"/>
      <c r="D163" s="4581"/>
      <c r="E163" s="4581"/>
      <c r="F163" s="4581"/>
      <c r="G163" s="4581"/>
      <c r="H163" s="4581"/>
    </row>
    <row r="164" spans="3:8" x14ac:dyDescent="0.2">
      <c r="C164" s="4581"/>
      <c r="D164" s="4581"/>
      <c r="E164" s="4581"/>
      <c r="F164" s="4581"/>
      <c r="G164" s="4581"/>
      <c r="H164" s="4581"/>
    </row>
    <row r="165" spans="3:8" x14ac:dyDescent="0.2">
      <c r="C165" s="4581"/>
      <c r="D165" s="4581"/>
      <c r="E165" s="4581"/>
      <c r="F165" s="4581"/>
      <c r="G165" s="4581"/>
      <c r="H165" s="4581"/>
    </row>
    <row r="166" spans="3:8" x14ac:dyDescent="0.2">
      <c r="C166" s="4581"/>
      <c r="D166" s="4581"/>
      <c r="E166" s="4581"/>
      <c r="F166" s="4581"/>
      <c r="G166" s="4581"/>
      <c r="H166" s="4581"/>
    </row>
    <row r="167" spans="3:8" x14ac:dyDescent="0.2">
      <c r="C167" s="4581"/>
      <c r="D167" s="4581"/>
      <c r="E167" s="4581"/>
      <c r="F167" s="4581"/>
      <c r="G167" s="4581"/>
      <c r="H167" s="4581"/>
    </row>
  </sheetData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A151"/>
  <sheetViews>
    <sheetView showGridLines="0" workbookViewId="0"/>
  </sheetViews>
  <sheetFormatPr baseColWidth="10" defaultColWidth="11.44140625" defaultRowHeight="14.4" x14ac:dyDescent="0.3"/>
  <cols>
    <col min="1" max="1" width="14.6640625" customWidth="1"/>
    <col min="2" max="2" width="50.6640625" customWidth="1"/>
    <col min="3" max="3" width="26" customWidth="1"/>
    <col min="4" max="4" width="12.44140625" customWidth="1"/>
    <col min="5" max="5" width="12.109375" customWidth="1"/>
    <col min="6" max="6" width="14.44140625" bestFit="1" customWidth="1"/>
    <col min="7" max="7" width="12.33203125" customWidth="1"/>
    <col min="9" max="9" width="12.88671875" customWidth="1"/>
    <col min="10" max="10" width="14.33203125" customWidth="1"/>
    <col min="11" max="11" width="11.33203125" customWidth="1"/>
    <col min="24" max="24" width="12.33203125" customWidth="1"/>
    <col min="38" max="38" width="13.44140625" customWidth="1"/>
    <col min="40" max="40" width="12.44140625" customWidth="1"/>
    <col min="43" max="43" width="10.6640625" customWidth="1"/>
    <col min="48" max="48" width="9.44140625" customWidth="1"/>
    <col min="79" max="79" width="11.44140625" customWidth="1"/>
    <col min="80" max="97" width="11.44140625" hidden="1" customWidth="1"/>
    <col min="98" max="131" width="11.44140625" customWidth="1"/>
  </cols>
  <sheetData>
    <row r="1" spans="1:131" x14ac:dyDescent="0.3">
      <c r="B1" s="774" t="s">
        <v>3879</v>
      </c>
    </row>
    <row r="2" spans="1:131" x14ac:dyDescent="0.3">
      <c r="B2" s="774" t="str">
        <f>CONCATENATE("COMUNA: ",NOMBRE!B2," - ","( ",NOMBRE!C2,NOMBRE!D2,NOMBRE!E2,NOMBRE!F2,NOMBRE!G2," )")</f>
        <v>COMUNA:  - (  )</v>
      </c>
    </row>
    <row r="3" spans="1:131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31" x14ac:dyDescent="0.3">
      <c r="B4" s="774" t="str">
        <f>CONCATENATE("MES: ",NOMBRE!B6," - ","( ",NOMBRE!C6,NOMBRE!D6," )")</f>
        <v>MES:  - (  )</v>
      </c>
    </row>
    <row r="5" spans="1:131" x14ac:dyDescent="0.3">
      <c r="B5" s="774" t="str">
        <f>CONCATENATE("AÑO: ",NOMBRE!B7)</f>
        <v>AÑO: 2024</v>
      </c>
    </row>
    <row r="6" spans="1:131" s="103" customFormat="1" ht="18" customHeight="1" x14ac:dyDescent="0.25">
      <c r="B6" s="6396" t="s">
        <v>2375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3009"/>
      <c r="S6" s="3009"/>
      <c r="T6" s="3009"/>
      <c r="U6" s="3009"/>
      <c r="V6" s="3009"/>
      <c r="W6" s="3009"/>
      <c r="X6" s="3009"/>
      <c r="Y6" s="3009"/>
      <c r="Z6" s="3009"/>
      <c r="AA6" s="3009"/>
      <c r="AB6" s="3009"/>
      <c r="AC6" s="3009"/>
      <c r="AD6" s="3009"/>
      <c r="AE6" s="3009"/>
      <c r="AF6" s="3009"/>
      <c r="AG6" s="3009"/>
      <c r="AH6" s="3009"/>
      <c r="AI6" s="3009"/>
      <c r="AJ6" s="3009"/>
      <c r="AK6" s="3009"/>
      <c r="AL6" s="3009"/>
      <c r="AM6" s="1845"/>
      <c r="AN6" s="1845"/>
      <c r="AO6" s="1845"/>
      <c r="AP6" s="1845"/>
      <c r="AQ6" s="1845"/>
      <c r="AR6" s="1845"/>
      <c r="AS6" s="1845"/>
      <c r="AT6" s="1845"/>
      <c r="BB6" s="775"/>
      <c r="BC6" s="775"/>
      <c r="BD6" s="775"/>
      <c r="BE6" s="775"/>
      <c r="BF6" s="775"/>
      <c r="BG6" s="775"/>
      <c r="BH6" s="775"/>
      <c r="BI6" s="775"/>
      <c r="BJ6" s="775"/>
      <c r="BK6" s="775"/>
      <c r="BL6" s="775"/>
      <c r="BM6" s="775"/>
      <c r="BN6" s="775"/>
      <c r="BO6" s="775"/>
      <c r="BP6" s="775"/>
      <c r="BQ6" s="775"/>
      <c r="BR6" s="775"/>
      <c r="BS6" s="775"/>
      <c r="BT6" s="775"/>
      <c r="BU6" s="775"/>
      <c r="BV6" s="775"/>
      <c r="BW6" s="775"/>
      <c r="BX6" s="775"/>
      <c r="BY6" s="775"/>
      <c r="BZ6" s="775"/>
      <c r="CA6" s="775"/>
      <c r="CB6" s="2572"/>
      <c r="CC6" s="2572"/>
      <c r="CD6" s="2572"/>
      <c r="CE6" s="2572"/>
      <c r="CF6" s="2572"/>
      <c r="CG6" s="2572"/>
      <c r="CH6" s="2572"/>
      <c r="CI6" s="2572"/>
      <c r="CJ6" s="2572"/>
      <c r="CK6" s="2572"/>
      <c r="CL6" s="2572"/>
      <c r="CM6" s="2572"/>
      <c r="CN6" s="2572"/>
      <c r="CO6" s="2572"/>
      <c r="CP6" s="2572"/>
      <c r="CQ6" s="2572"/>
      <c r="CR6" s="2572"/>
      <c r="CS6" s="2572"/>
      <c r="CT6" s="2572"/>
      <c r="CU6" s="2572"/>
      <c r="CV6" s="2572"/>
      <c r="CW6" s="2572"/>
      <c r="CX6" s="2572"/>
      <c r="CY6" s="2572"/>
      <c r="CZ6" s="2572"/>
      <c r="DA6" s="2572"/>
      <c r="DB6" s="2572"/>
      <c r="DC6" s="2572"/>
      <c r="DD6" s="2572"/>
      <c r="DE6" s="2572"/>
      <c r="DF6" s="2572"/>
      <c r="DG6" s="2572"/>
      <c r="DH6" s="2572"/>
      <c r="DI6" s="2572"/>
      <c r="DJ6" s="2572"/>
      <c r="DK6" s="2572"/>
      <c r="DL6" s="2572"/>
      <c r="DM6" s="2572"/>
      <c r="DN6" s="2572"/>
      <c r="DO6" s="2572"/>
      <c r="DP6" s="2572"/>
      <c r="DQ6" s="2572"/>
      <c r="DR6" s="2572"/>
      <c r="DS6" s="2572"/>
      <c r="DT6" s="2572"/>
      <c r="DU6" s="2572"/>
      <c r="DV6" s="2572"/>
      <c r="DW6" s="2572"/>
      <c r="DX6" s="2572"/>
      <c r="DY6" s="2572"/>
      <c r="DZ6" s="2572"/>
      <c r="EA6" s="2572"/>
    </row>
    <row r="8" spans="1:131" ht="18" customHeight="1" x14ac:dyDescent="0.3">
      <c r="B8" s="123" t="s">
        <v>2376</v>
      </c>
      <c r="C8" s="419"/>
      <c r="D8" s="419"/>
      <c r="E8" s="3010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19"/>
      <c r="W8" s="3011"/>
      <c r="X8" s="3011"/>
      <c r="Y8" s="3011"/>
      <c r="Z8" s="102"/>
      <c r="AA8" s="103"/>
      <c r="AB8" s="103"/>
      <c r="AC8" s="103"/>
      <c r="AD8" s="103"/>
    </row>
    <row r="9" spans="1:131" ht="21.6" customHeight="1" x14ac:dyDescent="0.3">
      <c r="B9" s="6384" t="s">
        <v>1399</v>
      </c>
      <c r="C9" s="6384" t="s">
        <v>61</v>
      </c>
      <c r="D9" s="6393" t="s">
        <v>1</v>
      </c>
      <c r="E9" s="6388" t="s">
        <v>12</v>
      </c>
      <c r="F9" s="6389"/>
      <c r="G9" s="6389"/>
      <c r="H9" s="6389"/>
      <c r="I9" s="6389"/>
      <c r="J9" s="6389"/>
      <c r="K9" s="6389"/>
      <c r="L9" s="6389"/>
      <c r="M9" s="6389"/>
      <c r="N9" s="6389"/>
      <c r="O9" s="6389"/>
      <c r="P9" s="6389"/>
      <c r="Q9" s="6389"/>
      <c r="R9" s="6389"/>
      <c r="S9" s="6389"/>
      <c r="T9" s="6389"/>
      <c r="U9" s="6397"/>
      <c r="V9" s="6388" t="s">
        <v>2377</v>
      </c>
      <c r="W9" s="6390"/>
      <c r="X9" s="6395" t="s">
        <v>2378</v>
      </c>
      <c r="Y9" s="6393" t="s">
        <v>2379</v>
      </c>
      <c r="Z9" s="6395" t="s">
        <v>17</v>
      </c>
      <c r="AA9" s="6395" t="s">
        <v>49</v>
      </c>
      <c r="AB9" s="6395" t="s">
        <v>45</v>
      </c>
      <c r="AC9" s="6395" t="s">
        <v>2</v>
      </c>
      <c r="AD9" s="6393" t="s">
        <v>3</v>
      </c>
    </row>
    <row r="10" spans="1:131" ht="20.399999999999999" x14ac:dyDescent="0.3">
      <c r="B10" s="6339"/>
      <c r="C10" s="6339"/>
      <c r="D10" s="6362"/>
      <c r="E10" s="3012" t="s">
        <v>3887</v>
      </c>
      <c r="F10" s="3013" t="s">
        <v>1230</v>
      </c>
      <c r="G10" s="3013" t="s">
        <v>1316</v>
      </c>
      <c r="H10" s="2768" t="s">
        <v>4</v>
      </c>
      <c r="I10" s="2882" t="s">
        <v>5</v>
      </c>
      <c r="J10" s="2882" t="s">
        <v>6</v>
      </c>
      <c r="K10" s="2882" t="s">
        <v>7</v>
      </c>
      <c r="L10" s="2882" t="s">
        <v>8</v>
      </c>
      <c r="M10" s="2882" t="s">
        <v>9</v>
      </c>
      <c r="N10" s="2882" t="s">
        <v>10</v>
      </c>
      <c r="O10" s="2882" t="s">
        <v>11</v>
      </c>
      <c r="P10" s="2882" t="s">
        <v>18</v>
      </c>
      <c r="Q10" s="2882" t="s">
        <v>19</v>
      </c>
      <c r="R10" s="2882" t="s">
        <v>20</v>
      </c>
      <c r="S10" s="2882" t="s">
        <v>70</v>
      </c>
      <c r="T10" s="2882" t="s">
        <v>71</v>
      </c>
      <c r="U10" s="3071" t="s">
        <v>32</v>
      </c>
      <c r="V10" s="3014" t="s">
        <v>22</v>
      </c>
      <c r="W10" s="3015" t="s">
        <v>27</v>
      </c>
      <c r="X10" s="6325"/>
      <c r="Y10" s="6362"/>
      <c r="Z10" s="6325"/>
      <c r="AA10" s="6325"/>
      <c r="AB10" s="6325"/>
      <c r="AC10" s="6325"/>
      <c r="AD10" s="6362"/>
    </row>
    <row r="11" spans="1:131" ht="15" customHeight="1" x14ac:dyDescent="0.3">
      <c r="A11" s="6233" t="s">
        <v>3945</v>
      </c>
      <c r="B11" s="6379" t="s">
        <v>2380</v>
      </c>
      <c r="C11" s="2786" t="s">
        <v>74</v>
      </c>
      <c r="D11" s="2911" t="s">
        <v>5292</v>
      </c>
      <c r="E11" s="2414" t="s">
        <v>5293</v>
      </c>
      <c r="F11" s="2819" t="s">
        <v>5294</v>
      </c>
      <c r="G11" s="1069" t="s">
        <v>5295</v>
      </c>
      <c r="H11" s="1069" t="s">
        <v>5296</v>
      </c>
      <c r="I11" s="1069" t="s">
        <v>5297</v>
      </c>
      <c r="J11" s="1069" t="s">
        <v>5298</v>
      </c>
      <c r="K11" s="1069" t="s">
        <v>5299</v>
      </c>
      <c r="L11" s="1069" t="s">
        <v>5300</v>
      </c>
      <c r="M11" s="1069" t="s">
        <v>5301</v>
      </c>
      <c r="N11" s="1069" t="s">
        <v>5302</v>
      </c>
      <c r="O11" s="1069" t="s">
        <v>5303</v>
      </c>
      <c r="P11" s="1069" t="s">
        <v>5304</v>
      </c>
      <c r="Q11" s="2820" t="s">
        <v>5305</v>
      </c>
      <c r="R11" s="2820" t="s">
        <v>5306</v>
      </c>
      <c r="S11" s="2820" t="s">
        <v>5307</v>
      </c>
      <c r="T11" s="2820" t="s">
        <v>5308</v>
      </c>
      <c r="U11" s="3016" t="s">
        <v>5309</v>
      </c>
      <c r="V11" s="2408" t="s">
        <v>5310</v>
      </c>
      <c r="W11" s="2899" t="s">
        <v>5311</v>
      </c>
      <c r="X11" s="2818" t="s">
        <v>5312</v>
      </c>
      <c r="Y11" s="3017" t="s">
        <v>5313</v>
      </c>
      <c r="Z11" s="105" t="s">
        <v>5314</v>
      </c>
      <c r="AA11" s="105" t="s">
        <v>5315</v>
      </c>
      <c r="AB11" s="105" t="s">
        <v>5316</v>
      </c>
      <c r="AC11" s="105" t="s">
        <v>5317</v>
      </c>
      <c r="AD11" s="148" t="s">
        <v>5318</v>
      </c>
      <c r="AE11" s="1687" t="e">
        <f>$CB11&amp;CC11&amp;CD11&amp;CE11&amp;CF11&amp;CG11&amp;CH11&amp;CI11&amp;CJ11</f>
        <v>#VALUE!</v>
      </c>
      <c r="CB11" s="2784" t="e">
        <f>IF((V11+W11)&lt;&gt;D11," * La variable Sexo no puede ser distinto al Total","")</f>
        <v>#VALUE!</v>
      </c>
      <c r="CC11" s="3018"/>
      <c r="CD11" s="3018"/>
      <c r="CE11" s="2784" t="str">
        <f>IF(AND($D11&lt;&gt;0,Z11=""),"* No olvide ingresar la columna "&amp;Z$9&amp;""&amp;" (Digite CERO si no tiene).  ",IF(Z11&gt;$D11,"* El Número de Espacios Amigables/ Adolescentes no puede superar el Total. ",""))</f>
        <v xml:space="preserve">* El Número de Espacios Amigables/ Adolescentes no puede superar el Total. </v>
      </c>
      <c r="CF11" s="2784" t="str">
        <f>IF(AND($D11&lt;&gt;0,AA11=""),"* No olvide ingresar la columna "&amp;AA$9&amp;""&amp;" (Digite CERO si no tiene).  ",IF(AA11&gt;$D11,"* El Número de Niños, Niñas, Adolescentes y Jóvenes SENAME no puede superar el Total. ",""))</f>
        <v xml:space="preserve">* El Número de Niños, Niñas, Adolescentes y Jóvenes SENAME no puede superar el Total. </v>
      </c>
      <c r="CG11" s="2784" t="str">
        <f>IF(AND($D11&lt;&gt;0,AB11=""),"* No olvide ingresar la columna "&amp;AB$9&amp;""&amp;" (Digite CERO si no tiene).  ",IF(AB11&gt;$D11,"* El Número de Niños, Niñas, Adolescentes y Jóvenes Mejor Niñez no puede superar el Total. ",""))</f>
        <v xml:space="preserve">* El Número de Niños, Niñas, Adolescentes y Jóvenes Mejor Niñez no puede superar el Total. </v>
      </c>
      <c r="CH11" s="2784" t="str">
        <f>IF(AND($D11&lt;&gt;0,AC11=""),"* No olvide ingresar la columna "&amp;AC$9&amp;""&amp;" (Digite CERO si no tiene).  ",IF(AC11&gt;$D11,"* El Número de Pueblos Originarios no puede superar el Total. ",""))</f>
        <v xml:space="preserve">* El Número de Pueblos Originarios no puede superar el Total. </v>
      </c>
      <c r="CI11" s="2784" t="str">
        <f>IF(AND($D11&lt;&gt;0,AD11=""),"* No olvide ingresar la columna "&amp;AD$9&amp;""&amp;" (Digite CERO si no tiene).  ",IF(AD11&gt;$D11,"* El Número de Migrantes no puede superar el Total. ",""))</f>
        <v xml:space="preserve">* El Número de Migrantes no puede superar el Total. </v>
      </c>
      <c r="CJ11" s="2630"/>
      <c r="CL11" s="1725" t="e">
        <f>IF((V11+W11)&lt;&gt;D11,1,0)</f>
        <v>#VALUE!</v>
      </c>
      <c r="CM11" s="2783"/>
      <c r="CN11" s="2783"/>
      <c r="CO11" s="1725">
        <f>IF(AND(D11&lt;&gt;0,Z11=""),1,IF(Z11&gt;D11,1,0))</f>
        <v>1</v>
      </c>
      <c r="CP11" s="1725">
        <f>IF(AND($D11&lt;&gt;0,AA11=""),1,IF(AA11&gt;D11,1,0))</f>
        <v>1</v>
      </c>
      <c r="CQ11" s="1725">
        <f>IF(AND($D11&lt;&gt;0,AB11=""),1,IF(AB11&gt;D11,1,0))</f>
        <v>1</v>
      </c>
      <c r="CR11" s="1725">
        <f>IF(AND($D11&lt;&gt;0,AC11=""),1,IF(AC11&gt;D11,1,0))</f>
        <v>1</v>
      </c>
      <c r="CS11" s="1725">
        <f>IF(AND($D11&lt;&gt;0,AD11=""),1,IF(AD11&gt;D11,1,0))</f>
        <v>1</v>
      </c>
    </row>
    <row r="12" spans="1:131" ht="15" customHeight="1" x14ac:dyDescent="0.3">
      <c r="A12" s="6234" t="s">
        <v>3946</v>
      </c>
      <c r="B12" s="6394"/>
      <c r="C12" s="150" t="s">
        <v>77</v>
      </c>
      <c r="D12" s="2914" t="s">
        <v>5292</v>
      </c>
      <c r="E12" s="3019" t="s">
        <v>5293</v>
      </c>
      <c r="F12" s="197" t="s">
        <v>5294</v>
      </c>
      <c r="G12" s="3020" t="s">
        <v>5295</v>
      </c>
      <c r="H12" s="3020" t="s">
        <v>5296</v>
      </c>
      <c r="I12" s="3020" t="s">
        <v>5297</v>
      </c>
      <c r="J12" s="3020" t="s">
        <v>5298</v>
      </c>
      <c r="K12" s="3020" t="s">
        <v>5299</v>
      </c>
      <c r="L12" s="3020" t="s">
        <v>5300</v>
      </c>
      <c r="M12" s="3020" t="s">
        <v>5301</v>
      </c>
      <c r="N12" s="3020" t="s">
        <v>5302</v>
      </c>
      <c r="O12" s="3020" t="s">
        <v>5303</v>
      </c>
      <c r="P12" s="3020" t="s">
        <v>5304</v>
      </c>
      <c r="Q12" s="3021" t="s">
        <v>5305</v>
      </c>
      <c r="R12" s="3021" t="s">
        <v>5306</v>
      </c>
      <c r="S12" s="3021" t="s">
        <v>5307</v>
      </c>
      <c r="T12" s="3021" t="s">
        <v>5308</v>
      </c>
      <c r="U12" s="3022" t="s">
        <v>5309</v>
      </c>
      <c r="V12" s="3023" t="s">
        <v>5310</v>
      </c>
      <c r="W12" s="770" t="s">
        <v>5311</v>
      </c>
      <c r="X12" s="152" t="s">
        <v>5312</v>
      </c>
      <c r="Y12" s="904" t="s">
        <v>5313</v>
      </c>
      <c r="Z12" s="117" t="s">
        <v>5314</v>
      </c>
      <c r="AA12" s="117" t="s">
        <v>5315</v>
      </c>
      <c r="AB12" s="117" t="s">
        <v>5316</v>
      </c>
      <c r="AC12" s="117" t="s">
        <v>5317</v>
      </c>
      <c r="AD12" s="153" t="s">
        <v>5318</v>
      </c>
      <c r="AE12" s="1687" t="e">
        <f t="shared" ref="AE12:AE32" si="0">$CB12&amp;CC12&amp;CD12&amp;CE12&amp;CF12&amp;CG12&amp;CH12&amp;CI12&amp;CJ12</f>
        <v>#VALUE!</v>
      </c>
      <c r="CB12" s="2784" t="e">
        <f t="shared" ref="CB12:CB32" si="1">IF((V12+W12)&lt;&gt;D12," * La variable Sexo no puede ser distinto al Total","")</f>
        <v>#VALUE!</v>
      </c>
      <c r="CC12" s="3018"/>
      <c r="CD12" s="3018"/>
      <c r="CE12" s="2784" t="str">
        <f t="shared" ref="CE12" si="2">IF(AND($D12&lt;&gt;0,Z12=""),"* No olvide ingresar la columna "&amp;Z$9&amp;""&amp;" (Digite CERO si no tiene).  ",IF(Z12&gt;$D12,"* El Número de Espacios Amigables/ Adolescentes no puede superar el Total. ",""))</f>
        <v xml:space="preserve">* El Número de Espacios Amigables/ Adolescentes no puede superar el Total. </v>
      </c>
      <c r="CF12" s="2784" t="str">
        <f t="shared" ref="CF12:CF22" si="3">IF(AND($D12&lt;&gt;0,AA12=""),"* No olvide ingresar la columna "&amp;AA$9&amp;""&amp;" (Digite CERO si no tiene).  ",IF(AA12&gt;$D12,"* El Número de Niños, Niñas, Adolescentes y Jóvenes SENAME no puede superar el Total. ",""))</f>
        <v xml:space="preserve">* El Número de Niños, Niñas, Adolescentes y Jóvenes SENAME no puede superar el Total. </v>
      </c>
      <c r="CG12" s="2784" t="str">
        <f t="shared" ref="CG12:CG22" si="4">IF(AND($D12&lt;&gt;0,AB12=""),"* No olvide ingresar la columna "&amp;AB$9&amp;""&amp;" (Digite CERO si no tiene).  ",IF(AB12&gt;$D12,"* El Número de Niños, Niñas, Adolescentes y Jóvenes Mejor Niñez no puede superar el Total. ",""))</f>
        <v xml:space="preserve">* El Número de Niños, Niñas, Adolescentes y Jóvenes Mejor Niñez no puede superar el Total. </v>
      </c>
      <c r="CH12" s="2784" t="str">
        <f t="shared" ref="CH12:CH22" si="5">IF(AND($D12&lt;&gt;0,AC12=""),"* No olvide ingresar la columna "&amp;AC$9&amp;""&amp;" (Digite CERO si no tiene).  ",IF(AC12&gt;$D12,"* El Número de Pueblos Originarios no puede superar el Total. ",""))</f>
        <v xml:space="preserve">* El Número de Pueblos Originarios no puede superar el Total. </v>
      </c>
      <c r="CI12" s="2784" t="str">
        <f t="shared" ref="CI12:CI22" si="6">IF(AND($D12&lt;&gt;0,AD12=""),"* No olvide ingresar la columna "&amp;AD$9&amp;""&amp;" (Digite CERO si no tiene).  ",IF(AD12&gt;$D12,"* El Número de Migrantes no puede superar el Total. ",""))</f>
        <v xml:space="preserve">* El Número de Migrantes no puede superar el Total. </v>
      </c>
      <c r="CJ12" s="2630"/>
      <c r="CL12" s="1725" t="e">
        <f t="shared" ref="CL12:CL32" si="7">IF((V12+W12)&lt;&gt;D12,1,0)</f>
        <v>#VALUE!</v>
      </c>
      <c r="CM12" s="2783"/>
      <c r="CN12" s="2783"/>
      <c r="CO12" s="1725">
        <f>IF(AND(D12&lt;&gt;0,Z12=""),1,IF(Z12&gt;D12,1,0))</f>
        <v>1</v>
      </c>
      <c r="CP12" s="1725">
        <f t="shared" ref="CP12:CP28" si="8">IF(AND($D12&lt;&gt;0,AA12=""),1,IF(AA12&gt;D12,1,0))</f>
        <v>1</v>
      </c>
      <c r="CQ12" s="1725">
        <f t="shared" ref="CQ12:CQ28" si="9">IF(AND($D12&lt;&gt;0,AB12=""),1,IF(AB12&gt;D12,1,0))</f>
        <v>1</v>
      </c>
      <c r="CR12" s="1725">
        <f t="shared" ref="CR12:CR28" si="10">IF(AND($D12&lt;&gt;0,AC12=""),1,IF(AC12&gt;D12,1,0))</f>
        <v>1</v>
      </c>
      <c r="CS12" s="1725">
        <f t="shared" ref="CS12:CS28" si="11">IF(AND($D12&lt;&gt;0,AD12=""),1,IF(AD12&gt;D12,1,0))</f>
        <v>1</v>
      </c>
    </row>
    <row r="13" spans="1:131" ht="15" customHeight="1" x14ac:dyDescent="0.3">
      <c r="A13" s="6234" t="s">
        <v>3947</v>
      </c>
      <c r="B13" s="6379" t="s">
        <v>2381</v>
      </c>
      <c r="C13" s="2786" t="s">
        <v>74</v>
      </c>
      <c r="D13" s="1691" t="s">
        <v>5292</v>
      </c>
      <c r="E13" s="1954" t="s">
        <v>5293</v>
      </c>
      <c r="F13" s="1924" t="s">
        <v>5294</v>
      </c>
      <c r="G13" s="1069" t="s">
        <v>5295</v>
      </c>
      <c r="H13" s="1069" t="s">
        <v>5296</v>
      </c>
      <c r="I13" s="1069" t="s">
        <v>5297</v>
      </c>
      <c r="J13" s="1069" t="s">
        <v>5298</v>
      </c>
      <c r="K13" s="1069" t="s">
        <v>5299</v>
      </c>
      <c r="L13" s="1069" t="s">
        <v>5300</v>
      </c>
      <c r="M13" s="1069" t="s">
        <v>5301</v>
      </c>
      <c r="N13" s="1069" t="s">
        <v>5302</v>
      </c>
      <c r="O13" s="320" t="s">
        <v>5303</v>
      </c>
      <c r="P13" s="320" t="s">
        <v>5304</v>
      </c>
      <c r="Q13" s="2820" t="s">
        <v>5305</v>
      </c>
      <c r="R13" s="2820" t="s">
        <v>5306</v>
      </c>
      <c r="S13" s="2820" t="s">
        <v>5307</v>
      </c>
      <c r="T13" s="2820" t="s">
        <v>5308</v>
      </c>
      <c r="U13" s="3024" t="s">
        <v>5309</v>
      </c>
      <c r="V13" s="1954" t="s">
        <v>5310</v>
      </c>
      <c r="W13" s="767" t="s">
        <v>5311</v>
      </c>
      <c r="X13" s="105" t="s">
        <v>5312</v>
      </c>
      <c r="Y13" s="3025" t="s">
        <v>5313</v>
      </c>
      <c r="Z13" s="875" t="s">
        <v>5314</v>
      </c>
      <c r="AA13" s="870" t="s">
        <v>5315</v>
      </c>
      <c r="AB13" s="870" t="s">
        <v>5316</v>
      </c>
      <c r="AC13" s="870" t="s">
        <v>5317</v>
      </c>
      <c r="AD13" s="3026" t="s">
        <v>5318</v>
      </c>
      <c r="AE13" s="1687" t="e">
        <f t="shared" si="0"/>
        <v>#VALUE!</v>
      </c>
      <c r="CB13" s="2784" t="e">
        <f t="shared" si="1"/>
        <v>#VALUE!</v>
      </c>
      <c r="CC13" s="2784" t="str">
        <f>IF(AND($D13&lt;&gt;0,X13=""),"* No olvide ingresar la columna "&amp;X$9&amp;""&amp;" (Digite CERO si no tiene).  ",IF(X13&gt;$D13,"* El Número de Control con pareja, familiar u otro no puede superar el Total. ",""))</f>
        <v xml:space="preserve">* El Número de Control con pareja, familiar u otro no puede superar el Total. </v>
      </c>
      <c r="CD13" s="3018"/>
      <c r="CE13" s="3018"/>
      <c r="CF13" s="2784" t="str">
        <f t="shared" si="3"/>
        <v xml:space="preserve">* El Número de Niños, Niñas, Adolescentes y Jóvenes SENAME no puede superar el Total. </v>
      </c>
      <c r="CG13" s="2784" t="str">
        <f t="shared" si="4"/>
        <v xml:space="preserve">* El Número de Niños, Niñas, Adolescentes y Jóvenes Mejor Niñez no puede superar el Total. </v>
      </c>
      <c r="CH13" s="2784" t="str">
        <f t="shared" si="5"/>
        <v xml:space="preserve">* El Número de Pueblos Originarios no puede superar el Total. </v>
      </c>
      <c r="CI13" s="2784" t="str">
        <f t="shared" si="6"/>
        <v xml:space="preserve">* El Número de Migrantes no puede superar el Total. </v>
      </c>
      <c r="CJ13" s="2630"/>
      <c r="CL13" s="1725" t="e">
        <f>IF((V13+W13)&lt;&gt;D13,1,0)</f>
        <v>#VALUE!</v>
      </c>
      <c r="CM13" s="1725">
        <f>IF(AND(D13&gt;0,X13=""),1,IF(X13&gt;D13,1,0))</f>
        <v>1</v>
      </c>
      <c r="CN13" s="2783"/>
      <c r="CO13" s="2783"/>
      <c r="CP13" s="1725">
        <f t="shared" si="8"/>
        <v>1</v>
      </c>
      <c r="CQ13" s="1725">
        <f t="shared" si="9"/>
        <v>1</v>
      </c>
      <c r="CR13" s="1725">
        <f t="shared" si="10"/>
        <v>1</v>
      </c>
      <c r="CS13" s="1725">
        <f t="shared" si="11"/>
        <v>1</v>
      </c>
    </row>
    <row r="14" spans="1:131" ht="15" customHeight="1" x14ac:dyDescent="0.3">
      <c r="A14" s="6234" t="s">
        <v>3948</v>
      </c>
      <c r="B14" s="6349"/>
      <c r="C14" s="150" t="s">
        <v>77</v>
      </c>
      <c r="D14" s="3027" t="s">
        <v>5292</v>
      </c>
      <c r="E14" s="808" t="s">
        <v>5293</v>
      </c>
      <c r="F14" s="909" t="s">
        <v>5294</v>
      </c>
      <c r="G14" s="132" t="s">
        <v>5295</v>
      </c>
      <c r="H14" s="132" t="s">
        <v>5296</v>
      </c>
      <c r="I14" s="132" t="s">
        <v>5297</v>
      </c>
      <c r="J14" s="132" t="s">
        <v>5298</v>
      </c>
      <c r="K14" s="132" t="s">
        <v>5299</v>
      </c>
      <c r="L14" s="132" t="s">
        <v>5300</v>
      </c>
      <c r="M14" s="132" t="s">
        <v>5301</v>
      </c>
      <c r="N14" s="132" t="s">
        <v>5302</v>
      </c>
      <c r="O14" s="2411" t="s">
        <v>5303</v>
      </c>
      <c r="P14" s="2411" t="s">
        <v>5304</v>
      </c>
      <c r="Q14" s="3021" t="s">
        <v>5305</v>
      </c>
      <c r="R14" s="3021" t="s">
        <v>5306</v>
      </c>
      <c r="S14" s="3021" t="s">
        <v>5307</v>
      </c>
      <c r="T14" s="3021" t="s">
        <v>5308</v>
      </c>
      <c r="U14" s="868" t="s">
        <v>5309</v>
      </c>
      <c r="V14" s="2841" t="s">
        <v>5310</v>
      </c>
      <c r="W14" s="770" t="s">
        <v>5311</v>
      </c>
      <c r="X14" s="117" t="s">
        <v>5312</v>
      </c>
      <c r="Y14" s="904" t="s">
        <v>5313</v>
      </c>
      <c r="Z14" s="211" t="s">
        <v>5314</v>
      </c>
      <c r="AA14" s="117" t="s">
        <v>5315</v>
      </c>
      <c r="AB14" s="117" t="s">
        <v>5316</v>
      </c>
      <c r="AC14" s="117" t="s">
        <v>5317</v>
      </c>
      <c r="AD14" s="153" t="s">
        <v>5318</v>
      </c>
      <c r="AE14" s="1687" t="e">
        <f t="shared" si="0"/>
        <v>#VALUE!</v>
      </c>
      <c r="CB14" s="2784" t="e">
        <f t="shared" si="1"/>
        <v>#VALUE!</v>
      </c>
      <c r="CC14" s="2784" t="str">
        <f t="shared" ref="CC14:CC22" si="12">IF(AND($D14&lt;&gt;0,X14=""),"* No olvide ingresar la columna "&amp;X$9&amp;""&amp;" (Digite CERO si no tiene).  ",IF(X14&gt;$D14,"* El Número de Control con pareja, familiar u otro no puede superar el Total. ",""))</f>
        <v xml:space="preserve">* El Número de Control con pareja, familiar u otro no puede superar el Total. </v>
      </c>
      <c r="CD14" s="3018"/>
      <c r="CE14" s="3018"/>
      <c r="CF14" s="2784" t="str">
        <f t="shared" si="3"/>
        <v xml:space="preserve">* El Número de Niños, Niñas, Adolescentes y Jóvenes SENAME no puede superar el Total. </v>
      </c>
      <c r="CG14" s="2784" t="str">
        <f t="shared" si="4"/>
        <v xml:space="preserve">* El Número de Niños, Niñas, Adolescentes y Jóvenes Mejor Niñez no puede superar el Total. </v>
      </c>
      <c r="CH14" s="2784" t="str">
        <f t="shared" si="5"/>
        <v xml:space="preserve">* El Número de Pueblos Originarios no puede superar el Total. </v>
      </c>
      <c r="CI14" s="2784" t="str">
        <f t="shared" si="6"/>
        <v xml:space="preserve">* El Número de Migrantes no puede superar el Total. </v>
      </c>
      <c r="CJ14" s="2630"/>
      <c r="CL14" s="1725" t="e">
        <f t="shared" si="7"/>
        <v>#VALUE!</v>
      </c>
      <c r="CM14" s="1725">
        <f>IF(AND(D14&gt;0,X14=""),1,IF(X14&gt;SUM(D14),1,0))</f>
        <v>1</v>
      </c>
      <c r="CN14" s="2783"/>
      <c r="CO14" s="2783"/>
      <c r="CP14" s="1725">
        <f t="shared" si="8"/>
        <v>1</v>
      </c>
      <c r="CQ14" s="1725">
        <f t="shared" si="9"/>
        <v>1</v>
      </c>
      <c r="CR14" s="1725">
        <f t="shared" si="10"/>
        <v>1</v>
      </c>
      <c r="CS14" s="1725">
        <f t="shared" si="11"/>
        <v>1</v>
      </c>
    </row>
    <row r="15" spans="1:131" ht="15" customHeight="1" x14ac:dyDescent="0.3">
      <c r="A15" s="6234" t="s">
        <v>3949</v>
      </c>
      <c r="B15" s="6379" t="s">
        <v>1113</v>
      </c>
      <c r="C15" s="2786" t="s">
        <v>74</v>
      </c>
      <c r="D15" s="2911" t="s">
        <v>5292</v>
      </c>
      <c r="E15" s="2414" t="s">
        <v>5293</v>
      </c>
      <c r="F15" s="2819" t="s">
        <v>5294</v>
      </c>
      <c r="G15" s="320" t="s">
        <v>5295</v>
      </c>
      <c r="H15" s="320" t="s">
        <v>5296</v>
      </c>
      <c r="I15" s="320" t="s">
        <v>5297</v>
      </c>
      <c r="J15" s="320" t="s">
        <v>5298</v>
      </c>
      <c r="K15" s="320" t="s">
        <v>5299</v>
      </c>
      <c r="L15" s="320" t="s">
        <v>5300</v>
      </c>
      <c r="M15" s="320" t="s">
        <v>5301</v>
      </c>
      <c r="N15" s="320" t="s">
        <v>5302</v>
      </c>
      <c r="O15" s="320" t="s">
        <v>5303</v>
      </c>
      <c r="P15" s="320" t="s">
        <v>5304</v>
      </c>
      <c r="Q15" s="2820" t="s">
        <v>5305</v>
      </c>
      <c r="R15" s="2820" t="s">
        <v>5306</v>
      </c>
      <c r="S15" s="2820" t="s">
        <v>5307</v>
      </c>
      <c r="T15" s="2820" t="s">
        <v>5308</v>
      </c>
      <c r="U15" s="3028" t="s">
        <v>5309</v>
      </c>
      <c r="V15" s="2414" t="s">
        <v>5310</v>
      </c>
      <c r="W15" s="767" t="s">
        <v>5311</v>
      </c>
      <c r="X15" s="6107" t="s">
        <v>5312</v>
      </c>
      <c r="Y15" s="6108" t="s">
        <v>5313</v>
      </c>
      <c r="Z15" s="6109" t="s">
        <v>5314</v>
      </c>
      <c r="AA15" s="870" t="s">
        <v>5315</v>
      </c>
      <c r="AB15" s="870" t="s">
        <v>5316</v>
      </c>
      <c r="AC15" s="870" t="s">
        <v>5317</v>
      </c>
      <c r="AD15" s="3026" t="s">
        <v>5318</v>
      </c>
      <c r="AE15" s="1687" t="e">
        <f t="shared" si="0"/>
        <v>#VALUE!</v>
      </c>
      <c r="CB15" s="2784" t="e">
        <f t="shared" si="1"/>
        <v>#VALUE!</v>
      </c>
      <c r="CC15" s="3018"/>
      <c r="CD15" s="3018"/>
      <c r="CE15" s="3018"/>
      <c r="CF15" s="2784" t="str">
        <f t="shared" si="3"/>
        <v xml:space="preserve">* El Número de Niños, Niñas, Adolescentes y Jóvenes SENAME no puede superar el Total. </v>
      </c>
      <c r="CG15" s="2784" t="str">
        <f t="shared" si="4"/>
        <v xml:space="preserve">* El Número de Niños, Niñas, Adolescentes y Jóvenes Mejor Niñez no puede superar el Total. </v>
      </c>
      <c r="CH15" s="2784" t="str">
        <f t="shared" si="5"/>
        <v xml:space="preserve">* El Número de Pueblos Originarios no puede superar el Total. </v>
      </c>
      <c r="CI15" s="2784" t="str">
        <f t="shared" si="6"/>
        <v xml:space="preserve">* El Número de Migrantes no puede superar el Total. </v>
      </c>
      <c r="CJ15" s="2630"/>
      <c r="CL15" s="1725" t="e">
        <f t="shared" si="7"/>
        <v>#VALUE!</v>
      </c>
      <c r="CM15" s="2783"/>
      <c r="CN15" s="2783"/>
      <c r="CO15" s="2783"/>
      <c r="CP15" s="1725">
        <f t="shared" si="8"/>
        <v>1</v>
      </c>
      <c r="CQ15" s="1725">
        <f t="shared" si="9"/>
        <v>1</v>
      </c>
      <c r="CR15" s="1725">
        <f t="shared" si="10"/>
        <v>1</v>
      </c>
      <c r="CS15" s="1725">
        <f t="shared" si="11"/>
        <v>1</v>
      </c>
    </row>
    <row r="16" spans="1:131" ht="15" customHeight="1" x14ac:dyDescent="0.3">
      <c r="A16" s="6234" t="s">
        <v>3950</v>
      </c>
      <c r="B16" s="6350"/>
      <c r="C16" s="150" t="s">
        <v>77</v>
      </c>
      <c r="D16" s="2914" t="s">
        <v>5292</v>
      </c>
      <c r="E16" s="3019" t="s">
        <v>5293</v>
      </c>
      <c r="F16" s="197" t="s">
        <v>5294</v>
      </c>
      <c r="G16" s="2411" t="s">
        <v>5295</v>
      </c>
      <c r="H16" s="2411" t="s">
        <v>5296</v>
      </c>
      <c r="I16" s="2411" t="s">
        <v>5297</v>
      </c>
      <c r="J16" s="2411" t="s">
        <v>5298</v>
      </c>
      <c r="K16" s="2411" t="s">
        <v>5299</v>
      </c>
      <c r="L16" s="2411" t="s">
        <v>5300</v>
      </c>
      <c r="M16" s="2411" t="s">
        <v>5301</v>
      </c>
      <c r="N16" s="2411" t="s">
        <v>5302</v>
      </c>
      <c r="O16" s="3020" t="s">
        <v>5303</v>
      </c>
      <c r="P16" s="3020" t="s">
        <v>5304</v>
      </c>
      <c r="Q16" s="3021" t="s">
        <v>5305</v>
      </c>
      <c r="R16" s="3021" t="s">
        <v>5306</v>
      </c>
      <c r="S16" s="3021" t="s">
        <v>5307</v>
      </c>
      <c r="T16" s="3021" t="s">
        <v>5308</v>
      </c>
      <c r="U16" s="3022" t="s">
        <v>5309</v>
      </c>
      <c r="V16" s="3029" t="s">
        <v>5310</v>
      </c>
      <c r="W16" s="770" t="s">
        <v>5311</v>
      </c>
      <c r="X16" s="6110" t="s">
        <v>5312</v>
      </c>
      <c r="Y16" s="6111" t="s">
        <v>5313</v>
      </c>
      <c r="Z16" s="5665" t="s">
        <v>5314</v>
      </c>
      <c r="AA16" s="117" t="s">
        <v>5315</v>
      </c>
      <c r="AB16" s="117" t="s">
        <v>5316</v>
      </c>
      <c r="AC16" s="117" t="s">
        <v>5317</v>
      </c>
      <c r="AD16" s="153" t="s">
        <v>5318</v>
      </c>
      <c r="AE16" s="1687" t="e">
        <f t="shared" si="0"/>
        <v>#VALUE!</v>
      </c>
      <c r="CB16" s="2784" t="e">
        <f t="shared" si="1"/>
        <v>#VALUE!</v>
      </c>
      <c r="CC16" s="3018"/>
      <c r="CD16" s="3018"/>
      <c r="CE16" s="3018"/>
      <c r="CF16" s="2784" t="str">
        <f t="shared" si="3"/>
        <v xml:space="preserve">* El Número de Niños, Niñas, Adolescentes y Jóvenes SENAME no puede superar el Total. </v>
      </c>
      <c r="CG16" s="2784" t="str">
        <f t="shared" si="4"/>
        <v xml:space="preserve">* El Número de Niños, Niñas, Adolescentes y Jóvenes Mejor Niñez no puede superar el Total. </v>
      </c>
      <c r="CH16" s="2784" t="str">
        <f t="shared" si="5"/>
        <v xml:space="preserve">* El Número de Pueblos Originarios no puede superar el Total. </v>
      </c>
      <c r="CI16" s="2784" t="str">
        <f t="shared" si="6"/>
        <v xml:space="preserve">* El Número de Migrantes no puede superar el Total. </v>
      </c>
      <c r="CJ16" s="2630"/>
      <c r="CL16" s="1725" t="e">
        <f t="shared" si="7"/>
        <v>#VALUE!</v>
      </c>
      <c r="CM16" s="2783"/>
      <c r="CN16" s="2783"/>
      <c r="CO16" s="2783"/>
      <c r="CP16" s="1725">
        <f t="shared" si="8"/>
        <v>1</v>
      </c>
      <c r="CQ16" s="1725">
        <f t="shared" si="9"/>
        <v>1</v>
      </c>
      <c r="CR16" s="1725">
        <f t="shared" si="10"/>
        <v>1</v>
      </c>
      <c r="CS16" s="1725">
        <f t="shared" si="11"/>
        <v>1</v>
      </c>
    </row>
    <row r="17" spans="1:97" ht="15" customHeight="1" x14ac:dyDescent="0.3">
      <c r="A17" s="6234" t="s">
        <v>3951</v>
      </c>
      <c r="B17" s="6379" t="s">
        <v>2382</v>
      </c>
      <c r="C17" s="2786" t="s">
        <v>74</v>
      </c>
      <c r="D17" s="2911" t="s">
        <v>5292</v>
      </c>
      <c r="E17" s="2414" t="s">
        <v>5293</v>
      </c>
      <c r="F17" s="2819" t="s">
        <v>5294</v>
      </c>
      <c r="G17" s="320" t="s">
        <v>5295</v>
      </c>
      <c r="H17" s="320" t="s">
        <v>5296</v>
      </c>
      <c r="I17" s="320" t="s">
        <v>5297</v>
      </c>
      <c r="J17" s="320" t="s">
        <v>5298</v>
      </c>
      <c r="K17" s="320" t="s">
        <v>5299</v>
      </c>
      <c r="L17" s="320" t="s">
        <v>5300</v>
      </c>
      <c r="M17" s="320" t="s">
        <v>5301</v>
      </c>
      <c r="N17" s="320" t="s">
        <v>5302</v>
      </c>
      <c r="O17" s="320" t="s">
        <v>5303</v>
      </c>
      <c r="P17" s="320" t="s">
        <v>5304</v>
      </c>
      <c r="Q17" s="6103" t="s">
        <v>5305</v>
      </c>
      <c r="R17" s="6103" t="s">
        <v>5306</v>
      </c>
      <c r="S17" s="6103" t="s">
        <v>5307</v>
      </c>
      <c r="T17" s="6103" t="s">
        <v>5308</v>
      </c>
      <c r="U17" s="6104" t="s">
        <v>5309</v>
      </c>
      <c r="V17" s="6105" t="s">
        <v>5310</v>
      </c>
      <c r="W17" s="6106" t="s">
        <v>5311</v>
      </c>
      <c r="X17" s="6107" t="s">
        <v>5312</v>
      </c>
      <c r="Y17" s="6108" t="s">
        <v>5313</v>
      </c>
      <c r="Z17" s="6109" t="s">
        <v>5314</v>
      </c>
      <c r="AA17" s="870" t="s">
        <v>5315</v>
      </c>
      <c r="AB17" s="870" t="s">
        <v>5316</v>
      </c>
      <c r="AC17" s="870" t="s">
        <v>5317</v>
      </c>
      <c r="AD17" s="3026" t="s">
        <v>5318</v>
      </c>
      <c r="AE17" s="1687" t="e">
        <f t="shared" si="0"/>
        <v>#VALUE!</v>
      </c>
      <c r="CB17" s="2784" t="e">
        <f t="shared" si="1"/>
        <v>#VALUE!</v>
      </c>
      <c r="CC17" s="3018"/>
      <c r="CD17" s="3018"/>
      <c r="CE17" s="3018"/>
      <c r="CF17" s="2784" t="str">
        <f t="shared" si="3"/>
        <v xml:space="preserve">* El Número de Niños, Niñas, Adolescentes y Jóvenes SENAME no puede superar el Total. </v>
      </c>
      <c r="CG17" s="2784" t="str">
        <f t="shared" si="4"/>
        <v xml:space="preserve">* El Número de Niños, Niñas, Adolescentes y Jóvenes Mejor Niñez no puede superar el Total. </v>
      </c>
      <c r="CH17" s="2784" t="str">
        <f t="shared" si="5"/>
        <v xml:space="preserve">* El Número de Pueblos Originarios no puede superar el Total. </v>
      </c>
      <c r="CI17" s="2784" t="str">
        <f t="shared" si="6"/>
        <v xml:space="preserve">* El Número de Migrantes no puede superar el Total. </v>
      </c>
      <c r="CJ17" s="2630"/>
      <c r="CL17" s="1725" t="e">
        <f t="shared" si="7"/>
        <v>#VALUE!</v>
      </c>
      <c r="CM17" s="2783"/>
      <c r="CN17" s="2783"/>
      <c r="CO17" s="2783"/>
      <c r="CP17" s="1725">
        <f t="shared" si="8"/>
        <v>1</v>
      </c>
      <c r="CQ17" s="1725">
        <f t="shared" si="9"/>
        <v>1</v>
      </c>
      <c r="CR17" s="1725">
        <f t="shared" si="10"/>
        <v>1</v>
      </c>
      <c r="CS17" s="1725">
        <f t="shared" si="11"/>
        <v>1</v>
      </c>
    </row>
    <row r="18" spans="1:97" ht="15" customHeight="1" x14ac:dyDescent="0.3">
      <c r="A18" s="6234" t="s">
        <v>3952</v>
      </c>
      <c r="B18" s="6350"/>
      <c r="C18" s="150" t="s">
        <v>77</v>
      </c>
      <c r="D18" s="2914" t="s">
        <v>5292</v>
      </c>
      <c r="E18" s="3019" t="s">
        <v>5293</v>
      </c>
      <c r="F18" s="197" t="s">
        <v>5294</v>
      </c>
      <c r="G18" s="2411" t="s">
        <v>5295</v>
      </c>
      <c r="H18" s="2411" t="s">
        <v>5296</v>
      </c>
      <c r="I18" s="2411" t="s">
        <v>5297</v>
      </c>
      <c r="J18" s="2411" t="s">
        <v>5298</v>
      </c>
      <c r="K18" s="2411" t="s">
        <v>5299</v>
      </c>
      <c r="L18" s="2411" t="s">
        <v>5300</v>
      </c>
      <c r="M18" s="2411" t="s">
        <v>5301</v>
      </c>
      <c r="N18" s="2411" t="s">
        <v>5302</v>
      </c>
      <c r="O18" s="3020" t="s">
        <v>5303</v>
      </c>
      <c r="P18" s="3020" t="s">
        <v>5304</v>
      </c>
      <c r="Q18" s="3021" t="s">
        <v>5305</v>
      </c>
      <c r="R18" s="3021" t="s">
        <v>5306</v>
      </c>
      <c r="S18" s="3021" t="s">
        <v>5307</v>
      </c>
      <c r="T18" s="3021" t="s">
        <v>5308</v>
      </c>
      <c r="U18" s="3022" t="s">
        <v>5309</v>
      </c>
      <c r="V18" s="3019" t="s">
        <v>5310</v>
      </c>
      <c r="W18" s="770" t="s">
        <v>5311</v>
      </c>
      <c r="X18" s="6110" t="s">
        <v>5312</v>
      </c>
      <c r="Y18" s="6111" t="s">
        <v>5313</v>
      </c>
      <c r="Z18" s="5665" t="s">
        <v>5314</v>
      </c>
      <c r="AA18" s="117" t="s">
        <v>5315</v>
      </c>
      <c r="AB18" s="117" t="s">
        <v>5316</v>
      </c>
      <c r="AC18" s="117" t="s">
        <v>5317</v>
      </c>
      <c r="AD18" s="153" t="s">
        <v>5318</v>
      </c>
      <c r="AE18" s="1687" t="e">
        <f t="shared" si="0"/>
        <v>#VALUE!</v>
      </c>
      <c r="CB18" s="2784" t="e">
        <f t="shared" si="1"/>
        <v>#VALUE!</v>
      </c>
      <c r="CC18" s="3018"/>
      <c r="CD18" s="3018"/>
      <c r="CE18" s="3018"/>
      <c r="CF18" s="2784" t="str">
        <f t="shared" si="3"/>
        <v xml:space="preserve">* El Número de Niños, Niñas, Adolescentes y Jóvenes SENAME no puede superar el Total. </v>
      </c>
      <c r="CG18" s="2784" t="str">
        <f t="shared" si="4"/>
        <v xml:space="preserve">* El Número de Niños, Niñas, Adolescentes y Jóvenes Mejor Niñez no puede superar el Total. </v>
      </c>
      <c r="CH18" s="2784" t="str">
        <f t="shared" si="5"/>
        <v xml:space="preserve">* El Número de Pueblos Originarios no puede superar el Total. </v>
      </c>
      <c r="CI18" s="2784" t="str">
        <f t="shared" si="6"/>
        <v xml:space="preserve">* El Número de Migrantes no puede superar el Total. </v>
      </c>
      <c r="CJ18" s="2630"/>
      <c r="CL18" s="1725" t="e">
        <f t="shared" si="7"/>
        <v>#VALUE!</v>
      </c>
      <c r="CM18" s="2783"/>
      <c r="CN18" s="2783"/>
      <c r="CO18" s="2783"/>
      <c r="CP18" s="1725">
        <f t="shared" si="8"/>
        <v>1</v>
      </c>
      <c r="CQ18" s="1725">
        <f t="shared" si="9"/>
        <v>1</v>
      </c>
      <c r="CR18" s="1725">
        <f t="shared" si="10"/>
        <v>1</v>
      </c>
      <c r="CS18" s="1725">
        <f t="shared" si="11"/>
        <v>1</v>
      </c>
    </row>
    <row r="19" spans="1:97" ht="15" customHeight="1" x14ac:dyDescent="0.3">
      <c r="A19" s="6234" t="s">
        <v>3953</v>
      </c>
      <c r="B19" s="6349" t="s">
        <v>2383</v>
      </c>
      <c r="C19" s="2786" t="s">
        <v>74</v>
      </c>
      <c r="D19" s="1691" t="s">
        <v>5292</v>
      </c>
      <c r="E19" s="1954" t="s">
        <v>5293</v>
      </c>
      <c r="F19" s="1924" t="s">
        <v>5294</v>
      </c>
      <c r="G19" s="1069" t="s">
        <v>5295</v>
      </c>
      <c r="H19" s="1069" t="s">
        <v>5296</v>
      </c>
      <c r="I19" s="1069" t="s">
        <v>5297</v>
      </c>
      <c r="J19" s="1069" t="s">
        <v>5298</v>
      </c>
      <c r="K19" s="1069" t="s">
        <v>5299</v>
      </c>
      <c r="L19" s="1069" t="s">
        <v>5300</v>
      </c>
      <c r="M19" s="1069" t="s">
        <v>5301</v>
      </c>
      <c r="N19" s="1069" t="s">
        <v>5302</v>
      </c>
      <c r="O19" s="1069" t="s">
        <v>5303</v>
      </c>
      <c r="P19" s="1069" t="s">
        <v>5304</v>
      </c>
      <c r="Q19" s="1923" t="s">
        <v>5305</v>
      </c>
      <c r="R19" s="1923" t="s">
        <v>5306</v>
      </c>
      <c r="S19" s="1923" t="s">
        <v>5307</v>
      </c>
      <c r="T19" s="1923" t="s">
        <v>5308</v>
      </c>
      <c r="U19" s="3024" t="s">
        <v>5309</v>
      </c>
      <c r="V19" s="1954" t="s">
        <v>5310</v>
      </c>
      <c r="W19" s="767" t="s">
        <v>5311</v>
      </c>
      <c r="X19" s="148" t="s">
        <v>5312</v>
      </c>
      <c r="Y19" s="148" t="s">
        <v>5313</v>
      </c>
      <c r="Z19" s="875" t="s">
        <v>5314</v>
      </c>
      <c r="AA19" s="870" t="s">
        <v>5315</v>
      </c>
      <c r="AB19" s="870" t="s">
        <v>5316</v>
      </c>
      <c r="AC19" s="870" t="s">
        <v>5317</v>
      </c>
      <c r="AD19" s="3026" t="s">
        <v>5318</v>
      </c>
      <c r="AE19" s="1687" t="e">
        <f t="shared" si="0"/>
        <v>#VALUE!</v>
      </c>
      <c r="CB19" s="2784" t="e">
        <f t="shared" si="1"/>
        <v>#VALUE!</v>
      </c>
      <c r="CC19" s="2784" t="str">
        <f>IF(AND($D19&lt;&gt;0,X19=""),"* No olvide ingresar la columna "&amp;X$9&amp;""&amp;" (Digite CERO si no tiene).  ",IF(X19&gt;$D19,"* El Número de Control con pareja, familiar u otro no puede superar el Total. ",""))</f>
        <v xml:space="preserve">* El Número de Control con pareja, familiar u otro no puede superar el Total. </v>
      </c>
      <c r="CD19" s="2784" t="str">
        <f>IF(AND($D19&lt;&gt;0,Y19=""),"* No olvide ingresar la columna "&amp;Y$9&amp;""&amp;" (Digite CERO si no tiene).  ",IF(Y19&gt;$D19,"* El Número de Control de diada con presencia del padre no puede superar el Total. ",""))</f>
        <v xml:space="preserve">* El Número de Control de diada con presencia del padre no puede superar el Total. </v>
      </c>
      <c r="CE19" s="3018"/>
      <c r="CF19" s="2784" t="str">
        <f t="shared" si="3"/>
        <v xml:space="preserve">* El Número de Niños, Niñas, Adolescentes y Jóvenes SENAME no puede superar el Total. </v>
      </c>
      <c r="CG19" s="2784" t="str">
        <f t="shared" si="4"/>
        <v xml:space="preserve">* El Número de Niños, Niñas, Adolescentes y Jóvenes Mejor Niñez no puede superar el Total. </v>
      </c>
      <c r="CH19" s="2784" t="str">
        <f t="shared" si="5"/>
        <v xml:space="preserve">* El Número de Pueblos Originarios no puede superar el Total. </v>
      </c>
      <c r="CI19" s="2784" t="str">
        <f t="shared" si="6"/>
        <v xml:space="preserve">* El Número de Migrantes no puede superar el Total. </v>
      </c>
      <c r="CJ19" s="2630"/>
      <c r="CL19" s="1725" t="e">
        <f t="shared" si="7"/>
        <v>#VALUE!</v>
      </c>
      <c r="CM19" s="1725">
        <f t="shared" ref="CM19:CM26" si="13">IF(AND(D19&gt;0,X19=""),1,IF(X19&gt;D19,1,0))</f>
        <v>1</v>
      </c>
      <c r="CN19" s="1725">
        <f>IF(AND(D19&lt;&gt;0,Y19=""),1,IF(Y19&gt;D19,1,0))</f>
        <v>1</v>
      </c>
      <c r="CO19" s="2783"/>
      <c r="CP19" s="1725">
        <f t="shared" si="8"/>
        <v>1</v>
      </c>
      <c r="CQ19" s="1725">
        <f t="shared" si="9"/>
        <v>1</v>
      </c>
      <c r="CR19" s="1725">
        <f t="shared" si="10"/>
        <v>1</v>
      </c>
      <c r="CS19" s="1725">
        <f t="shared" si="11"/>
        <v>1</v>
      </c>
    </row>
    <row r="20" spans="1:97" ht="15" customHeight="1" x14ac:dyDescent="0.3">
      <c r="A20" s="6234" t="s">
        <v>3954</v>
      </c>
      <c r="B20" s="6349"/>
      <c r="C20" s="150" t="s">
        <v>77</v>
      </c>
      <c r="D20" s="3027" t="s">
        <v>5292</v>
      </c>
      <c r="E20" s="808" t="s">
        <v>5293</v>
      </c>
      <c r="F20" s="909" t="s">
        <v>5294</v>
      </c>
      <c r="G20" s="132" t="s">
        <v>5295</v>
      </c>
      <c r="H20" s="132" t="s">
        <v>5296</v>
      </c>
      <c r="I20" s="132" t="s">
        <v>5297</v>
      </c>
      <c r="J20" s="132" t="s">
        <v>5298</v>
      </c>
      <c r="K20" s="132" t="s">
        <v>5299</v>
      </c>
      <c r="L20" s="132" t="s">
        <v>5300</v>
      </c>
      <c r="M20" s="132" t="s">
        <v>5301</v>
      </c>
      <c r="N20" s="132" t="s">
        <v>5302</v>
      </c>
      <c r="O20" s="3020" t="s">
        <v>5303</v>
      </c>
      <c r="P20" s="2411" t="s">
        <v>5304</v>
      </c>
      <c r="Q20" s="3021" t="s">
        <v>5305</v>
      </c>
      <c r="R20" s="3021" t="s">
        <v>5306</v>
      </c>
      <c r="S20" s="3021" t="s">
        <v>5307</v>
      </c>
      <c r="T20" s="3021" t="s">
        <v>5308</v>
      </c>
      <c r="U20" s="868" t="s">
        <v>5309</v>
      </c>
      <c r="V20" s="2841" t="s">
        <v>5310</v>
      </c>
      <c r="W20" s="770" t="s">
        <v>5311</v>
      </c>
      <c r="X20" s="158" t="s">
        <v>5312</v>
      </c>
      <c r="Y20" s="158" t="s">
        <v>5313</v>
      </c>
      <c r="Z20" s="211" t="s">
        <v>5314</v>
      </c>
      <c r="AA20" s="117" t="s">
        <v>5315</v>
      </c>
      <c r="AB20" s="117" t="s">
        <v>5316</v>
      </c>
      <c r="AC20" s="117" t="s">
        <v>5317</v>
      </c>
      <c r="AD20" s="153" t="s">
        <v>5318</v>
      </c>
      <c r="AE20" s="1687" t="e">
        <f t="shared" si="0"/>
        <v>#VALUE!</v>
      </c>
      <c r="CB20" s="2784" t="e">
        <f t="shared" si="1"/>
        <v>#VALUE!</v>
      </c>
      <c r="CC20" s="2784" t="str">
        <f t="shared" si="12"/>
        <v xml:space="preserve">* El Número de Control con pareja, familiar u otro no puede superar el Total. </v>
      </c>
      <c r="CD20" s="2784" t="str">
        <f t="shared" ref="CD20:CD22" si="14">IF(AND($D20&lt;&gt;0,Y20=""),"* No olvide ingresar la columna "&amp;Y$9&amp;""&amp;" (Digite CERO si no tiene).  ",IF(Y20&gt;$D20,"* El Número de Control de diada con presencia del padre no puede superar el Total. ",""))</f>
        <v xml:space="preserve">* El Número de Control de diada con presencia del padre no puede superar el Total. </v>
      </c>
      <c r="CE20" s="3018"/>
      <c r="CF20" s="2784" t="str">
        <f t="shared" si="3"/>
        <v xml:space="preserve">* El Número de Niños, Niñas, Adolescentes y Jóvenes SENAME no puede superar el Total. </v>
      </c>
      <c r="CG20" s="2784" t="str">
        <f t="shared" si="4"/>
        <v xml:space="preserve">* El Número de Niños, Niñas, Adolescentes y Jóvenes Mejor Niñez no puede superar el Total. </v>
      </c>
      <c r="CH20" s="2784" t="str">
        <f t="shared" si="5"/>
        <v xml:space="preserve">* El Número de Pueblos Originarios no puede superar el Total. </v>
      </c>
      <c r="CI20" s="2784" t="str">
        <f t="shared" si="6"/>
        <v xml:space="preserve">* El Número de Migrantes no puede superar el Total. </v>
      </c>
      <c r="CJ20" s="2630"/>
      <c r="CL20" s="1725" t="e">
        <f t="shared" si="7"/>
        <v>#VALUE!</v>
      </c>
      <c r="CM20" s="1725">
        <f t="shared" si="13"/>
        <v>1</v>
      </c>
      <c r="CN20" s="1725">
        <f t="shared" ref="CN20:CN26" si="15">IF(AND(D20&lt;&gt;0,Y20=""),1,IF(Y20&gt;D20,1,0))</f>
        <v>1</v>
      </c>
      <c r="CO20" s="2783"/>
      <c r="CP20" s="1725">
        <f t="shared" si="8"/>
        <v>1</v>
      </c>
      <c r="CQ20" s="1725">
        <f t="shared" si="9"/>
        <v>1</v>
      </c>
      <c r="CR20" s="1725">
        <f t="shared" si="10"/>
        <v>1</v>
      </c>
      <c r="CS20" s="1725">
        <f t="shared" si="11"/>
        <v>1</v>
      </c>
    </row>
    <row r="21" spans="1:97" ht="15" customHeight="1" x14ac:dyDescent="0.3">
      <c r="A21" s="6234" t="s">
        <v>3955</v>
      </c>
      <c r="B21" s="6379" t="s">
        <v>2384</v>
      </c>
      <c r="C21" s="2786" t="s">
        <v>74</v>
      </c>
      <c r="D21" s="2911" t="s">
        <v>5292</v>
      </c>
      <c r="E21" s="2414" t="s">
        <v>5293</v>
      </c>
      <c r="F21" s="2819" t="s">
        <v>5294</v>
      </c>
      <c r="G21" s="320" t="s">
        <v>5295</v>
      </c>
      <c r="H21" s="320" t="s">
        <v>5296</v>
      </c>
      <c r="I21" s="320" t="s">
        <v>5297</v>
      </c>
      <c r="J21" s="320" t="s">
        <v>5298</v>
      </c>
      <c r="K21" s="320" t="s">
        <v>5299</v>
      </c>
      <c r="L21" s="320" t="s">
        <v>5300</v>
      </c>
      <c r="M21" s="320" t="s">
        <v>5301</v>
      </c>
      <c r="N21" s="320" t="s">
        <v>5302</v>
      </c>
      <c r="O21" s="320" t="s">
        <v>5303</v>
      </c>
      <c r="P21" s="320" t="s">
        <v>5304</v>
      </c>
      <c r="Q21" s="2820" t="s">
        <v>5305</v>
      </c>
      <c r="R21" s="2820" t="s">
        <v>5306</v>
      </c>
      <c r="S21" s="2820" t="s">
        <v>5307</v>
      </c>
      <c r="T21" s="2820" t="s">
        <v>5308</v>
      </c>
      <c r="U21" s="3028" t="s">
        <v>5309</v>
      </c>
      <c r="V21" s="2414" t="s">
        <v>5310</v>
      </c>
      <c r="W21" s="767" t="s">
        <v>5311</v>
      </c>
      <c r="X21" s="3032" t="s">
        <v>5312</v>
      </c>
      <c r="Y21" s="3032" t="s">
        <v>5313</v>
      </c>
      <c r="Z21" s="875" t="s">
        <v>5314</v>
      </c>
      <c r="AA21" s="870" t="s">
        <v>5315</v>
      </c>
      <c r="AB21" s="870" t="s">
        <v>5316</v>
      </c>
      <c r="AC21" s="870" t="s">
        <v>5317</v>
      </c>
      <c r="AD21" s="3026" t="s">
        <v>5318</v>
      </c>
      <c r="AE21" s="1687" t="e">
        <f t="shared" si="0"/>
        <v>#VALUE!</v>
      </c>
      <c r="CB21" s="2784" t="e">
        <f t="shared" si="1"/>
        <v>#VALUE!</v>
      </c>
      <c r="CC21" s="2784" t="str">
        <f t="shared" si="12"/>
        <v xml:space="preserve">* El Número de Control con pareja, familiar u otro no puede superar el Total. </v>
      </c>
      <c r="CD21" s="2784" t="str">
        <f t="shared" si="14"/>
        <v xml:space="preserve">* El Número de Control de diada con presencia del padre no puede superar el Total. </v>
      </c>
      <c r="CE21" s="3018"/>
      <c r="CF21" s="2784" t="str">
        <f t="shared" si="3"/>
        <v xml:space="preserve">* El Número de Niños, Niñas, Adolescentes y Jóvenes SENAME no puede superar el Total. </v>
      </c>
      <c r="CG21" s="2784" t="str">
        <f t="shared" si="4"/>
        <v xml:space="preserve">* El Número de Niños, Niñas, Adolescentes y Jóvenes Mejor Niñez no puede superar el Total. </v>
      </c>
      <c r="CH21" s="2784" t="str">
        <f t="shared" si="5"/>
        <v xml:space="preserve">* El Número de Pueblos Originarios no puede superar el Total. </v>
      </c>
      <c r="CI21" s="2784" t="str">
        <f t="shared" si="6"/>
        <v xml:space="preserve">* El Número de Migrantes no puede superar el Total. </v>
      </c>
      <c r="CJ21" s="2630"/>
      <c r="CL21" s="1725" t="e">
        <f t="shared" si="7"/>
        <v>#VALUE!</v>
      </c>
      <c r="CM21" s="1725">
        <f t="shared" si="13"/>
        <v>1</v>
      </c>
      <c r="CN21" s="1725">
        <f t="shared" si="15"/>
        <v>1</v>
      </c>
      <c r="CO21" s="2783"/>
      <c r="CP21" s="1725">
        <f t="shared" si="8"/>
        <v>1</v>
      </c>
      <c r="CQ21" s="1725">
        <f t="shared" si="9"/>
        <v>1</v>
      </c>
      <c r="CR21" s="1725">
        <f t="shared" si="10"/>
        <v>1</v>
      </c>
      <c r="CS21" s="1725">
        <f t="shared" si="11"/>
        <v>1</v>
      </c>
    </row>
    <row r="22" spans="1:97" ht="15" customHeight="1" x14ac:dyDescent="0.3">
      <c r="A22" s="6234" t="s">
        <v>3956</v>
      </c>
      <c r="B22" s="6350"/>
      <c r="C22" s="150" t="s">
        <v>77</v>
      </c>
      <c r="D22" s="2914" t="s">
        <v>5292</v>
      </c>
      <c r="E22" s="3019" t="s">
        <v>5293</v>
      </c>
      <c r="F22" s="197" t="s">
        <v>5294</v>
      </c>
      <c r="G22" s="2411" t="s">
        <v>5295</v>
      </c>
      <c r="H22" s="2411" t="s">
        <v>5296</v>
      </c>
      <c r="I22" s="2411" t="s">
        <v>5297</v>
      </c>
      <c r="J22" s="2411" t="s">
        <v>5298</v>
      </c>
      <c r="K22" s="2411" t="s">
        <v>5299</v>
      </c>
      <c r="L22" s="2411" t="s">
        <v>5300</v>
      </c>
      <c r="M22" s="2411" t="s">
        <v>5301</v>
      </c>
      <c r="N22" s="2411" t="s">
        <v>5302</v>
      </c>
      <c r="O22" s="2411" t="s">
        <v>5303</v>
      </c>
      <c r="P22" s="2411" t="s">
        <v>5304</v>
      </c>
      <c r="Q22" s="3021" t="s">
        <v>5305</v>
      </c>
      <c r="R22" s="3021" t="s">
        <v>5306</v>
      </c>
      <c r="S22" s="3021" t="s">
        <v>5307</v>
      </c>
      <c r="T22" s="3021" t="s">
        <v>5308</v>
      </c>
      <c r="U22" s="3022" t="s">
        <v>5309</v>
      </c>
      <c r="V22" s="3029" t="s">
        <v>5310</v>
      </c>
      <c r="W22" s="770" t="s">
        <v>5311</v>
      </c>
      <c r="X22" s="153" t="s">
        <v>5312</v>
      </c>
      <c r="Y22" s="153" t="s">
        <v>5313</v>
      </c>
      <c r="Z22" s="211" t="s">
        <v>5314</v>
      </c>
      <c r="AA22" s="117" t="s">
        <v>5315</v>
      </c>
      <c r="AB22" s="117" t="s">
        <v>5316</v>
      </c>
      <c r="AC22" s="117" t="s">
        <v>5317</v>
      </c>
      <c r="AD22" s="153" t="s">
        <v>5318</v>
      </c>
      <c r="AE22" s="1687" t="e">
        <f t="shared" si="0"/>
        <v>#VALUE!</v>
      </c>
      <c r="CB22" s="2784" t="e">
        <f t="shared" si="1"/>
        <v>#VALUE!</v>
      </c>
      <c r="CC22" s="2784" t="str">
        <f t="shared" si="12"/>
        <v xml:space="preserve">* El Número de Control con pareja, familiar u otro no puede superar el Total. </v>
      </c>
      <c r="CD22" s="2784" t="str">
        <f t="shared" si="14"/>
        <v xml:space="preserve">* El Número de Control de diada con presencia del padre no puede superar el Total. </v>
      </c>
      <c r="CE22" s="3018"/>
      <c r="CF22" s="2784" t="str">
        <f t="shared" si="3"/>
        <v xml:space="preserve">* El Número de Niños, Niñas, Adolescentes y Jóvenes SENAME no puede superar el Total. </v>
      </c>
      <c r="CG22" s="2784" t="str">
        <f t="shared" si="4"/>
        <v xml:space="preserve">* El Número de Niños, Niñas, Adolescentes y Jóvenes Mejor Niñez no puede superar el Total. </v>
      </c>
      <c r="CH22" s="2784" t="str">
        <f t="shared" si="5"/>
        <v xml:space="preserve">* El Número de Pueblos Originarios no puede superar el Total. </v>
      </c>
      <c r="CI22" s="2784" t="str">
        <f t="shared" si="6"/>
        <v xml:space="preserve">* El Número de Migrantes no puede superar el Total. </v>
      </c>
      <c r="CJ22" s="2630"/>
      <c r="CL22" s="1725" t="e">
        <f t="shared" si="7"/>
        <v>#VALUE!</v>
      </c>
      <c r="CM22" s="1725">
        <f t="shared" si="13"/>
        <v>1</v>
      </c>
      <c r="CN22" s="1725">
        <f t="shared" si="15"/>
        <v>1</v>
      </c>
      <c r="CO22" s="2783"/>
      <c r="CP22" s="1725">
        <f t="shared" si="8"/>
        <v>1</v>
      </c>
      <c r="CQ22" s="1725">
        <f t="shared" si="9"/>
        <v>1</v>
      </c>
      <c r="CR22" s="1725">
        <f t="shared" si="10"/>
        <v>1</v>
      </c>
      <c r="CS22" s="1725">
        <f t="shared" si="11"/>
        <v>1</v>
      </c>
    </row>
    <row r="23" spans="1:97" ht="15" customHeight="1" x14ac:dyDescent="0.3">
      <c r="A23" s="6234" t="s">
        <v>3957</v>
      </c>
      <c r="B23" s="6349" t="s">
        <v>2385</v>
      </c>
      <c r="C23" s="2786" t="s">
        <v>74</v>
      </c>
      <c r="D23" s="1691" t="s">
        <v>5292</v>
      </c>
      <c r="E23" s="2408" t="s">
        <v>5293</v>
      </c>
      <c r="F23" s="2819" t="s">
        <v>5294</v>
      </c>
      <c r="G23" s="2820" t="s">
        <v>5295</v>
      </c>
      <c r="H23" s="2820" t="s">
        <v>5296</v>
      </c>
      <c r="I23" s="2820" t="s">
        <v>5297</v>
      </c>
      <c r="J23" s="2820" t="s">
        <v>5298</v>
      </c>
      <c r="K23" s="2820" t="s">
        <v>5299</v>
      </c>
      <c r="L23" s="2820" t="s">
        <v>5300</v>
      </c>
      <c r="M23" s="2820" t="s">
        <v>5301</v>
      </c>
      <c r="N23" s="2820" t="s">
        <v>5302</v>
      </c>
      <c r="O23" s="2820" t="s">
        <v>5303</v>
      </c>
      <c r="P23" s="2820" t="s">
        <v>5304</v>
      </c>
      <c r="Q23" s="2820" t="s">
        <v>5305</v>
      </c>
      <c r="R23" s="2820" t="s">
        <v>5306</v>
      </c>
      <c r="S23" s="2820" t="s">
        <v>5307</v>
      </c>
      <c r="T23" s="2820" t="s">
        <v>5308</v>
      </c>
      <c r="U23" s="3028" t="s">
        <v>5309</v>
      </c>
      <c r="V23" s="2408" t="s">
        <v>5310</v>
      </c>
      <c r="W23" s="767" t="s">
        <v>5311</v>
      </c>
      <c r="X23" s="870" t="s">
        <v>5312</v>
      </c>
      <c r="Y23" s="870" t="s">
        <v>5313</v>
      </c>
      <c r="Z23" s="870" t="s">
        <v>5314</v>
      </c>
      <c r="AA23" s="870" t="s">
        <v>5315</v>
      </c>
      <c r="AB23" s="870" t="s">
        <v>5316</v>
      </c>
      <c r="AC23" s="870" t="s">
        <v>5317</v>
      </c>
      <c r="AD23" s="3026" t="s">
        <v>5318</v>
      </c>
      <c r="AE23" s="1687" t="e">
        <f t="shared" si="0"/>
        <v>#VALUE!</v>
      </c>
      <c r="CB23" s="2784" t="e">
        <f t="shared" si="1"/>
        <v>#VALUE!</v>
      </c>
      <c r="CC23" s="2784" t="str">
        <f>IF(AND($D23&lt;&gt;0,X23=""),"* No olvide ingresar la columna "&amp;X$9&amp;""&amp;" (Digite CERO si no tiene).  ",IF(X23&gt;$D23,"* El Número de Control con pareja, familiar u otro no puede superar el Total. ",""))</f>
        <v xml:space="preserve">* El Número de Control con pareja, familiar u otro no puede superar el Total. </v>
      </c>
      <c r="CD23" s="2784" t="str">
        <f>IF(AND($D23&lt;&gt;0,Y23=""),"* No olvide ingresar la columna "&amp;Y$9&amp;""&amp;" (Digite CERO si no tiene).  ",IF(Y23&gt;$D23,"* El Número de Control de diada con presencia del padre no puede superar el Total. ",""))</f>
        <v xml:space="preserve">* El Número de Control de diada con presencia del padre no puede superar el Total. </v>
      </c>
      <c r="CE23" s="2784" t="str">
        <f>IF(AND($D23&lt;&gt;0,Z23=""),"* No olvide ingresar la columna "&amp;Z$9&amp;""&amp;" (Digite CERO si no tiene).  ",IF(Z23&gt;$D23,"* El Número de Espacios Amigables/ Adolescentes no puede superar el Total. ",""))</f>
        <v xml:space="preserve">* El Número de Espacios Amigables/ Adolescentes no puede superar el Total. </v>
      </c>
      <c r="CF23" s="2784" t="str">
        <f>IF(AND($D23&lt;&gt;0,AA23=""),"* No olvide ingresar la columna "&amp;AA$9&amp;""&amp;" (Digite CERO si no tiene).  ",IF(AA23&gt;$D23,"* El Número de Niños, Niñas, Adolescentes y Jóvenes SENAME no puede superar el Total. ",""))</f>
        <v xml:space="preserve">* El Número de Niños, Niñas, Adolescentes y Jóvenes SENAME no puede superar el Total. </v>
      </c>
      <c r="CG23" s="2784" t="str">
        <f>IF(AND($D23&lt;&gt;0,AB23=""),"* No olvide ingresar la columna "&amp;AB$9&amp;""&amp;" (Digite CERO si no tiene).  ",IF(AB23&gt;$D23,"* El Número de Niños, Niñas, Adolescentes y Jóvenes Mejor Niñez no puede superar el Total. ",""))</f>
        <v xml:space="preserve">* El Número de Niños, Niñas, Adolescentes y Jóvenes Mejor Niñez no puede superar el Total. </v>
      </c>
      <c r="CH23" s="2784" t="str">
        <f>IF(AND($D23&lt;&gt;0,AC23=""),"* No olvide ingresar la columna "&amp;AC$9&amp;""&amp;" (Digite CERO si no tiene).  ",IF(AC23&gt;$D23,"* El Número de Pueblos Originarios no puede superar el Total. ",""))</f>
        <v xml:space="preserve">* El Número de Pueblos Originarios no puede superar el Total. </v>
      </c>
      <c r="CI23" s="2784" t="str">
        <f>IF(AND($D23&lt;&gt;0,AD23=""),"* No olvide ingresar la columna "&amp;AD$9&amp;""&amp;" (Digite CERO si no tiene).  ",IF(AD23&gt;$D23,"* El Número de Migrantes no puede superar el Total. ",""))</f>
        <v xml:space="preserve">* El Número de Migrantes no puede superar el Total. </v>
      </c>
      <c r="CJ23" s="2630"/>
      <c r="CL23" s="1725" t="e">
        <f t="shared" si="7"/>
        <v>#VALUE!</v>
      </c>
      <c r="CM23" s="1725">
        <f t="shared" si="13"/>
        <v>1</v>
      </c>
      <c r="CN23" s="1725">
        <f t="shared" si="15"/>
        <v>1</v>
      </c>
      <c r="CO23" s="1725">
        <f>IF(AND(D23&lt;&gt;0,Z23=""),1,IF(Z23&gt;D23,1,0))</f>
        <v>1</v>
      </c>
      <c r="CP23" s="1725">
        <f t="shared" si="8"/>
        <v>1</v>
      </c>
      <c r="CQ23" s="1725">
        <f t="shared" si="9"/>
        <v>1</v>
      </c>
      <c r="CR23" s="1725">
        <f t="shared" si="10"/>
        <v>1</v>
      </c>
      <c r="CS23" s="1725">
        <f t="shared" si="11"/>
        <v>1</v>
      </c>
    </row>
    <row r="24" spans="1:97" ht="15" customHeight="1" x14ac:dyDescent="0.3">
      <c r="A24" s="6234" t="s">
        <v>3958</v>
      </c>
      <c r="B24" s="6349"/>
      <c r="C24" s="150" t="s">
        <v>77</v>
      </c>
      <c r="D24" s="1691" t="s">
        <v>5292</v>
      </c>
      <c r="E24" s="2410" t="s">
        <v>5293</v>
      </c>
      <c r="F24" s="197" t="s">
        <v>5294</v>
      </c>
      <c r="G24" s="3021" t="s">
        <v>5295</v>
      </c>
      <c r="H24" s="3021" t="s">
        <v>5296</v>
      </c>
      <c r="I24" s="3021" t="s">
        <v>5297</v>
      </c>
      <c r="J24" s="3021" t="s">
        <v>5298</v>
      </c>
      <c r="K24" s="3021" t="s">
        <v>5299</v>
      </c>
      <c r="L24" s="3021" t="s">
        <v>5300</v>
      </c>
      <c r="M24" s="3021" t="s">
        <v>5301</v>
      </c>
      <c r="N24" s="3021" t="s">
        <v>5302</v>
      </c>
      <c r="O24" s="3021" t="s">
        <v>5303</v>
      </c>
      <c r="P24" s="3021" t="s">
        <v>5304</v>
      </c>
      <c r="Q24" s="3021" t="s">
        <v>5305</v>
      </c>
      <c r="R24" s="3021" t="s">
        <v>5306</v>
      </c>
      <c r="S24" s="3021" t="s">
        <v>5307</v>
      </c>
      <c r="T24" s="3021" t="s">
        <v>5308</v>
      </c>
      <c r="U24" s="3022" t="s">
        <v>5309</v>
      </c>
      <c r="V24" s="3023" t="s">
        <v>5310</v>
      </c>
      <c r="W24" s="770" t="s">
        <v>5311</v>
      </c>
      <c r="X24" s="117" t="s">
        <v>5312</v>
      </c>
      <c r="Y24" s="117" t="s">
        <v>5313</v>
      </c>
      <c r="Z24" s="117" t="s">
        <v>5314</v>
      </c>
      <c r="AA24" s="117" t="s">
        <v>5315</v>
      </c>
      <c r="AB24" s="117" t="s">
        <v>5316</v>
      </c>
      <c r="AC24" s="117" t="s">
        <v>5317</v>
      </c>
      <c r="AD24" s="153" t="s">
        <v>5318</v>
      </c>
      <c r="AE24" s="1687" t="e">
        <f t="shared" si="0"/>
        <v>#VALUE!</v>
      </c>
      <c r="CB24" s="2784" t="e">
        <f t="shared" si="1"/>
        <v>#VALUE!</v>
      </c>
      <c r="CC24" s="2784" t="str">
        <f t="shared" ref="CC24:CC26" si="16">IF(AND($D24&lt;&gt;0,X24=""),"* No olvide ingresar la columna "&amp;X$9&amp;""&amp;" (Digite CERO si no tiene).  ",IF(X24&gt;$D24,"* El Número de Control con pareja, familiar u otro no puede superar el Total. ",""))</f>
        <v xml:space="preserve">* El Número de Control con pareja, familiar u otro no puede superar el Total. </v>
      </c>
      <c r="CD24" s="2784" t="str">
        <f>IF(AND($D24&lt;&gt;0,Y24=""),"* No olvide ingresar la columna "&amp;Y$9&amp;""&amp;" (Digite CERO si no tiene).  ",IF(Y24&gt;$D24,"* El Número de Control de diada con presencia del padre no puede superar el Total. ",""))</f>
        <v xml:space="preserve">* El Número de Control de diada con presencia del padre no puede superar el Total. </v>
      </c>
      <c r="CE24" s="2784" t="str">
        <f t="shared" ref="CE24:CE32" si="17">IF(AND($D24&lt;&gt;0,Z24=""),"* No olvide ingresar la columna "&amp;Z$9&amp;""&amp;" (Digite CERO si no tiene).  ",IF(Z24&gt;$D24,"* El Número de Espacios Amigables/ Adolescentes no puede superar el Total. ",""))</f>
        <v xml:space="preserve">* El Número de Espacios Amigables/ Adolescentes no puede superar el Total. </v>
      </c>
      <c r="CF24" s="2784" t="str">
        <f t="shared" ref="CF24:CF32" si="18">IF(AND($D24&lt;&gt;0,AA24=""),"* No olvide ingresar la columna "&amp;AA$9&amp;""&amp;" (Digite CERO si no tiene).  ",IF(AA24&gt;$D24,"* El Número de Niños, Niñas, Adolescentes y Jóvenes SENAME no puede superar el Total. ",""))</f>
        <v xml:space="preserve">* El Número de Niños, Niñas, Adolescentes y Jóvenes SENAME no puede superar el Total. </v>
      </c>
      <c r="CG24" s="2784" t="str">
        <f t="shared" ref="CG24:CG32" si="19">IF(AND($D24&lt;&gt;0,AB24=""),"* No olvide ingresar la columna "&amp;AB$9&amp;""&amp;" (Digite CERO si no tiene).  ",IF(AB24&gt;$D24,"* El Número de Niños, Niñas, Adolescentes y Jóvenes Mejor Niñez no puede superar el Total. ",""))</f>
        <v xml:space="preserve">* El Número de Niños, Niñas, Adolescentes y Jóvenes Mejor Niñez no puede superar el Total. </v>
      </c>
      <c r="CH24" s="2784" t="str">
        <f>IF(AND($D24&lt;&gt;0,AC24=""),"* No olvide ingresar la columna "&amp;AC$9&amp;""&amp;" (Digite CERO si no tiene).  ",IF(AC24&gt;$D24,"* El Número de Pueblos Originarios no puede superar el Total. ",""))</f>
        <v xml:space="preserve">* El Número de Pueblos Originarios no puede superar el Total. </v>
      </c>
      <c r="CI24" s="2784" t="str">
        <f t="shared" ref="CI24:CI32" si="20">IF(AND($D24&lt;&gt;0,AD24=""),"* No olvide ingresar la columna "&amp;AD$9&amp;""&amp;" (Digite CERO si no tiene).  ",IF(AD24&gt;$D24,"* El Número de Migrantes no puede superar el Total. ",""))</f>
        <v xml:space="preserve">* El Número de Migrantes no puede superar el Total. </v>
      </c>
      <c r="CJ24" s="2630"/>
      <c r="CL24" s="1725" t="e">
        <f t="shared" si="7"/>
        <v>#VALUE!</v>
      </c>
      <c r="CM24" s="1725">
        <f t="shared" si="13"/>
        <v>1</v>
      </c>
      <c r="CN24" s="1725">
        <f t="shared" si="15"/>
        <v>1</v>
      </c>
      <c r="CO24" s="1725">
        <f t="shared" ref="CO24:CO28" si="21">IF(AND(D24&lt;&gt;0,Z24=""),1,IF(Z24&gt;D24,1,0))</f>
        <v>1</v>
      </c>
      <c r="CP24" s="1725">
        <f t="shared" si="8"/>
        <v>1</v>
      </c>
      <c r="CQ24" s="1725">
        <f t="shared" si="9"/>
        <v>1</v>
      </c>
      <c r="CR24" s="1725">
        <f t="shared" si="10"/>
        <v>1</v>
      </c>
      <c r="CS24" s="1725">
        <f t="shared" si="11"/>
        <v>1</v>
      </c>
    </row>
    <row r="25" spans="1:97" ht="15" customHeight="1" x14ac:dyDescent="0.3">
      <c r="A25" s="6234" t="s">
        <v>3959</v>
      </c>
      <c r="B25" s="6379" t="s">
        <v>2386</v>
      </c>
      <c r="C25" s="2786" t="s">
        <v>74</v>
      </c>
      <c r="D25" s="2911" t="s">
        <v>5292</v>
      </c>
      <c r="E25" s="106" t="s">
        <v>5293</v>
      </c>
      <c r="F25" s="1924" t="s">
        <v>5294</v>
      </c>
      <c r="G25" s="1923" t="s">
        <v>5295</v>
      </c>
      <c r="H25" s="1923" t="s">
        <v>5296</v>
      </c>
      <c r="I25" s="1923" t="s">
        <v>5297</v>
      </c>
      <c r="J25" s="1923" t="s">
        <v>5298</v>
      </c>
      <c r="K25" s="1923" t="s">
        <v>5299</v>
      </c>
      <c r="L25" s="1923" t="s">
        <v>5300</v>
      </c>
      <c r="M25" s="1923" t="s">
        <v>5301</v>
      </c>
      <c r="N25" s="1923" t="s">
        <v>5302</v>
      </c>
      <c r="O25" s="1923" t="s">
        <v>5303</v>
      </c>
      <c r="P25" s="1923" t="s">
        <v>5304</v>
      </c>
      <c r="Q25" s="2820" t="s">
        <v>5305</v>
      </c>
      <c r="R25" s="2820" t="s">
        <v>5306</v>
      </c>
      <c r="S25" s="2820" t="s">
        <v>5307</v>
      </c>
      <c r="T25" s="2820" t="s">
        <v>5308</v>
      </c>
      <c r="U25" s="3028" t="s">
        <v>5309</v>
      </c>
      <c r="V25" s="2408" t="s">
        <v>5310</v>
      </c>
      <c r="W25" s="767" t="s">
        <v>5311</v>
      </c>
      <c r="X25" s="870" t="s">
        <v>5312</v>
      </c>
      <c r="Y25" s="870" t="s">
        <v>5313</v>
      </c>
      <c r="Z25" s="870" t="s">
        <v>5314</v>
      </c>
      <c r="AA25" s="870" t="s">
        <v>5315</v>
      </c>
      <c r="AB25" s="870" t="s">
        <v>5316</v>
      </c>
      <c r="AC25" s="870" t="s">
        <v>5317</v>
      </c>
      <c r="AD25" s="3026" t="s">
        <v>5318</v>
      </c>
      <c r="AE25" s="1687" t="e">
        <f t="shared" si="0"/>
        <v>#VALUE!</v>
      </c>
      <c r="CB25" s="2784" t="e">
        <f t="shared" si="1"/>
        <v>#VALUE!</v>
      </c>
      <c r="CC25" s="2784" t="str">
        <f t="shared" si="16"/>
        <v xml:space="preserve">* El Número de Control con pareja, familiar u otro no puede superar el Total. </v>
      </c>
      <c r="CD25" s="2784" t="str">
        <f t="shared" ref="CD25:CD26" si="22">IF(AND($D25&lt;&gt;0,Y25=""),"* No olvide ingresar la columna "&amp;Y$9&amp;""&amp;" (Digite CERO si no tiene).  ",IF(Y25&gt;$D25,"* El Número de Control de diada con presencia del padre no puede superar el Total. ",""))</f>
        <v xml:space="preserve">* El Número de Control de diada con presencia del padre no puede superar el Total. </v>
      </c>
      <c r="CE25" s="2784" t="str">
        <f t="shared" si="17"/>
        <v xml:space="preserve">* El Número de Espacios Amigables/ Adolescentes no puede superar el Total. </v>
      </c>
      <c r="CF25" s="2784" t="str">
        <f t="shared" si="18"/>
        <v xml:space="preserve">* El Número de Niños, Niñas, Adolescentes y Jóvenes SENAME no puede superar el Total. </v>
      </c>
      <c r="CG25" s="2784" t="str">
        <f t="shared" si="19"/>
        <v xml:space="preserve">* El Número de Niños, Niñas, Adolescentes y Jóvenes Mejor Niñez no puede superar el Total. </v>
      </c>
      <c r="CH25" s="2784" t="str">
        <f t="shared" ref="CH25:CH32" si="23">IF(AND($D25&lt;&gt;0,AC25=""),"* No olvide ingresar la columna "&amp;AC$9&amp;""&amp;" (Digite CERO si no tiene).  ",IF(AC25&gt;$D25,"* El Número de Pueblos Originarios no puede superar el Total. ",""))</f>
        <v xml:space="preserve">* El Número de Pueblos Originarios no puede superar el Total. </v>
      </c>
      <c r="CI25" s="2784" t="str">
        <f t="shared" si="20"/>
        <v xml:space="preserve">* El Número de Migrantes no puede superar el Total. </v>
      </c>
      <c r="CJ25" s="2630"/>
      <c r="CL25" s="1725" t="e">
        <f t="shared" si="7"/>
        <v>#VALUE!</v>
      </c>
      <c r="CM25" s="1725">
        <f t="shared" si="13"/>
        <v>1</v>
      </c>
      <c r="CN25" s="1725">
        <f t="shared" si="15"/>
        <v>1</v>
      </c>
      <c r="CO25" s="1725">
        <f t="shared" si="21"/>
        <v>1</v>
      </c>
      <c r="CP25" s="1725">
        <f t="shared" si="8"/>
        <v>1</v>
      </c>
      <c r="CQ25" s="1725">
        <f t="shared" si="9"/>
        <v>1</v>
      </c>
      <c r="CR25" s="1725">
        <f t="shared" si="10"/>
        <v>1</v>
      </c>
      <c r="CS25" s="1725">
        <f t="shared" si="11"/>
        <v>1</v>
      </c>
    </row>
    <row r="26" spans="1:97" ht="15" customHeight="1" x14ac:dyDescent="0.3">
      <c r="A26" s="6234" t="s">
        <v>3960</v>
      </c>
      <c r="B26" s="6350"/>
      <c r="C26" s="150" t="s">
        <v>77</v>
      </c>
      <c r="D26" s="2914" t="s">
        <v>5292</v>
      </c>
      <c r="E26" s="2403" t="s">
        <v>5293</v>
      </c>
      <c r="F26" s="197" t="s">
        <v>5294</v>
      </c>
      <c r="G26" s="3021" t="s">
        <v>5295</v>
      </c>
      <c r="H26" s="3021" t="s">
        <v>5296</v>
      </c>
      <c r="I26" s="3021" t="s">
        <v>5297</v>
      </c>
      <c r="J26" s="3021" t="s">
        <v>5298</v>
      </c>
      <c r="K26" s="3021" t="s">
        <v>5299</v>
      </c>
      <c r="L26" s="3021" t="s">
        <v>5300</v>
      </c>
      <c r="M26" s="3021" t="s">
        <v>5301</v>
      </c>
      <c r="N26" s="3021" t="s">
        <v>5302</v>
      </c>
      <c r="O26" s="3021" t="s">
        <v>5303</v>
      </c>
      <c r="P26" s="3021" t="s">
        <v>5304</v>
      </c>
      <c r="Q26" s="3021" t="s">
        <v>5305</v>
      </c>
      <c r="R26" s="3021" t="s">
        <v>5306</v>
      </c>
      <c r="S26" s="3021" t="s">
        <v>5307</v>
      </c>
      <c r="T26" s="3021" t="s">
        <v>5308</v>
      </c>
      <c r="U26" s="3022" t="s">
        <v>5309</v>
      </c>
      <c r="V26" s="3023" t="s">
        <v>5310</v>
      </c>
      <c r="W26" s="770" t="s">
        <v>5311</v>
      </c>
      <c r="X26" s="117" t="s">
        <v>5312</v>
      </c>
      <c r="Y26" s="117" t="s">
        <v>5313</v>
      </c>
      <c r="Z26" s="117" t="s">
        <v>5314</v>
      </c>
      <c r="AA26" s="117" t="s">
        <v>5315</v>
      </c>
      <c r="AB26" s="117" t="s">
        <v>5316</v>
      </c>
      <c r="AC26" s="117" t="s">
        <v>5317</v>
      </c>
      <c r="AD26" s="153" t="s">
        <v>5318</v>
      </c>
      <c r="AE26" s="1687" t="e">
        <f t="shared" si="0"/>
        <v>#VALUE!</v>
      </c>
      <c r="CB26" s="2784" t="e">
        <f t="shared" si="1"/>
        <v>#VALUE!</v>
      </c>
      <c r="CC26" s="2784" t="str">
        <f t="shared" si="16"/>
        <v xml:space="preserve">* El Número de Control con pareja, familiar u otro no puede superar el Total. </v>
      </c>
      <c r="CD26" s="2784" t="str">
        <f t="shared" si="22"/>
        <v xml:space="preserve">* El Número de Control de diada con presencia del padre no puede superar el Total. </v>
      </c>
      <c r="CE26" s="2784" t="str">
        <f t="shared" si="17"/>
        <v xml:space="preserve">* El Número de Espacios Amigables/ Adolescentes no puede superar el Total. </v>
      </c>
      <c r="CF26" s="2784" t="str">
        <f t="shared" si="18"/>
        <v xml:space="preserve">* El Número de Niños, Niñas, Adolescentes y Jóvenes SENAME no puede superar el Total. </v>
      </c>
      <c r="CG26" s="2784" t="str">
        <f t="shared" si="19"/>
        <v xml:space="preserve">* El Número de Niños, Niñas, Adolescentes y Jóvenes Mejor Niñez no puede superar el Total. </v>
      </c>
      <c r="CH26" s="2784" t="str">
        <f t="shared" si="23"/>
        <v xml:space="preserve">* El Número de Pueblos Originarios no puede superar el Total. </v>
      </c>
      <c r="CI26" s="2784" t="str">
        <f t="shared" si="20"/>
        <v xml:space="preserve">* El Número de Migrantes no puede superar el Total. </v>
      </c>
      <c r="CJ26" s="2630"/>
      <c r="CL26" s="1725" t="e">
        <f t="shared" si="7"/>
        <v>#VALUE!</v>
      </c>
      <c r="CM26" s="1725">
        <f t="shared" si="13"/>
        <v>1</v>
      </c>
      <c r="CN26" s="1725">
        <f t="shared" si="15"/>
        <v>1</v>
      </c>
      <c r="CO26" s="1725">
        <f t="shared" si="21"/>
        <v>1</v>
      </c>
      <c r="CP26" s="1725">
        <f t="shared" si="8"/>
        <v>1</v>
      </c>
      <c r="CQ26" s="1725">
        <f t="shared" si="9"/>
        <v>1</v>
      </c>
      <c r="CR26" s="1725">
        <f t="shared" si="10"/>
        <v>1</v>
      </c>
      <c r="CS26" s="1725">
        <f t="shared" si="11"/>
        <v>1</v>
      </c>
    </row>
    <row r="27" spans="1:97" ht="15" customHeight="1" x14ac:dyDescent="0.3">
      <c r="A27" s="6234" t="s">
        <v>3961</v>
      </c>
      <c r="B27" s="6398" t="s">
        <v>2387</v>
      </c>
      <c r="C27" s="2786" t="s">
        <v>74</v>
      </c>
      <c r="D27" s="2786" t="s">
        <v>5292</v>
      </c>
      <c r="E27" s="2414" t="s">
        <v>5293</v>
      </c>
      <c r="F27" s="2819" t="s">
        <v>5294</v>
      </c>
      <c r="G27" s="320" t="s">
        <v>5295</v>
      </c>
      <c r="H27" s="320" t="s">
        <v>5296</v>
      </c>
      <c r="I27" s="320" t="s">
        <v>5297</v>
      </c>
      <c r="J27" s="320" t="s">
        <v>5298</v>
      </c>
      <c r="K27" s="320" t="s">
        <v>5299</v>
      </c>
      <c r="L27" s="320" t="s">
        <v>5300</v>
      </c>
      <c r="M27" s="320" t="s">
        <v>5301</v>
      </c>
      <c r="N27" s="320" t="s">
        <v>5302</v>
      </c>
      <c r="O27" s="320" t="s">
        <v>5303</v>
      </c>
      <c r="P27" s="320" t="s">
        <v>5304</v>
      </c>
      <c r="Q27" s="320" t="s">
        <v>5305</v>
      </c>
      <c r="R27" s="320" t="s">
        <v>5306</v>
      </c>
      <c r="S27" s="320" t="s">
        <v>5307</v>
      </c>
      <c r="T27" s="320" t="s">
        <v>5308</v>
      </c>
      <c r="U27" s="320" t="s">
        <v>5309</v>
      </c>
      <c r="V27" s="1954" t="s">
        <v>5310</v>
      </c>
      <c r="W27" s="767" t="s">
        <v>5311</v>
      </c>
      <c r="X27" s="147" t="s">
        <v>5312</v>
      </c>
      <c r="Y27" s="3025" t="s">
        <v>5313</v>
      </c>
      <c r="Z27" s="870" t="s">
        <v>5314</v>
      </c>
      <c r="AA27" s="870" t="s">
        <v>5315</v>
      </c>
      <c r="AB27" s="870" t="s">
        <v>5316</v>
      </c>
      <c r="AC27" s="870" t="s">
        <v>5317</v>
      </c>
      <c r="AD27" s="870" t="s">
        <v>5318</v>
      </c>
      <c r="AE27" s="1687" t="e">
        <f t="shared" si="0"/>
        <v>#VALUE!</v>
      </c>
      <c r="CB27" s="2784" t="e">
        <f t="shared" si="1"/>
        <v>#VALUE!</v>
      </c>
      <c r="CC27" s="2630"/>
      <c r="CD27" s="2630"/>
      <c r="CE27" s="2784" t="str">
        <f t="shared" si="17"/>
        <v xml:space="preserve">* El Número de Espacios Amigables/ Adolescentes no puede superar el Total. </v>
      </c>
      <c r="CF27" s="2784" t="str">
        <f t="shared" si="18"/>
        <v xml:space="preserve">* El Número de Niños, Niñas, Adolescentes y Jóvenes SENAME no puede superar el Total. </v>
      </c>
      <c r="CG27" s="2784" t="str">
        <f t="shared" si="19"/>
        <v xml:space="preserve">* El Número de Niños, Niñas, Adolescentes y Jóvenes Mejor Niñez no puede superar el Total. </v>
      </c>
      <c r="CH27" s="2784" t="str">
        <f t="shared" si="23"/>
        <v xml:space="preserve">* El Número de Pueblos Originarios no puede superar el Total. </v>
      </c>
      <c r="CI27" s="2784" t="str">
        <f t="shared" si="20"/>
        <v xml:space="preserve">* El Número de Migrantes no puede superar el Total. </v>
      </c>
      <c r="CJ27" s="2630"/>
      <c r="CL27" s="1725" t="e">
        <f t="shared" si="7"/>
        <v>#VALUE!</v>
      </c>
      <c r="CO27" s="1725">
        <f t="shared" si="21"/>
        <v>1</v>
      </c>
      <c r="CP27" s="1725">
        <f t="shared" si="8"/>
        <v>1</v>
      </c>
      <c r="CQ27" s="1725">
        <f t="shared" si="9"/>
        <v>1</v>
      </c>
      <c r="CR27" s="1725">
        <f t="shared" si="10"/>
        <v>1</v>
      </c>
      <c r="CS27" s="1725">
        <f t="shared" si="11"/>
        <v>1</v>
      </c>
    </row>
    <row r="28" spans="1:97" ht="15" customHeight="1" x14ac:dyDescent="0.3">
      <c r="A28" s="6234" t="s">
        <v>3962</v>
      </c>
      <c r="B28" s="6398"/>
      <c r="C28" s="150" t="s">
        <v>77</v>
      </c>
      <c r="D28" s="911" t="s">
        <v>5292</v>
      </c>
      <c r="E28" s="3019" t="s">
        <v>5293</v>
      </c>
      <c r="F28" s="197" t="s">
        <v>5294</v>
      </c>
      <c r="G28" s="132" t="s">
        <v>5295</v>
      </c>
      <c r="H28" s="132" t="s">
        <v>5296</v>
      </c>
      <c r="I28" s="132" t="s">
        <v>5297</v>
      </c>
      <c r="J28" s="132" t="s">
        <v>5298</v>
      </c>
      <c r="K28" s="132" t="s">
        <v>5299</v>
      </c>
      <c r="L28" s="132" t="s">
        <v>5300</v>
      </c>
      <c r="M28" s="132" t="s">
        <v>5301</v>
      </c>
      <c r="N28" s="132" t="s">
        <v>5302</v>
      </c>
      <c r="O28" s="3020" t="s">
        <v>5303</v>
      </c>
      <c r="P28" s="2411" t="s">
        <v>5304</v>
      </c>
      <c r="Q28" s="2411" t="s">
        <v>5305</v>
      </c>
      <c r="R28" s="132" t="s">
        <v>5306</v>
      </c>
      <c r="S28" s="132" t="s">
        <v>5307</v>
      </c>
      <c r="T28" s="132" t="s">
        <v>5308</v>
      </c>
      <c r="U28" s="132" t="s">
        <v>5309</v>
      </c>
      <c r="V28" s="2841" t="s">
        <v>5310</v>
      </c>
      <c r="W28" s="770" t="s">
        <v>5311</v>
      </c>
      <c r="X28" s="152" t="s">
        <v>5312</v>
      </c>
      <c r="Y28" s="904" t="s">
        <v>5313</v>
      </c>
      <c r="Z28" s="117" t="s">
        <v>5314</v>
      </c>
      <c r="AA28" s="117" t="s">
        <v>5315</v>
      </c>
      <c r="AB28" s="117" t="s">
        <v>5316</v>
      </c>
      <c r="AC28" s="117" t="s">
        <v>5317</v>
      </c>
      <c r="AD28" s="117" t="s">
        <v>5318</v>
      </c>
      <c r="AE28" s="1687" t="e">
        <f t="shared" si="0"/>
        <v>#VALUE!</v>
      </c>
      <c r="CB28" s="2784" t="e">
        <f t="shared" si="1"/>
        <v>#VALUE!</v>
      </c>
      <c r="CC28" s="2630"/>
      <c r="CD28" s="2630"/>
      <c r="CE28" s="2784" t="str">
        <f t="shared" si="17"/>
        <v xml:space="preserve">* El Número de Espacios Amigables/ Adolescentes no puede superar el Total. </v>
      </c>
      <c r="CF28" s="2784" t="str">
        <f t="shared" si="18"/>
        <v xml:space="preserve">* El Número de Niños, Niñas, Adolescentes y Jóvenes SENAME no puede superar el Total. </v>
      </c>
      <c r="CG28" s="2784" t="str">
        <f t="shared" si="19"/>
        <v xml:space="preserve">* El Número de Niños, Niñas, Adolescentes y Jóvenes Mejor Niñez no puede superar el Total. </v>
      </c>
      <c r="CH28" s="2784" t="str">
        <f t="shared" si="23"/>
        <v xml:space="preserve">* El Número de Pueblos Originarios no puede superar el Total. </v>
      </c>
      <c r="CI28" s="2784" t="str">
        <f t="shared" si="20"/>
        <v xml:space="preserve">* El Número de Migrantes no puede superar el Total. </v>
      </c>
      <c r="CJ28" s="2630"/>
      <c r="CL28" s="1725" t="e">
        <f t="shared" si="7"/>
        <v>#VALUE!</v>
      </c>
      <c r="CO28" s="1725">
        <f t="shared" si="21"/>
        <v>1</v>
      </c>
      <c r="CP28" s="1725">
        <f t="shared" si="8"/>
        <v>1</v>
      </c>
      <c r="CQ28" s="1725">
        <f t="shared" si="9"/>
        <v>1</v>
      </c>
      <c r="CR28" s="1725">
        <f t="shared" si="10"/>
        <v>1</v>
      </c>
      <c r="CS28" s="1725">
        <f t="shared" si="11"/>
        <v>1</v>
      </c>
    </row>
    <row r="29" spans="1:97" ht="15" customHeight="1" x14ac:dyDescent="0.3">
      <c r="A29" s="6234" t="s">
        <v>3963</v>
      </c>
      <c r="B29" s="6379" t="s">
        <v>2388</v>
      </c>
      <c r="C29" s="2786" t="s">
        <v>74</v>
      </c>
      <c r="D29" s="2999" t="s">
        <v>5292</v>
      </c>
      <c r="E29" s="2414" t="s">
        <v>5293</v>
      </c>
      <c r="F29" s="2819" t="s">
        <v>5294</v>
      </c>
      <c r="G29" s="2820" t="s">
        <v>5295</v>
      </c>
      <c r="H29" s="2820" t="s">
        <v>5296</v>
      </c>
      <c r="I29" s="2820" t="s">
        <v>5297</v>
      </c>
      <c r="J29" s="2820" t="s">
        <v>5298</v>
      </c>
      <c r="K29" s="2820" t="s">
        <v>5299</v>
      </c>
      <c r="L29" s="2820" t="s">
        <v>5300</v>
      </c>
      <c r="M29" s="2820" t="s">
        <v>5301</v>
      </c>
      <c r="N29" s="320" t="s">
        <v>5302</v>
      </c>
      <c r="O29" s="320" t="s">
        <v>5303</v>
      </c>
      <c r="P29" s="320" t="s">
        <v>5304</v>
      </c>
      <c r="Q29" s="320" t="s">
        <v>5305</v>
      </c>
      <c r="R29" s="2820" t="s">
        <v>5306</v>
      </c>
      <c r="S29" s="2820" t="s">
        <v>5307</v>
      </c>
      <c r="T29" s="2820" t="s">
        <v>5308</v>
      </c>
      <c r="U29" s="3028" t="s">
        <v>5309</v>
      </c>
      <c r="V29" s="2414" t="s">
        <v>5310</v>
      </c>
      <c r="W29" s="767" t="s">
        <v>5311</v>
      </c>
      <c r="X29" s="147" t="s">
        <v>5312</v>
      </c>
      <c r="Y29" s="3025" t="s">
        <v>5313</v>
      </c>
      <c r="Z29" s="875" t="s">
        <v>5314</v>
      </c>
      <c r="AA29" s="875" t="s">
        <v>5315</v>
      </c>
      <c r="AB29" s="875" t="s">
        <v>5316</v>
      </c>
      <c r="AC29" s="870" t="s">
        <v>5317</v>
      </c>
      <c r="AD29" s="3026" t="s">
        <v>5318</v>
      </c>
      <c r="AE29" s="1687" t="e">
        <f t="shared" si="0"/>
        <v>#VALUE!</v>
      </c>
      <c r="CB29" s="2784" t="e">
        <f t="shared" si="1"/>
        <v>#VALUE!</v>
      </c>
      <c r="CC29" s="2630"/>
      <c r="CD29" s="2630"/>
      <c r="CE29" s="2630"/>
      <c r="CF29" s="2630"/>
      <c r="CG29" s="2630"/>
      <c r="CH29" s="2784" t="str">
        <f t="shared" si="23"/>
        <v xml:space="preserve">* El Número de Pueblos Originarios no puede superar el Total. </v>
      </c>
      <c r="CI29" s="2784" t="str">
        <f t="shared" si="20"/>
        <v xml:space="preserve">* El Número de Migrantes no puede superar el Total. </v>
      </c>
      <c r="CJ29" s="2630"/>
      <c r="CL29" s="1725" t="e">
        <f t="shared" si="7"/>
        <v>#VALUE!</v>
      </c>
      <c r="CR29" s="1725">
        <f t="shared" ref="CR29:CR32" si="24">IF(AND($D29&lt;&gt;0,AC29=""),1,IF(AC29&gt;D29,1,0))</f>
        <v>1</v>
      </c>
      <c r="CS29" s="1725">
        <f t="shared" ref="CS29:CS32" si="25">IF(AND($D29&lt;&gt;0,AD29=""),1,IF(AD29&gt;D29,1,0))</f>
        <v>1</v>
      </c>
    </row>
    <row r="30" spans="1:97" ht="15" customHeight="1" x14ac:dyDescent="0.3">
      <c r="A30" s="6234" t="s">
        <v>3964</v>
      </c>
      <c r="B30" s="6350"/>
      <c r="C30" s="150" t="s">
        <v>77</v>
      </c>
      <c r="D30" s="2397" t="s">
        <v>5292</v>
      </c>
      <c r="E30" s="3019" t="s">
        <v>5293</v>
      </c>
      <c r="F30" s="197" t="s">
        <v>5294</v>
      </c>
      <c r="G30" s="1922" t="s">
        <v>5295</v>
      </c>
      <c r="H30" s="1922" t="s">
        <v>5296</v>
      </c>
      <c r="I30" s="1922" t="s">
        <v>5297</v>
      </c>
      <c r="J30" s="1922" t="s">
        <v>5298</v>
      </c>
      <c r="K30" s="1922" t="s">
        <v>5299</v>
      </c>
      <c r="L30" s="1922" t="s">
        <v>5300</v>
      </c>
      <c r="M30" s="1922" t="s">
        <v>5301</v>
      </c>
      <c r="N30" s="3020" t="s">
        <v>5302</v>
      </c>
      <c r="O30" s="3020" t="s">
        <v>5303</v>
      </c>
      <c r="P30" s="2411" t="s">
        <v>5304</v>
      </c>
      <c r="Q30" s="2411" t="s">
        <v>5305</v>
      </c>
      <c r="R30" s="1922" t="s">
        <v>5306</v>
      </c>
      <c r="S30" s="1922" t="s">
        <v>5307</v>
      </c>
      <c r="T30" s="1922" t="s">
        <v>5308</v>
      </c>
      <c r="U30" s="3033" t="s">
        <v>5309</v>
      </c>
      <c r="V30" s="3019" t="s">
        <v>5310</v>
      </c>
      <c r="W30" s="770" t="s">
        <v>5311</v>
      </c>
      <c r="X30" s="152" t="s">
        <v>5312</v>
      </c>
      <c r="Y30" s="904" t="s">
        <v>5313</v>
      </c>
      <c r="Z30" s="211" t="s">
        <v>5314</v>
      </c>
      <c r="AA30" s="211" t="s">
        <v>5315</v>
      </c>
      <c r="AB30" s="211" t="s">
        <v>5316</v>
      </c>
      <c r="AC30" s="117" t="s">
        <v>5317</v>
      </c>
      <c r="AD30" s="153" t="s">
        <v>5318</v>
      </c>
      <c r="AE30" s="1687" t="e">
        <f t="shared" si="0"/>
        <v>#VALUE!</v>
      </c>
      <c r="CB30" s="2784" t="e">
        <f t="shared" si="1"/>
        <v>#VALUE!</v>
      </c>
      <c r="CC30" s="2630"/>
      <c r="CD30" s="2630"/>
      <c r="CE30" s="2630"/>
      <c r="CF30" s="2630"/>
      <c r="CG30" s="2630"/>
      <c r="CH30" s="2784" t="str">
        <f t="shared" si="23"/>
        <v xml:space="preserve">* El Número de Pueblos Originarios no puede superar el Total. </v>
      </c>
      <c r="CI30" s="2784" t="str">
        <f t="shared" si="20"/>
        <v xml:space="preserve">* El Número de Migrantes no puede superar el Total. </v>
      </c>
      <c r="CJ30" s="2630"/>
      <c r="CL30" s="1725" t="e">
        <f t="shared" si="7"/>
        <v>#VALUE!</v>
      </c>
      <c r="CR30" s="1725">
        <f t="shared" si="24"/>
        <v>1</v>
      </c>
      <c r="CS30" s="1725">
        <f t="shared" si="25"/>
        <v>1</v>
      </c>
    </row>
    <row r="31" spans="1:97" ht="15" customHeight="1" x14ac:dyDescent="0.3">
      <c r="A31" s="6234" t="s">
        <v>3965</v>
      </c>
      <c r="B31" s="6349" t="s">
        <v>2389</v>
      </c>
      <c r="C31" s="2786" t="s">
        <v>74</v>
      </c>
      <c r="D31" s="2786" t="s">
        <v>5292</v>
      </c>
      <c r="E31" s="2414" t="s">
        <v>5293</v>
      </c>
      <c r="F31" s="2819" t="s">
        <v>5294</v>
      </c>
      <c r="G31" s="1069" t="s">
        <v>5295</v>
      </c>
      <c r="H31" s="1069" t="s">
        <v>5296</v>
      </c>
      <c r="I31" s="1069" t="s">
        <v>5297</v>
      </c>
      <c r="J31" s="1069" t="s">
        <v>5298</v>
      </c>
      <c r="K31" s="1069" t="s">
        <v>5299</v>
      </c>
      <c r="L31" s="1069" t="s">
        <v>5300</v>
      </c>
      <c r="M31" s="1069" t="s">
        <v>5301</v>
      </c>
      <c r="N31" s="320" t="s">
        <v>5302</v>
      </c>
      <c r="O31" s="320" t="s">
        <v>5303</v>
      </c>
      <c r="P31" s="320" t="s">
        <v>5304</v>
      </c>
      <c r="Q31" s="320" t="s">
        <v>5305</v>
      </c>
      <c r="R31" s="1069" t="s">
        <v>5306</v>
      </c>
      <c r="S31" s="1069" t="s">
        <v>5307</v>
      </c>
      <c r="T31" s="1069" t="s">
        <v>5308</v>
      </c>
      <c r="U31" s="3034" t="s">
        <v>5309</v>
      </c>
      <c r="V31" s="106" t="s">
        <v>5310</v>
      </c>
      <c r="W31" s="767" t="s">
        <v>5311</v>
      </c>
      <c r="X31" s="147" t="s">
        <v>5312</v>
      </c>
      <c r="Y31" s="3025" t="s">
        <v>5313</v>
      </c>
      <c r="Z31" s="870" t="s">
        <v>5314</v>
      </c>
      <c r="AA31" s="870" t="s">
        <v>5315</v>
      </c>
      <c r="AB31" s="870" t="s">
        <v>5316</v>
      </c>
      <c r="AC31" s="870" t="s">
        <v>5317</v>
      </c>
      <c r="AD31" s="3026" t="s">
        <v>5318</v>
      </c>
      <c r="AE31" s="1687" t="e">
        <f t="shared" si="0"/>
        <v>#VALUE!</v>
      </c>
      <c r="CB31" s="2784" t="e">
        <f t="shared" si="1"/>
        <v>#VALUE!</v>
      </c>
      <c r="CC31" s="2630"/>
      <c r="CD31" s="2630"/>
      <c r="CE31" s="2784" t="str">
        <f t="shared" si="17"/>
        <v xml:space="preserve">* El Número de Espacios Amigables/ Adolescentes no puede superar el Total. </v>
      </c>
      <c r="CF31" s="2784" t="str">
        <f t="shared" si="18"/>
        <v xml:space="preserve">* El Número de Niños, Niñas, Adolescentes y Jóvenes SENAME no puede superar el Total. </v>
      </c>
      <c r="CG31" s="2784" t="str">
        <f t="shared" si="19"/>
        <v xml:space="preserve">* El Número de Niños, Niñas, Adolescentes y Jóvenes Mejor Niñez no puede superar el Total. </v>
      </c>
      <c r="CH31" s="2784" t="str">
        <f t="shared" si="23"/>
        <v xml:space="preserve">* El Número de Pueblos Originarios no puede superar el Total. </v>
      </c>
      <c r="CI31" s="2784" t="str">
        <f t="shared" si="20"/>
        <v xml:space="preserve">* El Número de Migrantes no puede superar el Total. </v>
      </c>
      <c r="CJ31" s="2630"/>
      <c r="CL31" s="1725" t="e">
        <f t="shared" si="7"/>
        <v>#VALUE!</v>
      </c>
      <c r="CO31" s="1725">
        <f t="shared" ref="CO31:CO32" si="26">IF(AND(D31&lt;&gt;0,Z31=""),1,IF(Z31&gt;D31,1,0))</f>
        <v>1</v>
      </c>
      <c r="CP31" s="1725">
        <f t="shared" ref="CP31" si="27">IF(AND($D31&lt;&gt;0,AA31=""),1,IF(AA31&gt;D31,1,0))</f>
        <v>1</v>
      </c>
      <c r="CQ31" s="1725">
        <f t="shared" ref="CQ31:CQ32" si="28">IF(AND($D31&lt;&gt;0,AB31=""),1,IF(AB31&gt;D31,1,0))</f>
        <v>1</v>
      </c>
      <c r="CR31" s="1725">
        <f t="shared" si="24"/>
        <v>1</v>
      </c>
      <c r="CS31" s="1725">
        <f t="shared" si="25"/>
        <v>1</v>
      </c>
    </row>
    <row r="32" spans="1:97" ht="15" customHeight="1" x14ac:dyDescent="0.3">
      <c r="A32" s="6234" t="s">
        <v>3966</v>
      </c>
      <c r="B32" s="6350"/>
      <c r="C32" s="150" t="s">
        <v>77</v>
      </c>
      <c r="D32" s="150" t="s">
        <v>5292</v>
      </c>
      <c r="E32" s="3019" t="s">
        <v>5293</v>
      </c>
      <c r="F32" s="197" t="s">
        <v>5294</v>
      </c>
      <c r="G32" s="3020" t="s">
        <v>5295</v>
      </c>
      <c r="H32" s="3020" t="s">
        <v>5296</v>
      </c>
      <c r="I32" s="3020" t="s">
        <v>5297</v>
      </c>
      <c r="J32" s="3020" t="s">
        <v>5298</v>
      </c>
      <c r="K32" s="3020" t="s">
        <v>5299</v>
      </c>
      <c r="L32" s="3020" t="s">
        <v>5300</v>
      </c>
      <c r="M32" s="3020" t="s">
        <v>5301</v>
      </c>
      <c r="N32" s="3020" t="s">
        <v>5302</v>
      </c>
      <c r="O32" s="2411" t="s">
        <v>5303</v>
      </c>
      <c r="P32" s="2411" t="s">
        <v>5304</v>
      </c>
      <c r="Q32" s="2411" t="s">
        <v>5305</v>
      </c>
      <c r="R32" s="3020" t="s">
        <v>5306</v>
      </c>
      <c r="S32" s="3020" t="s">
        <v>5307</v>
      </c>
      <c r="T32" s="3020" t="s">
        <v>5308</v>
      </c>
      <c r="U32" s="3035" t="s">
        <v>5309</v>
      </c>
      <c r="V32" s="3023" t="s">
        <v>5310</v>
      </c>
      <c r="W32" s="770" t="s">
        <v>5311</v>
      </c>
      <c r="X32" s="152" t="s">
        <v>5312</v>
      </c>
      <c r="Y32" s="904" t="s">
        <v>5313</v>
      </c>
      <c r="Z32" s="117" t="s">
        <v>5314</v>
      </c>
      <c r="AA32" s="117" t="s">
        <v>5315</v>
      </c>
      <c r="AB32" s="117" t="s">
        <v>5316</v>
      </c>
      <c r="AC32" s="117" t="s">
        <v>5317</v>
      </c>
      <c r="AD32" s="153" t="s">
        <v>5318</v>
      </c>
      <c r="AE32" s="1687" t="e">
        <f t="shared" si="0"/>
        <v>#VALUE!</v>
      </c>
      <c r="CB32" s="2784" t="e">
        <f t="shared" si="1"/>
        <v>#VALUE!</v>
      </c>
      <c r="CC32" s="2630"/>
      <c r="CD32" s="2630"/>
      <c r="CE32" s="2784" t="str">
        <f t="shared" si="17"/>
        <v xml:space="preserve">* El Número de Espacios Amigables/ Adolescentes no puede superar el Total. </v>
      </c>
      <c r="CF32" s="2784" t="str">
        <f t="shared" si="18"/>
        <v xml:space="preserve">* El Número de Niños, Niñas, Adolescentes y Jóvenes SENAME no puede superar el Total. </v>
      </c>
      <c r="CG32" s="2784" t="str">
        <f t="shared" si="19"/>
        <v xml:space="preserve">* El Número de Niños, Niñas, Adolescentes y Jóvenes Mejor Niñez no puede superar el Total. </v>
      </c>
      <c r="CH32" s="2784" t="str">
        <f t="shared" si="23"/>
        <v xml:space="preserve">* El Número de Pueblos Originarios no puede superar el Total. </v>
      </c>
      <c r="CI32" s="2784" t="str">
        <f t="shared" si="20"/>
        <v xml:space="preserve">* El Número de Migrantes no puede superar el Total. </v>
      </c>
      <c r="CJ32" s="2630"/>
      <c r="CL32" s="1725" t="e">
        <f t="shared" si="7"/>
        <v>#VALUE!</v>
      </c>
      <c r="CO32" s="1725">
        <f t="shared" si="26"/>
        <v>1</v>
      </c>
      <c r="CP32" s="1725">
        <f>IF(AND($D32&lt;&gt;0,AA32=""),1,IF(AA32&gt;D32,1,0))</f>
        <v>1</v>
      </c>
      <c r="CQ32" s="1725">
        <f t="shared" si="28"/>
        <v>1</v>
      </c>
      <c r="CR32" s="1725">
        <f t="shared" si="24"/>
        <v>1</v>
      </c>
      <c r="CS32" s="1725">
        <f t="shared" si="25"/>
        <v>1</v>
      </c>
    </row>
    <row r="33" spans="1:96" ht="18" customHeight="1" x14ac:dyDescent="0.3">
      <c r="B33" s="123" t="s">
        <v>2390</v>
      </c>
      <c r="C33" s="3011"/>
      <c r="D33" s="3011"/>
      <c r="E33" s="3011"/>
      <c r="F33" s="3011"/>
      <c r="G33" s="3011"/>
      <c r="H33" s="3011"/>
      <c r="I33" s="3011"/>
      <c r="J33" s="3011"/>
      <c r="K33" s="3011"/>
      <c r="L33" s="3011"/>
      <c r="M33" s="3011"/>
      <c r="N33" s="3011"/>
      <c r="O33" s="3011"/>
      <c r="P33" s="3011"/>
      <c r="Q33" s="3011"/>
      <c r="R33" s="3011"/>
      <c r="S33" s="3011"/>
      <c r="T33" s="3011"/>
      <c r="U33" s="3011"/>
      <c r="V33" s="3011"/>
      <c r="W33" s="3011"/>
      <c r="X33" s="3011"/>
      <c r="Y33" s="3011"/>
      <c r="Z33" s="3011"/>
      <c r="AA33" s="3011"/>
      <c r="AB33" s="3011"/>
      <c r="AC33" s="3036"/>
      <c r="AD33" s="3036"/>
      <c r="AE33" s="3036"/>
      <c r="AF33" s="3036"/>
      <c r="AG33" s="3036"/>
      <c r="AH33" s="3036"/>
      <c r="AI33" s="3036"/>
      <c r="AJ33" s="3036"/>
      <c r="AK33" s="3036"/>
      <c r="AL33" s="3036"/>
      <c r="AM33" s="3036"/>
      <c r="AN33" s="3036"/>
      <c r="AO33" s="3036"/>
    </row>
    <row r="34" spans="1:96" ht="23.4" customHeight="1" x14ac:dyDescent="0.3">
      <c r="B34" s="6384" t="s">
        <v>1399</v>
      </c>
      <c r="C34" s="6384" t="s">
        <v>61</v>
      </c>
      <c r="D34" s="6385" t="s">
        <v>24</v>
      </c>
      <c r="E34" s="6386"/>
      <c r="F34" s="6387"/>
      <c r="G34" s="6388" t="s">
        <v>12</v>
      </c>
      <c r="H34" s="6389"/>
      <c r="I34" s="6389"/>
      <c r="J34" s="6389"/>
      <c r="K34" s="6389"/>
      <c r="L34" s="6389"/>
      <c r="M34" s="6389"/>
      <c r="N34" s="6389"/>
      <c r="O34" s="6389"/>
      <c r="P34" s="6389"/>
      <c r="Q34" s="6389"/>
      <c r="R34" s="6389"/>
      <c r="S34" s="6389"/>
      <c r="T34" s="6389"/>
      <c r="U34" s="6389"/>
      <c r="V34" s="6389"/>
      <c r="W34" s="6389"/>
      <c r="X34" s="6389"/>
      <c r="Y34" s="6389"/>
      <c r="Z34" s="6389"/>
      <c r="AA34" s="6389"/>
      <c r="AB34" s="6389"/>
      <c r="AC34" s="6389"/>
      <c r="AD34" s="6389"/>
      <c r="AE34" s="6389"/>
      <c r="AF34" s="6389"/>
      <c r="AG34" s="6389"/>
      <c r="AH34" s="6389"/>
      <c r="AI34" s="6390"/>
      <c r="AJ34" s="6391" t="s">
        <v>2391</v>
      </c>
      <c r="AK34" s="6392"/>
      <c r="AL34" s="6377" t="s">
        <v>40</v>
      </c>
      <c r="AM34" s="6377" t="s">
        <v>45</v>
      </c>
      <c r="AN34" s="6377" t="s">
        <v>2</v>
      </c>
      <c r="AO34" s="6377" t="s">
        <v>3</v>
      </c>
    </row>
    <row r="35" spans="1:96" ht="30.6" x14ac:dyDescent="0.3">
      <c r="B35" s="6339"/>
      <c r="C35" s="6339"/>
      <c r="D35" s="2740" t="s">
        <v>26</v>
      </c>
      <c r="E35" s="3014" t="s">
        <v>22</v>
      </c>
      <c r="F35" s="3037" t="s">
        <v>27</v>
      </c>
      <c r="G35" s="2993" t="s">
        <v>2742</v>
      </c>
      <c r="H35" s="2768" t="s">
        <v>547</v>
      </c>
      <c r="I35" s="2768" t="s">
        <v>548</v>
      </c>
      <c r="J35" s="2768" t="s">
        <v>549</v>
      </c>
      <c r="K35" s="3038" t="s">
        <v>550</v>
      </c>
      <c r="L35" s="2768" t="s">
        <v>2392</v>
      </c>
      <c r="M35" s="2768" t="s">
        <v>552</v>
      </c>
      <c r="N35" s="2768" t="s">
        <v>2393</v>
      </c>
      <c r="O35" s="2768" t="s">
        <v>2446</v>
      </c>
      <c r="P35" s="2768" t="s">
        <v>2394</v>
      </c>
      <c r="Q35" s="2768" t="s">
        <v>2395</v>
      </c>
      <c r="R35" s="2768" t="s">
        <v>2396</v>
      </c>
      <c r="S35" s="2768" t="s">
        <v>2397</v>
      </c>
      <c r="T35" s="2768" t="s">
        <v>3704</v>
      </c>
      <c r="U35" s="2882" t="s">
        <v>38</v>
      </c>
      <c r="V35" s="2882" t="s">
        <v>4</v>
      </c>
      <c r="W35" s="2882" t="s">
        <v>5</v>
      </c>
      <c r="X35" s="2882" t="s">
        <v>6</v>
      </c>
      <c r="Y35" s="2882" t="s">
        <v>7</v>
      </c>
      <c r="Z35" s="2882" t="s">
        <v>8</v>
      </c>
      <c r="AA35" s="2882" t="s">
        <v>9</v>
      </c>
      <c r="AB35" s="2882" t="s">
        <v>10</v>
      </c>
      <c r="AC35" s="2882" t="s">
        <v>11</v>
      </c>
      <c r="AD35" s="2882" t="s">
        <v>18</v>
      </c>
      <c r="AE35" s="2882" t="s">
        <v>19</v>
      </c>
      <c r="AF35" s="2882" t="s">
        <v>20</v>
      </c>
      <c r="AG35" s="2882" t="s">
        <v>70</v>
      </c>
      <c r="AH35" s="2882" t="s">
        <v>71</v>
      </c>
      <c r="AI35" s="4297" t="s">
        <v>32</v>
      </c>
      <c r="AJ35" s="3039" t="s">
        <v>3866</v>
      </c>
      <c r="AK35" s="3040" t="s">
        <v>2398</v>
      </c>
      <c r="AL35" s="6378"/>
      <c r="AM35" s="6378"/>
      <c r="AN35" s="6378"/>
      <c r="AO35" s="6378"/>
    </row>
    <row r="36" spans="1:96" ht="15" customHeight="1" x14ac:dyDescent="0.3">
      <c r="A36" s="6234" t="s">
        <v>3967</v>
      </c>
      <c r="B36" s="6379" t="s">
        <v>2399</v>
      </c>
      <c r="C36" s="2786" t="s">
        <v>74</v>
      </c>
      <c r="D36" s="2786" t="s">
        <v>5292</v>
      </c>
      <c r="E36" s="3041" t="s">
        <v>5293</v>
      </c>
      <c r="F36" s="3042" t="s">
        <v>5294</v>
      </c>
      <c r="G36" s="2408" t="s">
        <v>5295</v>
      </c>
      <c r="H36" s="320" t="s">
        <v>5296</v>
      </c>
      <c r="I36" s="320" t="s">
        <v>5297</v>
      </c>
      <c r="J36" s="320" t="s">
        <v>5298</v>
      </c>
      <c r="K36" s="3043" t="s">
        <v>5299</v>
      </c>
      <c r="L36" s="3043" t="s">
        <v>5300</v>
      </c>
      <c r="M36" s="320" t="s">
        <v>5301</v>
      </c>
      <c r="N36" s="320" t="s">
        <v>5302</v>
      </c>
      <c r="O36" s="3044" t="s">
        <v>5303</v>
      </c>
      <c r="P36" s="3044" t="s">
        <v>5304</v>
      </c>
      <c r="Q36" s="2844" t="s">
        <v>5305</v>
      </c>
      <c r="R36" s="320" t="s">
        <v>5306</v>
      </c>
      <c r="S36" s="320" t="s">
        <v>5307</v>
      </c>
      <c r="T36" s="320" t="s">
        <v>5308</v>
      </c>
      <c r="U36" s="3043" t="s">
        <v>5309</v>
      </c>
      <c r="V36" s="3043" t="s">
        <v>5310</v>
      </c>
      <c r="W36" s="320" t="s">
        <v>5311</v>
      </c>
      <c r="X36" s="320" t="s">
        <v>5312</v>
      </c>
      <c r="Y36" s="3043" t="s">
        <v>5313</v>
      </c>
      <c r="Z36" s="3043" t="s">
        <v>5314</v>
      </c>
      <c r="AA36" s="2844" t="s">
        <v>5315</v>
      </c>
      <c r="AB36" s="320" t="s">
        <v>5316</v>
      </c>
      <c r="AC36" s="320" t="s">
        <v>5317</v>
      </c>
      <c r="AD36" s="320" t="s">
        <v>5318</v>
      </c>
      <c r="AE36" s="3043" t="s">
        <v>5319</v>
      </c>
      <c r="AF36" s="3043" t="s">
        <v>5320</v>
      </c>
      <c r="AG36" s="320" t="s">
        <v>5321</v>
      </c>
      <c r="AH36" s="320" t="s">
        <v>5322</v>
      </c>
      <c r="AI36" s="3045" t="s">
        <v>5323</v>
      </c>
      <c r="AJ36" s="2408" t="s">
        <v>5324</v>
      </c>
      <c r="AK36" s="2782" t="s">
        <v>5325</v>
      </c>
      <c r="AL36" s="2782" t="s">
        <v>5326</v>
      </c>
      <c r="AM36" s="2782" t="s">
        <v>5327</v>
      </c>
      <c r="AN36" s="2782" t="s">
        <v>5328</v>
      </c>
      <c r="AO36" s="2782" t="s">
        <v>5329</v>
      </c>
      <c r="AP36" s="1687" t="e">
        <f>CB36&amp;CC36&amp;CE36&amp;CF36&amp;CG36&amp;CH36&amp;CI36</f>
        <v>#VALUE!</v>
      </c>
      <c r="CB36" s="2784" t="e">
        <f>IF((E36+F36)&lt;&gt;SUM(G36:AI36)," * El Total de Controles por Sexo (Hombres+Mujeres) no puede ser distinto al desglose por rango etario.","")</f>
        <v>#VALUE!</v>
      </c>
      <c r="CC36" s="2784" t="str">
        <f>IF(AND(SUM(G36:N36)&gt;0,AJ36="")," * No olvide digitar los campos "&amp;AJ$34&amp;""&amp;" de menores de 1 año (Digite CERO si no tiene). ",IF(AJ36&gt;SUM(G36:N36),"* La suma de Control con Presencia del padre de menores de 1 año no puede superar el Total de Controles de menores de 1 año. ",""))</f>
        <v xml:space="preserve">* La suma de Control con Presencia del padre de menores de 1 año no puede superar el Total de Controles de menores de 1 año. </v>
      </c>
      <c r="CD36" s="2784" t="str">
        <f>IF(AND(SUM(O36:Q36)&gt;0,AK36="")," * No olvide digitar los campos "&amp;AJ$34&amp;""&amp;" de 1 año a 3 años 11 meses 29 días (Digite CERO si no tiene). ",IF(AK36&gt;SUM(O36:Q36),"* La suma de Control con Presencia del padre de 1 año a 3 años 11 meses 29 días no puede superar el Total de Controles de 12 a 47 meses. ",""))</f>
        <v xml:space="preserve">* La suma de Control con Presencia del padre de 1 año a 3 años 11 meses 29 días no puede superar el Total de Controles de 12 a 47 meses. </v>
      </c>
      <c r="CE36" s="2784" t="str">
        <f>IF(AND($D36&lt;&gt;0,AL36=""),"* No olvide ingresar la columna "&amp;AL$34&amp;""&amp;" (Digite CERO si no tiene).  ",IF(AL36&gt;$D36,"* El Número de Niños, Niñas, Adolescentes y Jóvenes SENAME no puede superar el Total Ambos Sexos. ",""))</f>
        <v xml:space="preserve">* El Número de Niños, Niñas, Adolescentes y Jóvenes SENAME no puede superar el Total Ambos Sexos. </v>
      </c>
      <c r="CF36" s="2784" t="str">
        <f>IF(AND($D36&lt;&gt;0,AM36=""),"* No olvide ingresar la columna "&amp;AM$34&amp;""&amp;" (Digite CERO si no tiene).  ",IF(AM36&gt;$D36,"* El Número de Niños, Niñas, Adolescentes y Jóvenes Mejor Niñez no puede superar el Total Ambos Sexos. ",""))</f>
        <v xml:space="preserve">* El Número de Niños, Niñas, Adolescentes y Jóvenes Mejor Niñez no puede superar el Total Ambos Sexos. </v>
      </c>
      <c r="CG36" s="2784" t="str">
        <f>IF(AND($D36&lt;&gt;0,AN36=""),"* No olvide ingresar la columna "&amp;AN$34&amp;""&amp;" (Digite CERO si no tiene).  ",IF(AN36&gt;$D36,"* El Número de Pueblos Originarios no puede superar el Total Ambos Sexos. ",""))</f>
        <v xml:space="preserve">* El Número de Pueblos Originarios no puede superar el Total Ambos Sexos. </v>
      </c>
      <c r="CH36" s="2784" t="str">
        <f>IF(AND($D36&lt;&gt;0,AO36=""),"* No olvide ingresar la columna "&amp;AO$34&amp;""&amp;" (Digite CERO si no tiene).  ",IF(AO36&gt;$D36,"* El Número de Migrantes no puede superar el Total Ambos Sexos. ",""))</f>
        <v xml:space="preserve">* El Número de Migrantes no puede superar el Total Ambos Sexos. </v>
      </c>
      <c r="CI36" s="2630"/>
      <c r="CJ36" s="600"/>
      <c r="CL36" s="1725" t="e">
        <f>IF((E36+F36)&lt;&gt;SUM(G36:AI36),1,0)</f>
        <v>#VALUE!</v>
      </c>
      <c r="CM36" s="1725">
        <f>IF(AND(SUM(G36:N36)&gt;0,AJ36=""),1,IF(AJ36&gt;SUM(G36:N36),1,0))</f>
        <v>1</v>
      </c>
      <c r="CN36" s="1725">
        <f>IF(AND(SUM(O36:Q36)&gt;0,AK36=""),1,IF(AK36&gt;SUM(O36:Q36),1,0))</f>
        <v>1</v>
      </c>
      <c r="CO36" s="1725">
        <f>IF(AND($D36&lt;&gt;0,AL36=""),1,IF(AL36&gt;$D36,1,0))</f>
        <v>1</v>
      </c>
      <c r="CP36" s="1725">
        <f>IF(AND($D36&lt;&gt;0,AM36=""),1,IF(AM36&gt;$D36,1,0))</f>
        <v>1</v>
      </c>
      <c r="CQ36" s="1725">
        <f>IF(AND($D36&lt;&gt;0,AN36=""),1,IF(AN36&gt;$D36,1,0))</f>
        <v>1</v>
      </c>
      <c r="CR36" s="1725">
        <f>IF(AND($D36&lt;&gt;0,AO36=""),1,IF(AO36&gt;$D36,1,0))</f>
        <v>1</v>
      </c>
    </row>
    <row r="37" spans="1:96" ht="15" customHeight="1" x14ac:dyDescent="0.3">
      <c r="A37" s="6234" t="s">
        <v>3968</v>
      </c>
      <c r="B37" s="6349"/>
      <c r="C37" s="3046" t="s">
        <v>76</v>
      </c>
      <c r="D37" s="3046" t="s">
        <v>5292</v>
      </c>
      <c r="E37" s="3047" t="s">
        <v>5293</v>
      </c>
      <c r="F37" s="3048" t="s">
        <v>5294</v>
      </c>
      <c r="G37" s="616" t="s">
        <v>5295</v>
      </c>
      <c r="H37" s="3049" t="s">
        <v>5296</v>
      </c>
      <c r="I37" s="3049" t="s">
        <v>5297</v>
      </c>
      <c r="J37" s="617" t="s">
        <v>5298</v>
      </c>
      <c r="K37" s="3049" t="s">
        <v>5299</v>
      </c>
      <c r="L37" s="3049" t="s">
        <v>5300</v>
      </c>
      <c r="M37" s="617" t="s">
        <v>5301</v>
      </c>
      <c r="N37" s="3049" t="s">
        <v>5302</v>
      </c>
      <c r="O37" s="3049" t="s">
        <v>5303</v>
      </c>
      <c r="P37" s="617" t="s">
        <v>5304</v>
      </c>
      <c r="Q37" s="3049" t="s">
        <v>5305</v>
      </c>
      <c r="R37" s="3049" t="s">
        <v>5306</v>
      </c>
      <c r="S37" s="617" t="s">
        <v>5307</v>
      </c>
      <c r="T37" s="3049" t="s">
        <v>5308</v>
      </c>
      <c r="U37" s="3049" t="s">
        <v>5309</v>
      </c>
      <c r="V37" s="617" t="s">
        <v>5310</v>
      </c>
      <c r="W37" s="3049" t="s">
        <v>5311</v>
      </c>
      <c r="X37" s="3049" t="s">
        <v>5312</v>
      </c>
      <c r="Y37" s="617" t="s">
        <v>5313</v>
      </c>
      <c r="Z37" s="3049" t="s">
        <v>5314</v>
      </c>
      <c r="AA37" s="3049" t="s">
        <v>5315</v>
      </c>
      <c r="AB37" s="617" t="s">
        <v>5316</v>
      </c>
      <c r="AC37" s="3049" t="s">
        <v>5317</v>
      </c>
      <c r="AD37" s="3049" t="s">
        <v>5318</v>
      </c>
      <c r="AE37" s="617" t="s">
        <v>5319</v>
      </c>
      <c r="AF37" s="3049" t="s">
        <v>5320</v>
      </c>
      <c r="AG37" s="3049" t="s">
        <v>5321</v>
      </c>
      <c r="AH37" s="617" t="s">
        <v>5322</v>
      </c>
      <c r="AI37" s="3050" t="s">
        <v>5323</v>
      </c>
      <c r="AJ37" s="616" t="s">
        <v>5324</v>
      </c>
      <c r="AK37" s="3051" t="s">
        <v>5325</v>
      </c>
      <c r="AL37" s="3051" t="s">
        <v>5326</v>
      </c>
      <c r="AM37" s="3051" t="s">
        <v>5327</v>
      </c>
      <c r="AN37" s="3051" t="s">
        <v>5328</v>
      </c>
      <c r="AO37" s="3051" t="s">
        <v>5329</v>
      </c>
      <c r="AP37" s="1687" t="e">
        <f t="shared" ref="AP37:AP39" si="29">CB37&amp;CC37&amp;CD37&amp;CE37&amp;CF37&amp;CG37&amp;CH37</f>
        <v>#VALUE!</v>
      </c>
      <c r="CB37" s="2784" t="e">
        <f>IF((E37+F37)&lt;&gt;SUM(G37:AI37)," * El Total de Controles por Sexo (Hombres+Mujeres) no puede ser distinto al desglose por rango etario.","")</f>
        <v>#VALUE!</v>
      </c>
      <c r="CC37" s="2784" t="str">
        <f>IF(AND(SUM(G37:N37)&gt;0,AJ37="")," * No olvide digitar los campos "&amp;AJ$34&amp;""&amp;" de menores de 1 año (Digite CERO si no tiene). ",IF(AJ37&gt;SUM(G37:N37),"* La suma de Control con Presencia del padre de menores de 1 año no puede superar el Total de Controles de menores de 1 año. ",""))</f>
        <v xml:space="preserve">* La suma de Control con Presencia del padre de menores de 1 año no puede superar el Total de Controles de menores de 1 año. </v>
      </c>
      <c r="CD37" s="2784" t="str">
        <f>IF(AND(SUM(O37:Q37)&gt;0,AK37="")," * No olvide digitar los campos "&amp;AJ$34&amp;""&amp;" de 1 año a 3 años 11 meses 29 días (Digite CERO si no tiene). ",IF(AK37&gt;SUM(O37:Q37),"* La suma de Control con Presencia del padre de 1 año a 3 años 11 meses 29 días no puede superar el Total de Controles de 12 a 47 meses. ",""))</f>
        <v xml:space="preserve">* La suma de Control con Presencia del padre de 1 año a 3 años 11 meses 29 días no puede superar el Total de Controles de 12 a 47 meses. </v>
      </c>
      <c r="CE37" s="2784" t="str">
        <f t="shared" ref="CE37:CE39" si="30">IF(AND($D37&lt;&gt;0,AL37=""),"* No olvide ingresar la columna "&amp;AL$34&amp;""&amp;" (Digite CERO si no tiene).  ",IF(AL37&gt;$D37,"* El Número de Niños, Niñas, Adolescentes y Jóvenes SENAME no puede superar el Total Ambos Sexos. ",""))</f>
        <v xml:space="preserve">* El Número de Niños, Niñas, Adolescentes y Jóvenes SENAME no puede superar el Total Ambos Sexos. </v>
      </c>
      <c r="CF37" s="2784" t="str">
        <f t="shared" ref="CF37:CF39" si="31">IF(AND($D37&lt;&gt;0,AM37=""),"* No olvide ingresar la columna "&amp;AM$34&amp;""&amp;" (Digite CERO si no tiene).  ",IF(AM37&gt;$D37,"* El Número de Niños, Niñas, Adolescentes y Jóvenes Mejor Niñez no puede superar el Total Ambos Sexos. ",""))</f>
        <v xml:space="preserve">* El Número de Niños, Niñas, Adolescentes y Jóvenes Mejor Niñez no puede superar el Total Ambos Sexos. </v>
      </c>
      <c r="CG37" s="2784" t="str">
        <f t="shared" ref="CG37:CG39" si="32">IF(AND($D37&lt;&gt;0,AN37=""),"* No olvide ingresar la columna "&amp;AN$34&amp;""&amp;" (Digite CERO si no tiene).  ",IF(AN37&gt;$D37,"* El Número de Pueblos Originarios no puede superar el Total Ambos Sexos. ",""))</f>
        <v xml:space="preserve">* El Número de Pueblos Originarios no puede superar el Total Ambos Sexos. </v>
      </c>
      <c r="CH37" s="2784" t="str">
        <f t="shared" ref="CH37:CH38" si="33">IF(AND($D37&lt;&gt;0,AO37=""),"* No olvide ingresar la columna "&amp;AO$34&amp;""&amp;" (Digite CERO si no tiene).  ",IF(AO37&gt;$D37,"* El Número de Migrantes no puede superar el Total Ambos Sexos. ",""))</f>
        <v xml:space="preserve">* El Número de Migrantes no puede superar el Total Ambos Sexos. </v>
      </c>
      <c r="CI37" s="600"/>
      <c r="CL37" s="1725" t="e">
        <f t="shared" ref="CL37" si="34">IF((E37+F37)&lt;&gt;SUM(G37:AI37),1,0)</f>
        <v>#VALUE!</v>
      </c>
      <c r="CM37" s="1725">
        <f t="shared" ref="CM37" si="35">IF(AND(SUM(G37:N37)&gt;0,AJ37=""),1,IF(AJ37&gt;SUM(G37:N37),1,0))</f>
        <v>1</v>
      </c>
      <c r="CN37" s="1725">
        <f t="shared" ref="CN37" si="36">IF(AND(SUM(O37:Q37)&gt;0,AK37=""),1,IF(AK37&gt;SUM(O37:Q37),1,0))</f>
        <v>1</v>
      </c>
      <c r="CO37" s="1725">
        <f t="shared" ref="CO37:CO38" si="37">IF(AND($D37&lt;&gt;0,AL37=""),1,IF(AL37&gt;$D37,1,0))</f>
        <v>1</v>
      </c>
      <c r="CP37" s="1725">
        <f t="shared" ref="CP37:CP39" si="38">IF(AND($D37&lt;&gt;0,AM37=""),1,IF(AM37&gt;$D37,1,0))</f>
        <v>1</v>
      </c>
      <c r="CQ37" s="1725">
        <f t="shared" ref="CQ37:CQ39" si="39">IF(AND($D37&lt;&gt;0,AN37=""),1,IF(AN37&gt;$D37,1,0))</f>
        <v>1</v>
      </c>
      <c r="CR37" s="1725">
        <f t="shared" ref="CR37:CR39" si="40">IF(AND($D37&lt;&gt;0,AO37=""),1,IF(AO37&gt;$D37,1,0))</f>
        <v>1</v>
      </c>
    </row>
    <row r="38" spans="1:96" ht="15" customHeight="1" x14ac:dyDescent="0.3">
      <c r="A38" s="6234" t="s">
        <v>3969</v>
      </c>
      <c r="B38" s="6349"/>
      <c r="C38" s="3046" t="s">
        <v>77</v>
      </c>
      <c r="D38" s="911" t="s">
        <v>5292</v>
      </c>
      <c r="E38" s="3047" t="s">
        <v>5293</v>
      </c>
      <c r="F38" s="3048" t="s">
        <v>5294</v>
      </c>
      <c r="G38" s="616" t="s">
        <v>5295</v>
      </c>
      <c r="H38" s="3052" t="s">
        <v>5296</v>
      </c>
      <c r="I38" s="3052" t="s">
        <v>5297</v>
      </c>
      <c r="J38" s="3052" t="s">
        <v>5298</v>
      </c>
      <c r="K38" s="3052" t="s">
        <v>5299</v>
      </c>
      <c r="L38" s="3052" t="s">
        <v>5300</v>
      </c>
      <c r="M38" s="3052" t="s">
        <v>5301</v>
      </c>
      <c r="N38" s="3052" t="s">
        <v>5302</v>
      </c>
      <c r="O38" s="3052" t="s">
        <v>5303</v>
      </c>
      <c r="P38" s="3052" t="s">
        <v>5304</v>
      </c>
      <c r="Q38" s="3052" t="s">
        <v>5305</v>
      </c>
      <c r="R38" s="3052" t="s">
        <v>5306</v>
      </c>
      <c r="S38" s="3052" t="s">
        <v>5307</v>
      </c>
      <c r="T38" s="3052" t="s">
        <v>5308</v>
      </c>
      <c r="U38" s="617" t="s">
        <v>5309</v>
      </c>
      <c r="V38" s="617" t="s">
        <v>5310</v>
      </c>
      <c r="W38" s="617" t="s">
        <v>5311</v>
      </c>
      <c r="X38" s="617" t="s">
        <v>5312</v>
      </c>
      <c r="Y38" s="617" t="s">
        <v>5313</v>
      </c>
      <c r="Z38" s="617" t="s">
        <v>5314</v>
      </c>
      <c r="AA38" s="617" t="s">
        <v>5315</v>
      </c>
      <c r="AB38" s="617" t="s">
        <v>5316</v>
      </c>
      <c r="AC38" s="617" t="s">
        <v>5317</v>
      </c>
      <c r="AD38" s="617" t="s">
        <v>5318</v>
      </c>
      <c r="AE38" s="617" t="s">
        <v>5319</v>
      </c>
      <c r="AF38" s="617" t="s">
        <v>5320</v>
      </c>
      <c r="AG38" s="617" t="s">
        <v>5321</v>
      </c>
      <c r="AH38" s="617" t="s">
        <v>5322</v>
      </c>
      <c r="AI38" s="624" t="s">
        <v>5323</v>
      </c>
      <c r="AJ38" s="616" t="s">
        <v>5324</v>
      </c>
      <c r="AK38" s="3053" t="s">
        <v>5325</v>
      </c>
      <c r="AL38" s="3051" t="s">
        <v>5326</v>
      </c>
      <c r="AM38" s="3051" t="s">
        <v>5327</v>
      </c>
      <c r="AN38" s="3051" t="s">
        <v>5328</v>
      </c>
      <c r="AO38" s="3051" t="s">
        <v>5329</v>
      </c>
      <c r="AP38" s="1687" t="e">
        <f t="shared" si="29"/>
        <v>#VALUE!</v>
      </c>
      <c r="CB38" s="2920" t="e">
        <f>IF((E38+F38)&lt;&gt;SUM(G38,U38:AI38)," * El Total de Controles por Sexo (Hombres+Mujeres) no puede ser distinto al desglose por rango etario.","")</f>
        <v>#VALUE!</v>
      </c>
      <c r="CC38" s="2784" t="str">
        <f>IF(AND(G38&gt;0,AJ38="")," * No olvide digitar los campos "&amp;AJ$34&amp;""&amp;" de menores de 1 año (Digite CERO si no tiene). ",IF(AJ38&gt;G38,"* La suma de Control con Presencia del padre de menores de 1 año no puede superar el Total de Controles de menores de 1 año. ",""))</f>
        <v xml:space="preserve">* La suma de Control con Presencia del padre de menores de 1 año no puede superar el Total de Controles de menores de 1 año. </v>
      </c>
      <c r="CD38" s="2630"/>
      <c r="CE38" s="2784" t="str">
        <f t="shared" si="30"/>
        <v xml:space="preserve">* El Número de Niños, Niñas, Adolescentes y Jóvenes SENAME no puede superar el Total Ambos Sexos. </v>
      </c>
      <c r="CF38" s="2784" t="str">
        <f t="shared" si="31"/>
        <v xml:space="preserve">* El Número de Niños, Niñas, Adolescentes y Jóvenes Mejor Niñez no puede superar el Total Ambos Sexos. </v>
      </c>
      <c r="CG38" s="2784" t="str">
        <f t="shared" si="32"/>
        <v xml:space="preserve">* El Número de Pueblos Originarios no puede superar el Total Ambos Sexos. </v>
      </c>
      <c r="CH38" s="2784" t="str">
        <f t="shared" si="33"/>
        <v xml:space="preserve">* El Número de Migrantes no puede superar el Total Ambos Sexos. </v>
      </c>
      <c r="CI38" s="600"/>
      <c r="CL38" s="1725" t="e">
        <f>IF((E38+F38)&lt;&gt;SUM(G38,U38:AI38),1,0)</f>
        <v>#VALUE!</v>
      </c>
      <c r="CM38" s="1725">
        <f>IF(AND(SUM(G38)&gt;0,AJ38=""),1,IF(AJ38&gt;SUM(G38),1,0))</f>
        <v>1</v>
      </c>
      <c r="CO38" s="1725">
        <f t="shared" si="37"/>
        <v>1</v>
      </c>
      <c r="CP38" s="1725">
        <f t="shared" si="38"/>
        <v>1</v>
      </c>
      <c r="CQ38" s="1725">
        <f t="shared" si="39"/>
        <v>1</v>
      </c>
      <c r="CR38" s="1725">
        <f t="shared" si="40"/>
        <v>1</v>
      </c>
    </row>
    <row r="39" spans="1:96" ht="15" customHeight="1" x14ac:dyDescent="0.3">
      <c r="A39" s="6234" t="s">
        <v>3970</v>
      </c>
      <c r="B39" s="6350"/>
      <c r="C39" s="2724" t="s">
        <v>192</v>
      </c>
      <c r="D39" s="150" t="s">
        <v>5292</v>
      </c>
      <c r="E39" s="3054" t="s">
        <v>5293</v>
      </c>
      <c r="F39" s="3055" t="s">
        <v>5294</v>
      </c>
      <c r="G39" s="3029" t="s">
        <v>5295</v>
      </c>
      <c r="H39" s="3056" t="s">
        <v>5296</v>
      </c>
      <c r="I39" s="3056" t="s">
        <v>5297</v>
      </c>
      <c r="J39" s="3056" t="s">
        <v>5298</v>
      </c>
      <c r="K39" s="3056" t="s">
        <v>5299</v>
      </c>
      <c r="L39" s="1922" t="s">
        <v>5300</v>
      </c>
      <c r="M39" s="1922" t="s">
        <v>5301</v>
      </c>
      <c r="N39" s="1922" t="s">
        <v>5302</v>
      </c>
      <c r="O39" s="3057" t="s">
        <v>5303</v>
      </c>
      <c r="P39" s="3020" t="s">
        <v>5304</v>
      </c>
      <c r="Q39" s="3057" t="s">
        <v>5305</v>
      </c>
      <c r="R39" s="3057" t="s">
        <v>5306</v>
      </c>
      <c r="S39" s="3020" t="s">
        <v>5307</v>
      </c>
      <c r="T39" s="3057" t="s">
        <v>5308</v>
      </c>
      <c r="U39" s="1922" t="s">
        <v>5309</v>
      </c>
      <c r="V39" s="1922" t="s">
        <v>5310</v>
      </c>
      <c r="W39" s="1922" t="s">
        <v>5311</v>
      </c>
      <c r="X39" s="1922" t="s">
        <v>5312</v>
      </c>
      <c r="Y39" s="1922" t="s">
        <v>5313</v>
      </c>
      <c r="Z39" s="1922" t="s">
        <v>5314</v>
      </c>
      <c r="AA39" s="1922" t="s">
        <v>5315</v>
      </c>
      <c r="AB39" s="1922" t="s">
        <v>5316</v>
      </c>
      <c r="AC39" s="1922" t="s">
        <v>5317</v>
      </c>
      <c r="AD39" s="1922" t="s">
        <v>5318</v>
      </c>
      <c r="AE39" s="1922" t="s">
        <v>5319</v>
      </c>
      <c r="AF39" s="1922" t="s">
        <v>5320</v>
      </c>
      <c r="AG39" s="1922" t="s">
        <v>5321</v>
      </c>
      <c r="AH39" s="3058" t="s">
        <v>5322</v>
      </c>
      <c r="AI39" s="2848" t="s">
        <v>5323</v>
      </c>
      <c r="AJ39" s="3059" t="s">
        <v>5324</v>
      </c>
      <c r="AK39" s="3060" t="s">
        <v>5325</v>
      </c>
      <c r="AL39" s="3060" t="s">
        <v>5326</v>
      </c>
      <c r="AM39" s="3060" t="s">
        <v>5327</v>
      </c>
      <c r="AN39" s="3060" t="s">
        <v>5328</v>
      </c>
      <c r="AO39" s="3060" t="s">
        <v>5329</v>
      </c>
      <c r="AP39" s="1687" t="e">
        <f t="shared" si="29"/>
        <v>#VALUE!</v>
      </c>
      <c r="CB39" s="2919" t="e">
        <f>IF((E39+F39)&lt;&gt;SUM(O39:T39)," * El Total de Controles por Sexo (Hombres+Mujeres) no puede ser distinto al desglose por rango etario.","")</f>
        <v>#VALUE!</v>
      </c>
      <c r="CC39" s="2630"/>
      <c r="CD39" s="2784" t="str">
        <f>IF(AND(SUM(O39:Q39)&gt;0,AK39="")," * No olvide digitar los campos "&amp;AJ$34&amp;""&amp;" de 1 año a 3 años 11 meses 29 días (Digite CERO si no tiene). ",IF(AK39&gt;SUM(O39:Q39),"* La suma de Control con Presencia del padre de 1 año a 3 años 11 meses 29 días no puede superar el Total de Controles de 12 a 47 meses. ",""))</f>
        <v xml:space="preserve">* La suma de Control con Presencia del padre de 1 año a 3 años 11 meses 29 días no puede superar el Total de Controles de 12 a 47 meses. </v>
      </c>
      <c r="CE39" s="2784" t="str">
        <f t="shared" si="30"/>
        <v xml:space="preserve">* El Número de Niños, Niñas, Adolescentes y Jóvenes SENAME no puede superar el Total Ambos Sexos. </v>
      </c>
      <c r="CF39" s="2784" t="str">
        <f t="shared" si="31"/>
        <v xml:space="preserve">* El Número de Niños, Niñas, Adolescentes y Jóvenes Mejor Niñez no puede superar el Total Ambos Sexos. </v>
      </c>
      <c r="CG39" s="2784" t="str">
        <f t="shared" si="32"/>
        <v xml:space="preserve">* El Número de Pueblos Originarios no puede superar el Total Ambos Sexos. </v>
      </c>
      <c r="CH39" s="2784" t="str">
        <f>IF(AND($D39&lt;&gt;0,AO39=""),"* No olvide ingresar la columna "&amp;AO$34&amp;""&amp;" (Digite CERO si no tiene).  ",IF(AO39&gt;$D39,"* El Número de Migrantes no puede superar el Total Ambos Sexos. ",""))</f>
        <v xml:space="preserve">* El Número de Migrantes no puede superar el Total Ambos Sexos. </v>
      </c>
      <c r="CI39" s="600"/>
      <c r="CL39" s="1725" t="e">
        <f>IF((E39+F39)&lt;&gt;SUM(O39:T39),1,0)</f>
        <v>#VALUE!</v>
      </c>
      <c r="CN39" s="1725">
        <f>IF(AND(SUM(O39:Q39)&gt;0,AK39=""),1,IF(AK39&gt;SUM(O39:Q39),1,0))</f>
        <v>1</v>
      </c>
      <c r="CO39" s="1725">
        <f>IF(AND($D39&lt;&gt;0,AL39=""),1,IF(AL39&gt;$D39,1,0))</f>
        <v>1</v>
      </c>
      <c r="CP39" s="1725">
        <f t="shared" si="38"/>
        <v>1</v>
      </c>
      <c r="CQ39" s="1725">
        <f t="shared" si="39"/>
        <v>1</v>
      </c>
      <c r="CR39" s="1725">
        <f t="shared" si="40"/>
        <v>1</v>
      </c>
    </row>
    <row r="40" spans="1:96" ht="18" customHeight="1" x14ac:dyDescent="0.3">
      <c r="B40" s="3061" t="s">
        <v>2400</v>
      </c>
      <c r="C40" s="2909"/>
      <c r="D40" s="2909"/>
      <c r="E40" s="2909"/>
      <c r="F40" s="777"/>
      <c r="G40" s="3062"/>
      <c r="H40" s="3063"/>
      <c r="I40" s="3064"/>
      <c r="J40" s="3065"/>
      <c r="K40" s="3065"/>
      <c r="L40" s="3065"/>
      <c r="M40" s="3065"/>
      <c r="N40" s="3063"/>
      <c r="O40" s="777"/>
      <c r="P40" s="3065"/>
      <c r="Q40" s="3065"/>
      <c r="R40" s="3065"/>
      <c r="S40" s="3065"/>
      <c r="T40" s="3065"/>
      <c r="U40" s="3063"/>
      <c r="V40" s="3063"/>
      <c r="W40" s="777"/>
      <c r="X40" s="3065"/>
      <c r="Y40" s="3063"/>
      <c r="Z40" s="3063"/>
      <c r="AA40" s="3063"/>
      <c r="AB40" s="777"/>
      <c r="AC40" s="3066"/>
      <c r="AD40" s="3063"/>
      <c r="AE40" s="3063"/>
      <c r="AF40" s="777"/>
      <c r="AG40" s="3063"/>
      <c r="AH40" s="777"/>
      <c r="AI40" s="3065"/>
      <c r="AJ40" s="3065"/>
      <c r="AK40" s="3065"/>
      <c r="AL40" s="3065"/>
      <c r="AM40" s="3065"/>
      <c r="AN40" s="3067"/>
      <c r="AO40" s="3068"/>
      <c r="AP40" s="3069"/>
    </row>
    <row r="41" spans="1:96" ht="15" customHeight="1" x14ac:dyDescent="0.3">
      <c r="B41" s="6380" t="s">
        <v>1399</v>
      </c>
      <c r="C41" s="6380" t="s">
        <v>61</v>
      </c>
      <c r="D41" s="6381" t="s">
        <v>24</v>
      </c>
      <c r="E41" s="6341"/>
      <c r="F41" s="6342"/>
      <c r="G41" s="6374" t="s">
        <v>30</v>
      </c>
      <c r="H41" s="6345"/>
      <c r="I41" s="6345"/>
      <c r="J41" s="6345"/>
      <c r="K41" s="6345"/>
      <c r="L41" s="6345"/>
      <c r="M41" s="6345"/>
      <c r="N41" s="6345"/>
      <c r="O41" s="6345"/>
      <c r="P41" s="6345"/>
      <c r="Q41" s="6345"/>
      <c r="R41" s="6345"/>
      <c r="S41" s="6345"/>
      <c r="T41" s="6345"/>
      <c r="U41" s="6345"/>
      <c r="V41" s="6345"/>
      <c r="W41" s="6345"/>
      <c r="X41" s="6345"/>
      <c r="Y41" s="6345"/>
      <c r="Z41" s="6345"/>
      <c r="AA41" s="6345"/>
      <c r="AB41" s="6345"/>
      <c r="AC41" s="6345"/>
      <c r="AD41" s="6345"/>
      <c r="AE41" s="6345"/>
      <c r="AF41" s="6345"/>
      <c r="AG41" s="6345"/>
      <c r="AH41" s="6345"/>
      <c r="AI41" s="6345"/>
      <c r="AJ41" s="6345"/>
      <c r="AK41" s="6345"/>
      <c r="AL41" s="6345"/>
      <c r="AM41" s="6345"/>
      <c r="AN41" s="6382"/>
      <c r="AO41" s="6341" t="s">
        <v>2</v>
      </c>
      <c r="AP41" s="6323" t="s">
        <v>3</v>
      </c>
    </row>
    <row r="42" spans="1:96" ht="15" customHeight="1" x14ac:dyDescent="0.3">
      <c r="B42" s="6338"/>
      <c r="C42" s="6338"/>
      <c r="D42" s="6343"/>
      <c r="E42" s="6344"/>
      <c r="F42" s="6324"/>
      <c r="G42" s="6374" t="s">
        <v>1229</v>
      </c>
      <c r="H42" s="6375"/>
      <c r="I42" s="6374" t="s">
        <v>1230</v>
      </c>
      <c r="J42" s="6375"/>
      <c r="K42" s="6374" t="s">
        <v>1316</v>
      </c>
      <c r="L42" s="6375"/>
      <c r="M42" s="6374" t="s">
        <v>4</v>
      </c>
      <c r="N42" s="6375"/>
      <c r="O42" s="6371" t="s">
        <v>5</v>
      </c>
      <c r="P42" s="6372"/>
      <c r="Q42" s="6371" t="s">
        <v>6</v>
      </c>
      <c r="R42" s="6372"/>
      <c r="S42" s="6371" t="s">
        <v>7</v>
      </c>
      <c r="T42" s="6372"/>
      <c r="U42" s="6371" t="s">
        <v>8</v>
      </c>
      <c r="V42" s="6372"/>
      <c r="W42" s="6371" t="s">
        <v>9</v>
      </c>
      <c r="X42" s="6372"/>
      <c r="Y42" s="6371" t="s">
        <v>10</v>
      </c>
      <c r="Z42" s="6372"/>
      <c r="AA42" s="6371" t="s">
        <v>11</v>
      </c>
      <c r="AB42" s="6372"/>
      <c r="AC42" s="6371" t="s">
        <v>18</v>
      </c>
      <c r="AD42" s="6372"/>
      <c r="AE42" s="6371" t="s">
        <v>19</v>
      </c>
      <c r="AF42" s="6372"/>
      <c r="AG42" s="6371" t="s">
        <v>20</v>
      </c>
      <c r="AH42" s="6372"/>
      <c r="AI42" s="6371" t="s">
        <v>70</v>
      </c>
      <c r="AJ42" s="6372"/>
      <c r="AK42" s="6371" t="s">
        <v>71</v>
      </c>
      <c r="AL42" s="6372"/>
      <c r="AM42" s="6371" t="s">
        <v>32</v>
      </c>
      <c r="AN42" s="6376"/>
      <c r="AO42" s="6344"/>
      <c r="AP42" s="6373"/>
    </row>
    <row r="43" spans="1:96" ht="15" customHeight="1" x14ac:dyDescent="0.3">
      <c r="B43" s="6339"/>
      <c r="C43" s="6339"/>
      <c r="D43" s="4622" t="s">
        <v>26</v>
      </c>
      <c r="E43" s="3070" t="s">
        <v>22</v>
      </c>
      <c r="F43" s="3071" t="s">
        <v>27</v>
      </c>
      <c r="G43" s="3072" t="s">
        <v>22</v>
      </c>
      <c r="H43" s="2990" t="s">
        <v>27</v>
      </c>
      <c r="I43" s="3072" t="s">
        <v>22</v>
      </c>
      <c r="J43" s="2990" t="s">
        <v>27</v>
      </c>
      <c r="K43" s="3072" t="s">
        <v>22</v>
      </c>
      <c r="L43" s="2990" t="s">
        <v>27</v>
      </c>
      <c r="M43" s="3072" t="s">
        <v>22</v>
      </c>
      <c r="N43" s="2990" t="s">
        <v>27</v>
      </c>
      <c r="O43" s="3072" t="s">
        <v>22</v>
      </c>
      <c r="P43" s="2990" t="s">
        <v>27</v>
      </c>
      <c r="Q43" s="3072" t="s">
        <v>22</v>
      </c>
      <c r="R43" s="2990" t="s">
        <v>27</v>
      </c>
      <c r="S43" s="3072" t="s">
        <v>22</v>
      </c>
      <c r="T43" s="2990" t="s">
        <v>27</v>
      </c>
      <c r="U43" s="3072" t="s">
        <v>22</v>
      </c>
      <c r="V43" s="2990" t="s">
        <v>27</v>
      </c>
      <c r="W43" s="3072" t="s">
        <v>22</v>
      </c>
      <c r="X43" s="2990" t="s">
        <v>27</v>
      </c>
      <c r="Y43" s="3072" t="s">
        <v>22</v>
      </c>
      <c r="Z43" s="2990" t="s">
        <v>27</v>
      </c>
      <c r="AA43" s="3072" t="s">
        <v>22</v>
      </c>
      <c r="AB43" s="2990" t="s">
        <v>27</v>
      </c>
      <c r="AC43" s="3072" t="s">
        <v>22</v>
      </c>
      <c r="AD43" s="2990" t="s">
        <v>27</v>
      </c>
      <c r="AE43" s="3072" t="s">
        <v>22</v>
      </c>
      <c r="AF43" s="2990" t="s">
        <v>27</v>
      </c>
      <c r="AG43" s="3072" t="s">
        <v>22</v>
      </c>
      <c r="AH43" s="2990" t="s">
        <v>27</v>
      </c>
      <c r="AI43" s="3072" t="s">
        <v>22</v>
      </c>
      <c r="AJ43" s="2990" t="s">
        <v>27</v>
      </c>
      <c r="AK43" s="3072" t="s">
        <v>22</v>
      </c>
      <c r="AL43" s="2990" t="s">
        <v>27</v>
      </c>
      <c r="AM43" s="3072" t="s">
        <v>22</v>
      </c>
      <c r="AN43" s="2989" t="s">
        <v>27</v>
      </c>
      <c r="AO43" s="6383"/>
      <c r="AP43" s="6362"/>
    </row>
    <row r="44" spans="1:96" ht="15" customHeight="1" x14ac:dyDescent="0.3">
      <c r="A44" s="6234" t="s">
        <v>3971</v>
      </c>
      <c r="B44" s="6367" t="s">
        <v>2401</v>
      </c>
      <c r="C44" s="2786" t="s">
        <v>74</v>
      </c>
      <c r="D44" s="4623" t="s">
        <v>5292</v>
      </c>
      <c r="E44" s="3073" t="s">
        <v>5293</v>
      </c>
      <c r="F44" s="3074" t="s">
        <v>5294</v>
      </c>
      <c r="G44" s="2414" t="s">
        <v>5295</v>
      </c>
      <c r="H44" s="862" t="s">
        <v>5296</v>
      </c>
      <c r="I44" s="2414" t="s">
        <v>5297</v>
      </c>
      <c r="J44" s="862" t="s">
        <v>5298</v>
      </c>
      <c r="K44" s="2414" t="s">
        <v>5299</v>
      </c>
      <c r="L44" s="862" t="s">
        <v>5300</v>
      </c>
      <c r="M44" s="2408" t="s">
        <v>5301</v>
      </c>
      <c r="N44" s="185" t="s">
        <v>5302</v>
      </c>
      <c r="O44" s="2408" t="s">
        <v>5303</v>
      </c>
      <c r="P44" s="185" t="s">
        <v>5304</v>
      </c>
      <c r="Q44" s="2408" t="s">
        <v>5305</v>
      </c>
      <c r="R44" s="185" t="s">
        <v>5306</v>
      </c>
      <c r="S44" s="2408" t="s">
        <v>5307</v>
      </c>
      <c r="T44" s="185" t="s">
        <v>5308</v>
      </c>
      <c r="U44" s="2408" t="s">
        <v>5309</v>
      </c>
      <c r="V44" s="185" t="s">
        <v>5310</v>
      </c>
      <c r="W44" s="2408" t="s">
        <v>5311</v>
      </c>
      <c r="X44" s="185" t="s">
        <v>5312</v>
      </c>
      <c r="Y44" s="2408" t="s">
        <v>5313</v>
      </c>
      <c r="Z44" s="185" t="s">
        <v>5314</v>
      </c>
      <c r="AA44" s="2408" t="s">
        <v>5315</v>
      </c>
      <c r="AB44" s="185" t="s">
        <v>5316</v>
      </c>
      <c r="AC44" s="2408" t="s">
        <v>5317</v>
      </c>
      <c r="AD44" s="185" t="s">
        <v>5318</v>
      </c>
      <c r="AE44" s="2408" t="s">
        <v>5319</v>
      </c>
      <c r="AF44" s="185" t="s">
        <v>5320</v>
      </c>
      <c r="AG44" s="2408" t="s">
        <v>5321</v>
      </c>
      <c r="AH44" s="185" t="s">
        <v>5322</v>
      </c>
      <c r="AI44" s="2408" t="s">
        <v>5323</v>
      </c>
      <c r="AJ44" s="185" t="s">
        <v>5324</v>
      </c>
      <c r="AK44" s="2408" t="s">
        <v>5325</v>
      </c>
      <c r="AL44" s="185" t="s">
        <v>5326</v>
      </c>
      <c r="AM44" s="2408" t="s">
        <v>5327</v>
      </c>
      <c r="AN44" s="321" t="s">
        <v>5328</v>
      </c>
      <c r="AO44" s="2782" t="s">
        <v>5329</v>
      </c>
      <c r="AP44" s="2782" t="s">
        <v>5330</v>
      </c>
      <c r="AQ44" s="1687" t="str">
        <f>CB44&amp;CC44</f>
        <v xml:space="preserve">* El Número de Pueblos Originarios no puede superar el Total. * El Número de Migrantes no puede superar el Total. </v>
      </c>
      <c r="BV44" s="2630"/>
      <c r="BW44" s="2630"/>
      <c r="BX44" s="2630"/>
      <c r="BY44" s="2630"/>
      <c r="BZ44" s="2630"/>
      <c r="CA44" s="2630"/>
      <c r="CB44" s="2784" t="str">
        <f>IF(AND($D44&lt;&gt;0,AO44=""),"* No olvide ingresar la columna "&amp;AO$41&amp;""&amp;" (Digite CERO si no tiene). ",IF(AO44&gt;$D44,"* El Número de Pueblos Originarios no puede superar el Total. ",""))</f>
        <v xml:space="preserve">* El Número de Pueblos Originarios no puede superar el Total. </v>
      </c>
      <c r="CC44" s="2784" t="str">
        <f>IF(AND($D44&lt;&gt;0,AP44=""),"* No olvide ingresar la columna "&amp;AP$41&amp;""&amp;" (Digite CERO si no tiene). ",IF(AP44&gt;$D44,"* El Número de Migrantes no puede superar el Total. ",""))</f>
        <v xml:space="preserve">* El Número de Migrantes no puede superar el Total. </v>
      </c>
      <c r="CD44" s="2630"/>
      <c r="CE44" s="2630"/>
      <c r="CL44" s="1725">
        <f>IF(AND($D44&lt;&gt;0,AO44=""),1,IF(AO44&gt;$D44,1,0))</f>
        <v>1</v>
      </c>
      <c r="CM44" s="1725">
        <f>IF(AND($D44&lt;&gt;0,AP44=""),1,IF(AP44&gt;$D44,1,0))</f>
        <v>1</v>
      </c>
    </row>
    <row r="45" spans="1:96" ht="15" customHeight="1" x14ac:dyDescent="0.3">
      <c r="A45" s="6234" t="s">
        <v>3972</v>
      </c>
      <c r="B45" s="6349"/>
      <c r="C45" s="3046" t="s">
        <v>76</v>
      </c>
      <c r="D45" s="4624" t="s">
        <v>5292</v>
      </c>
      <c r="E45" s="3075" t="s">
        <v>5293</v>
      </c>
      <c r="F45" s="3076" t="s">
        <v>5294</v>
      </c>
      <c r="G45" s="789" t="s">
        <v>5295</v>
      </c>
      <c r="H45" s="790" t="s">
        <v>5296</v>
      </c>
      <c r="I45" s="3052" t="s">
        <v>5297</v>
      </c>
      <c r="J45" s="790" t="s">
        <v>5298</v>
      </c>
      <c r="K45" s="3052" t="s">
        <v>5299</v>
      </c>
      <c r="L45" s="790" t="s">
        <v>5300</v>
      </c>
      <c r="M45" s="616" t="s">
        <v>5301</v>
      </c>
      <c r="N45" s="626" t="s">
        <v>5302</v>
      </c>
      <c r="O45" s="616" t="s">
        <v>5303</v>
      </c>
      <c r="P45" s="626" t="s">
        <v>5304</v>
      </c>
      <c r="Q45" s="616" t="s">
        <v>5305</v>
      </c>
      <c r="R45" s="626" t="s">
        <v>5306</v>
      </c>
      <c r="S45" s="616" t="s">
        <v>5307</v>
      </c>
      <c r="T45" s="626" t="s">
        <v>5308</v>
      </c>
      <c r="U45" s="616" t="s">
        <v>5309</v>
      </c>
      <c r="V45" s="626" t="s">
        <v>5310</v>
      </c>
      <c r="W45" s="616" t="s">
        <v>5311</v>
      </c>
      <c r="X45" s="626" t="s">
        <v>5312</v>
      </c>
      <c r="Y45" s="616" t="s">
        <v>5313</v>
      </c>
      <c r="Z45" s="626" t="s">
        <v>5314</v>
      </c>
      <c r="AA45" s="616" t="s">
        <v>5315</v>
      </c>
      <c r="AB45" s="626" t="s">
        <v>5316</v>
      </c>
      <c r="AC45" s="616" t="s">
        <v>5317</v>
      </c>
      <c r="AD45" s="626" t="s">
        <v>5318</v>
      </c>
      <c r="AE45" s="616" t="s">
        <v>5319</v>
      </c>
      <c r="AF45" s="626" t="s">
        <v>5320</v>
      </c>
      <c r="AG45" s="616" t="s">
        <v>5321</v>
      </c>
      <c r="AH45" s="626" t="s">
        <v>5322</v>
      </c>
      <c r="AI45" s="616" t="s">
        <v>5323</v>
      </c>
      <c r="AJ45" s="626" t="s">
        <v>5324</v>
      </c>
      <c r="AK45" s="616" t="s">
        <v>5325</v>
      </c>
      <c r="AL45" s="626" t="s">
        <v>5326</v>
      </c>
      <c r="AM45" s="616" t="s">
        <v>5327</v>
      </c>
      <c r="AN45" s="624" t="s">
        <v>5328</v>
      </c>
      <c r="AO45" s="3077" t="s">
        <v>5329</v>
      </c>
      <c r="AP45" s="3077" t="s">
        <v>5330</v>
      </c>
      <c r="AQ45" s="1687" t="str">
        <f t="shared" ref="AQ45:AQ66" si="41">CB45&amp;CC45</f>
        <v xml:space="preserve">* El Número de Pueblos Originarios no puede superar el Total. * El Número de Migrantes no puede superar el Total. </v>
      </c>
      <c r="BV45" s="2630"/>
      <c r="BW45" s="2630"/>
      <c r="BX45" s="2630"/>
      <c r="BY45" s="2630"/>
      <c r="BZ45" s="2630"/>
      <c r="CA45" s="2630"/>
      <c r="CB45" s="2784" t="str">
        <f t="shared" ref="CB45:CB66" si="42">IF(AND($D45&lt;&gt;0,AO45=""),"* No olvide ingresar la columna "&amp;AO$41&amp;""&amp;" (Digite CERO si no tiene). ",IF(AO45&gt;$D45,"* El Número de Pueblos Originarios no puede superar el Total. ",""))</f>
        <v xml:space="preserve">* El Número de Pueblos Originarios no puede superar el Total. </v>
      </c>
      <c r="CC45" s="2784" t="str">
        <f t="shared" ref="CC45:CC66" si="43">IF(AND($D45&lt;&gt;0,AP45=""),"* No olvide ingresar la columna "&amp;AP$41&amp;""&amp;" (Digite CERO si no tiene). ",IF(AP45&gt;$D45,"* El Número de Migrantes no puede superar el Total. ",""))</f>
        <v xml:space="preserve">* El Número de Migrantes no puede superar el Total. </v>
      </c>
      <c r="CD45" s="2630"/>
      <c r="CE45" s="2630"/>
      <c r="CL45" s="1725">
        <f t="shared" ref="CL45:CM66" si="44">IF(AND($D45&lt;&gt;0,AO45=""),1,IF(AO45&gt;$D45,1,0))</f>
        <v>1</v>
      </c>
      <c r="CM45" s="1725">
        <f t="shared" si="44"/>
        <v>1</v>
      </c>
    </row>
    <row r="46" spans="1:96" ht="13.5" customHeight="1" x14ac:dyDescent="0.3">
      <c r="A46" s="6234" t="s">
        <v>3973</v>
      </c>
      <c r="B46" s="6349"/>
      <c r="C46" s="3046" t="s">
        <v>247</v>
      </c>
      <c r="D46" s="4624" t="s">
        <v>5292</v>
      </c>
      <c r="E46" s="3075" t="s">
        <v>5293</v>
      </c>
      <c r="F46" s="3076" t="s">
        <v>5294</v>
      </c>
      <c r="G46" s="1954" t="s">
        <v>5295</v>
      </c>
      <c r="H46" s="3024" t="s">
        <v>5296</v>
      </c>
      <c r="I46" s="1923" t="s">
        <v>5297</v>
      </c>
      <c r="J46" s="3024" t="s">
        <v>5298</v>
      </c>
      <c r="K46" s="1923" t="s">
        <v>5299</v>
      </c>
      <c r="L46" s="3024" t="s">
        <v>5300</v>
      </c>
      <c r="M46" s="616" t="s">
        <v>5301</v>
      </c>
      <c r="N46" s="626" t="s">
        <v>5302</v>
      </c>
      <c r="O46" s="616" t="s">
        <v>5303</v>
      </c>
      <c r="P46" s="626" t="s">
        <v>5304</v>
      </c>
      <c r="Q46" s="616" t="s">
        <v>5305</v>
      </c>
      <c r="R46" s="626" t="s">
        <v>5306</v>
      </c>
      <c r="S46" s="616" t="s">
        <v>5307</v>
      </c>
      <c r="T46" s="626" t="s">
        <v>5308</v>
      </c>
      <c r="U46" s="616" t="s">
        <v>5309</v>
      </c>
      <c r="V46" s="626" t="s">
        <v>5310</v>
      </c>
      <c r="W46" s="616" t="s">
        <v>5311</v>
      </c>
      <c r="X46" s="626" t="s">
        <v>5312</v>
      </c>
      <c r="Y46" s="616" t="s">
        <v>5313</v>
      </c>
      <c r="Z46" s="626" t="s">
        <v>5314</v>
      </c>
      <c r="AA46" s="616" t="s">
        <v>5315</v>
      </c>
      <c r="AB46" s="626" t="s">
        <v>5316</v>
      </c>
      <c r="AC46" s="616" t="s">
        <v>5317</v>
      </c>
      <c r="AD46" s="626" t="s">
        <v>5318</v>
      </c>
      <c r="AE46" s="616" t="s">
        <v>5319</v>
      </c>
      <c r="AF46" s="626" t="s">
        <v>5320</v>
      </c>
      <c r="AG46" s="616" t="s">
        <v>5321</v>
      </c>
      <c r="AH46" s="626" t="s">
        <v>5322</v>
      </c>
      <c r="AI46" s="616" t="s">
        <v>5323</v>
      </c>
      <c r="AJ46" s="626" t="s">
        <v>5324</v>
      </c>
      <c r="AK46" s="616" t="s">
        <v>5325</v>
      </c>
      <c r="AL46" s="626" t="s">
        <v>5326</v>
      </c>
      <c r="AM46" s="616" t="s">
        <v>5327</v>
      </c>
      <c r="AN46" s="624" t="s">
        <v>5328</v>
      </c>
      <c r="AO46" s="3077" t="s">
        <v>5329</v>
      </c>
      <c r="AP46" s="3077" t="s">
        <v>5330</v>
      </c>
      <c r="AQ46" s="1687" t="str">
        <f t="shared" si="41"/>
        <v xml:space="preserve">* El Número de Pueblos Originarios no puede superar el Total. * El Número de Migrantes no puede superar el Total. </v>
      </c>
      <c r="BV46" s="2630"/>
      <c r="BW46" s="2630"/>
      <c r="BX46" s="2630"/>
      <c r="BY46" s="2630"/>
      <c r="BZ46" s="2630"/>
      <c r="CA46" s="2630"/>
      <c r="CB46" s="2784" t="str">
        <f t="shared" si="42"/>
        <v xml:space="preserve">* El Número de Pueblos Originarios no puede superar el Total. </v>
      </c>
      <c r="CC46" s="2784" t="str">
        <f t="shared" si="43"/>
        <v xml:space="preserve">* El Número de Migrantes no puede superar el Total. </v>
      </c>
      <c r="CD46" s="2630"/>
      <c r="CE46" s="2630"/>
      <c r="CL46" s="1725">
        <f t="shared" si="44"/>
        <v>1</v>
      </c>
      <c r="CM46" s="1725">
        <f t="shared" si="44"/>
        <v>1</v>
      </c>
    </row>
    <row r="47" spans="1:96" ht="13.5" customHeight="1" x14ac:dyDescent="0.3">
      <c r="A47" s="6234" t="s">
        <v>3974</v>
      </c>
      <c r="B47" s="6350"/>
      <c r="C47" s="2724" t="s">
        <v>192</v>
      </c>
      <c r="D47" s="4625" t="s">
        <v>5292</v>
      </c>
      <c r="E47" s="3078" t="s">
        <v>5293</v>
      </c>
      <c r="F47" s="3079" t="s">
        <v>5294</v>
      </c>
      <c r="G47" s="1954" t="s">
        <v>5295</v>
      </c>
      <c r="H47" s="3033" t="s">
        <v>5296</v>
      </c>
      <c r="I47" s="1954" t="s">
        <v>5297</v>
      </c>
      <c r="J47" s="3033" t="s">
        <v>5298</v>
      </c>
      <c r="K47" s="1954" t="s">
        <v>5299</v>
      </c>
      <c r="L47" s="3033" t="s">
        <v>5300</v>
      </c>
      <c r="M47" s="3023" t="s">
        <v>5301</v>
      </c>
      <c r="N47" s="3035" t="s">
        <v>5302</v>
      </c>
      <c r="O47" s="3023" t="s">
        <v>5303</v>
      </c>
      <c r="P47" s="3035" t="s">
        <v>5304</v>
      </c>
      <c r="Q47" s="3023" t="s">
        <v>5305</v>
      </c>
      <c r="R47" s="3035" t="s">
        <v>5306</v>
      </c>
      <c r="S47" s="3023" t="s">
        <v>5307</v>
      </c>
      <c r="T47" s="3035" t="s">
        <v>5308</v>
      </c>
      <c r="U47" s="3023" t="s">
        <v>5309</v>
      </c>
      <c r="V47" s="3035" t="s">
        <v>5310</v>
      </c>
      <c r="W47" s="3023" t="s">
        <v>5311</v>
      </c>
      <c r="X47" s="3035" t="s">
        <v>5312</v>
      </c>
      <c r="Y47" s="3023" t="s">
        <v>5313</v>
      </c>
      <c r="Z47" s="3035" t="s">
        <v>5314</v>
      </c>
      <c r="AA47" s="3023" t="s">
        <v>5315</v>
      </c>
      <c r="AB47" s="3035" t="s">
        <v>5316</v>
      </c>
      <c r="AC47" s="3023" t="s">
        <v>5317</v>
      </c>
      <c r="AD47" s="3035" t="s">
        <v>5318</v>
      </c>
      <c r="AE47" s="3023" t="s">
        <v>5319</v>
      </c>
      <c r="AF47" s="3035" t="s">
        <v>5320</v>
      </c>
      <c r="AG47" s="3023" t="s">
        <v>5321</v>
      </c>
      <c r="AH47" s="3035" t="s">
        <v>5322</v>
      </c>
      <c r="AI47" s="3023" t="s">
        <v>5323</v>
      </c>
      <c r="AJ47" s="3035" t="s">
        <v>5324</v>
      </c>
      <c r="AK47" s="3023" t="s">
        <v>5325</v>
      </c>
      <c r="AL47" s="3035" t="s">
        <v>5326</v>
      </c>
      <c r="AM47" s="3023" t="s">
        <v>5327</v>
      </c>
      <c r="AN47" s="3080" t="s">
        <v>5328</v>
      </c>
      <c r="AO47" s="117" t="s">
        <v>5329</v>
      </c>
      <c r="AP47" s="117" t="s">
        <v>5330</v>
      </c>
      <c r="AQ47" s="1687" t="str">
        <f t="shared" si="41"/>
        <v xml:space="preserve">* El Número de Pueblos Originarios no puede superar el Total. * El Número de Migrantes no puede superar el Total. </v>
      </c>
      <c r="BV47" s="2630"/>
      <c r="BW47" s="2630"/>
      <c r="BX47" s="2630"/>
      <c r="BY47" s="2630"/>
      <c r="BZ47" s="2630"/>
      <c r="CA47" s="2630"/>
      <c r="CB47" s="2784" t="str">
        <f t="shared" si="42"/>
        <v xml:space="preserve">* El Número de Pueblos Originarios no puede superar el Total. </v>
      </c>
      <c r="CC47" s="2784" t="str">
        <f t="shared" si="43"/>
        <v xml:space="preserve">* El Número de Migrantes no puede superar el Total. </v>
      </c>
      <c r="CD47" s="2630"/>
      <c r="CE47" s="2630"/>
      <c r="CL47" s="1725">
        <f t="shared" si="44"/>
        <v>1</v>
      </c>
      <c r="CM47" s="1725">
        <f t="shared" si="44"/>
        <v>1</v>
      </c>
    </row>
    <row r="48" spans="1:96" ht="13.5" customHeight="1" x14ac:dyDescent="0.3">
      <c r="A48" s="6234" t="s">
        <v>3975</v>
      </c>
      <c r="B48" s="6349" t="s">
        <v>2402</v>
      </c>
      <c r="C48" s="3081" t="s">
        <v>74</v>
      </c>
      <c r="D48" s="4623" t="s">
        <v>5292</v>
      </c>
      <c r="E48" s="3073" t="s">
        <v>5293</v>
      </c>
      <c r="F48" s="3074" t="s">
        <v>5294</v>
      </c>
      <c r="G48" s="2414" t="s">
        <v>5295</v>
      </c>
      <c r="H48" s="3082" t="s">
        <v>5296</v>
      </c>
      <c r="I48" s="2414" t="s">
        <v>5297</v>
      </c>
      <c r="J48" s="3082" t="s">
        <v>5298</v>
      </c>
      <c r="K48" s="2414" t="s">
        <v>5299</v>
      </c>
      <c r="L48" s="862" t="s">
        <v>5300</v>
      </c>
      <c r="M48" s="2414" t="s">
        <v>5301</v>
      </c>
      <c r="N48" s="862" t="s">
        <v>5302</v>
      </c>
      <c r="O48" s="2414" t="s">
        <v>5303</v>
      </c>
      <c r="P48" s="862" t="s">
        <v>5304</v>
      </c>
      <c r="Q48" s="2414" t="s">
        <v>5305</v>
      </c>
      <c r="R48" s="862" t="s">
        <v>5306</v>
      </c>
      <c r="S48" s="2414" t="s">
        <v>5307</v>
      </c>
      <c r="T48" s="862" t="s">
        <v>5308</v>
      </c>
      <c r="U48" s="2414" t="s">
        <v>5309</v>
      </c>
      <c r="V48" s="862" t="s">
        <v>5310</v>
      </c>
      <c r="W48" s="2414" t="s">
        <v>5311</v>
      </c>
      <c r="X48" s="862" t="s">
        <v>5312</v>
      </c>
      <c r="Y48" s="2414" t="s">
        <v>5313</v>
      </c>
      <c r="Z48" s="862" t="s">
        <v>5314</v>
      </c>
      <c r="AA48" s="2414" t="s">
        <v>5315</v>
      </c>
      <c r="AB48" s="862" t="s">
        <v>5316</v>
      </c>
      <c r="AC48" s="2414" t="s">
        <v>5317</v>
      </c>
      <c r="AD48" s="862" t="s">
        <v>5318</v>
      </c>
      <c r="AE48" s="2414" t="s">
        <v>5319</v>
      </c>
      <c r="AF48" s="862" t="s">
        <v>5320</v>
      </c>
      <c r="AG48" s="2408" t="s">
        <v>5321</v>
      </c>
      <c r="AH48" s="185" t="s">
        <v>5322</v>
      </c>
      <c r="AI48" s="2408" t="s">
        <v>5323</v>
      </c>
      <c r="AJ48" s="185" t="s">
        <v>5324</v>
      </c>
      <c r="AK48" s="2408" t="s">
        <v>5325</v>
      </c>
      <c r="AL48" s="185" t="s">
        <v>5326</v>
      </c>
      <c r="AM48" s="2408" t="s">
        <v>5327</v>
      </c>
      <c r="AN48" s="321" t="s">
        <v>5328</v>
      </c>
      <c r="AO48" s="3083" t="s">
        <v>5329</v>
      </c>
      <c r="AP48" s="3083" t="s">
        <v>5330</v>
      </c>
      <c r="AQ48" s="1687" t="str">
        <f t="shared" si="41"/>
        <v xml:space="preserve">* El Número de Pueblos Originarios no puede superar el Total. * El Número de Migrantes no puede superar el Total. </v>
      </c>
      <c r="BV48" s="2630"/>
      <c r="BW48" s="2630"/>
      <c r="BX48" s="2630"/>
      <c r="BY48" s="2630"/>
      <c r="BZ48" s="2630"/>
      <c r="CA48" s="2630"/>
      <c r="CB48" s="2784" t="str">
        <f t="shared" si="42"/>
        <v xml:space="preserve">* El Número de Pueblos Originarios no puede superar el Total. </v>
      </c>
      <c r="CC48" s="2784" t="str">
        <f t="shared" si="43"/>
        <v xml:space="preserve">* El Número de Migrantes no puede superar el Total. </v>
      </c>
      <c r="CD48" s="2630"/>
      <c r="CE48" s="2630"/>
      <c r="CL48" s="1725">
        <f t="shared" si="44"/>
        <v>1</v>
      </c>
      <c r="CM48" s="1725">
        <f t="shared" si="44"/>
        <v>1</v>
      </c>
    </row>
    <row r="49" spans="1:91" ht="13.5" customHeight="1" x14ac:dyDescent="0.3">
      <c r="A49" s="6234" t="s">
        <v>3976</v>
      </c>
      <c r="B49" s="6349"/>
      <c r="C49" s="3046" t="s">
        <v>76</v>
      </c>
      <c r="D49" s="4626" t="s">
        <v>5292</v>
      </c>
      <c r="E49" s="3084" t="s">
        <v>5293</v>
      </c>
      <c r="F49" s="3085" t="s">
        <v>5294</v>
      </c>
      <c r="G49" s="2841" t="s">
        <v>5295</v>
      </c>
      <c r="H49" s="898" t="s">
        <v>5296</v>
      </c>
      <c r="I49" s="2841" t="s">
        <v>5297</v>
      </c>
      <c r="J49" s="898" t="s">
        <v>5298</v>
      </c>
      <c r="K49" s="2841" t="s">
        <v>5299</v>
      </c>
      <c r="L49" s="2807" t="s">
        <v>5300</v>
      </c>
      <c r="M49" s="2841" t="s">
        <v>5301</v>
      </c>
      <c r="N49" s="2807" t="s">
        <v>5302</v>
      </c>
      <c r="O49" s="2841" t="s">
        <v>5303</v>
      </c>
      <c r="P49" s="2807" t="s">
        <v>5304</v>
      </c>
      <c r="Q49" s="2841" t="s">
        <v>5305</v>
      </c>
      <c r="R49" s="2807" t="s">
        <v>5306</v>
      </c>
      <c r="S49" s="2841" t="s">
        <v>5307</v>
      </c>
      <c r="T49" s="2807" t="s">
        <v>5308</v>
      </c>
      <c r="U49" s="2841" t="s">
        <v>5309</v>
      </c>
      <c r="V49" s="2807" t="s">
        <v>5310</v>
      </c>
      <c r="W49" s="2841" t="s">
        <v>5311</v>
      </c>
      <c r="X49" s="2807" t="s">
        <v>5312</v>
      </c>
      <c r="Y49" s="2841" t="s">
        <v>5313</v>
      </c>
      <c r="Z49" s="2807" t="s">
        <v>5314</v>
      </c>
      <c r="AA49" s="2841" t="s">
        <v>5315</v>
      </c>
      <c r="AB49" s="2807" t="s">
        <v>5316</v>
      </c>
      <c r="AC49" s="2841" t="s">
        <v>5317</v>
      </c>
      <c r="AD49" s="2807" t="s">
        <v>5318</v>
      </c>
      <c r="AE49" s="2841" t="s">
        <v>5319</v>
      </c>
      <c r="AF49" s="2807" t="s">
        <v>5320</v>
      </c>
      <c r="AG49" s="2403" t="s">
        <v>5321</v>
      </c>
      <c r="AH49" s="1382" t="s">
        <v>5322</v>
      </c>
      <c r="AI49" s="2403" t="s">
        <v>5323</v>
      </c>
      <c r="AJ49" s="1382" t="s">
        <v>5324</v>
      </c>
      <c r="AK49" s="2403" t="s">
        <v>5325</v>
      </c>
      <c r="AL49" s="1382" t="s">
        <v>5326</v>
      </c>
      <c r="AM49" s="2403" t="s">
        <v>5327</v>
      </c>
      <c r="AN49" s="3086" t="s">
        <v>5328</v>
      </c>
      <c r="AO49" s="870" t="s">
        <v>5329</v>
      </c>
      <c r="AP49" s="870" t="s">
        <v>5330</v>
      </c>
      <c r="AQ49" s="1687" t="str">
        <f t="shared" si="41"/>
        <v xml:space="preserve">* El Número de Pueblos Originarios no puede superar el Total. * El Número de Migrantes no puede superar el Total. </v>
      </c>
      <c r="BV49" s="2630"/>
      <c r="BW49" s="2630"/>
      <c r="BX49" s="2630"/>
      <c r="BY49" s="2630"/>
      <c r="BZ49" s="2630"/>
      <c r="CA49" s="2630"/>
      <c r="CB49" s="2784" t="str">
        <f t="shared" si="42"/>
        <v xml:space="preserve">* El Número de Pueblos Originarios no puede superar el Total. </v>
      </c>
      <c r="CC49" s="2784" t="str">
        <f t="shared" si="43"/>
        <v xml:space="preserve">* El Número de Migrantes no puede superar el Total. </v>
      </c>
      <c r="CD49" s="2630"/>
      <c r="CE49" s="2630"/>
      <c r="CL49" s="1725">
        <f t="shared" si="44"/>
        <v>1</v>
      </c>
      <c r="CM49" s="1725">
        <f t="shared" si="44"/>
        <v>1</v>
      </c>
    </row>
    <row r="50" spans="1:91" ht="13.5" customHeight="1" x14ac:dyDescent="0.3">
      <c r="A50" s="6234" t="s">
        <v>3977</v>
      </c>
      <c r="B50" s="6350"/>
      <c r="C50" s="322" t="s">
        <v>2403</v>
      </c>
      <c r="D50" s="4625" t="s">
        <v>5292</v>
      </c>
      <c r="E50" s="3087" t="s">
        <v>5293</v>
      </c>
      <c r="F50" s="3088" t="s">
        <v>5294</v>
      </c>
      <c r="G50" s="3019" t="s">
        <v>5295</v>
      </c>
      <c r="H50" s="152" t="s">
        <v>5296</v>
      </c>
      <c r="I50" s="3019" t="s">
        <v>5297</v>
      </c>
      <c r="J50" s="152" t="s">
        <v>5298</v>
      </c>
      <c r="K50" s="3019" t="s">
        <v>5299</v>
      </c>
      <c r="L50" s="3022" t="s">
        <v>5300</v>
      </c>
      <c r="M50" s="3019" t="s">
        <v>5301</v>
      </c>
      <c r="N50" s="3022" t="s">
        <v>5302</v>
      </c>
      <c r="O50" s="3019" t="s">
        <v>5303</v>
      </c>
      <c r="P50" s="3022" t="s">
        <v>5304</v>
      </c>
      <c r="Q50" s="3019" t="s">
        <v>5305</v>
      </c>
      <c r="R50" s="3022" t="s">
        <v>5306</v>
      </c>
      <c r="S50" s="3019" t="s">
        <v>5307</v>
      </c>
      <c r="T50" s="3022" t="s">
        <v>5308</v>
      </c>
      <c r="U50" s="3019" t="s">
        <v>5309</v>
      </c>
      <c r="V50" s="3022" t="s">
        <v>5310</v>
      </c>
      <c r="W50" s="3019" t="s">
        <v>5311</v>
      </c>
      <c r="X50" s="3022" t="s">
        <v>5312</v>
      </c>
      <c r="Y50" s="3019" t="s">
        <v>5313</v>
      </c>
      <c r="Z50" s="3022" t="s">
        <v>5314</v>
      </c>
      <c r="AA50" s="3019" t="s">
        <v>5315</v>
      </c>
      <c r="AB50" s="3022" t="s">
        <v>5316</v>
      </c>
      <c r="AC50" s="3019" t="s">
        <v>5317</v>
      </c>
      <c r="AD50" s="3022" t="s">
        <v>5318</v>
      </c>
      <c r="AE50" s="3019" t="s">
        <v>5319</v>
      </c>
      <c r="AF50" s="3022" t="s">
        <v>5320</v>
      </c>
      <c r="AG50" s="3023" t="s">
        <v>5321</v>
      </c>
      <c r="AH50" s="3035" t="s">
        <v>5322</v>
      </c>
      <c r="AI50" s="3023" t="s">
        <v>5323</v>
      </c>
      <c r="AJ50" s="3035" t="s">
        <v>5324</v>
      </c>
      <c r="AK50" s="3023" t="s">
        <v>5325</v>
      </c>
      <c r="AL50" s="3035" t="s">
        <v>5326</v>
      </c>
      <c r="AM50" s="3023" t="s">
        <v>5327</v>
      </c>
      <c r="AN50" s="3080" t="s">
        <v>5328</v>
      </c>
      <c r="AO50" s="117" t="s">
        <v>5329</v>
      </c>
      <c r="AP50" s="117" t="s">
        <v>5330</v>
      </c>
      <c r="AQ50" s="1687" t="str">
        <f t="shared" si="41"/>
        <v xml:space="preserve">* El Número de Pueblos Originarios no puede superar el Total. * El Número de Migrantes no puede superar el Total. </v>
      </c>
      <c r="BV50" s="2630"/>
      <c r="BW50" s="2630"/>
      <c r="BX50" s="2630"/>
      <c r="BY50" s="2630"/>
      <c r="BZ50" s="2630"/>
      <c r="CA50" s="2630"/>
      <c r="CB50" s="2784" t="str">
        <f t="shared" si="42"/>
        <v xml:space="preserve">* El Número de Pueblos Originarios no puede superar el Total. </v>
      </c>
      <c r="CC50" s="2784" t="str">
        <f t="shared" si="43"/>
        <v xml:space="preserve">* El Número de Migrantes no puede superar el Total. </v>
      </c>
      <c r="CD50" s="2630"/>
      <c r="CE50" s="2630"/>
      <c r="CL50" s="1725">
        <f t="shared" si="44"/>
        <v>1</v>
      </c>
      <c r="CM50" s="1725">
        <f t="shared" si="44"/>
        <v>1</v>
      </c>
    </row>
    <row r="51" spans="1:91" ht="13.5" customHeight="1" x14ac:dyDescent="0.3">
      <c r="A51" s="6234" t="s">
        <v>3978</v>
      </c>
      <c r="B51" s="6368" t="s">
        <v>2404</v>
      </c>
      <c r="C51" s="3089" t="s">
        <v>74</v>
      </c>
      <c r="D51" s="4623" t="s">
        <v>5292</v>
      </c>
      <c r="E51" s="3090" t="s">
        <v>5293</v>
      </c>
      <c r="F51" s="3091" t="s">
        <v>5294</v>
      </c>
      <c r="G51" s="3092" t="s">
        <v>5295</v>
      </c>
      <c r="H51" s="3093" t="s">
        <v>5296</v>
      </c>
      <c r="I51" s="3092" t="s">
        <v>5297</v>
      </c>
      <c r="J51" s="3093" t="s">
        <v>5298</v>
      </c>
      <c r="K51" s="3092" t="s">
        <v>5299</v>
      </c>
      <c r="L51" s="3094" t="s">
        <v>5300</v>
      </c>
      <c r="M51" s="3092" t="s">
        <v>5301</v>
      </c>
      <c r="N51" s="3094" t="s">
        <v>5302</v>
      </c>
      <c r="O51" s="3092" t="s">
        <v>5303</v>
      </c>
      <c r="P51" s="3094" t="s">
        <v>5304</v>
      </c>
      <c r="Q51" s="3092" t="s">
        <v>5305</v>
      </c>
      <c r="R51" s="3094" t="s">
        <v>5306</v>
      </c>
      <c r="S51" s="3092" t="s">
        <v>5307</v>
      </c>
      <c r="T51" s="3094" t="s">
        <v>5308</v>
      </c>
      <c r="U51" s="3092" t="s">
        <v>5309</v>
      </c>
      <c r="V51" s="3094" t="s">
        <v>5310</v>
      </c>
      <c r="W51" s="3092" t="s">
        <v>5311</v>
      </c>
      <c r="X51" s="3094" t="s">
        <v>5312</v>
      </c>
      <c r="Y51" s="3092" t="s">
        <v>5313</v>
      </c>
      <c r="Z51" s="3094" t="s">
        <v>5314</v>
      </c>
      <c r="AA51" s="3092" t="s">
        <v>5315</v>
      </c>
      <c r="AB51" s="3094" t="s">
        <v>5316</v>
      </c>
      <c r="AC51" s="3092" t="s">
        <v>5317</v>
      </c>
      <c r="AD51" s="3094" t="s">
        <v>5318</v>
      </c>
      <c r="AE51" s="3092" t="s">
        <v>5319</v>
      </c>
      <c r="AF51" s="3094" t="s">
        <v>5320</v>
      </c>
      <c r="AG51" s="3095" t="s">
        <v>5321</v>
      </c>
      <c r="AH51" s="3096" t="s">
        <v>5322</v>
      </c>
      <c r="AI51" s="3095" t="s">
        <v>5323</v>
      </c>
      <c r="AJ51" s="3096" t="s">
        <v>5324</v>
      </c>
      <c r="AK51" s="3095" t="s">
        <v>5325</v>
      </c>
      <c r="AL51" s="3096" t="s">
        <v>5326</v>
      </c>
      <c r="AM51" s="3095" t="s">
        <v>5327</v>
      </c>
      <c r="AN51" s="3097" t="s">
        <v>5328</v>
      </c>
      <c r="AO51" s="3098" t="s">
        <v>5329</v>
      </c>
      <c r="AP51" s="3098" t="s">
        <v>5330</v>
      </c>
      <c r="AQ51" s="1687" t="str">
        <f t="shared" si="41"/>
        <v xml:space="preserve">* El Número de Pueblos Originarios no puede superar el Total. * El Número de Migrantes no puede superar el Total. </v>
      </c>
      <c r="BV51" s="2630"/>
      <c r="BW51" s="2630"/>
      <c r="BX51" s="2630"/>
      <c r="BY51" s="2630"/>
      <c r="BZ51" s="2630"/>
      <c r="CA51" s="2630"/>
      <c r="CB51" s="2784" t="str">
        <f t="shared" si="42"/>
        <v xml:space="preserve">* El Número de Pueblos Originarios no puede superar el Total. </v>
      </c>
      <c r="CC51" s="2784" t="str">
        <f t="shared" si="43"/>
        <v xml:space="preserve">* El Número de Migrantes no puede superar el Total. </v>
      </c>
      <c r="CD51" s="2630"/>
      <c r="CE51" s="2630"/>
      <c r="CL51" s="1725">
        <f t="shared" si="44"/>
        <v>1</v>
      </c>
      <c r="CM51" s="1725">
        <f t="shared" si="44"/>
        <v>1</v>
      </c>
    </row>
    <row r="52" spans="1:91" ht="15" customHeight="1" x14ac:dyDescent="0.3">
      <c r="A52" s="6234" t="s">
        <v>3979</v>
      </c>
      <c r="B52" s="6349"/>
      <c r="C52" s="3046" t="s">
        <v>76</v>
      </c>
      <c r="D52" s="4626" t="s">
        <v>5292</v>
      </c>
      <c r="E52" s="3084" t="s">
        <v>5293</v>
      </c>
      <c r="F52" s="3085" t="s">
        <v>5294</v>
      </c>
      <c r="G52" s="2841" t="s">
        <v>5295</v>
      </c>
      <c r="H52" s="898" t="s">
        <v>5296</v>
      </c>
      <c r="I52" s="2841" t="s">
        <v>5297</v>
      </c>
      <c r="J52" s="898" t="s">
        <v>5298</v>
      </c>
      <c r="K52" s="2841" t="s">
        <v>5299</v>
      </c>
      <c r="L52" s="2807" t="s">
        <v>5300</v>
      </c>
      <c r="M52" s="2841" t="s">
        <v>5301</v>
      </c>
      <c r="N52" s="2807" t="s">
        <v>5302</v>
      </c>
      <c r="O52" s="2841" t="s">
        <v>5303</v>
      </c>
      <c r="P52" s="2807" t="s">
        <v>5304</v>
      </c>
      <c r="Q52" s="2841" t="s">
        <v>5305</v>
      </c>
      <c r="R52" s="2807" t="s">
        <v>5306</v>
      </c>
      <c r="S52" s="2841" t="s">
        <v>5307</v>
      </c>
      <c r="T52" s="2807" t="s">
        <v>5308</v>
      </c>
      <c r="U52" s="2841" t="s">
        <v>5309</v>
      </c>
      <c r="V52" s="2807" t="s">
        <v>5310</v>
      </c>
      <c r="W52" s="2841" t="s">
        <v>5311</v>
      </c>
      <c r="X52" s="2807" t="s">
        <v>5312</v>
      </c>
      <c r="Y52" s="2841" t="s">
        <v>5313</v>
      </c>
      <c r="Z52" s="2807" t="s">
        <v>5314</v>
      </c>
      <c r="AA52" s="2841" t="s">
        <v>5315</v>
      </c>
      <c r="AB52" s="2807" t="s">
        <v>5316</v>
      </c>
      <c r="AC52" s="2841" t="s">
        <v>5317</v>
      </c>
      <c r="AD52" s="2807" t="s">
        <v>5318</v>
      </c>
      <c r="AE52" s="2841" t="s">
        <v>5319</v>
      </c>
      <c r="AF52" s="2807" t="s">
        <v>5320</v>
      </c>
      <c r="AG52" s="2403" t="s">
        <v>5321</v>
      </c>
      <c r="AH52" s="1382" t="s">
        <v>5322</v>
      </c>
      <c r="AI52" s="2403" t="s">
        <v>5323</v>
      </c>
      <c r="AJ52" s="1382" t="s">
        <v>5324</v>
      </c>
      <c r="AK52" s="2403" t="s">
        <v>5325</v>
      </c>
      <c r="AL52" s="1382" t="s">
        <v>5326</v>
      </c>
      <c r="AM52" s="2403" t="s">
        <v>5327</v>
      </c>
      <c r="AN52" s="3086" t="s">
        <v>5328</v>
      </c>
      <c r="AO52" s="870" t="s">
        <v>5329</v>
      </c>
      <c r="AP52" s="870" t="s">
        <v>5330</v>
      </c>
      <c r="AQ52" s="1687" t="str">
        <f t="shared" si="41"/>
        <v xml:space="preserve">* El Número de Pueblos Originarios no puede superar el Total. * El Número de Migrantes no puede superar el Total. </v>
      </c>
      <c r="BV52" s="2630"/>
      <c r="BW52" s="2630"/>
      <c r="BX52" s="2630"/>
      <c r="BY52" s="2630"/>
      <c r="BZ52" s="2630"/>
      <c r="CA52" s="2630"/>
      <c r="CB52" s="2784" t="str">
        <f t="shared" si="42"/>
        <v xml:space="preserve">* El Número de Pueblos Originarios no puede superar el Total. </v>
      </c>
      <c r="CC52" s="2784" t="str">
        <f t="shared" si="43"/>
        <v xml:space="preserve">* El Número de Migrantes no puede superar el Total. </v>
      </c>
      <c r="CD52" s="2630"/>
      <c r="CE52" s="2630"/>
      <c r="CL52" s="1725">
        <f t="shared" si="44"/>
        <v>1</v>
      </c>
      <c r="CM52" s="1725">
        <f t="shared" si="44"/>
        <v>1</v>
      </c>
    </row>
    <row r="53" spans="1:91" ht="24.6" customHeight="1" x14ac:dyDescent="0.3">
      <c r="A53" s="6234" t="s">
        <v>3980</v>
      </c>
      <c r="B53" s="6350"/>
      <c r="C53" s="322" t="s">
        <v>2403</v>
      </c>
      <c r="D53" s="4625" t="s">
        <v>5292</v>
      </c>
      <c r="E53" s="3099" t="s">
        <v>5293</v>
      </c>
      <c r="F53" s="3100" t="s">
        <v>5294</v>
      </c>
      <c r="G53" s="3019" t="s">
        <v>5295</v>
      </c>
      <c r="H53" s="152" t="s">
        <v>5296</v>
      </c>
      <c r="I53" s="3019" t="s">
        <v>5297</v>
      </c>
      <c r="J53" s="152" t="s">
        <v>5298</v>
      </c>
      <c r="K53" s="3019" t="s">
        <v>5299</v>
      </c>
      <c r="L53" s="3022" t="s">
        <v>5300</v>
      </c>
      <c r="M53" s="3019" t="s">
        <v>5301</v>
      </c>
      <c r="N53" s="3022" t="s">
        <v>5302</v>
      </c>
      <c r="O53" s="3019" t="s">
        <v>5303</v>
      </c>
      <c r="P53" s="3022" t="s">
        <v>5304</v>
      </c>
      <c r="Q53" s="3019" t="s">
        <v>5305</v>
      </c>
      <c r="R53" s="3022" t="s">
        <v>5306</v>
      </c>
      <c r="S53" s="3019" t="s">
        <v>5307</v>
      </c>
      <c r="T53" s="3022" t="s">
        <v>5308</v>
      </c>
      <c r="U53" s="3019" t="s">
        <v>5309</v>
      </c>
      <c r="V53" s="3022" t="s">
        <v>5310</v>
      </c>
      <c r="W53" s="3019" t="s">
        <v>5311</v>
      </c>
      <c r="X53" s="3022" t="s">
        <v>5312</v>
      </c>
      <c r="Y53" s="3019" t="s">
        <v>5313</v>
      </c>
      <c r="Z53" s="3022" t="s">
        <v>5314</v>
      </c>
      <c r="AA53" s="3019" t="s">
        <v>5315</v>
      </c>
      <c r="AB53" s="3022" t="s">
        <v>5316</v>
      </c>
      <c r="AC53" s="3019" t="s">
        <v>5317</v>
      </c>
      <c r="AD53" s="3022" t="s">
        <v>5318</v>
      </c>
      <c r="AE53" s="3019" t="s">
        <v>5319</v>
      </c>
      <c r="AF53" s="3022" t="s">
        <v>5320</v>
      </c>
      <c r="AG53" s="3023" t="s">
        <v>5321</v>
      </c>
      <c r="AH53" s="3035" t="s">
        <v>5322</v>
      </c>
      <c r="AI53" s="3023" t="s">
        <v>5323</v>
      </c>
      <c r="AJ53" s="3035" t="s">
        <v>5324</v>
      </c>
      <c r="AK53" s="3023" t="s">
        <v>5325</v>
      </c>
      <c r="AL53" s="3035" t="s">
        <v>5326</v>
      </c>
      <c r="AM53" s="3023" t="s">
        <v>5327</v>
      </c>
      <c r="AN53" s="3080" t="s">
        <v>5328</v>
      </c>
      <c r="AO53" s="117" t="s">
        <v>5329</v>
      </c>
      <c r="AP53" s="117" t="s">
        <v>5330</v>
      </c>
      <c r="AQ53" s="1687" t="str">
        <f t="shared" si="41"/>
        <v xml:space="preserve">* El Número de Pueblos Originarios no puede superar el Total. * El Número de Migrantes no puede superar el Total. </v>
      </c>
      <c r="BV53" s="2630"/>
      <c r="BW53" s="2630"/>
      <c r="BX53" s="2630"/>
      <c r="BY53" s="2630"/>
      <c r="BZ53" s="2630"/>
      <c r="CA53" s="2630"/>
      <c r="CB53" s="2784" t="str">
        <f t="shared" si="42"/>
        <v xml:space="preserve">* El Número de Pueblos Originarios no puede superar el Total. </v>
      </c>
      <c r="CC53" s="2784" t="str">
        <f t="shared" si="43"/>
        <v xml:space="preserve">* El Número de Migrantes no puede superar el Total. </v>
      </c>
      <c r="CD53" s="2630"/>
      <c r="CE53" s="2630"/>
      <c r="CL53" s="1725">
        <f t="shared" si="44"/>
        <v>1</v>
      </c>
      <c r="CM53" s="1725">
        <f t="shared" si="44"/>
        <v>1</v>
      </c>
    </row>
    <row r="54" spans="1:91" ht="15" customHeight="1" x14ac:dyDescent="0.3">
      <c r="A54" s="6234" t="s">
        <v>3981</v>
      </c>
      <c r="B54" s="6369" t="s">
        <v>2405</v>
      </c>
      <c r="C54" s="3101" t="s">
        <v>74</v>
      </c>
      <c r="D54" s="4623" t="s">
        <v>5292</v>
      </c>
      <c r="E54" s="3102" t="s">
        <v>5293</v>
      </c>
      <c r="F54" s="3103" t="s">
        <v>5294</v>
      </c>
      <c r="G54" s="3104" t="s">
        <v>5295</v>
      </c>
      <c r="H54" s="3105" t="s">
        <v>5296</v>
      </c>
      <c r="I54" s="3104" t="s">
        <v>5297</v>
      </c>
      <c r="J54" s="3105" t="s">
        <v>5298</v>
      </c>
      <c r="K54" s="3104" t="s">
        <v>5299</v>
      </c>
      <c r="L54" s="3105" t="s">
        <v>5300</v>
      </c>
      <c r="M54" s="3104" t="s">
        <v>5301</v>
      </c>
      <c r="N54" s="3105" t="s">
        <v>5302</v>
      </c>
      <c r="O54" s="3104" t="s">
        <v>5303</v>
      </c>
      <c r="P54" s="3105" t="s">
        <v>5304</v>
      </c>
      <c r="Q54" s="3104" t="s">
        <v>5305</v>
      </c>
      <c r="R54" s="3105" t="s">
        <v>5306</v>
      </c>
      <c r="S54" s="3104" t="s">
        <v>5307</v>
      </c>
      <c r="T54" s="3105" t="s">
        <v>5308</v>
      </c>
      <c r="U54" s="3104" t="s">
        <v>5309</v>
      </c>
      <c r="V54" s="3105" t="s">
        <v>5310</v>
      </c>
      <c r="W54" s="3104" t="s">
        <v>5311</v>
      </c>
      <c r="X54" s="3105" t="s">
        <v>5312</v>
      </c>
      <c r="Y54" s="3104" t="s">
        <v>5313</v>
      </c>
      <c r="Z54" s="3105" t="s">
        <v>5314</v>
      </c>
      <c r="AA54" s="3104" t="s">
        <v>5315</v>
      </c>
      <c r="AB54" s="3105" t="s">
        <v>5316</v>
      </c>
      <c r="AC54" s="3104" t="s">
        <v>5317</v>
      </c>
      <c r="AD54" s="3105" t="s">
        <v>5318</v>
      </c>
      <c r="AE54" s="3104" t="s">
        <v>5319</v>
      </c>
      <c r="AF54" s="3105" t="s">
        <v>5320</v>
      </c>
      <c r="AG54" s="3104" t="s">
        <v>5321</v>
      </c>
      <c r="AH54" s="3105" t="s">
        <v>5322</v>
      </c>
      <c r="AI54" s="3104" t="s">
        <v>5323</v>
      </c>
      <c r="AJ54" s="3105" t="s">
        <v>5324</v>
      </c>
      <c r="AK54" s="3104" t="s">
        <v>5325</v>
      </c>
      <c r="AL54" s="3105" t="s">
        <v>5326</v>
      </c>
      <c r="AM54" s="3104" t="s">
        <v>5327</v>
      </c>
      <c r="AN54" s="3106" t="s">
        <v>5328</v>
      </c>
      <c r="AO54" s="3107" t="s">
        <v>5329</v>
      </c>
      <c r="AP54" s="3107" t="s">
        <v>5330</v>
      </c>
      <c r="AQ54" s="1687" t="str">
        <f t="shared" si="41"/>
        <v xml:space="preserve">* El Número de Pueblos Originarios no puede superar el Total. * El Número de Migrantes no puede superar el Total. </v>
      </c>
      <c r="BV54" s="2630"/>
      <c r="BW54" s="2630"/>
      <c r="BX54" s="2630"/>
      <c r="BY54" s="2630"/>
      <c r="BZ54" s="2630"/>
      <c r="CA54" s="2630"/>
      <c r="CB54" s="2784" t="str">
        <f t="shared" si="42"/>
        <v xml:space="preserve">* El Número de Pueblos Originarios no puede superar el Total. </v>
      </c>
      <c r="CC54" s="2784" t="str">
        <f t="shared" si="43"/>
        <v xml:space="preserve">* El Número de Migrantes no puede superar el Total. </v>
      </c>
      <c r="CD54" s="2630"/>
      <c r="CE54" s="2630"/>
      <c r="CL54" s="1725">
        <f t="shared" si="44"/>
        <v>1</v>
      </c>
      <c r="CM54" s="1725">
        <f t="shared" si="44"/>
        <v>1</v>
      </c>
    </row>
    <row r="55" spans="1:91" ht="15" customHeight="1" x14ac:dyDescent="0.3">
      <c r="A55" s="6234" t="s">
        <v>3982</v>
      </c>
      <c r="B55" s="6349"/>
      <c r="C55" s="3046" t="s">
        <v>76</v>
      </c>
      <c r="D55" s="4624" t="s">
        <v>5292</v>
      </c>
      <c r="E55" s="3108" t="s">
        <v>5293</v>
      </c>
      <c r="F55" s="3109" t="s">
        <v>5294</v>
      </c>
      <c r="G55" s="616" t="s">
        <v>5295</v>
      </c>
      <c r="H55" s="626" t="s">
        <v>5296</v>
      </c>
      <c r="I55" s="616" t="s">
        <v>5297</v>
      </c>
      <c r="J55" s="626" t="s">
        <v>5298</v>
      </c>
      <c r="K55" s="616" t="s">
        <v>5299</v>
      </c>
      <c r="L55" s="626" t="s">
        <v>5300</v>
      </c>
      <c r="M55" s="616" t="s">
        <v>5301</v>
      </c>
      <c r="N55" s="626" t="s">
        <v>5302</v>
      </c>
      <c r="O55" s="616" t="s">
        <v>5303</v>
      </c>
      <c r="P55" s="626" t="s">
        <v>5304</v>
      </c>
      <c r="Q55" s="616" t="s">
        <v>5305</v>
      </c>
      <c r="R55" s="626" t="s">
        <v>5306</v>
      </c>
      <c r="S55" s="616" t="s">
        <v>5307</v>
      </c>
      <c r="T55" s="626" t="s">
        <v>5308</v>
      </c>
      <c r="U55" s="616" t="s">
        <v>5309</v>
      </c>
      <c r="V55" s="626" t="s">
        <v>5310</v>
      </c>
      <c r="W55" s="616" t="s">
        <v>5311</v>
      </c>
      <c r="X55" s="626" t="s">
        <v>5312</v>
      </c>
      <c r="Y55" s="616" t="s">
        <v>5313</v>
      </c>
      <c r="Z55" s="626" t="s">
        <v>5314</v>
      </c>
      <c r="AA55" s="616" t="s">
        <v>5315</v>
      </c>
      <c r="AB55" s="626" t="s">
        <v>5316</v>
      </c>
      <c r="AC55" s="616" t="s">
        <v>5317</v>
      </c>
      <c r="AD55" s="626" t="s">
        <v>5318</v>
      </c>
      <c r="AE55" s="616" t="s">
        <v>5319</v>
      </c>
      <c r="AF55" s="626" t="s">
        <v>5320</v>
      </c>
      <c r="AG55" s="616" t="s">
        <v>5321</v>
      </c>
      <c r="AH55" s="626" t="s">
        <v>5322</v>
      </c>
      <c r="AI55" s="616" t="s">
        <v>5323</v>
      </c>
      <c r="AJ55" s="626" t="s">
        <v>5324</v>
      </c>
      <c r="AK55" s="616" t="s">
        <v>5325</v>
      </c>
      <c r="AL55" s="626" t="s">
        <v>5326</v>
      </c>
      <c r="AM55" s="616" t="s">
        <v>5327</v>
      </c>
      <c r="AN55" s="624" t="s">
        <v>5328</v>
      </c>
      <c r="AO55" s="3077" t="s">
        <v>5329</v>
      </c>
      <c r="AP55" s="3077" t="s">
        <v>5330</v>
      </c>
      <c r="AQ55" s="1687" t="str">
        <f t="shared" si="41"/>
        <v xml:space="preserve">* El Número de Pueblos Originarios no puede superar el Total. * El Número de Migrantes no puede superar el Total. </v>
      </c>
      <c r="BV55" s="2630"/>
      <c r="BW55" s="2630"/>
      <c r="BX55" s="2630"/>
      <c r="BY55" s="2630"/>
      <c r="BZ55" s="2630"/>
      <c r="CA55" s="2630"/>
      <c r="CB55" s="2784" t="str">
        <f t="shared" si="42"/>
        <v xml:space="preserve">* El Número de Pueblos Originarios no puede superar el Total. </v>
      </c>
      <c r="CC55" s="2784" t="str">
        <f t="shared" si="43"/>
        <v xml:space="preserve">* El Número de Migrantes no puede superar el Total. </v>
      </c>
      <c r="CD55" s="2630"/>
      <c r="CE55" s="2630"/>
      <c r="CL55" s="1725">
        <f t="shared" si="44"/>
        <v>1</v>
      </c>
      <c r="CM55" s="1725">
        <f t="shared" si="44"/>
        <v>1</v>
      </c>
    </row>
    <row r="56" spans="1:91" ht="15" customHeight="1" x14ac:dyDescent="0.3">
      <c r="A56" s="6234" t="s">
        <v>3983</v>
      </c>
      <c r="B56" s="6350"/>
      <c r="C56" s="3046" t="s">
        <v>77</v>
      </c>
      <c r="D56" s="4625" t="s">
        <v>5292</v>
      </c>
      <c r="E56" s="3110" t="s">
        <v>5293</v>
      </c>
      <c r="F56" s="3111" t="s">
        <v>5294</v>
      </c>
      <c r="G56" s="3023" t="s">
        <v>5295</v>
      </c>
      <c r="H56" s="3035" t="s">
        <v>5296</v>
      </c>
      <c r="I56" s="3023" t="s">
        <v>5297</v>
      </c>
      <c r="J56" s="3035" t="s">
        <v>5298</v>
      </c>
      <c r="K56" s="3023" t="s">
        <v>5299</v>
      </c>
      <c r="L56" s="3035" t="s">
        <v>5300</v>
      </c>
      <c r="M56" s="3023" t="s">
        <v>5301</v>
      </c>
      <c r="N56" s="3035" t="s">
        <v>5302</v>
      </c>
      <c r="O56" s="3023" t="s">
        <v>5303</v>
      </c>
      <c r="P56" s="3035" t="s">
        <v>5304</v>
      </c>
      <c r="Q56" s="3023" t="s">
        <v>5305</v>
      </c>
      <c r="R56" s="3035" t="s">
        <v>5306</v>
      </c>
      <c r="S56" s="3023" t="s">
        <v>5307</v>
      </c>
      <c r="T56" s="3035" t="s">
        <v>5308</v>
      </c>
      <c r="U56" s="3023" t="s">
        <v>5309</v>
      </c>
      <c r="V56" s="3035" t="s">
        <v>5310</v>
      </c>
      <c r="W56" s="3023" t="s">
        <v>5311</v>
      </c>
      <c r="X56" s="3035" t="s">
        <v>5312</v>
      </c>
      <c r="Y56" s="3023" t="s">
        <v>5313</v>
      </c>
      <c r="Z56" s="3035" t="s">
        <v>5314</v>
      </c>
      <c r="AA56" s="3023" t="s">
        <v>5315</v>
      </c>
      <c r="AB56" s="3035" t="s">
        <v>5316</v>
      </c>
      <c r="AC56" s="3023" t="s">
        <v>5317</v>
      </c>
      <c r="AD56" s="3035" t="s">
        <v>5318</v>
      </c>
      <c r="AE56" s="3023" t="s">
        <v>5319</v>
      </c>
      <c r="AF56" s="3035" t="s">
        <v>5320</v>
      </c>
      <c r="AG56" s="3023" t="s">
        <v>5321</v>
      </c>
      <c r="AH56" s="3035" t="s">
        <v>5322</v>
      </c>
      <c r="AI56" s="3023" t="s">
        <v>5323</v>
      </c>
      <c r="AJ56" s="3035" t="s">
        <v>5324</v>
      </c>
      <c r="AK56" s="3023" t="s">
        <v>5325</v>
      </c>
      <c r="AL56" s="3035" t="s">
        <v>5326</v>
      </c>
      <c r="AM56" s="3023" t="s">
        <v>5327</v>
      </c>
      <c r="AN56" s="3080" t="s">
        <v>5328</v>
      </c>
      <c r="AO56" s="117" t="s">
        <v>5329</v>
      </c>
      <c r="AP56" s="117" t="s">
        <v>5330</v>
      </c>
      <c r="AQ56" s="1687" t="str">
        <f t="shared" si="41"/>
        <v xml:space="preserve">* El Número de Pueblos Originarios no puede superar el Total. * El Número de Migrantes no puede superar el Total. </v>
      </c>
      <c r="BV56" s="2630"/>
      <c r="BW56" s="2630"/>
      <c r="BX56" s="2630"/>
      <c r="BY56" s="2630"/>
      <c r="BZ56" s="2630"/>
      <c r="CA56" s="2630"/>
      <c r="CB56" s="2784" t="str">
        <f t="shared" si="42"/>
        <v xml:space="preserve">* El Número de Pueblos Originarios no puede superar el Total. </v>
      </c>
      <c r="CC56" s="2784" t="str">
        <f t="shared" si="43"/>
        <v xml:space="preserve">* El Número de Migrantes no puede superar el Total. </v>
      </c>
      <c r="CD56" s="2630"/>
      <c r="CE56" s="2630"/>
      <c r="CL56" s="1725">
        <f t="shared" si="44"/>
        <v>1</v>
      </c>
      <c r="CM56" s="1725">
        <f t="shared" si="44"/>
        <v>1</v>
      </c>
    </row>
    <row r="57" spans="1:91" ht="15" customHeight="1" x14ac:dyDescent="0.3">
      <c r="A57" s="6234" t="s">
        <v>3984</v>
      </c>
      <c r="B57" s="6370" t="s">
        <v>2406</v>
      </c>
      <c r="C57" s="3112" t="s">
        <v>74</v>
      </c>
      <c r="D57" s="4623" t="s">
        <v>5292</v>
      </c>
      <c r="E57" s="3113" t="s">
        <v>5293</v>
      </c>
      <c r="F57" s="3114" t="s">
        <v>5294</v>
      </c>
      <c r="G57" s="3115" t="s">
        <v>5295</v>
      </c>
      <c r="H57" s="3116" t="s">
        <v>5296</v>
      </c>
      <c r="I57" s="3115" t="s">
        <v>5297</v>
      </c>
      <c r="J57" s="3116" t="s">
        <v>5298</v>
      </c>
      <c r="K57" s="3115" t="s">
        <v>5299</v>
      </c>
      <c r="L57" s="3116" t="s">
        <v>5300</v>
      </c>
      <c r="M57" s="3115" t="s">
        <v>5301</v>
      </c>
      <c r="N57" s="3116" t="s">
        <v>5302</v>
      </c>
      <c r="O57" s="3115" t="s">
        <v>5303</v>
      </c>
      <c r="P57" s="3116" t="s">
        <v>5304</v>
      </c>
      <c r="Q57" s="3115" t="s">
        <v>5305</v>
      </c>
      <c r="R57" s="3116" t="s">
        <v>5306</v>
      </c>
      <c r="S57" s="3115" t="s">
        <v>5307</v>
      </c>
      <c r="T57" s="3116" t="s">
        <v>5308</v>
      </c>
      <c r="U57" s="3115" t="s">
        <v>5309</v>
      </c>
      <c r="V57" s="3116" t="s">
        <v>5310</v>
      </c>
      <c r="W57" s="3115" t="s">
        <v>5311</v>
      </c>
      <c r="X57" s="3116" t="s">
        <v>5312</v>
      </c>
      <c r="Y57" s="3115" t="s">
        <v>5313</v>
      </c>
      <c r="Z57" s="3116" t="s">
        <v>5314</v>
      </c>
      <c r="AA57" s="3115" t="s">
        <v>5315</v>
      </c>
      <c r="AB57" s="3116" t="s">
        <v>5316</v>
      </c>
      <c r="AC57" s="3115" t="s">
        <v>5317</v>
      </c>
      <c r="AD57" s="3116" t="s">
        <v>5318</v>
      </c>
      <c r="AE57" s="3115" t="s">
        <v>5319</v>
      </c>
      <c r="AF57" s="3116" t="s">
        <v>5320</v>
      </c>
      <c r="AG57" s="3115" t="s">
        <v>5321</v>
      </c>
      <c r="AH57" s="3116" t="s">
        <v>5322</v>
      </c>
      <c r="AI57" s="3115" t="s">
        <v>5323</v>
      </c>
      <c r="AJ57" s="3116" t="s">
        <v>5324</v>
      </c>
      <c r="AK57" s="3115" t="s">
        <v>5325</v>
      </c>
      <c r="AL57" s="3116" t="s">
        <v>5326</v>
      </c>
      <c r="AM57" s="3115" t="s">
        <v>5327</v>
      </c>
      <c r="AN57" s="3117" t="s">
        <v>5328</v>
      </c>
      <c r="AO57" s="3118" t="s">
        <v>5329</v>
      </c>
      <c r="AP57" s="3118" t="s">
        <v>5330</v>
      </c>
      <c r="AQ57" s="1687" t="str">
        <f t="shared" si="41"/>
        <v xml:space="preserve">* El Número de Pueblos Originarios no puede superar el Total. * El Número de Migrantes no puede superar el Total. </v>
      </c>
      <c r="BV57" s="2630"/>
      <c r="BW57" s="2630"/>
      <c r="BX57" s="2630"/>
      <c r="BY57" s="2630"/>
      <c r="BZ57" s="2630"/>
      <c r="CA57" s="2630"/>
      <c r="CB57" s="2784" t="str">
        <f t="shared" si="42"/>
        <v xml:space="preserve">* El Número de Pueblos Originarios no puede superar el Total. </v>
      </c>
      <c r="CC57" s="2784" t="str">
        <f t="shared" si="43"/>
        <v xml:space="preserve">* El Número de Migrantes no puede superar el Total. </v>
      </c>
      <c r="CD57" s="2630"/>
      <c r="CE57" s="2630"/>
      <c r="CL57" s="1725">
        <f t="shared" si="44"/>
        <v>1</v>
      </c>
      <c r="CM57" s="1725">
        <f t="shared" si="44"/>
        <v>1</v>
      </c>
    </row>
    <row r="58" spans="1:91" ht="15" customHeight="1" x14ac:dyDescent="0.3">
      <c r="A58" s="6234" t="s">
        <v>3985</v>
      </c>
      <c r="B58" s="6349"/>
      <c r="C58" s="3046" t="s">
        <v>76</v>
      </c>
      <c r="D58" s="4624" t="s">
        <v>5292</v>
      </c>
      <c r="E58" s="3119" t="s">
        <v>5293</v>
      </c>
      <c r="F58" s="3120" t="s">
        <v>5294</v>
      </c>
      <c r="G58" s="616" t="s">
        <v>5295</v>
      </c>
      <c r="H58" s="626" t="s">
        <v>5296</v>
      </c>
      <c r="I58" s="616" t="s">
        <v>5297</v>
      </c>
      <c r="J58" s="626" t="s">
        <v>5298</v>
      </c>
      <c r="K58" s="616" t="s">
        <v>5299</v>
      </c>
      <c r="L58" s="626" t="s">
        <v>5300</v>
      </c>
      <c r="M58" s="616" t="s">
        <v>5301</v>
      </c>
      <c r="N58" s="626" t="s">
        <v>5302</v>
      </c>
      <c r="O58" s="616" t="s">
        <v>5303</v>
      </c>
      <c r="P58" s="626" t="s">
        <v>5304</v>
      </c>
      <c r="Q58" s="616" t="s">
        <v>5305</v>
      </c>
      <c r="R58" s="626" t="s">
        <v>5306</v>
      </c>
      <c r="S58" s="616" t="s">
        <v>5307</v>
      </c>
      <c r="T58" s="626" t="s">
        <v>5308</v>
      </c>
      <c r="U58" s="616" t="s">
        <v>5309</v>
      </c>
      <c r="V58" s="626" t="s">
        <v>5310</v>
      </c>
      <c r="W58" s="616" t="s">
        <v>5311</v>
      </c>
      <c r="X58" s="626" t="s">
        <v>5312</v>
      </c>
      <c r="Y58" s="616" t="s">
        <v>5313</v>
      </c>
      <c r="Z58" s="626" t="s">
        <v>5314</v>
      </c>
      <c r="AA58" s="616" t="s">
        <v>5315</v>
      </c>
      <c r="AB58" s="626" t="s">
        <v>5316</v>
      </c>
      <c r="AC58" s="616" t="s">
        <v>5317</v>
      </c>
      <c r="AD58" s="626" t="s">
        <v>5318</v>
      </c>
      <c r="AE58" s="616" t="s">
        <v>5319</v>
      </c>
      <c r="AF58" s="626" t="s">
        <v>5320</v>
      </c>
      <c r="AG58" s="616" t="s">
        <v>5321</v>
      </c>
      <c r="AH58" s="626" t="s">
        <v>5322</v>
      </c>
      <c r="AI58" s="616" t="s">
        <v>5323</v>
      </c>
      <c r="AJ58" s="626" t="s">
        <v>5324</v>
      </c>
      <c r="AK58" s="616" t="s">
        <v>5325</v>
      </c>
      <c r="AL58" s="626" t="s">
        <v>5326</v>
      </c>
      <c r="AM58" s="616" t="s">
        <v>5327</v>
      </c>
      <c r="AN58" s="624" t="s">
        <v>5328</v>
      </c>
      <c r="AO58" s="3077" t="s">
        <v>5329</v>
      </c>
      <c r="AP58" s="3077" t="s">
        <v>5330</v>
      </c>
      <c r="AQ58" s="1687" t="str">
        <f t="shared" si="41"/>
        <v xml:space="preserve">* El Número de Pueblos Originarios no puede superar el Total. * El Número de Migrantes no puede superar el Total. </v>
      </c>
      <c r="BV58" s="2630"/>
      <c r="BW58" s="2630"/>
      <c r="BX58" s="2630"/>
      <c r="BY58" s="2630"/>
      <c r="BZ58" s="2630"/>
      <c r="CA58" s="2630"/>
      <c r="CB58" s="2784" t="str">
        <f t="shared" si="42"/>
        <v xml:space="preserve">* El Número de Pueblos Originarios no puede superar el Total. </v>
      </c>
      <c r="CC58" s="2784" t="str">
        <f t="shared" si="43"/>
        <v xml:space="preserve">* El Número de Migrantes no puede superar el Total. </v>
      </c>
      <c r="CD58" s="2630"/>
      <c r="CE58" s="2630"/>
      <c r="CL58" s="1725">
        <f t="shared" si="44"/>
        <v>1</v>
      </c>
      <c r="CM58" s="1725">
        <f t="shared" si="44"/>
        <v>1</v>
      </c>
    </row>
    <row r="59" spans="1:91" ht="15" customHeight="1" x14ac:dyDescent="0.3">
      <c r="A59" s="6234" t="s">
        <v>3986</v>
      </c>
      <c r="B59" s="6349"/>
      <c r="C59" s="3046" t="s">
        <v>77</v>
      </c>
      <c r="D59" s="4624" t="s">
        <v>5292</v>
      </c>
      <c r="E59" s="3119" t="s">
        <v>5293</v>
      </c>
      <c r="F59" s="3120" t="s">
        <v>5294</v>
      </c>
      <c r="G59" s="616" t="s">
        <v>5295</v>
      </c>
      <c r="H59" s="626" t="s">
        <v>5296</v>
      </c>
      <c r="I59" s="616" t="s">
        <v>5297</v>
      </c>
      <c r="J59" s="626" t="s">
        <v>5298</v>
      </c>
      <c r="K59" s="616" t="s">
        <v>5299</v>
      </c>
      <c r="L59" s="626" t="s">
        <v>5300</v>
      </c>
      <c r="M59" s="616" t="s">
        <v>5301</v>
      </c>
      <c r="N59" s="626" t="s">
        <v>5302</v>
      </c>
      <c r="O59" s="616" t="s">
        <v>5303</v>
      </c>
      <c r="P59" s="626" t="s">
        <v>5304</v>
      </c>
      <c r="Q59" s="616" t="s">
        <v>5305</v>
      </c>
      <c r="R59" s="626" t="s">
        <v>5306</v>
      </c>
      <c r="S59" s="616" t="s">
        <v>5307</v>
      </c>
      <c r="T59" s="626" t="s">
        <v>5308</v>
      </c>
      <c r="U59" s="616" t="s">
        <v>5309</v>
      </c>
      <c r="V59" s="626" t="s">
        <v>5310</v>
      </c>
      <c r="W59" s="616" t="s">
        <v>5311</v>
      </c>
      <c r="X59" s="626" t="s">
        <v>5312</v>
      </c>
      <c r="Y59" s="616" t="s">
        <v>5313</v>
      </c>
      <c r="Z59" s="626" t="s">
        <v>5314</v>
      </c>
      <c r="AA59" s="616" t="s">
        <v>5315</v>
      </c>
      <c r="AB59" s="626" t="s">
        <v>5316</v>
      </c>
      <c r="AC59" s="616" t="s">
        <v>5317</v>
      </c>
      <c r="AD59" s="626" t="s">
        <v>5318</v>
      </c>
      <c r="AE59" s="616" t="s">
        <v>5319</v>
      </c>
      <c r="AF59" s="626" t="s">
        <v>5320</v>
      </c>
      <c r="AG59" s="616" t="s">
        <v>5321</v>
      </c>
      <c r="AH59" s="626" t="s">
        <v>5322</v>
      </c>
      <c r="AI59" s="616" t="s">
        <v>5323</v>
      </c>
      <c r="AJ59" s="626" t="s">
        <v>5324</v>
      </c>
      <c r="AK59" s="616" t="s">
        <v>5325</v>
      </c>
      <c r="AL59" s="626" t="s">
        <v>5326</v>
      </c>
      <c r="AM59" s="616" t="s">
        <v>5327</v>
      </c>
      <c r="AN59" s="624" t="s">
        <v>5328</v>
      </c>
      <c r="AO59" s="3077" t="s">
        <v>5329</v>
      </c>
      <c r="AP59" s="3077" t="s">
        <v>5330</v>
      </c>
      <c r="AQ59" s="1687" t="str">
        <f t="shared" si="41"/>
        <v xml:space="preserve">* El Número de Pueblos Originarios no puede superar el Total. * El Número de Migrantes no puede superar el Total. </v>
      </c>
      <c r="BV59" s="2630"/>
      <c r="BW59" s="2630"/>
      <c r="BX59" s="2630"/>
      <c r="BY59" s="2630"/>
      <c r="BZ59" s="2630"/>
      <c r="CA59" s="2630"/>
      <c r="CB59" s="2784" t="str">
        <f t="shared" si="42"/>
        <v xml:space="preserve">* El Número de Pueblos Originarios no puede superar el Total. </v>
      </c>
      <c r="CC59" s="2784" t="str">
        <f t="shared" si="43"/>
        <v xml:space="preserve">* El Número de Migrantes no puede superar el Total. </v>
      </c>
      <c r="CD59" s="2630"/>
      <c r="CE59" s="2630"/>
      <c r="CL59" s="1725">
        <f t="shared" si="44"/>
        <v>1</v>
      </c>
      <c r="CM59" s="1725">
        <f t="shared" si="44"/>
        <v>1</v>
      </c>
    </row>
    <row r="60" spans="1:91" ht="15" customHeight="1" x14ac:dyDescent="0.3">
      <c r="A60" s="6234" t="s">
        <v>3987</v>
      </c>
      <c r="B60" s="6349"/>
      <c r="C60" s="3046" t="s">
        <v>247</v>
      </c>
      <c r="D60" s="4624" t="s">
        <v>5292</v>
      </c>
      <c r="E60" s="3119" t="s">
        <v>5293</v>
      </c>
      <c r="F60" s="3120" t="s">
        <v>5294</v>
      </c>
      <c r="G60" s="616" t="s">
        <v>5295</v>
      </c>
      <c r="H60" s="626" t="s">
        <v>5296</v>
      </c>
      <c r="I60" s="616" t="s">
        <v>5297</v>
      </c>
      <c r="J60" s="626" t="s">
        <v>5298</v>
      </c>
      <c r="K60" s="616" t="s">
        <v>5299</v>
      </c>
      <c r="L60" s="626" t="s">
        <v>5300</v>
      </c>
      <c r="M60" s="616" t="s">
        <v>5301</v>
      </c>
      <c r="N60" s="626" t="s">
        <v>5302</v>
      </c>
      <c r="O60" s="616" t="s">
        <v>5303</v>
      </c>
      <c r="P60" s="626" t="s">
        <v>5304</v>
      </c>
      <c r="Q60" s="616" t="s">
        <v>5305</v>
      </c>
      <c r="R60" s="626" t="s">
        <v>5306</v>
      </c>
      <c r="S60" s="616" t="s">
        <v>5307</v>
      </c>
      <c r="T60" s="626" t="s">
        <v>5308</v>
      </c>
      <c r="U60" s="616" t="s">
        <v>5309</v>
      </c>
      <c r="V60" s="626" t="s">
        <v>5310</v>
      </c>
      <c r="W60" s="616" t="s">
        <v>5311</v>
      </c>
      <c r="X60" s="626" t="s">
        <v>5312</v>
      </c>
      <c r="Y60" s="616" t="s">
        <v>5313</v>
      </c>
      <c r="Z60" s="626" t="s">
        <v>5314</v>
      </c>
      <c r="AA60" s="616" t="s">
        <v>5315</v>
      </c>
      <c r="AB60" s="626" t="s">
        <v>5316</v>
      </c>
      <c r="AC60" s="616" t="s">
        <v>5317</v>
      </c>
      <c r="AD60" s="626" t="s">
        <v>5318</v>
      </c>
      <c r="AE60" s="616" t="s">
        <v>5319</v>
      </c>
      <c r="AF60" s="626" t="s">
        <v>5320</v>
      </c>
      <c r="AG60" s="616" t="s">
        <v>5321</v>
      </c>
      <c r="AH60" s="626" t="s">
        <v>5322</v>
      </c>
      <c r="AI60" s="616" t="s">
        <v>5323</v>
      </c>
      <c r="AJ60" s="626" t="s">
        <v>5324</v>
      </c>
      <c r="AK60" s="616" t="s">
        <v>5325</v>
      </c>
      <c r="AL60" s="626" t="s">
        <v>5326</v>
      </c>
      <c r="AM60" s="616" t="s">
        <v>5327</v>
      </c>
      <c r="AN60" s="624" t="s">
        <v>5328</v>
      </c>
      <c r="AO60" s="3077" t="s">
        <v>5329</v>
      </c>
      <c r="AP60" s="3077" t="s">
        <v>5330</v>
      </c>
      <c r="AQ60" s="1687" t="str">
        <f t="shared" si="41"/>
        <v xml:space="preserve">* El Número de Pueblos Originarios no puede superar el Total. * El Número de Migrantes no puede superar el Total. </v>
      </c>
      <c r="BV60" s="2630"/>
      <c r="BW60" s="2630"/>
      <c r="BX60" s="2630"/>
      <c r="BY60" s="2630"/>
      <c r="BZ60" s="2630"/>
      <c r="CA60" s="2630"/>
      <c r="CB60" s="2784" t="str">
        <f t="shared" si="42"/>
        <v xml:space="preserve">* El Número de Pueblos Originarios no puede superar el Total. </v>
      </c>
      <c r="CC60" s="2784" t="str">
        <f t="shared" si="43"/>
        <v xml:space="preserve">* El Número de Migrantes no puede superar el Total. </v>
      </c>
      <c r="CD60" s="2630"/>
      <c r="CE60" s="2630"/>
      <c r="CL60" s="1725">
        <f t="shared" si="44"/>
        <v>1</v>
      </c>
      <c r="CM60" s="1725">
        <f t="shared" si="44"/>
        <v>1</v>
      </c>
    </row>
    <row r="61" spans="1:91" ht="15" customHeight="1" x14ac:dyDescent="0.3">
      <c r="A61" s="6234" t="s">
        <v>3988</v>
      </c>
      <c r="B61" s="6349"/>
      <c r="C61" s="3046" t="s">
        <v>192</v>
      </c>
      <c r="D61" s="4627" t="s">
        <v>5292</v>
      </c>
      <c r="E61" s="3121" t="s">
        <v>5293</v>
      </c>
      <c r="F61" s="3122" t="s">
        <v>5294</v>
      </c>
      <c r="G61" s="616" t="s">
        <v>5295</v>
      </c>
      <c r="H61" s="626" t="s">
        <v>5296</v>
      </c>
      <c r="I61" s="616" t="s">
        <v>5297</v>
      </c>
      <c r="J61" s="626" t="s">
        <v>5298</v>
      </c>
      <c r="K61" s="616" t="s">
        <v>5299</v>
      </c>
      <c r="L61" s="626" t="s">
        <v>5300</v>
      </c>
      <c r="M61" s="616" t="s">
        <v>5301</v>
      </c>
      <c r="N61" s="626" t="s">
        <v>5302</v>
      </c>
      <c r="O61" s="616" t="s">
        <v>5303</v>
      </c>
      <c r="P61" s="626" t="s">
        <v>5304</v>
      </c>
      <c r="Q61" s="616" t="s">
        <v>5305</v>
      </c>
      <c r="R61" s="626" t="s">
        <v>5306</v>
      </c>
      <c r="S61" s="616" t="s">
        <v>5307</v>
      </c>
      <c r="T61" s="626" t="s">
        <v>5308</v>
      </c>
      <c r="U61" s="616" t="s">
        <v>5309</v>
      </c>
      <c r="V61" s="626" t="s">
        <v>5310</v>
      </c>
      <c r="W61" s="616" t="s">
        <v>5311</v>
      </c>
      <c r="X61" s="626" t="s">
        <v>5312</v>
      </c>
      <c r="Y61" s="616" t="s">
        <v>5313</v>
      </c>
      <c r="Z61" s="626" t="s">
        <v>5314</v>
      </c>
      <c r="AA61" s="616" t="s">
        <v>5315</v>
      </c>
      <c r="AB61" s="626" t="s">
        <v>5316</v>
      </c>
      <c r="AC61" s="616" t="s">
        <v>5317</v>
      </c>
      <c r="AD61" s="626" t="s">
        <v>5318</v>
      </c>
      <c r="AE61" s="616" t="s">
        <v>5319</v>
      </c>
      <c r="AF61" s="626" t="s">
        <v>5320</v>
      </c>
      <c r="AG61" s="616" t="s">
        <v>5321</v>
      </c>
      <c r="AH61" s="626" t="s">
        <v>5322</v>
      </c>
      <c r="AI61" s="616" t="s">
        <v>5323</v>
      </c>
      <c r="AJ61" s="626" t="s">
        <v>5324</v>
      </c>
      <c r="AK61" s="616" t="s">
        <v>5325</v>
      </c>
      <c r="AL61" s="626" t="s">
        <v>5326</v>
      </c>
      <c r="AM61" s="616" t="s">
        <v>5327</v>
      </c>
      <c r="AN61" s="624" t="s">
        <v>5328</v>
      </c>
      <c r="AO61" s="3077" t="s">
        <v>5329</v>
      </c>
      <c r="AP61" s="3077" t="s">
        <v>5330</v>
      </c>
      <c r="AQ61" s="1687" t="str">
        <f t="shared" si="41"/>
        <v xml:space="preserve">* El Número de Pueblos Originarios no puede superar el Total. * El Número de Migrantes no puede superar el Total. </v>
      </c>
      <c r="BV61" s="2630"/>
      <c r="BW61" s="2630"/>
      <c r="BX61" s="2630"/>
      <c r="BY61" s="2630"/>
      <c r="BZ61" s="2630"/>
      <c r="CA61" s="2630"/>
      <c r="CB61" s="2784" t="str">
        <f t="shared" si="42"/>
        <v xml:space="preserve">* El Número de Pueblos Originarios no puede superar el Total. </v>
      </c>
      <c r="CC61" s="2784" t="str">
        <f t="shared" si="43"/>
        <v xml:space="preserve">* El Número de Migrantes no puede superar el Total. </v>
      </c>
      <c r="CD61" s="2630"/>
      <c r="CE61" s="2630"/>
      <c r="CL61" s="1725">
        <f t="shared" si="44"/>
        <v>1</v>
      </c>
      <c r="CM61" s="1725">
        <f t="shared" si="44"/>
        <v>1</v>
      </c>
    </row>
    <row r="62" spans="1:91" ht="24" customHeight="1" x14ac:dyDescent="0.3">
      <c r="A62" s="6234" t="s">
        <v>3989</v>
      </c>
      <c r="B62" s="6350"/>
      <c r="C62" s="322" t="s">
        <v>2403</v>
      </c>
      <c r="D62" s="4626" t="s">
        <v>5292</v>
      </c>
      <c r="E62" s="3084" t="s">
        <v>5293</v>
      </c>
      <c r="F62" s="3123" t="s">
        <v>5294</v>
      </c>
      <c r="G62" s="3023" t="s">
        <v>5295</v>
      </c>
      <c r="H62" s="3035" t="s">
        <v>5296</v>
      </c>
      <c r="I62" s="3023" t="s">
        <v>5297</v>
      </c>
      <c r="J62" s="3035" t="s">
        <v>5298</v>
      </c>
      <c r="K62" s="3023" t="s">
        <v>5299</v>
      </c>
      <c r="L62" s="3035" t="s">
        <v>5300</v>
      </c>
      <c r="M62" s="3023" t="s">
        <v>5301</v>
      </c>
      <c r="N62" s="3035" t="s">
        <v>5302</v>
      </c>
      <c r="O62" s="3023" t="s">
        <v>5303</v>
      </c>
      <c r="P62" s="117" t="s">
        <v>5304</v>
      </c>
      <c r="Q62" s="3023" t="s">
        <v>5305</v>
      </c>
      <c r="R62" s="117" t="s">
        <v>5306</v>
      </c>
      <c r="S62" s="3023" t="s">
        <v>5307</v>
      </c>
      <c r="T62" s="3035" t="s">
        <v>5308</v>
      </c>
      <c r="U62" s="3023" t="s">
        <v>5309</v>
      </c>
      <c r="V62" s="3035" t="s">
        <v>5310</v>
      </c>
      <c r="W62" s="3023" t="s">
        <v>5311</v>
      </c>
      <c r="X62" s="3035" t="s">
        <v>5312</v>
      </c>
      <c r="Y62" s="3023" t="s">
        <v>5313</v>
      </c>
      <c r="Z62" s="3035" t="s">
        <v>5314</v>
      </c>
      <c r="AA62" s="3023" t="s">
        <v>5315</v>
      </c>
      <c r="AB62" s="3035" t="s">
        <v>5316</v>
      </c>
      <c r="AC62" s="3023" t="s">
        <v>5317</v>
      </c>
      <c r="AD62" s="3035" t="s">
        <v>5318</v>
      </c>
      <c r="AE62" s="3023" t="s">
        <v>5319</v>
      </c>
      <c r="AF62" s="3035" t="s">
        <v>5320</v>
      </c>
      <c r="AG62" s="3023" t="s">
        <v>5321</v>
      </c>
      <c r="AH62" s="3035" t="s">
        <v>5322</v>
      </c>
      <c r="AI62" s="3023" t="s">
        <v>5323</v>
      </c>
      <c r="AJ62" s="3035" t="s">
        <v>5324</v>
      </c>
      <c r="AK62" s="3023" t="s">
        <v>5325</v>
      </c>
      <c r="AL62" s="3035" t="s">
        <v>5326</v>
      </c>
      <c r="AM62" s="118" t="s">
        <v>5327</v>
      </c>
      <c r="AN62" s="3080" t="s">
        <v>5328</v>
      </c>
      <c r="AO62" s="117" t="s">
        <v>5329</v>
      </c>
      <c r="AP62" s="117" t="s">
        <v>5330</v>
      </c>
      <c r="AQ62" s="1687" t="str">
        <f t="shared" si="41"/>
        <v xml:space="preserve">* El Número de Pueblos Originarios no puede superar el Total. * El Número de Migrantes no puede superar el Total. </v>
      </c>
      <c r="BV62" s="2630"/>
      <c r="BW62" s="2630"/>
      <c r="BX62" s="2630"/>
      <c r="BY62" s="2630"/>
      <c r="BZ62" s="2630"/>
      <c r="CA62" s="2630"/>
      <c r="CB62" s="2784" t="str">
        <f t="shared" si="42"/>
        <v xml:space="preserve">* El Número de Pueblos Originarios no puede superar el Total. </v>
      </c>
      <c r="CC62" s="2784" t="str">
        <f t="shared" si="43"/>
        <v xml:space="preserve">* El Número de Migrantes no puede superar el Total. </v>
      </c>
      <c r="CD62" s="2630"/>
      <c r="CE62" s="2630"/>
      <c r="CL62" s="1725">
        <f t="shared" si="44"/>
        <v>1</v>
      </c>
      <c r="CM62" s="1725">
        <f t="shared" si="44"/>
        <v>1</v>
      </c>
    </row>
    <row r="63" spans="1:91" ht="15" customHeight="1" x14ac:dyDescent="0.3">
      <c r="A63" s="6234" t="s">
        <v>3990</v>
      </c>
      <c r="B63" s="6348" t="s">
        <v>2407</v>
      </c>
      <c r="C63" s="3124" t="s">
        <v>74</v>
      </c>
      <c r="D63" s="4628" t="s">
        <v>5292</v>
      </c>
      <c r="E63" s="3125" t="s">
        <v>5293</v>
      </c>
      <c r="F63" s="3126" t="s">
        <v>5294</v>
      </c>
      <c r="G63" s="3127" t="s">
        <v>5295</v>
      </c>
      <c r="H63" s="3128" t="s">
        <v>5296</v>
      </c>
      <c r="I63" s="3127" t="s">
        <v>5297</v>
      </c>
      <c r="J63" s="3128" t="s">
        <v>5298</v>
      </c>
      <c r="K63" s="3127" t="s">
        <v>5299</v>
      </c>
      <c r="L63" s="3128" t="s">
        <v>5300</v>
      </c>
      <c r="M63" s="3127" t="s">
        <v>5301</v>
      </c>
      <c r="N63" s="3128" t="s">
        <v>5302</v>
      </c>
      <c r="O63" s="3129" t="s">
        <v>5303</v>
      </c>
      <c r="P63" s="3130" t="s">
        <v>5304</v>
      </c>
      <c r="Q63" s="3129" t="s">
        <v>5305</v>
      </c>
      <c r="R63" s="3130" t="s">
        <v>5306</v>
      </c>
      <c r="S63" s="3129" t="s">
        <v>5307</v>
      </c>
      <c r="T63" s="3131" t="s">
        <v>5308</v>
      </c>
      <c r="U63" s="3129" t="s">
        <v>5309</v>
      </c>
      <c r="V63" s="3131" t="s">
        <v>5310</v>
      </c>
      <c r="W63" s="3129" t="s">
        <v>5311</v>
      </c>
      <c r="X63" s="3131" t="s">
        <v>5312</v>
      </c>
      <c r="Y63" s="3129" t="s">
        <v>5313</v>
      </c>
      <c r="Z63" s="3131" t="s">
        <v>5314</v>
      </c>
      <c r="AA63" s="3129" t="s">
        <v>5315</v>
      </c>
      <c r="AB63" s="3131" t="s">
        <v>5316</v>
      </c>
      <c r="AC63" s="3129" t="s">
        <v>5317</v>
      </c>
      <c r="AD63" s="3131" t="s">
        <v>5318</v>
      </c>
      <c r="AE63" s="3129" t="s">
        <v>5319</v>
      </c>
      <c r="AF63" s="3131" t="s">
        <v>5320</v>
      </c>
      <c r="AG63" s="3129" t="s">
        <v>5321</v>
      </c>
      <c r="AH63" s="3131" t="s">
        <v>5322</v>
      </c>
      <c r="AI63" s="3129" t="s">
        <v>5323</v>
      </c>
      <c r="AJ63" s="3131" t="s">
        <v>5324</v>
      </c>
      <c r="AK63" s="3129" t="s">
        <v>5325</v>
      </c>
      <c r="AL63" s="3131" t="s">
        <v>5326</v>
      </c>
      <c r="AM63" s="3132" t="s">
        <v>5327</v>
      </c>
      <c r="AN63" s="3133" t="s">
        <v>5328</v>
      </c>
      <c r="AO63" s="3134" t="s">
        <v>5329</v>
      </c>
      <c r="AP63" s="3134" t="s">
        <v>5330</v>
      </c>
      <c r="AQ63" s="1687" t="str">
        <f t="shared" si="41"/>
        <v xml:space="preserve">* El Número de Pueblos Originarios no puede superar el Total. * El Número de Migrantes no puede superar el Total. </v>
      </c>
      <c r="BV63" s="2630"/>
      <c r="BW63" s="2630"/>
      <c r="BX63" s="2630"/>
      <c r="BY63" s="2630"/>
      <c r="BZ63" s="2630"/>
      <c r="CA63" s="2630"/>
      <c r="CB63" s="2784" t="str">
        <f t="shared" si="42"/>
        <v xml:space="preserve">* El Número de Pueblos Originarios no puede superar el Total. </v>
      </c>
      <c r="CC63" s="2784" t="str">
        <f t="shared" si="43"/>
        <v xml:space="preserve">* El Número de Migrantes no puede superar el Total. </v>
      </c>
      <c r="CD63" s="2630"/>
      <c r="CE63" s="2630"/>
      <c r="CL63" s="1725">
        <f t="shared" si="44"/>
        <v>1</v>
      </c>
      <c r="CM63" s="1725">
        <f t="shared" si="44"/>
        <v>1</v>
      </c>
    </row>
    <row r="64" spans="1:91" ht="15" customHeight="1" x14ac:dyDescent="0.3">
      <c r="A64" s="6234" t="s">
        <v>3991</v>
      </c>
      <c r="B64" s="6349"/>
      <c r="C64" s="3046" t="s">
        <v>76</v>
      </c>
      <c r="D64" s="4624" t="s">
        <v>5292</v>
      </c>
      <c r="E64" s="3119" t="s">
        <v>5293</v>
      </c>
      <c r="F64" s="3135" t="s">
        <v>5294</v>
      </c>
      <c r="G64" s="616" t="s">
        <v>5295</v>
      </c>
      <c r="H64" s="626" t="s">
        <v>5296</v>
      </c>
      <c r="I64" s="616" t="s">
        <v>5297</v>
      </c>
      <c r="J64" s="626" t="s">
        <v>5298</v>
      </c>
      <c r="K64" s="616" t="s">
        <v>5299</v>
      </c>
      <c r="L64" s="626" t="s">
        <v>5300</v>
      </c>
      <c r="M64" s="616" t="s">
        <v>5301</v>
      </c>
      <c r="N64" s="626" t="s">
        <v>5302</v>
      </c>
      <c r="O64" s="789" t="s">
        <v>5303</v>
      </c>
      <c r="P64" s="3053" t="s">
        <v>5304</v>
      </c>
      <c r="Q64" s="789" t="s">
        <v>5305</v>
      </c>
      <c r="R64" s="3053" t="s">
        <v>5306</v>
      </c>
      <c r="S64" s="789" t="s">
        <v>5307</v>
      </c>
      <c r="T64" s="790" t="s">
        <v>5308</v>
      </c>
      <c r="U64" s="789" t="s">
        <v>5309</v>
      </c>
      <c r="V64" s="790" t="s">
        <v>5310</v>
      </c>
      <c r="W64" s="789" t="s">
        <v>5311</v>
      </c>
      <c r="X64" s="790" t="s">
        <v>5312</v>
      </c>
      <c r="Y64" s="789" t="s">
        <v>5313</v>
      </c>
      <c r="Z64" s="790" t="s">
        <v>5314</v>
      </c>
      <c r="AA64" s="789" t="s">
        <v>5315</v>
      </c>
      <c r="AB64" s="790" t="s">
        <v>5316</v>
      </c>
      <c r="AC64" s="789" t="s">
        <v>5317</v>
      </c>
      <c r="AD64" s="790" t="s">
        <v>5318</v>
      </c>
      <c r="AE64" s="789" t="s">
        <v>5319</v>
      </c>
      <c r="AF64" s="790" t="s">
        <v>5320</v>
      </c>
      <c r="AG64" s="789" t="s">
        <v>5321</v>
      </c>
      <c r="AH64" s="790" t="s">
        <v>5322</v>
      </c>
      <c r="AI64" s="789" t="s">
        <v>5323</v>
      </c>
      <c r="AJ64" s="790" t="s">
        <v>5324</v>
      </c>
      <c r="AK64" s="789" t="s">
        <v>5325</v>
      </c>
      <c r="AL64" s="790" t="s">
        <v>5326</v>
      </c>
      <c r="AM64" s="3136" t="s">
        <v>5327</v>
      </c>
      <c r="AN64" s="801" t="s">
        <v>5328</v>
      </c>
      <c r="AO64" s="3077" t="s">
        <v>5329</v>
      </c>
      <c r="AP64" s="3077" t="s">
        <v>5330</v>
      </c>
      <c r="AQ64" s="1687" t="str">
        <f t="shared" si="41"/>
        <v xml:space="preserve">* El Número de Pueblos Originarios no puede superar el Total. * El Número de Migrantes no puede superar el Total. </v>
      </c>
      <c r="BV64" s="2630"/>
      <c r="BW64" s="2630"/>
      <c r="BX64" s="2630"/>
      <c r="BY64" s="2630"/>
      <c r="BZ64" s="2630"/>
      <c r="CA64" s="2630"/>
      <c r="CB64" s="2784" t="str">
        <f t="shared" si="42"/>
        <v xml:space="preserve">* El Número de Pueblos Originarios no puede superar el Total. </v>
      </c>
      <c r="CC64" s="2784" t="str">
        <f t="shared" si="43"/>
        <v xml:space="preserve">* El Número de Migrantes no puede superar el Total. </v>
      </c>
      <c r="CD64" s="2630"/>
      <c r="CE64" s="2630"/>
      <c r="CL64" s="1725">
        <f t="shared" si="44"/>
        <v>1</v>
      </c>
      <c r="CM64" s="1725">
        <f t="shared" si="44"/>
        <v>1</v>
      </c>
    </row>
    <row r="65" spans="1:93" ht="15" customHeight="1" x14ac:dyDescent="0.3">
      <c r="A65" s="6234" t="s">
        <v>3992</v>
      </c>
      <c r="B65" s="6349"/>
      <c r="C65" s="3046" t="s">
        <v>77</v>
      </c>
      <c r="D65" s="4624" t="s">
        <v>5292</v>
      </c>
      <c r="E65" s="3137" t="s">
        <v>5293</v>
      </c>
      <c r="F65" s="3135" t="s">
        <v>5294</v>
      </c>
      <c r="G65" s="616" t="s">
        <v>5295</v>
      </c>
      <c r="H65" s="626" t="s">
        <v>5296</v>
      </c>
      <c r="I65" s="616" t="s">
        <v>5297</v>
      </c>
      <c r="J65" s="626" t="s">
        <v>5298</v>
      </c>
      <c r="K65" s="616" t="s">
        <v>5299</v>
      </c>
      <c r="L65" s="626" t="s">
        <v>5300</v>
      </c>
      <c r="M65" s="616" t="s">
        <v>5301</v>
      </c>
      <c r="N65" s="626" t="s">
        <v>5302</v>
      </c>
      <c r="O65" s="789" t="s">
        <v>5303</v>
      </c>
      <c r="P65" s="3053" t="s">
        <v>5304</v>
      </c>
      <c r="Q65" s="789" t="s">
        <v>5305</v>
      </c>
      <c r="R65" s="3053" t="s">
        <v>5306</v>
      </c>
      <c r="S65" s="789" t="s">
        <v>5307</v>
      </c>
      <c r="T65" s="790" t="s">
        <v>5308</v>
      </c>
      <c r="U65" s="789" t="s">
        <v>5309</v>
      </c>
      <c r="V65" s="790" t="s">
        <v>5310</v>
      </c>
      <c r="W65" s="789" t="s">
        <v>5311</v>
      </c>
      <c r="X65" s="790" t="s">
        <v>5312</v>
      </c>
      <c r="Y65" s="789" t="s">
        <v>5313</v>
      </c>
      <c r="Z65" s="790" t="s">
        <v>5314</v>
      </c>
      <c r="AA65" s="789" t="s">
        <v>5315</v>
      </c>
      <c r="AB65" s="790" t="s">
        <v>5316</v>
      </c>
      <c r="AC65" s="789" t="s">
        <v>5317</v>
      </c>
      <c r="AD65" s="790" t="s">
        <v>5318</v>
      </c>
      <c r="AE65" s="789" t="s">
        <v>5319</v>
      </c>
      <c r="AF65" s="790" t="s">
        <v>5320</v>
      </c>
      <c r="AG65" s="789" t="s">
        <v>5321</v>
      </c>
      <c r="AH65" s="790" t="s">
        <v>5322</v>
      </c>
      <c r="AI65" s="789" t="s">
        <v>5323</v>
      </c>
      <c r="AJ65" s="790" t="s">
        <v>5324</v>
      </c>
      <c r="AK65" s="789" t="s">
        <v>5325</v>
      </c>
      <c r="AL65" s="790" t="s">
        <v>5326</v>
      </c>
      <c r="AM65" s="3136" t="s">
        <v>5327</v>
      </c>
      <c r="AN65" s="801" t="s">
        <v>5328</v>
      </c>
      <c r="AO65" s="3077" t="s">
        <v>5329</v>
      </c>
      <c r="AP65" s="3077" t="s">
        <v>5330</v>
      </c>
      <c r="AQ65" s="1687" t="str">
        <f t="shared" si="41"/>
        <v xml:space="preserve">* El Número de Pueblos Originarios no puede superar el Total. * El Número de Migrantes no puede superar el Total. </v>
      </c>
      <c r="BV65" s="2630"/>
      <c r="BW65" s="2630"/>
      <c r="BX65" s="2630"/>
      <c r="BY65" s="2630"/>
      <c r="BZ65" s="2630"/>
      <c r="CA65" s="2630"/>
      <c r="CB65" s="2784" t="str">
        <f t="shared" si="42"/>
        <v xml:space="preserve">* El Número de Pueblos Originarios no puede superar el Total. </v>
      </c>
      <c r="CC65" s="2784" t="str">
        <f t="shared" si="43"/>
        <v xml:space="preserve">* El Número de Migrantes no puede superar el Total. </v>
      </c>
      <c r="CD65" s="2630"/>
      <c r="CE65" s="2630"/>
      <c r="CL65" s="1725">
        <f t="shared" si="44"/>
        <v>1</v>
      </c>
      <c r="CM65" s="1725">
        <f t="shared" si="44"/>
        <v>1</v>
      </c>
    </row>
    <row r="66" spans="1:93" ht="15" customHeight="1" x14ac:dyDescent="0.3">
      <c r="A66" s="6234" t="s">
        <v>3993</v>
      </c>
      <c r="B66" s="6350"/>
      <c r="C66" s="150" t="s">
        <v>247</v>
      </c>
      <c r="D66" s="4629" t="s">
        <v>5292</v>
      </c>
      <c r="E66" s="3138" t="s">
        <v>5293</v>
      </c>
      <c r="F66" s="3139" t="s">
        <v>5294</v>
      </c>
      <c r="G66" s="3023" t="s">
        <v>5295</v>
      </c>
      <c r="H66" s="3035" t="s">
        <v>5296</v>
      </c>
      <c r="I66" s="3023" t="s">
        <v>5297</v>
      </c>
      <c r="J66" s="3035" t="s">
        <v>5298</v>
      </c>
      <c r="K66" s="3023" t="s">
        <v>5299</v>
      </c>
      <c r="L66" s="3035" t="s">
        <v>5300</v>
      </c>
      <c r="M66" s="3023" t="s">
        <v>5301</v>
      </c>
      <c r="N66" s="3035" t="s">
        <v>5302</v>
      </c>
      <c r="O66" s="3019" t="s">
        <v>5303</v>
      </c>
      <c r="P66" s="152" t="s">
        <v>5304</v>
      </c>
      <c r="Q66" s="3019" t="s">
        <v>5305</v>
      </c>
      <c r="R66" s="152" t="s">
        <v>5306</v>
      </c>
      <c r="S66" s="3019" t="s">
        <v>5307</v>
      </c>
      <c r="T66" s="3022" t="s">
        <v>5308</v>
      </c>
      <c r="U66" s="3019" t="s">
        <v>5309</v>
      </c>
      <c r="V66" s="3022" t="s">
        <v>5310</v>
      </c>
      <c r="W66" s="3019" t="s">
        <v>5311</v>
      </c>
      <c r="X66" s="3022" t="s">
        <v>5312</v>
      </c>
      <c r="Y66" s="3019" t="s">
        <v>5313</v>
      </c>
      <c r="Z66" s="3022" t="s">
        <v>5314</v>
      </c>
      <c r="AA66" s="3019" t="s">
        <v>5315</v>
      </c>
      <c r="AB66" s="3022" t="s">
        <v>5316</v>
      </c>
      <c r="AC66" s="3019" t="s">
        <v>5317</v>
      </c>
      <c r="AD66" s="3022" t="s">
        <v>5318</v>
      </c>
      <c r="AE66" s="3019" t="s">
        <v>5319</v>
      </c>
      <c r="AF66" s="3022" t="s">
        <v>5320</v>
      </c>
      <c r="AG66" s="3019" t="s">
        <v>5321</v>
      </c>
      <c r="AH66" s="3022" t="s">
        <v>5322</v>
      </c>
      <c r="AI66" s="3019" t="s">
        <v>5323</v>
      </c>
      <c r="AJ66" s="3022" t="s">
        <v>5324</v>
      </c>
      <c r="AK66" s="3019" t="s">
        <v>5325</v>
      </c>
      <c r="AL66" s="3022" t="s">
        <v>5326</v>
      </c>
      <c r="AM66" s="3140" t="s">
        <v>5327</v>
      </c>
      <c r="AN66" s="3141" t="s">
        <v>5328</v>
      </c>
      <c r="AO66" s="117" t="s">
        <v>5329</v>
      </c>
      <c r="AP66" s="117" t="s">
        <v>5330</v>
      </c>
      <c r="AQ66" s="1687" t="str">
        <f t="shared" si="41"/>
        <v xml:space="preserve">* El Número de Pueblos Originarios no puede superar el Total. * El Número de Migrantes no puede superar el Total. </v>
      </c>
      <c r="BV66" s="2630"/>
      <c r="BW66" s="2630"/>
      <c r="BX66" s="2630"/>
      <c r="BY66" s="2630"/>
      <c r="BZ66" s="2630"/>
      <c r="CA66" s="2630"/>
      <c r="CB66" s="2784" t="str">
        <f t="shared" si="42"/>
        <v xml:space="preserve">* El Número de Pueblos Originarios no puede superar el Total. </v>
      </c>
      <c r="CC66" s="2784" t="str">
        <f t="shared" si="43"/>
        <v xml:space="preserve">* El Número de Migrantes no puede superar el Total. </v>
      </c>
      <c r="CD66" s="2630"/>
      <c r="CE66" s="2630"/>
      <c r="CL66" s="1725">
        <f t="shared" si="44"/>
        <v>1</v>
      </c>
      <c r="CM66" s="1725">
        <f>IF(AND($D66&lt;&gt;0,AP66=""),1,IF(AP66&gt;$D66,1,0))</f>
        <v>1</v>
      </c>
    </row>
    <row r="67" spans="1:93" ht="18" customHeight="1" x14ac:dyDescent="0.3">
      <c r="B67" s="3061" t="s">
        <v>2408</v>
      </c>
      <c r="C67" s="3142"/>
      <c r="D67" s="775"/>
      <c r="E67" s="1052"/>
      <c r="F67" s="775"/>
      <c r="G67" s="775"/>
      <c r="H67" s="775"/>
      <c r="I67" s="3069"/>
      <c r="J67" s="3069"/>
      <c r="K67" s="3069"/>
      <c r="L67" s="1845"/>
      <c r="M67" s="1845"/>
      <c r="N67" s="1845"/>
      <c r="O67" s="1845"/>
    </row>
    <row r="68" spans="1:93" ht="24" customHeight="1" x14ac:dyDescent="0.3">
      <c r="B68" s="6351" t="s">
        <v>2409</v>
      </c>
      <c r="C68" s="6352"/>
      <c r="D68" s="6358" t="s">
        <v>38</v>
      </c>
      <c r="E68" s="6359"/>
      <c r="F68" s="6335"/>
      <c r="G68" s="6359" t="s">
        <v>4</v>
      </c>
      <c r="H68" s="6359"/>
      <c r="I68" s="6360"/>
      <c r="J68" s="6363" t="s">
        <v>2</v>
      </c>
      <c r="K68" s="6365" t="s">
        <v>3</v>
      </c>
      <c r="L68" s="6352" t="s">
        <v>49</v>
      </c>
      <c r="M68" s="6361" t="s">
        <v>45</v>
      </c>
    </row>
    <row r="69" spans="1:93" ht="25.95" customHeight="1" x14ac:dyDescent="0.3">
      <c r="B69" s="6353"/>
      <c r="C69" s="6325"/>
      <c r="D69" s="5669" t="s">
        <v>26</v>
      </c>
      <c r="E69" s="5591" t="s">
        <v>22</v>
      </c>
      <c r="F69" s="5585" t="s">
        <v>27</v>
      </c>
      <c r="G69" s="5343" t="s">
        <v>26</v>
      </c>
      <c r="H69" s="5587" t="s">
        <v>22</v>
      </c>
      <c r="I69" s="5676" t="s">
        <v>27</v>
      </c>
      <c r="J69" s="6364"/>
      <c r="K69" s="6366"/>
      <c r="L69" s="6325"/>
      <c r="M69" s="6362"/>
    </row>
    <row r="70" spans="1:93" ht="15" customHeight="1" x14ac:dyDescent="0.3">
      <c r="A70" s="6234" t="s">
        <v>3994</v>
      </c>
      <c r="B70" s="6354" t="s">
        <v>2410</v>
      </c>
      <c r="C70" s="6354"/>
      <c r="D70" s="5680" t="s">
        <v>5292</v>
      </c>
      <c r="E70" s="3143" t="s">
        <v>5293</v>
      </c>
      <c r="F70" s="3077" t="s">
        <v>5294</v>
      </c>
      <c r="G70" s="4684" t="s">
        <v>5295</v>
      </c>
      <c r="H70" s="588" t="s">
        <v>5296</v>
      </c>
      <c r="I70" s="624" t="s">
        <v>5297</v>
      </c>
      <c r="J70" s="5681" t="s">
        <v>5298</v>
      </c>
      <c r="K70" s="784" t="s">
        <v>5299</v>
      </c>
      <c r="L70" s="3077" t="s">
        <v>5300</v>
      </c>
      <c r="M70" s="3145" t="s">
        <v>5301</v>
      </c>
      <c r="N70" s="1687" t="e">
        <f>$CB70&amp;CC70&amp;CD70&amp;CE70</f>
        <v>#VALUE!</v>
      </c>
      <c r="AS70" s="2630"/>
      <c r="AT70" s="2630"/>
      <c r="AU70" s="2630"/>
      <c r="AV70" s="2630"/>
      <c r="AW70" s="2630"/>
      <c r="AX70" s="2630"/>
      <c r="AY70" s="2630"/>
      <c r="AZ70" s="2630"/>
      <c r="BA70" s="2630"/>
      <c r="BB70" s="2630"/>
      <c r="BC70" s="2630"/>
      <c r="BD70" s="2630"/>
      <c r="BE70" s="2630"/>
      <c r="BF70" s="2630"/>
      <c r="BG70" s="2630"/>
      <c r="BH70" s="2630"/>
      <c r="BI70" s="2630"/>
      <c r="BJ70" s="2630"/>
      <c r="BK70" s="2630"/>
      <c r="BL70" s="2630"/>
      <c r="BM70" s="2630"/>
      <c r="BN70" s="2630"/>
      <c r="BO70" s="2630"/>
      <c r="BP70" s="2630"/>
      <c r="BQ70" s="2630"/>
      <c r="BR70" s="2630"/>
      <c r="BS70" s="2630"/>
      <c r="BT70" s="2630"/>
      <c r="BU70" s="2630"/>
      <c r="BV70" s="2630"/>
      <c r="BW70" s="2630"/>
      <c r="BX70" s="2630"/>
      <c r="BY70" s="2630"/>
      <c r="BZ70" s="2630"/>
      <c r="CA70" s="2630"/>
      <c r="CB70" s="2784" t="e">
        <f>IF(AND(($D70+G70)&lt;&gt;0,$J70=""),"* No olvide ingresar la columna "&amp;$J$68&amp;""&amp;" (Digite CERO si no tiene). ",IF(J70&gt;($D70+$G70),"* El Número de Pueblos Originarios no puede superar la suma de Ambos Sexos. ",""))</f>
        <v>#VALUE!</v>
      </c>
      <c r="CC70" s="2784" t="e">
        <f>IF(AND(($D70+G70)&lt;&gt;0,$K70=""),"* No olvide ingresar la columna "&amp;$K$68&amp;""&amp;" (Digite CERO si no tiene). ",IF(K70&gt;($D70+$G70),"* El Número de Migrantes no puede superar la suma de Ambos Sexos. ",""))</f>
        <v>#VALUE!</v>
      </c>
      <c r="CD70" s="2784" t="e">
        <f>IF(AND(($D70+G70)&lt;&gt;0,$L70=""),"* No olvide ingresar la columna "&amp;$L$68&amp;""&amp;" (Digite CERO si no tiene). ",IF(L70&gt;($D70+$G70),"* El Número de "&amp;$L$68&amp;" no puede superar la suma de Ambos Sexos. ",""))</f>
        <v>#VALUE!</v>
      </c>
      <c r="CE70" s="2784" t="e">
        <f>IF(AND(($D70+G70)&lt;&gt;0,$M70=""),"* No olvide ingresar la columna "&amp;$M$68&amp;""&amp;" (Digite CERO si no tiene). ",IF(M70&gt;($D70+$G70),"* El Número de "&amp;$M$68&amp;" no puede superar la suma de Ambos Sexos. ",""))</f>
        <v>#VALUE!</v>
      </c>
      <c r="CF70" s="600"/>
      <c r="CG70" s="600"/>
      <c r="CJ70" s="600"/>
      <c r="CL70" s="1725" t="e">
        <f>IF(AND(($D70+G70)&lt;&gt;0,$J70=""),1,IF(J70&gt;($D70+$G70),1,0))</f>
        <v>#VALUE!</v>
      </c>
      <c r="CM70" s="1725" t="e">
        <f>IF(AND(($D70+G70)&lt;&gt;0,$K70=""),1,IF(K70&gt;($D70+$G70),1,0))</f>
        <v>#VALUE!</v>
      </c>
      <c r="CN70" s="1725" t="e">
        <f>IF(AND(($D70+G70)&lt;&gt;0,$L70=""),1,IF(L70&gt;($D70+$G70),1,0))</f>
        <v>#VALUE!</v>
      </c>
      <c r="CO70" s="1725" t="e">
        <f>IF(AND(($D70+G70)&lt;&gt;0,$M70=""),1,IF(M70&gt;($D70+$G70),1,0))</f>
        <v>#VALUE!</v>
      </c>
    </row>
    <row r="71" spans="1:93" ht="15" customHeight="1" x14ac:dyDescent="0.3">
      <c r="A71" s="6234" t="s">
        <v>3995</v>
      </c>
      <c r="B71" s="6355" t="s">
        <v>2411</v>
      </c>
      <c r="C71" s="6355"/>
      <c r="D71" s="3046" t="s">
        <v>5292</v>
      </c>
      <c r="E71" s="3143" t="s">
        <v>5293</v>
      </c>
      <c r="F71" s="3077" t="s">
        <v>5294</v>
      </c>
      <c r="G71" s="3191" t="s">
        <v>5295</v>
      </c>
      <c r="H71" s="3143" t="s">
        <v>5296</v>
      </c>
      <c r="I71" s="624" t="s">
        <v>5297</v>
      </c>
      <c r="J71" s="5681" t="s">
        <v>5298</v>
      </c>
      <c r="K71" s="784" t="s">
        <v>5299</v>
      </c>
      <c r="L71" s="3077" t="s">
        <v>5300</v>
      </c>
      <c r="M71" s="3145" t="s">
        <v>5301</v>
      </c>
      <c r="N71" s="1687" t="e">
        <f>$CB71&amp;CC71&amp;CD71&amp;CE71</f>
        <v>#VALUE!</v>
      </c>
      <c r="AS71" s="2630"/>
      <c r="AT71" s="2630"/>
      <c r="AU71" s="2630"/>
      <c r="AV71" s="2630"/>
      <c r="AW71" s="2630"/>
      <c r="AX71" s="2630"/>
      <c r="AY71" s="2630"/>
      <c r="AZ71" s="2630"/>
      <c r="BA71" s="2630"/>
      <c r="BB71" s="2630"/>
      <c r="BC71" s="2630"/>
      <c r="BD71" s="2630"/>
      <c r="BE71" s="2630"/>
      <c r="BF71" s="2630"/>
      <c r="BG71" s="2630"/>
      <c r="BH71" s="2630"/>
      <c r="BI71" s="2630"/>
      <c r="BJ71" s="2630"/>
      <c r="BK71" s="2630"/>
      <c r="BL71" s="2630"/>
      <c r="BM71" s="2630"/>
      <c r="BN71" s="2630"/>
      <c r="BO71" s="2630"/>
      <c r="BP71" s="2630"/>
      <c r="BQ71" s="2630"/>
      <c r="BR71" s="2630"/>
      <c r="BS71" s="2630"/>
      <c r="BT71" s="2630"/>
      <c r="BU71" s="2630"/>
      <c r="BV71" s="2630"/>
      <c r="BW71" s="2630"/>
      <c r="BX71" s="2630"/>
      <c r="BY71" s="2630"/>
      <c r="BZ71" s="2630"/>
      <c r="CA71" s="2630"/>
      <c r="CB71" s="2784" t="e">
        <f t="shared" ref="CB71:CB73" si="45">IF(AND(($D71+G71)&lt;&gt;0,$J71=""),"* No olvide ingresar la columna "&amp;$J$68&amp;""&amp;" (Digite CERO si no tiene). ",IF(J71&gt;($D71+$G71),"* El Número de Pueblos Originarios no puede superar la suma de Ambos Sexos. ",""))</f>
        <v>#VALUE!</v>
      </c>
      <c r="CC71" s="2784" t="e">
        <f t="shared" ref="CC71:CC73" si="46">IF(AND(($D71+G71)&lt;&gt;0,$K71=""),"* No olvide ingresar la columna "&amp;$K$68&amp;""&amp;" (Digite CERO si no tiene). ",IF(K71&gt;($D71+$G71),"* El Número de Migrantes no puede superar la suma de Ambos Sexos. ",""))</f>
        <v>#VALUE!</v>
      </c>
      <c r="CD71" s="2784" t="e">
        <f t="shared" ref="CD71:CD73" si="47">IF(AND(($D71+G71)&lt;&gt;0,$L71=""),"* No olvide ingresar la columna "&amp;$L$68&amp;""&amp;" (Digite CERO si no tiene). ",IF(L71&gt;($D71+$G71),"* El Número de "&amp;$L$68&amp;" no puede superar la suma de Ambos Sexos. ",""))</f>
        <v>#VALUE!</v>
      </c>
      <c r="CE71" s="2784" t="e">
        <f t="shared" ref="CE71:CE73" si="48">IF(AND(($D71+G71)&lt;&gt;0,$M71=""),"* No olvide ingresar la columna "&amp;$M$68&amp;""&amp;" (Digite CERO si no tiene). ",IF(M71&gt;($D71+$G71),"* El Número de "&amp;$M$68&amp;" no puede superar la suma de Ambos Sexos. ",""))</f>
        <v>#VALUE!</v>
      </c>
      <c r="CF71" s="600"/>
      <c r="CG71" s="600"/>
      <c r="CJ71" s="600"/>
      <c r="CL71" s="1725" t="e">
        <f>IF(AND(($D71+G71)&lt;&gt;0,$J71=""),1,IF(J71&gt;($D71+$G71),1,0))</f>
        <v>#VALUE!</v>
      </c>
      <c r="CM71" s="1725" t="e">
        <f>IF(AND(($D71+G71)&lt;&gt;0,$K71=""),1,IF(K71&gt;($D71+$G71),1,0))</f>
        <v>#VALUE!</v>
      </c>
      <c r="CN71" s="1725" t="e">
        <f>IF(AND(($D71+G71)&lt;&gt;0,$L71=""),1,IF(L71&gt;($D71+$G71),1,0))</f>
        <v>#VALUE!</v>
      </c>
      <c r="CO71" s="1725" t="e">
        <f>IF(AND(($D71+G71)&lt;&gt;0,$M71=""),1,IF(M71&gt;($D71+$G71),1,0))</f>
        <v>#VALUE!</v>
      </c>
    </row>
    <row r="72" spans="1:93" ht="15" customHeight="1" x14ac:dyDescent="0.3">
      <c r="A72" s="6234" t="s">
        <v>3996</v>
      </c>
      <c r="B72" s="6355" t="s">
        <v>2412</v>
      </c>
      <c r="C72" s="6355"/>
      <c r="D72" s="3046" t="s">
        <v>5292</v>
      </c>
      <c r="E72" s="3143" t="s">
        <v>5293</v>
      </c>
      <c r="F72" s="3077" t="s">
        <v>5294</v>
      </c>
      <c r="G72" s="3191" t="s">
        <v>5295</v>
      </c>
      <c r="H72" s="3143" t="s">
        <v>5296</v>
      </c>
      <c r="I72" s="624" t="s">
        <v>5297</v>
      </c>
      <c r="J72" s="5681" t="s">
        <v>5298</v>
      </c>
      <c r="K72" s="784" t="s">
        <v>5299</v>
      </c>
      <c r="L72" s="3077" t="s">
        <v>5300</v>
      </c>
      <c r="M72" s="3145" t="s">
        <v>5301</v>
      </c>
      <c r="N72" s="1687" t="e">
        <f>$CB72&amp;CC72&amp;CD72&amp;CE72</f>
        <v>#VALUE!</v>
      </c>
      <c r="AS72" s="2630"/>
      <c r="AT72" s="2630"/>
      <c r="AU72" s="2630"/>
      <c r="AV72" s="2630"/>
      <c r="AW72" s="2630"/>
      <c r="AX72" s="2630"/>
      <c r="AY72" s="2630"/>
      <c r="AZ72" s="2630"/>
      <c r="BA72" s="2630"/>
      <c r="BB72" s="2630"/>
      <c r="BC72" s="2630"/>
      <c r="BD72" s="2630"/>
      <c r="BE72" s="2630"/>
      <c r="BF72" s="2630"/>
      <c r="BG72" s="2630"/>
      <c r="BH72" s="2630"/>
      <c r="BI72" s="2630"/>
      <c r="BJ72" s="2630"/>
      <c r="BK72" s="2630"/>
      <c r="BL72" s="2630"/>
      <c r="BM72" s="2630"/>
      <c r="BN72" s="2630"/>
      <c r="BO72" s="2630"/>
      <c r="BP72" s="2630"/>
      <c r="BQ72" s="2630"/>
      <c r="BR72" s="2630"/>
      <c r="BS72" s="2630"/>
      <c r="BT72" s="2630"/>
      <c r="BU72" s="2630"/>
      <c r="BV72" s="2630"/>
      <c r="BW72" s="2630"/>
      <c r="BX72" s="2630"/>
      <c r="BY72" s="2630"/>
      <c r="BZ72" s="2630"/>
      <c r="CA72" s="2630"/>
      <c r="CB72" s="2784" t="e">
        <f t="shared" si="45"/>
        <v>#VALUE!</v>
      </c>
      <c r="CC72" s="2784" t="e">
        <f t="shared" si="46"/>
        <v>#VALUE!</v>
      </c>
      <c r="CD72" s="2784" t="e">
        <f t="shared" si="47"/>
        <v>#VALUE!</v>
      </c>
      <c r="CE72" s="2784" t="e">
        <f t="shared" si="48"/>
        <v>#VALUE!</v>
      </c>
      <c r="CF72" s="600"/>
      <c r="CG72" s="600"/>
      <c r="CJ72" s="600"/>
      <c r="CL72" s="1725" t="e">
        <f>IF(AND(($D72+G72)&lt;&gt;0,$J72=""),1,IF(J72&gt;($D72+$G72),1,0))</f>
        <v>#VALUE!</v>
      </c>
      <c r="CM72" s="1725" t="e">
        <f>IF(AND(($D72+G72)&lt;&gt;0,$K72=""),1,IF(K72&gt;($D72+$G72),1,0))</f>
        <v>#VALUE!</v>
      </c>
      <c r="CN72" s="1725" t="e">
        <f>IF(AND(($D72+G72)&lt;&gt;0,$L72=""),1,IF(L72&gt;($D72+$G72),1,0))</f>
        <v>#VALUE!</v>
      </c>
      <c r="CO72" s="1725" t="e">
        <f>IF(AND(($D72+G72)&lt;&gt;0,$M72=""),1,IF(M72&gt;($D72+$G72),1,0))</f>
        <v>#VALUE!</v>
      </c>
    </row>
    <row r="73" spans="1:93" ht="15" customHeight="1" x14ac:dyDescent="0.3">
      <c r="A73" s="6234" t="s">
        <v>3997</v>
      </c>
      <c r="B73" s="6356" t="s">
        <v>2413</v>
      </c>
      <c r="C73" s="6356"/>
      <c r="D73" s="911" t="s">
        <v>5292</v>
      </c>
      <c r="E73" s="3143" t="s">
        <v>5293</v>
      </c>
      <c r="F73" s="3077" t="s">
        <v>5294</v>
      </c>
      <c r="G73" s="3868" t="s">
        <v>5295</v>
      </c>
      <c r="H73" s="3143" t="s">
        <v>5296</v>
      </c>
      <c r="I73" s="624" t="s">
        <v>5297</v>
      </c>
      <c r="J73" s="5681" t="s">
        <v>5298</v>
      </c>
      <c r="K73" s="784" t="s">
        <v>5299</v>
      </c>
      <c r="L73" s="3077" t="s">
        <v>5300</v>
      </c>
      <c r="M73" s="3145" t="s">
        <v>5301</v>
      </c>
      <c r="N73" s="1687" t="e">
        <f>$CB73&amp;CC73&amp;CD73&amp;CE73</f>
        <v>#VALUE!</v>
      </c>
      <c r="AS73" s="2630"/>
      <c r="AT73" s="2630"/>
      <c r="AU73" s="2630"/>
      <c r="AV73" s="2630"/>
      <c r="AW73" s="2630"/>
      <c r="AX73" s="2630"/>
      <c r="AY73" s="2630"/>
      <c r="AZ73" s="2630"/>
      <c r="BA73" s="2630"/>
      <c r="BB73" s="2630"/>
      <c r="BC73" s="2630"/>
      <c r="BD73" s="2630"/>
      <c r="BE73" s="2630"/>
      <c r="BF73" s="2630"/>
      <c r="BG73" s="2630"/>
      <c r="BH73" s="2630"/>
      <c r="BI73" s="2630"/>
      <c r="BJ73" s="2630"/>
      <c r="BK73" s="2630"/>
      <c r="BL73" s="2630"/>
      <c r="BM73" s="2630"/>
      <c r="BN73" s="2630"/>
      <c r="BO73" s="2630"/>
      <c r="BP73" s="2630"/>
      <c r="BQ73" s="2630"/>
      <c r="BR73" s="2630"/>
      <c r="BS73" s="2630"/>
      <c r="BT73" s="2630"/>
      <c r="BU73" s="2630"/>
      <c r="BV73" s="2630"/>
      <c r="BW73" s="2630"/>
      <c r="BX73" s="2630"/>
      <c r="BY73" s="2630"/>
      <c r="BZ73" s="2630"/>
      <c r="CA73" s="2630"/>
      <c r="CB73" s="2784" t="e">
        <f t="shared" si="45"/>
        <v>#VALUE!</v>
      </c>
      <c r="CC73" s="2784" t="e">
        <f t="shared" si="46"/>
        <v>#VALUE!</v>
      </c>
      <c r="CD73" s="2784" t="e">
        <f t="shared" si="47"/>
        <v>#VALUE!</v>
      </c>
      <c r="CE73" s="2784" t="e">
        <f t="shared" si="48"/>
        <v>#VALUE!</v>
      </c>
      <c r="CF73" s="600"/>
      <c r="CG73" s="600"/>
      <c r="CJ73" s="600"/>
      <c r="CL73" s="1725" t="e">
        <f>IF(AND(($D73+G73)&lt;&gt;0,$J73=""),1,IF(J73&gt;($D73+$G73),1,0))</f>
        <v>#VALUE!</v>
      </c>
      <c r="CM73" s="1725" t="e">
        <f>IF(AND(($D73+G73)&lt;&gt;0,$K73=""),1,IF(K73&gt;($D73+$G73),1,0))</f>
        <v>#VALUE!</v>
      </c>
      <c r="CN73" s="1725" t="e">
        <f>IF(AND(($D73+G73)&lt;&gt;0,$L73=""),1,IF(L73&gt;($D73+$G73),1,0))</f>
        <v>#VALUE!</v>
      </c>
      <c r="CO73" s="1725" t="e">
        <f>IF(AND(($D73+G73)&lt;&gt;0,$M73=""),1,IF(M73&gt;($D73+$G73),1,0))</f>
        <v>#VALUE!</v>
      </c>
    </row>
    <row r="74" spans="1:93" ht="15" customHeight="1" x14ac:dyDescent="0.3">
      <c r="A74" s="6235"/>
      <c r="B74" s="6357" t="s">
        <v>24</v>
      </c>
      <c r="C74" s="6357"/>
      <c r="D74" s="5677">
        <f t="shared" ref="D74:M74" si="49">SUM(D70:D73)</f>
        <v>0</v>
      </c>
      <c r="E74" s="5678">
        <f t="shared" si="49"/>
        <v>0</v>
      </c>
      <c r="F74" s="5608">
        <f t="shared" si="49"/>
        <v>0</v>
      </c>
      <c r="G74" s="5608">
        <f t="shared" si="49"/>
        <v>0</v>
      </c>
      <c r="H74" s="5678">
        <f t="shared" si="49"/>
        <v>0</v>
      </c>
      <c r="I74" s="5679">
        <f t="shared" si="49"/>
        <v>0</v>
      </c>
      <c r="J74" s="5682">
        <f t="shared" si="49"/>
        <v>0</v>
      </c>
      <c r="K74" s="5677">
        <f t="shared" si="49"/>
        <v>0</v>
      </c>
      <c r="L74" s="3149">
        <f t="shared" si="49"/>
        <v>0</v>
      </c>
      <c r="M74" s="3148">
        <f t="shared" si="49"/>
        <v>0</v>
      </c>
    </row>
    <row r="75" spans="1:93" ht="18" customHeight="1" x14ac:dyDescent="0.3">
      <c r="B75" s="3151" t="s">
        <v>2414</v>
      </c>
      <c r="C75" s="3152"/>
      <c r="D75" s="2586"/>
      <c r="E75" s="2586"/>
      <c r="F75" s="112"/>
      <c r="G75" s="112"/>
      <c r="H75" s="112"/>
      <c r="I75" s="112"/>
    </row>
    <row r="76" spans="1:93" ht="20.25" customHeight="1" x14ac:dyDescent="0.3">
      <c r="A76" s="6236"/>
      <c r="B76" s="6322" t="s">
        <v>2415</v>
      </c>
      <c r="C76" s="6322" t="s">
        <v>24</v>
      </c>
      <c r="D76" s="6322" t="s">
        <v>2377</v>
      </c>
      <c r="E76" s="6336"/>
      <c r="F76" s="6334" t="s">
        <v>3910</v>
      </c>
      <c r="G76" s="6322"/>
      <c r="H76" s="6335" t="s">
        <v>3911</v>
      </c>
      <c r="I76" s="6322"/>
      <c r="J76" s="6336"/>
      <c r="K76" s="6335" t="s">
        <v>2</v>
      </c>
      <c r="L76" s="6322" t="s">
        <v>3</v>
      </c>
      <c r="M76" s="6322" t="s">
        <v>49</v>
      </c>
      <c r="N76" s="6322" t="s">
        <v>45</v>
      </c>
    </row>
    <row r="77" spans="1:93" ht="31.95" customHeight="1" x14ac:dyDescent="0.3">
      <c r="A77" s="6236"/>
      <c r="B77" s="6322"/>
      <c r="C77" s="6322"/>
      <c r="D77" s="5609" t="s">
        <v>22</v>
      </c>
      <c r="E77" s="5988" t="s">
        <v>27</v>
      </c>
      <c r="F77" s="6115" t="s">
        <v>3915</v>
      </c>
      <c r="G77" s="5609" t="s">
        <v>3916</v>
      </c>
      <c r="H77" s="5585" t="s">
        <v>3912</v>
      </c>
      <c r="I77" s="5609" t="s">
        <v>3917</v>
      </c>
      <c r="J77" s="5988" t="s">
        <v>3918</v>
      </c>
      <c r="K77" s="6335"/>
      <c r="L77" s="6322"/>
      <c r="M77" s="6322"/>
      <c r="N77" s="6322"/>
    </row>
    <row r="78" spans="1:93" ht="15" customHeight="1" x14ac:dyDescent="0.3">
      <c r="A78" s="6234" t="s">
        <v>3998</v>
      </c>
      <c r="B78" s="5680" t="s">
        <v>2416</v>
      </c>
      <c r="C78" s="5997" t="s">
        <v>5292</v>
      </c>
      <c r="D78" s="5689" t="s">
        <v>5293</v>
      </c>
      <c r="E78" s="5408" t="s">
        <v>5294</v>
      </c>
      <c r="F78" s="5407" t="s">
        <v>5295</v>
      </c>
      <c r="G78" s="5257" t="s">
        <v>5296</v>
      </c>
      <c r="H78" s="6059" t="s">
        <v>5297</v>
      </c>
      <c r="I78" s="5689" t="s">
        <v>5298</v>
      </c>
      <c r="J78" s="5408" t="s">
        <v>5299</v>
      </c>
      <c r="K78" s="5689" t="s">
        <v>5300</v>
      </c>
      <c r="L78" s="5228" t="s">
        <v>5301</v>
      </c>
      <c r="M78" s="5228" t="s">
        <v>5302</v>
      </c>
      <c r="N78" s="5748" t="s">
        <v>5303</v>
      </c>
      <c r="O78" s="1687" t="str">
        <f>$CB78&amp;CC78&amp;CD78&amp;CE78</f>
        <v xml:space="preserve">* El Número de Pueblos Originarios no puede superar el Total. * El Número de Migrantes no puede superar el Total. * El Número de El Número de Niños, Niñas, Adolescentes y Jóvenes SENAME no puede superar el Total. * El Número de Niños, Niñas, Adolescentes y Jóvenes Mejor Niñez no puede superar el Total. </v>
      </c>
      <c r="AT78" s="2630"/>
      <c r="AU78" s="2630"/>
      <c r="AV78" s="2630"/>
      <c r="AW78" s="2630"/>
      <c r="AX78" s="2630"/>
      <c r="AY78" s="2630"/>
      <c r="AZ78" s="2630"/>
      <c r="BA78" s="2630"/>
      <c r="BB78" s="2630"/>
      <c r="BC78" s="2630"/>
      <c r="BD78" s="2630"/>
      <c r="BE78" s="2630"/>
      <c r="BF78" s="2630"/>
      <c r="BG78" s="2630"/>
      <c r="BH78" s="2630"/>
      <c r="BI78" s="2630"/>
      <c r="BJ78" s="2630"/>
      <c r="BK78" s="2630"/>
      <c r="BL78" s="2630"/>
      <c r="BM78" s="2630"/>
      <c r="BN78" s="2630"/>
      <c r="BO78" s="2630"/>
      <c r="BP78" s="2630"/>
      <c r="BQ78" s="2630"/>
      <c r="BR78" s="2630"/>
      <c r="BS78" s="2630"/>
      <c r="BT78" s="2630"/>
      <c r="BU78" s="2630"/>
      <c r="BV78" s="2630"/>
      <c r="BW78" s="2630"/>
      <c r="BX78" s="2630"/>
      <c r="BY78" s="2630"/>
      <c r="BZ78" s="2630"/>
      <c r="CA78" s="2630"/>
      <c r="CB78" s="2784" t="str">
        <f>IF(AND($C78&lt;&gt;0,K78=""),"* No olvide ingresar la columna "&amp;K$76&amp;""&amp;" (Digite CERO si no tiene). ",IF(K78&gt;$C78,"* El Número de Pueblos Originarios no puede superar el Total. ",""))</f>
        <v xml:space="preserve">* El Número de Pueblos Originarios no puede superar el Total. </v>
      </c>
      <c r="CC78" s="2784" t="str">
        <f>IF(AND($C78&lt;&gt;0,L78=""),"* No olvide ingresar la columna "&amp;L$76&amp;""&amp;" (Digite CERO si no tiene). ",IF(L78&gt;$C78,"* El Número de Migrantes no puede superar el Total. ",""))</f>
        <v xml:space="preserve">* El Número de Migrantes no puede superar el Total. </v>
      </c>
      <c r="CD78" s="2784" t="str">
        <f>IF(AND($C78&lt;&gt;0,M78=""),"* No olvide ingresar la columna "&amp;M$76&amp;""&amp;" (Digite CERO si no tiene).  ",IF(M78&gt;$C78,"* El Número de El Número de Niños, Niñas, Adolescentes y Jóvenes SENAME no puede superar el Total. ",""))</f>
        <v xml:space="preserve">* El Número de El Número de Niños, Niñas, Adolescentes y Jóvenes SENAME no puede superar el Total. </v>
      </c>
      <c r="CE78" s="2784" t="str">
        <f>IF(AND($C78&lt;&gt;0,N78=""),"* No olvide ingresar la columna "&amp;N$76&amp;""&amp;" (Digite CERO si no tiene).  ",IF(N78&gt;$C78,"* El Número de Niños, Niñas, Adolescentes y Jóvenes Mejor Niñez no puede superar el Total. ",""))</f>
        <v xml:space="preserve">* El Número de Niños, Niñas, Adolescentes y Jóvenes Mejor Niñez no puede superar el Total. </v>
      </c>
      <c r="CF78" s="600"/>
      <c r="CG78" s="600"/>
      <c r="CH78" s="600"/>
      <c r="CI78" s="600"/>
      <c r="CJ78" s="600"/>
      <c r="CL78" s="1725">
        <f t="shared" ref="CL78:CO82" si="50">IF(AND($C78&lt;&gt;0,K78=""),1,IF(K78&gt;$C78,1,0))</f>
        <v>1</v>
      </c>
      <c r="CM78" s="1725">
        <f t="shared" si="50"/>
        <v>1</v>
      </c>
      <c r="CN78" s="1725">
        <f t="shared" si="50"/>
        <v>1</v>
      </c>
      <c r="CO78" s="1725">
        <f t="shared" si="50"/>
        <v>1</v>
      </c>
    </row>
    <row r="79" spans="1:93" ht="15" customHeight="1" x14ac:dyDescent="0.3">
      <c r="A79" s="6234" t="s">
        <v>3999</v>
      </c>
      <c r="B79" s="3046" t="s">
        <v>2417</v>
      </c>
      <c r="C79" s="3154" t="s">
        <v>5292</v>
      </c>
      <c r="D79" s="3143" t="s">
        <v>5293</v>
      </c>
      <c r="E79" s="624" t="s">
        <v>5294</v>
      </c>
      <c r="F79" s="916" t="s">
        <v>5295</v>
      </c>
      <c r="G79" s="626" t="s">
        <v>5296</v>
      </c>
      <c r="H79" s="6056" t="s">
        <v>5297</v>
      </c>
      <c r="I79" s="617" t="s">
        <v>5298</v>
      </c>
      <c r="J79" s="624" t="s">
        <v>5299</v>
      </c>
      <c r="K79" s="3143" t="s">
        <v>5300</v>
      </c>
      <c r="L79" s="617" t="s">
        <v>5301</v>
      </c>
      <c r="M79" s="617" t="s">
        <v>5302</v>
      </c>
      <c r="N79" s="626" t="s">
        <v>5303</v>
      </c>
      <c r="O79" s="1687" t="str">
        <f>$CB79&amp;CC79&amp;CD79&amp;CE79</f>
        <v xml:space="preserve">* El Número de Pueblos Originarios no puede superar el Total. * El Número de Migrantes no puede superar el Total. * El Número de El Número de Niños, Niñas, Adolescentes y Jóvenes SENAME no puede superar el Total. * El Número de Niños, Niñas, Adolescentes y Jóvenes Mejor Niñez no puede superar el Total. </v>
      </c>
      <c r="AT79" s="2630"/>
      <c r="AU79" s="2630"/>
      <c r="AV79" s="2630"/>
      <c r="AW79" s="2630"/>
      <c r="AX79" s="2630"/>
      <c r="AY79" s="2630"/>
      <c r="AZ79" s="2630"/>
      <c r="BA79" s="2630"/>
      <c r="BB79" s="2630"/>
      <c r="BC79" s="2630"/>
      <c r="BD79" s="2630"/>
      <c r="BE79" s="2630"/>
      <c r="BF79" s="2630"/>
      <c r="BG79" s="2630"/>
      <c r="BH79" s="2630"/>
      <c r="BI79" s="2630"/>
      <c r="BJ79" s="2630"/>
      <c r="BK79" s="2630"/>
      <c r="BL79" s="2630"/>
      <c r="BM79" s="2630"/>
      <c r="BN79" s="2630"/>
      <c r="BO79" s="2630"/>
      <c r="BP79" s="2630"/>
      <c r="BQ79" s="2630"/>
      <c r="BR79" s="2630"/>
      <c r="BS79" s="2630"/>
      <c r="BT79" s="2630"/>
      <c r="BU79" s="2630"/>
      <c r="BV79" s="2630"/>
      <c r="BW79" s="2630"/>
      <c r="BX79" s="2630"/>
      <c r="BY79" s="2630"/>
      <c r="BZ79" s="2630"/>
      <c r="CA79" s="2630"/>
      <c r="CB79" s="2784" t="str">
        <f>IF(AND($C79&lt;&gt;0,K79=""),"* No olvide ingresar la columna "&amp;K$76&amp;""&amp;" (Digite CERO si no tiene). ",IF(K79&gt;$C79,"* El Número de Pueblos Originarios no puede superar el Total. ",""))</f>
        <v xml:space="preserve">* El Número de Pueblos Originarios no puede superar el Total. </v>
      </c>
      <c r="CC79" s="2784" t="str">
        <f>IF(AND($C79&lt;&gt;0,L79=""),"* No olvide ingresar la columna "&amp;L$76&amp;""&amp;" (Digite CERO si no tiene). ",IF(L79&gt;$C79,"* El Número de Migrantes no puede superar el Total. ",""))</f>
        <v xml:space="preserve">* El Número de Migrantes no puede superar el Total. </v>
      </c>
      <c r="CD79" s="2784" t="str">
        <f>IF(AND($C79&lt;&gt;0,M79=""),"* No olvide ingresar la columna "&amp;M$76&amp;""&amp;" (Digite CERO si no tiene).  ",IF(M79&gt;$C79,"* El Número de El Número de Niños, Niñas, Adolescentes y Jóvenes SENAME no puede superar el Total. ",""))</f>
        <v xml:space="preserve">* El Número de El Número de Niños, Niñas, Adolescentes y Jóvenes SENAME no puede superar el Total. </v>
      </c>
      <c r="CE79" s="2784" t="str">
        <f>IF(AND($C79&lt;&gt;0,N79=""),"* No olvide ingresar la columna "&amp;N$76&amp;""&amp;" (Digite CERO si no tiene).  ",IF(N79&gt;$C79,"* El Número de Niños, Niñas, Adolescentes y Jóvenes Mejor Niñez no puede superar el Total. ",""))</f>
        <v xml:space="preserve">* El Número de Niños, Niñas, Adolescentes y Jóvenes Mejor Niñez no puede superar el Total. </v>
      </c>
      <c r="CF79" s="600"/>
      <c r="CG79" s="600"/>
      <c r="CH79" s="600"/>
      <c r="CI79" s="600"/>
      <c r="CJ79" s="600"/>
      <c r="CL79" s="1725">
        <f t="shared" si="50"/>
        <v>1</v>
      </c>
      <c r="CM79" s="1725">
        <f t="shared" si="50"/>
        <v>1</v>
      </c>
      <c r="CN79" s="1725">
        <f t="shared" si="50"/>
        <v>1</v>
      </c>
      <c r="CO79" s="1725">
        <f t="shared" si="50"/>
        <v>1</v>
      </c>
    </row>
    <row r="80" spans="1:93" ht="15" customHeight="1" x14ac:dyDescent="0.3">
      <c r="A80" s="6234" t="s">
        <v>4000</v>
      </c>
      <c r="B80" s="3046" t="s">
        <v>2418</v>
      </c>
      <c r="C80" s="3154" t="s">
        <v>5292</v>
      </c>
      <c r="D80" s="3143" t="s">
        <v>5293</v>
      </c>
      <c r="E80" s="624" t="s">
        <v>5294</v>
      </c>
      <c r="F80" s="916" t="s">
        <v>5295</v>
      </c>
      <c r="G80" s="626" t="s">
        <v>5296</v>
      </c>
      <c r="H80" s="6057" t="s">
        <v>5297</v>
      </c>
      <c r="I80" s="617" t="s">
        <v>5298</v>
      </c>
      <c r="J80" s="624" t="s">
        <v>5299</v>
      </c>
      <c r="K80" s="3143" t="s">
        <v>5300</v>
      </c>
      <c r="L80" s="617" t="s">
        <v>5301</v>
      </c>
      <c r="M80" s="617" t="s">
        <v>5302</v>
      </c>
      <c r="N80" s="626" t="s">
        <v>5303</v>
      </c>
      <c r="O80" s="1687" t="str">
        <f>$CB80&amp;CC80&amp;CD80&amp;CE80</f>
        <v xml:space="preserve">* El Número de Pueblos Originarios no puede superar el Total. * El Número de Migrantes no puede superar el Total. * El Número de El Número de Niños, Niñas, Adolescentes y Jóvenes SENAME no puede superar el Total. * El Número de Niños, Niñas, Adolescentes y Jóvenes Mejor Niñez no puede superar el Total. </v>
      </c>
      <c r="AT80" s="2630"/>
      <c r="AU80" s="2630"/>
      <c r="AV80" s="2630"/>
      <c r="AW80" s="2630"/>
      <c r="AX80" s="2630"/>
      <c r="AY80" s="2630"/>
      <c r="AZ80" s="2630"/>
      <c r="BA80" s="2630"/>
      <c r="BB80" s="2630"/>
      <c r="BC80" s="2630"/>
      <c r="BD80" s="2630"/>
      <c r="BE80" s="2630"/>
      <c r="BF80" s="2630"/>
      <c r="BG80" s="2630"/>
      <c r="BH80" s="2630"/>
      <c r="BI80" s="2630"/>
      <c r="BJ80" s="2630"/>
      <c r="BK80" s="2630"/>
      <c r="BL80" s="2630"/>
      <c r="BM80" s="2630"/>
      <c r="BN80" s="2630"/>
      <c r="BO80" s="2630"/>
      <c r="BP80" s="2630"/>
      <c r="BQ80" s="2630"/>
      <c r="BR80" s="2630"/>
      <c r="BS80" s="2630"/>
      <c r="BT80" s="2630"/>
      <c r="BU80" s="2630"/>
      <c r="BV80" s="2630"/>
      <c r="BW80" s="2630"/>
      <c r="BX80" s="2630"/>
      <c r="BY80" s="2630"/>
      <c r="BZ80" s="2630"/>
      <c r="CA80" s="2630"/>
      <c r="CB80" s="2784" t="str">
        <f>IF(AND($C80&lt;&gt;0,K80=""),"* No olvide ingresar la columna "&amp;K$76&amp;""&amp;" (Digite CERO si no tiene). ",IF(K80&gt;$C80,"* El Número de Pueblos Originarios no puede superar el Total. ",""))</f>
        <v xml:space="preserve">* El Número de Pueblos Originarios no puede superar el Total. </v>
      </c>
      <c r="CC80" s="2784" t="str">
        <f>IF(AND($C80&lt;&gt;0,L80=""),"* No olvide ingresar la columna "&amp;L$76&amp;""&amp;" (Digite CERO si no tiene). ",IF(L80&gt;$C80,"* El Número de Migrantes no puede superar el Total. ",""))</f>
        <v xml:space="preserve">* El Número de Migrantes no puede superar el Total. </v>
      </c>
      <c r="CD80" s="2784" t="str">
        <f>IF(AND($C80&lt;&gt;0,M80=""),"* No olvide ingresar la columna "&amp;M$76&amp;""&amp;" (Digite CERO si no tiene).  ",IF(M80&gt;$C80,"* El Número de El Número de Niños, Niñas, Adolescentes y Jóvenes SENAME no puede superar el Total. ",""))</f>
        <v xml:space="preserve">* El Número de El Número de Niños, Niñas, Adolescentes y Jóvenes SENAME no puede superar el Total. </v>
      </c>
      <c r="CE80" s="2784" t="str">
        <f>IF(AND($C80&lt;&gt;0,N80=""),"* No olvide ingresar la columna "&amp;N$76&amp;""&amp;" (Digite CERO si no tiene).  ",IF(N80&gt;$C80,"* El Número de Niños, Niñas, Adolescentes y Jóvenes Mejor Niñez no puede superar el Total. ",""))</f>
        <v xml:space="preserve">* El Número de Niños, Niñas, Adolescentes y Jóvenes Mejor Niñez no puede superar el Total. </v>
      </c>
      <c r="CF80" s="600"/>
      <c r="CG80" s="600"/>
      <c r="CH80" s="600"/>
      <c r="CI80" s="600"/>
      <c r="CJ80" s="600"/>
      <c r="CL80" s="1725">
        <f t="shared" si="50"/>
        <v>1</v>
      </c>
      <c r="CM80" s="1725">
        <f t="shared" si="50"/>
        <v>1</v>
      </c>
      <c r="CN80" s="1725">
        <f t="shared" si="50"/>
        <v>1</v>
      </c>
      <c r="CO80" s="1725">
        <f t="shared" si="50"/>
        <v>1</v>
      </c>
    </row>
    <row r="81" spans="1:93" ht="15" customHeight="1" x14ac:dyDescent="0.3">
      <c r="A81" s="6234" t="s">
        <v>4001</v>
      </c>
      <c r="B81" s="3046" t="s">
        <v>2419</v>
      </c>
      <c r="C81" s="3154" t="s">
        <v>5292</v>
      </c>
      <c r="D81" s="3143" t="s">
        <v>5293</v>
      </c>
      <c r="E81" s="624" t="s">
        <v>5294</v>
      </c>
      <c r="F81" s="916" t="s">
        <v>5295</v>
      </c>
      <c r="G81" s="626" t="s">
        <v>5296</v>
      </c>
      <c r="H81" s="6057" t="s">
        <v>5297</v>
      </c>
      <c r="I81" s="617" t="s">
        <v>5298</v>
      </c>
      <c r="J81" s="624" t="s">
        <v>5299</v>
      </c>
      <c r="K81" s="3143" t="s">
        <v>5300</v>
      </c>
      <c r="L81" s="617" t="s">
        <v>5301</v>
      </c>
      <c r="M81" s="617" t="s">
        <v>5302</v>
      </c>
      <c r="N81" s="626" t="s">
        <v>5303</v>
      </c>
      <c r="O81" s="1687" t="str">
        <f>$CB81&amp;CC81&amp;CD81&amp;CE81</f>
        <v xml:space="preserve">* El Número de Pueblos Originarios no puede superar el Total. * El Número de Migrantes no puede superar el Total. * El Número de El Número de Niños, Niñas, Adolescentes y Jóvenes SENAME no puede superar el Total. * El Número de Niños, Niñas, Adolescentes y Jóvenes Mejor Niñez no puede superar el Total. </v>
      </c>
      <c r="AT81" s="2630"/>
      <c r="AU81" s="2630"/>
      <c r="AV81" s="2630"/>
      <c r="AW81" s="2630"/>
      <c r="AX81" s="2630"/>
      <c r="AY81" s="2630"/>
      <c r="AZ81" s="2630"/>
      <c r="BA81" s="2630"/>
      <c r="BB81" s="2630"/>
      <c r="BC81" s="2630"/>
      <c r="BD81" s="2630"/>
      <c r="BE81" s="2630"/>
      <c r="BF81" s="2630"/>
      <c r="BG81" s="2630"/>
      <c r="BH81" s="2630"/>
      <c r="BI81" s="2630"/>
      <c r="BJ81" s="2630"/>
      <c r="BK81" s="2630"/>
      <c r="BL81" s="2630"/>
      <c r="BM81" s="2630"/>
      <c r="BN81" s="2630"/>
      <c r="BO81" s="2630"/>
      <c r="BP81" s="2630"/>
      <c r="BQ81" s="2630"/>
      <c r="BR81" s="2630"/>
      <c r="BS81" s="2630"/>
      <c r="BT81" s="2630"/>
      <c r="BU81" s="2630"/>
      <c r="BV81" s="2630"/>
      <c r="BW81" s="2630"/>
      <c r="BX81" s="2630"/>
      <c r="BY81" s="2630"/>
      <c r="BZ81" s="2630"/>
      <c r="CA81" s="2630"/>
      <c r="CB81" s="2784" t="str">
        <f>IF(AND($C81&lt;&gt;0,K81=""),"* No olvide ingresar la columna "&amp;K$76&amp;""&amp;" (Digite CERO si no tiene). ",IF(K81&gt;$C81,"* El Número de Pueblos Originarios no puede superar el Total. ",""))</f>
        <v xml:space="preserve">* El Número de Pueblos Originarios no puede superar el Total. </v>
      </c>
      <c r="CC81" s="2784" t="str">
        <f>IF(AND($C81&lt;&gt;0,L81=""),"* No olvide ingresar la columna "&amp;L$76&amp;""&amp;" (Digite CERO si no tiene). ",IF(L81&gt;$C81,"* El Número de Migrantes no puede superar el Total. ",""))</f>
        <v xml:space="preserve">* El Número de Migrantes no puede superar el Total. </v>
      </c>
      <c r="CD81" s="2784" t="str">
        <f>IF(AND($C81&lt;&gt;0,M81=""),"* No olvide ingresar la columna "&amp;M$76&amp;""&amp;" (Digite CERO si no tiene).  ",IF(M81&gt;$C81,"* El Número de El Número de Niños, Niñas, Adolescentes y Jóvenes SENAME no puede superar el Total. ",""))</f>
        <v xml:space="preserve">* El Número de El Número de Niños, Niñas, Adolescentes y Jóvenes SENAME no puede superar el Total. </v>
      </c>
      <c r="CE81" s="2784" t="str">
        <f>IF(AND($C81&lt;&gt;0,N81=""),"* No olvide ingresar la columna "&amp;N$76&amp;""&amp;" (Digite CERO si no tiene).  ",IF(N81&gt;$C81,"* El Número de Niños, Niñas, Adolescentes y Jóvenes Mejor Niñez no puede superar el Total. ",""))</f>
        <v xml:space="preserve">* El Número de Niños, Niñas, Adolescentes y Jóvenes Mejor Niñez no puede superar el Total. </v>
      </c>
      <c r="CF81" s="600"/>
      <c r="CG81" s="600"/>
      <c r="CH81" s="600"/>
      <c r="CI81" s="600"/>
      <c r="CJ81" s="600"/>
      <c r="CL81" s="1725">
        <f t="shared" si="50"/>
        <v>1</v>
      </c>
      <c r="CM81" s="1725">
        <f t="shared" si="50"/>
        <v>1</v>
      </c>
      <c r="CN81" s="1725">
        <f t="shared" si="50"/>
        <v>1</v>
      </c>
      <c r="CO81" s="1725">
        <f t="shared" si="50"/>
        <v>1</v>
      </c>
    </row>
    <row r="82" spans="1:93" ht="15" customHeight="1" x14ac:dyDescent="0.3">
      <c r="A82" s="6234" t="s">
        <v>4002</v>
      </c>
      <c r="B82" s="5989" t="s">
        <v>2420</v>
      </c>
      <c r="C82" s="5998" t="s">
        <v>5292</v>
      </c>
      <c r="D82" s="121" t="s">
        <v>5293</v>
      </c>
      <c r="E82" s="3080" t="s">
        <v>5294</v>
      </c>
      <c r="F82" s="3754" t="s">
        <v>5295</v>
      </c>
      <c r="G82" s="3035" t="s">
        <v>5296</v>
      </c>
      <c r="H82" s="6058" t="s">
        <v>5297</v>
      </c>
      <c r="I82" s="3020" t="s">
        <v>5298</v>
      </c>
      <c r="J82" s="3080" t="s">
        <v>5299</v>
      </c>
      <c r="K82" s="121" t="s">
        <v>5300</v>
      </c>
      <c r="L82" s="3020" t="s">
        <v>5301</v>
      </c>
      <c r="M82" s="3020" t="s">
        <v>5302</v>
      </c>
      <c r="N82" s="3035" t="s">
        <v>5303</v>
      </c>
      <c r="O82" s="1687" t="str">
        <f>$CB82&amp;CC82&amp;CD82&amp;CE82</f>
        <v xml:space="preserve">* El Número de Pueblos Originarios no puede superar el Total. * El Número de Migrantes no puede superar el Total. * El Número de El Número de Niños, Niñas, Adolescentes y Jóvenes SENAME no puede superar el Total. * El Número de Niños, Niñas, Adolescentes y Jóvenes Mejor Niñez no puede superar el Total. </v>
      </c>
      <c r="AT82" s="2630"/>
      <c r="AU82" s="2630"/>
      <c r="AV82" s="2630"/>
      <c r="AW82" s="2630"/>
      <c r="AX82" s="2630"/>
      <c r="AY82" s="2630"/>
      <c r="AZ82" s="2630"/>
      <c r="BA82" s="2630"/>
      <c r="BB82" s="2630"/>
      <c r="BC82" s="2630"/>
      <c r="BD82" s="2630"/>
      <c r="BE82" s="2630"/>
      <c r="BF82" s="2630"/>
      <c r="BG82" s="2630"/>
      <c r="BH82" s="2630"/>
      <c r="BI82" s="2630"/>
      <c r="BJ82" s="2630"/>
      <c r="BK82" s="2630"/>
      <c r="BL82" s="2630"/>
      <c r="BM82" s="2630"/>
      <c r="BN82" s="2630"/>
      <c r="BO82" s="2630"/>
      <c r="BP82" s="2630"/>
      <c r="BQ82" s="2630"/>
      <c r="BR82" s="2630"/>
      <c r="BS82" s="2630"/>
      <c r="BT82" s="2630"/>
      <c r="BU82" s="2630"/>
      <c r="BV82" s="2630"/>
      <c r="BW82" s="2630"/>
      <c r="BX82" s="2630"/>
      <c r="BY82" s="2630"/>
      <c r="BZ82" s="2630"/>
      <c r="CA82" s="2630"/>
      <c r="CB82" s="2784" t="str">
        <f>IF(AND($C82&lt;&gt;0,K82=""),"* No olvide ingresar la columna "&amp;K$76&amp;""&amp;" (Digite CERO si no tiene). ",IF(K82&gt;$C82,"* El Número de Pueblos Originarios no puede superar el Total. ",""))</f>
        <v xml:space="preserve">* El Número de Pueblos Originarios no puede superar el Total. </v>
      </c>
      <c r="CC82" s="2784" t="str">
        <f>IF(AND($C82&lt;&gt;0,L82=""),"* No olvide ingresar la columna "&amp;L$76&amp;""&amp;" (Digite CERO si no tiene). ",IF(L82&gt;$C82,"* El Número de Migrantes no puede superar el Total. ",""))</f>
        <v xml:space="preserve">* El Número de Migrantes no puede superar el Total. </v>
      </c>
      <c r="CD82" s="2784" t="str">
        <f>IF(AND($C82&lt;&gt;0,M82=""),"* No olvide ingresar la columna "&amp;M$76&amp;""&amp;" (Digite CERO si no tiene).  ",IF(M82&gt;$C82,"* El Número de El Número de Niños, Niñas, Adolescentes y Jóvenes SENAME no puede superar el Total. ",""))</f>
        <v xml:space="preserve">* El Número de El Número de Niños, Niñas, Adolescentes y Jóvenes SENAME no puede superar el Total. </v>
      </c>
      <c r="CE82" s="2784" t="str">
        <f>IF(AND($C82&lt;&gt;0,N82=""),"* No olvide ingresar la columna "&amp;N$76&amp;""&amp;" (Digite CERO si no tiene).  ",IF(N82&gt;$C82,"* El Número de Niños, Niñas, Adolescentes y Jóvenes Mejor Niñez no puede superar el Total. ",""))</f>
        <v xml:space="preserve">* El Número de Niños, Niñas, Adolescentes y Jóvenes Mejor Niñez no puede superar el Total. </v>
      </c>
      <c r="CF82" s="600"/>
      <c r="CG82" s="600"/>
      <c r="CH82" s="600"/>
      <c r="CI82" s="600"/>
      <c r="CJ82" s="600"/>
      <c r="CL82" s="1725">
        <f t="shared" si="50"/>
        <v>1</v>
      </c>
      <c r="CM82" s="1725">
        <f t="shared" si="50"/>
        <v>1</v>
      </c>
      <c r="CN82" s="1725">
        <f t="shared" si="50"/>
        <v>1</v>
      </c>
      <c r="CO82" s="1725">
        <f t="shared" si="50"/>
        <v>1</v>
      </c>
    </row>
    <row r="83" spans="1:93" ht="15" customHeight="1" x14ac:dyDescent="0.3">
      <c r="A83" s="6237" t="s">
        <v>4003</v>
      </c>
      <c r="B83" s="6116" t="s">
        <v>3914</v>
      </c>
      <c r="C83" s="121" t="s">
        <v>5292</v>
      </c>
      <c r="D83" s="5996" t="s">
        <v>5293</v>
      </c>
      <c r="E83" s="5993" t="s">
        <v>5294</v>
      </c>
      <c r="F83" s="5994" t="s">
        <v>5295</v>
      </c>
      <c r="G83" s="5995" t="s">
        <v>5296</v>
      </c>
      <c r="H83" s="5991" t="s">
        <v>5297</v>
      </c>
      <c r="I83" s="5949" t="s">
        <v>5298</v>
      </c>
      <c r="J83" s="5990" t="s">
        <v>5299</v>
      </c>
      <c r="K83" s="5996" t="s">
        <v>5300</v>
      </c>
      <c r="L83" s="5992" t="s">
        <v>5301</v>
      </c>
      <c r="M83" s="5992" t="s">
        <v>5302</v>
      </c>
      <c r="N83" s="5995" t="s">
        <v>5303</v>
      </c>
      <c r="O83" s="1687"/>
      <c r="AT83" s="2630"/>
      <c r="AU83" s="2630"/>
      <c r="AV83" s="2630"/>
      <c r="AW83" s="2630"/>
      <c r="AX83" s="2630"/>
      <c r="AY83" s="2630"/>
      <c r="AZ83" s="2630"/>
      <c r="BA83" s="2630"/>
      <c r="BB83" s="2630"/>
      <c r="BC83" s="2630"/>
      <c r="BD83" s="2630"/>
      <c r="BE83" s="2630"/>
      <c r="BF83" s="2630"/>
      <c r="BG83" s="2630"/>
      <c r="BH83" s="2630"/>
      <c r="BI83" s="2630"/>
      <c r="BJ83" s="2630"/>
      <c r="BK83" s="2630"/>
      <c r="BL83" s="2630"/>
      <c r="BM83" s="2630"/>
      <c r="BN83" s="2630"/>
      <c r="BO83" s="2630"/>
      <c r="BP83" s="2630"/>
      <c r="BQ83" s="2630"/>
      <c r="BR83" s="2630"/>
      <c r="BS83" s="2630"/>
      <c r="BT83" s="2630"/>
      <c r="BU83" s="2630"/>
      <c r="BV83" s="2630"/>
      <c r="BW83" s="2630"/>
      <c r="BX83" s="2630"/>
      <c r="BY83" s="2630"/>
      <c r="BZ83" s="2630"/>
      <c r="CA83" s="2630"/>
      <c r="CB83" s="2784"/>
      <c r="CC83" s="2784"/>
      <c r="CD83" s="2784"/>
      <c r="CE83" s="2784"/>
      <c r="CF83" s="600"/>
      <c r="CG83" s="600"/>
      <c r="CH83" s="600"/>
      <c r="CI83" s="600"/>
      <c r="CJ83" s="600"/>
      <c r="CL83" s="1725"/>
      <c r="CM83" s="1725"/>
      <c r="CN83" s="1725"/>
      <c r="CO83" s="1725"/>
    </row>
    <row r="84" spans="1:93" ht="18" customHeight="1" x14ac:dyDescent="0.3">
      <c r="B84" s="2763" t="s">
        <v>2421</v>
      </c>
      <c r="C84" s="3156"/>
      <c r="D84" s="3156"/>
      <c r="E84" s="3157"/>
      <c r="F84" s="3156"/>
      <c r="G84" s="3156"/>
      <c r="H84" s="3156"/>
      <c r="I84" s="3156"/>
      <c r="J84" s="3156"/>
      <c r="K84" s="3156"/>
      <c r="L84" s="3156"/>
      <c r="M84" s="3156"/>
      <c r="N84" s="3156"/>
      <c r="O84" s="3156"/>
      <c r="P84" s="3156"/>
      <c r="Q84" s="3156"/>
      <c r="R84" s="3156"/>
      <c r="S84" s="3156"/>
      <c r="T84" s="3156"/>
      <c r="U84" s="3156"/>
      <c r="V84" s="3156"/>
      <c r="W84" s="3156"/>
      <c r="X84" s="3156"/>
      <c r="Y84" s="3158"/>
      <c r="Z84" s="3158"/>
      <c r="AA84" s="3156"/>
      <c r="AB84" s="3156"/>
      <c r="AC84" s="3156"/>
      <c r="AD84" s="3156"/>
      <c r="AE84" s="3156"/>
      <c r="AF84" s="3156"/>
      <c r="AG84" s="3156"/>
      <c r="AH84" s="1845"/>
      <c r="AI84" s="1845"/>
    </row>
    <row r="85" spans="1:93" ht="15" customHeight="1" x14ac:dyDescent="0.3">
      <c r="B85" s="6337" t="s">
        <v>1399</v>
      </c>
      <c r="C85" s="6340" t="s">
        <v>24</v>
      </c>
      <c r="D85" s="6341"/>
      <c r="E85" s="6342"/>
      <c r="F85" s="6326" t="s">
        <v>30</v>
      </c>
      <c r="G85" s="6345"/>
      <c r="H85" s="6345"/>
      <c r="I85" s="6345"/>
      <c r="J85" s="6345"/>
      <c r="K85" s="6345"/>
      <c r="L85" s="6345"/>
      <c r="M85" s="6345"/>
      <c r="N85" s="6345"/>
      <c r="O85" s="6345"/>
      <c r="P85" s="6345"/>
      <c r="Q85" s="6345"/>
      <c r="R85" s="6345"/>
      <c r="S85" s="6345"/>
      <c r="T85" s="6345"/>
      <c r="U85" s="6345"/>
      <c r="V85" s="6345"/>
      <c r="W85" s="6345"/>
      <c r="X85" s="6345"/>
      <c r="Y85" s="6345"/>
      <c r="Z85" s="6345"/>
      <c r="AA85" s="6345"/>
      <c r="AB85" s="6345"/>
      <c r="AC85" s="6345"/>
      <c r="AD85" s="6345"/>
      <c r="AE85" s="6345"/>
      <c r="AF85" s="6345"/>
      <c r="AG85" s="6346"/>
      <c r="AH85" s="6323" t="s">
        <v>3</v>
      </c>
      <c r="AI85" s="6323" t="s">
        <v>2</v>
      </c>
    </row>
    <row r="86" spans="1:93" ht="15" customHeight="1" x14ac:dyDescent="0.3">
      <c r="B86" s="6338"/>
      <c r="C86" s="6343"/>
      <c r="D86" s="6344"/>
      <c r="E86" s="6324"/>
      <c r="F86" s="6326" t="s">
        <v>4</v>
      </c>
      <c r="G86" s="6327"/>
      <c r="H86" s="6328" t="s">
        <v>5</v>
      </c>
      <c r="I86" s="6329"/>
      <c r="J86" s="6328" t="s">
        <v>6</v>
      </c>
      <c r="K86" s="6329"/>
      <c r="L86" s="6330" t="s">
        <v>7</v>
      </c>
      <c r="M86" s="6329"/>
      <c r="N86" s="6328" t="s">
        <v>8</v>
      </c>
      <c r="O86" s="6329"/>
      <c r="P86" s="6328" t="s">
        <v>9</v>
      </c>
      <c r="Q86" s="6329"/>
      <c r="R86" s="6328" t="s">
        <v>10</v>
      </c>
      <c r="S86" s="6329"/>
      <c r="T86" s="6328" t="s">
        <v>11</v>
      </c>
      <c r="U86" s="6329"/>
      <c r="V86" s="6328" t="s">
        <v>18</v>
      </c>
      <c r="W86" s="6329"/>
      <c r="X86" s="6328" t="s">
        <v>19</v>
      </c>
      <c r="Y86" s="6347"/>
      <c r="Z86" s="6331" t="s">
        <v>20</v>
      </c>
      <c r="AA86" s="6332"/>
      <c r="AB86" s="6330" t="s">
        <v>70</v>
      </c>
      <c r="AC86" s="6329"/>
      <c r="AD86" s="6330" t="s">
        <v>71</v>
      </c>
      <c r="AE86" s="6329"/>
      <c r="AF86" s="6328" t="s">
        <v>32</v>
      </c>
      <c r="AG86" s="6333"/>
      <c r="AH86" s="6324"/>
      <c r="AI86" s="6324"/>
    </row>
    <row r="87" spans="1:93" ht="15" customHeight="1" x14ac:dyDescent="0.3">
      <c r="B87" s="6339"/>
      <c r="C87" s="3159" t="s">
        <v>26</v>
      </c>
      <c r="D87" s="3160" t="s">
        <v>22</v>
      </c>
      <c r="E87" s="3161" t="s">
        <v>27</v>
      </c>
      <c r="F87" s="3153" t="s">
        <v>22</v>
      </c>
      <c r="G87" s="3161" t="s">
        <v>27</v>
      </c>
      <c r="H87" s="3160" t="s">
        <v>22</v>
      </c>
      <c r="I87" s="3161" t="s">
        <v>27</v>
      </c>
      <c r="J87" s="3160" t="s">
        <v>22</v>
      </c>
      <c r="K87" s="3161" t="s">
        <v>27</v>
      </c>
      <c r="L87" s="3153" t="s">
        <v>22</v>
      </c>
      <c r="M87" s="3161" t="s">
        <v>27</v>
      </c>
      <c r="N87" s="3160" t="s">
        <v>22</v>
      </c>
      <c r="O87" s="3161" t="s">
        <v>27</v>
      </c>
      <c r="P87" s="3160" t="s">
        <v>22</v>
      </c>
      <c r="Q87" s="3161" t="s">
        <v>27</v>
      </c>
      <c r="R87" s="3160" t="s">
        <v>22</v>
      </c>
      <c r="S87" s="3161" t="s">
        <v>27</v>
      </c>
      <c r="T87" s="3160" t="s">
        <v>22</v>
      </c>
      <c r="U87" s="3161" t="s">
        <v>27</v>
      </c>
      <c r="V87" s="3160" t="s">
        <v>22</v>
      </c>
      <c r="W87" s="3161" t="s">
        <v>27</v>
      </c>
      <c r="X87" s="3160" t="s">
        <v>22</v>
      </c>
      <c r="Y87" s="5343" t="s">
        <v>27</v>
      </c>
      <c r="Z87" s="5587" t="s">
        <v>22</v>
      </c>
      <c r="AA87" s="5585" t="s">
        <v>27</v>
      </c>
      <c r="AB87" s="3153" t="s">
        <v>22</v>
      </c>
      <c r="AC87" s="3161" t="s">
        <v>27</v>
      </c>
      <c r="AD87" s="3153" t="s">
        <v>22</v>
      </c>
      <c r="AE87" s="3161" t="s">
        <v>27</v>
      </c>
      <c r="AF87" s="3160" t="s">
        <v>22</v>
      </c>
      <c r="AG87" s="3162" t="s">
        <v>27</v>
      </c>
      <c r="AH87" s="6325"/>
      <c r="AI87" s="6325"/>
    </row>
    <row r="88" spans="1:93" ht="15" customHeight="1" x14ac:dyDescent="0.3">
      <c r="A88" s="6234" t="s">
        <v>4004</v>
      </c>
      <c r="B88" s="3046" t="s">
        <v>2422</v>
      </c>
      <c r="C88" s="3163" t="s">
        <v>5292</v>
      </c>
      <c r="D88" s="3164" t="s">
        <v>5293</v>
      </c>
      <c r="E88" s="3165" t="s">
        <v>5294</v>
      </c>
      <c r="F88" s="616" t="s">
        <v>5295</v>
      </c>
      <c r="G88" s="626" t="s">
        <v>5296</v>
      </c>
      <c r="H88" s="3143" t="s">
        <v>5297</v>
      </c>
      <c r="I88" s="626" t="s">
        <v>5298</v>
      </c>
      <c r="J88" s="3166" t="s">
        <v>5299</v>
      </c>
      <c r="K88" s="848" t="s">
        <v>5300</v>
      </c>
      <c r="L88" s="846" t="s">
        <v>5301</v>
      </c>
      <c r="M88" s="848" t="s">
        <v>5302</v>
      </c>
      <c r="N88" s="3166" t="s">
        <v>5303</v>
      </c>
      <c r="O88" s="848" t="s">
        <v>5304</v>
      </c>
      <c r="P88" s="3166" t="s">
        <v>5305</v>
      </c>
      <c r="Q88" s="848" t="s">
        <v>5306</v>
      </c>
      <c r="R88" s="3166" t="s">
        <v>5307</v>
      </c>
      <c r="S88" s="848" t="s">
        <v>5308</v>
      </c>
      <c r="T88" s="3166" t="s">
        <v>5309</v>
      </c>
      <c r="U88" s="848" t="s">
        <v>5310</v>
      </c>
      <c r="V88" s="3166" t="s">
        <v>5311</v>
      </c>
      <c r="W88" s="848" t="s">
        <v>5312</v>
      </c>
      <c r="X88" s="3166" t="s">
        <v>5313</v>
      </c>
      <c r="Y88" s="5744" t="s">
        <v>5314</v>
      </c>
      <c r="Z88" s="846" t="s">
        <v>5315</v>
      </c>
      <c r="AA88" s="848" t="s">
        <v>5316</v>
      </c>
      <c r="AB88" s="846" t="s">
        <v>5317</v>
      </c>
      <c r="AC88" s="848" t="s">
        <v>5318</v>
      </c>
      <c r="AD88" s="846" t="s">
        <v>5319</v>
      </c>
      <c r="AE88" s="848" t="s">
        <v>5320</v>
      </c>
      <c r="AF88" s="3166" t="s">
        <v>5321</v>
      </c>
      <c r="AG88" s="3167" t="s">
        <v>5322</v>
      </c>
      <c r="AH88" s="3134" t="s">
        <v>5323</v>
      </c>
      <c r="AI88" s="3134" t="s">
        <v>5324</v>
      </c>
      <c r="AJ88" s="1687" t="str">
        <f>$CB88&amp;CC88</f>
        <v xml:space="preserve">* El Número de Migrantes no puede superar el Total Ambos Sexos. * El Número de Pueblos Originarios no puede superar el Total Ambos Sexos. </v>
      </c>
      <c r="BO88" s="2630"/>
      <c r="BP88" s="2630"/>
      <c r="BQ88" s="2630"/>
      <c r="BR88" s="2630"/>
      <c r="BS88" s="2630"/>
      <c r="BT88" s="2630"/>
      <c r="BU88" s="2630"/>
      <c r="BV88" s="2630"/>
      <c r="BW88" s="2630"/>
      <c r="BX88" s="2630"/>
      <c r="BY88" s="2630"/>
      <c r="BZ88" s="2630"/>
      <c r="CA88" s="2630"/>
      <c r="CB88" s="2784" t="str">
        <f>IF(AND($C88&lt;&gt;0,AH88=""),"* No olvide ingresar la columna "&amp;AH$85&amp;""&amp;" (Digite CERO si no tiene). ",IF(AH88&gt;$C88,"* El Número de Migrantes no puede superar el Total Ambos Sexos. ",""))</f>
        <v xml:space="preserve">* El Número de Migrantes no puede superar el Total Ambos Sexos. </v>
      </c>
      <c r="CC88" s="2784" t="str">
        <f>IF(AND($C88&lt;&gt;0,AI88=""),"* No olvide ingresar la columna "&amp;AI$85&amp;""&amp;" (Digite CERO si no tiene). ",IF(AI88&gt;$C88,"* El Número de Pueblos Originarios no puede superar el Total Ambos Sexos. ",""))</f>
        <v xml:space="preserve">* El Número de Pueblos Originarios no puede superar el Total Ambos Sexos. </v>
      </c>
      <c r="CD88" s="2630"/>
      <c r="CE88" s="2630"/>
      <c r="CF88" s="600"/>
      <c r="CG88" s="600"/>
      <c r="CH88" s="600"/>
      <c r="CI88" s="600"/>
      <c r="CJ88" s="600"/>
      <c r="CL88" s="1725">
        <f>IF(AND($C88&lt;&gt;0,AH88=""),1,IF(AH88&gt;$C88,1,0))</f>
        <v>1</v>
      </c>
      <c r="CM88" s="1725">
        <f>IF(AND($C88&lt;&gt;0,AI88=""),1,IF(AI88&gt;$C88,1,0))</f>
        <v>1</v>
      </c>
    </row>
    <row r="89" spans="1:93" ht="15" customHeight="1" x14ac:dyDescent="0.3">
      <c r="A89" s="6234" t="s">
        <v>4005</v>
      </c>
      <c r="B89" s="3046" t="s">
        <v>2423</v>
      </c>
      <c r="C89" s="3163" t="s">
        <v>5292</v>
      </c>
      <c r="D89" s="3164" t="s">
        <v>5293</v>
      </c>
      <c r="E89" s="3165" t="s">
        <v>5294</v>
      </c>
      <c r="F89" s="616" t="s">
        <v>5295</v>
      </c>
      <c r="G89" s="626" t="s">
        <v>5296</v>
      </c>
      <c r="H89" s="3143" t="s">
        <v>5297</v>
      </c>
      <c r="I89" s="626" t="s">
        <v>5298</v>
      </c>
      <c r="J89" s="3166" t="s">
        <v>5299</v>
      </c>
      <c r="K89" s="848" t="s">
        <v>5300</v>
      </c>
      <c r="L89" s="846" t="s">
        <v>5301</v>
      </c>
      <c r="M89" s="848" t="s">
        <v>5302</v>
      </c>
      <c r="N89" s="3166" t="s">
        <v>5303</v>
      </c>
      <c r="O89" s="848" t="s">
        <v>5304</v>
      </c>
      <c r="P89" s="3166" t="s">
        <v>5305</v>
      </c>
      <c r="Q89" s="848" t="s">
        <v>5306</v>
      </c>
      <c r="R89" s="3166" t="s">
        <v>5307</v>
      </c>
      <c r="S89" s="848" t="s">
        <v>5308</v>
      </c>
      <c r="T89" s="3166" t="s">
        <v>5309</v>
      </c>
      <c r="U89" s="848" t="s">
        <v>5310</v>
      </c>
      <c r="V89" s="3166" t="s">
        <v>5311</v>
      </c>
      <c r="W89" s="848" t="s">
        <v>5312</v>
      </c>
      <c r="X89" s="3166" t="s">
        <v>5313</v>
      </c>
      <c r="Y89" s="5744" t="s">
        <v>5314</v>
      </c>
      <c r="Z89" s="846" t="s">
        <v>5315</v>
      </c>
      <c r="AA89" s="848" t="s">
        <v>5316</v>
      </c>
      <c r="AB89" s="846" t="s">
        <v>5317</v>
      </c>
      <c r="AC89" s="848" t="s">
        <v>5318</v>
      </c>
      <c r="AD89" s="846" t="s">
        <v>5319</v>
      </c>
      <c r="AE89" s="848" t="s">
        <v>5320</v>
      </c>
      <c r="AF89" s="3166" t="s">
        <v>5321</v>
      </c>
      <c r="AG89" s="3167" t="s">
        <v>5322</v>
      </c>
      <c r="AH89" s="3077" t="s">
        <v>5323</v>
      </c>
      <c r="AI89" s="3077" t="s">
        <v>5324</v>
      </c>
      <c r="AJ89" s="1687" t="str">
        <f t="shared" ref="AJ89:AJ93" si="51">$CB89&amp;CC89</f>
        <v xml:space="preserve">* El Número de Migrantes no puede superar el Total Ambos Sexos. * El Número de Pueblos Originarios no puede superar el Total Ambos Sexos. </v>
      </c>
      <c r="BO89" s="2630"/>
      <c r="BP89" s="2630"/>
      <c r="BQ89" s="2630"/>
      <c r="BR89" s="2630"/>
      <c r="BS89" s="2630"/>
      <c r="BT89" s="2630"/>
      <c r="BU89" s="2630"/>
      <c r="BV89" s="2630"/>
      <c r="BW89" s="2630"/>
      <c r="BX89" s="2630"/>
      <c r="BY89" s="2630"/>
      <c r="BZ89" s="2630"/>
      <c r="CA89" s="2630"/>
      <c r="CB89" s="2784" t="str">
        <f t="shared" ref="CB89:CB93" si="52">IF(AND($C89&lt;&gt;0,AH89=""),"* No olvide ingresar la columna "&amp;AH$85&amp;""&amp;" (Digite CERO si no tiene). ",IF(AH89&gt;$C89,"* El Número de Migrantes no puede superar el Total Ambos Sexos. ",""))</f>
        <v xml:space="preserve">* El Número de Migrantes no puede superar el Total Ambos Sexos. </v>
      </c>
      <c r="CC89" s="2784" t="str">
        <f t="shared" ref="CC89:CC92" si="53">IF(AND($C89&lt;&gt;0,AI89=""),"* No olvide ingresar la columna "&amp;AI$85&amp;""&amp;" (Digite CERO si no tiene). ",IF(AI89&gt;$C89,"* El Número de Pueblos Originarios no puede superar el Total Ambos Sexos. ",""))</f>
        <v xml:space="preserve">* El Número de Pueblos Originarios no puede superar el Total Ambos Sexos. </v>
      </c>
      <c r="CD89" s="2630"/>
      <c r="CE89" s="2630"/>
      <c r="CF89" s="600"/>
      <c r="CG89" s="600"/>
      <c r="CH89" s="600"/>
      <c r="CI89" s="600"/>
      <c r="CJ89" s="600"/>
      <c r="CL89" s="1725">
        <f t="shared" ref="CL89:CM93" si="54">IF(AND($C89&lt;&gt;0,AH89=""),1,IF(AH89&gt;$C89,1,0))</f>
        <v>1</v>
      </c>
      <c r="CM89" s="1725">
        <f t="shared" si="54"/>
        <v>1</v>
      </c>
    </row>
    <row r="90" spans="1:93" ht="15" customHeight="1" x14ac:dyDescent="0.3">
      <c r="A90" s="6234" t="s">
        <v>4006</v>
      </c>
      <c r="B90" s="2994" t="s">
        <v>2424</v>
      </c>
      <c r="C90" s="3168" t="s">
        <v>5292</v>
      </c>
      <c r="D90" s="3169" t="s">
        <v>5293</v>
      </c>
      <c r="E90" s="3123" t="s">
        <v>5294</v>
      </c>
      <c r="F90" s="2410" t="s">
        <v>5295</v>
      </c>
      <c r="G90" s="2924" t="s">
        <v>5296</v>
      </c>
      <c r="H90" s="2815" t="s">
        <v>5297</v>
      </c>
      <c r="I90" s="2924" t="s">
        <v>5298</v>
      </c>
      <c r="J90" s="3170" t="s">
        <v>5299</v>
      </c>
      <c r="K90" s="3171" t="s">
        <v>5300</v>
      </c>
      <c r="L90" s="3172" t="s">
        <v>5301</v>
      </c>
      <c r="M90" s="3171" t="s">
        <v>5302</v>
      </c>
      <c r="N90" s="3170" t="s">
        <v>5303</v>
      </c>
      <c r="O90" s="3171" t="s">
        <v>5304</v>
      </c>
      <c r="P90" s="3170" t="s">
        <v>5305</v>
      </c>
      <c r="Q90" s="3171" t="s">
        <v>5306</v>
      </c>
      <c r="R90" s="3170" t="s">
        <v>5307</v>
      </c>
      <c r="S90" s="3171" t="s">
        <v>5308</v>
      </c>
      <c r="T90" s="3170" t="s">
        <v>5309</v>
      </c>
      <c r="U90" s="3171" t="s">
        <v>5310</v>
      </c>
      <c r="V90" s="3170" t="s">
        <v>5311</v>
      </c>
      <c r="W90" s="3171" t="s">
        <v>5312</v>
      </c>
      <c r="X90" s="3170" t="s">
        <v>5313</v>
      </c>
      <c r="Y90" s="5745" t="s">
        <v>5314</v>
      </c>
      <c r="Z90" s="5746" t="s">
        <v>5315</v>
      </c>
      <c r="AA90" s="5747" t="s">
        <v>5316</v>
      </c>
      <c r="AB90" s="3172" t="s">
        <v>5317</v>
      </c>
      <c r="AC90" s="3171" t="s">
        <v>5318</v>
      </c>
      <c r="AD90" s="3172" t="s">
        <v>5319</v>
      </c>
      <c r="AE90" s="3171" t="s">
        <v>5320</v>
      </c>
      <c r="AF90" s="3170" t="s">
        <v>5321</v>
      </c>
      <c r="AG90" s="3173" t="s">
        <v>5322</v>
      </c>
      <c r="AH90" s="117" t="s">
        <v>5323</v>
      </c>
      <c r="AI90" s="117" t="s">
        <v>5324</v>
      </c>
      <c r="AJ90" s="1687" t="str">
        <f t="shared" si="51"/>
        <v xml:space="preserve">* El Número de Migrantes no puede superar el Total Ambos Sexos. * El Número de Pueblos Originarios no puede superar el Total Ambos Sexos. </v>
      </c>
      <c r="BO90" s="2630"/>
      <c r="BP90" s="2630"/>
      <c r="BQ90" s="2630"/>
      <c r="BR90" s="2630"/>
      <c r="BS90" s="2630"/>
      <c r="BT90" s="2630"/>
      <c r="BU90" s="2630"/>
      <c r="BV90" s="2630"/>
      <c r="BW90" s="2630"/>
      <c r="BX90" s="2630"/>
      <c r="BY90" s="2630"/>
      <c r="BZ90" s="2630"/>
      <c r="CA90" s="2630"/>
      <c r="CB90" s="2784" t="str">
        <f t="shared" si="52"/>
        <v xml:space="preserve">* El Número de Migrantes no puede superar el Total Ambos Sexos. </v>
      </c>
      <c r="CC90" s="2784" t="str">
        <f t="shared" si="53"/>
        <v xml:space="preserve">* El Número de Pueblos Originarios no puede superar el Total Ambos Sexos. </v>
      </c>
      <c r="CD90" s="2630"/>
      <c r="CE90" s="2630"/>
      <c r="CF90" s="600"/>
      <c r="CG90" s="600"/>
      <c r="CH90" s="600"/>
      <c r="CI90" s="600"/>
      <c r="CJ90" s="600"/>
      <c r="CL90" s="1725">
        <f t="shared" si="54"/>
        <v>1</v>
      </c>
      <c r="CM90" s="1725">
        <f t="shared" si="54"/>
        <v>1</v>
      </c>
    </row>
    <row r="91" spans="1:93" ht="15" customHeight="1" x14ac:dyDescent="0.3">
      <c r="A91" s="6234" t="s">
        <v>4007</v>
      </c>
      <c r="B91" s="3046" t="s">
        <v>2425</v>
      </c>
      <c r="C91" s="3174" t="s">
        <v>5292</v>
      </c>
      <c r="D91" s="3175" t="s">
        <v>5293</v>
      </c>
      <c r="E91" s="3176" t="s">
        <v>5294</v>
      </c>
      <c r="F91" s="616" t="s">
        <v>5295</v>
      </c>
      <c r="G91" s="626" t="s">
        <v>5296</v>
      </c>
      <c r="H91" s="3143" t="s">
        <v>5297</v>
      </c>
      <c r="I91" s="626" t="s">
        <v>5298</v>
      </c>
      <c r="J91" s="3166" t="s">
        <v>5299</v>
      </c>
      <c r="K91" s="848" t="s">
        <v>5300</v>
      </c>
      <c r="L91" s="846" t="s">
        <v>5301</v>
      </c>
      <c r="M91" s="848" t="s">
        <v>5302</v>
      </c>
      <c r="N91" s="3166" t="s">
        <v>5303</v>
      </c>
      <c r="O91" s="848" t="s">
        <v>5304</v>
      </c>
      <c r="P91" s="3166" t="s">
        <v>5305</v>
      </c>
      <c r="Q91" s="848" t="s">
        <v>5306</v>
      </c>
      <c r="R91" s="3166" t="s">
        <v>5307</v>
      </c>
      <c r="S91" s="848" t="s">
        <v>5308</v>
      </c>
      <c r="T91" s="3166" t="s">
        <v>5309</v>
      </c>
      <c r="U91" s="848" t="s">
        <v>5310</v>
      </c>
      <c r="V91" s="3166" t="s">
        <v>5311</v>
      </c>
      <c r="W91" s="848" t="s">
        <v>5312</v>
      </c>
      <c r="X91" s="3166" t="s">
        <v>5313</v>
      </c>
      <c r="Y91" s="5744" t="s">
        <v>5314</v>
      </c>
      <c r="Z91" s="846" t="s">
        <v>5315</v>
      </c>
      <c r="AA91" s="848" t="s">
        <v>5316</v>
      </c>
      <c r="AB91" s="846" t="s">
        <v>5317</v>
      </c>
      <c r="AC91" s="848" t="s">
        <v>5318</v>
      </c>
      <c r="AD91" s="846" t="s">
        <v>5319</v>
      </c>
      <c r="AE91" s="848" t="s">
        <v>5320</v>
      </c>
      <c r="AF91" s="3166" t="s">
        <v>5321</v>
      </c>
      <c r="AG91" s="3167" t="s">
        <v>5322</v>
      </c>
      <c r="AH91" s="3077" t="s">
        <v>5323</v>
      </c>
      <c r="AI91" s="3077" t="s">
        <v>5324</v>
      </c>
      <c r="AJ91" s="1687" t="str">
        <f t="shared" si="51"/>
        <v xml:space="preserve">* El Número de Migrantes no puede superar el Total Ambos Sexos. * El Número de Pueblos Originarios no puede superar el Total Ambos Sexos. </v>
      </c>
      <c r="BO91" s="2630"/>
      <c r="BP91" s="2630"/>
      <c r="BQ91" s="2630"/>
      <c r="BR91" s="2630"/>
      <c r="BS91" s="2630"/>
      <c r="BT91" s="2630"/>
      <c r="BU91" s="2630"/>
      <c r="BV91" s="2630"/>
      <c r="BW91" s="2630"/>
      <c r="BX91" s="2630"/>
      <c r="BY91" s="2630"/>
      <c r="BZ91" s="2630"/>
      <c r="CA91" s="2630"/>
      <c r="CB91" s="2784" t="str">
        <f t="shared" si="52"/>
        <v xml:space="preserve">* El Número de Migrantes no puede superar el Total Ambos Sexos. </v>
      </c>
      <c r="CC91" s="2784" t="str">
        <f t="shared" si="53"/>
        <v xml:space="preserve">* El Número de Pueblos Originarios no puede superar el Total Ambos Sexos. </v>
      </c>
      <c r="CD91" s="2630"/>
      <c r="CE91" s="2630"/>
      <c r="CF91" s="600"/>
      <c r="CG91" s="600"/>
      <c r="CH91" s="600"/>
      <c r="CI91" s="600"/>
      <c r="CJ91" s="600"/>
      <c r="CL91" s="1725">
        <f t="shared" si="54"/>
        <v>1</v>
      </c>
      <c r="CM91" s="1725">
        <f t="shared" si="54"/>
        <v>1</v>
      </c>
    </row>
    <row r="92" spans="1:93" ht="15" customHeight="1" x14ac:dyDescent="0.3">
      <c r="A92" s="6234" t="s">
        <v>4008</v>
      </c>
      <c r="B92" s="3046" t="s">
        <v>2426</v>
      </c>
      <c r="C92" s="3163" t="s">
        <v>5292</v>
      </c>
      <c r="D92" s="3164" t="s">
        <v>5293</v>
      </c>
      <c r="E92" s="3165" t="s">
        <v>5294</v>
      </c>
      <c r="F92" s="616" t="s">
        <v>5295</v>
      </c>
      <c r="G92" s="626" t="s">
        <v>5296</v>
      </c>
      <c r="H92" s="3143" t="s">
        <v>5297</v>
      </c>
      <c r="I92" s="626" t="s">
        <v>5298</v>
      </c>
      <c r="J92" s="3166" t="s">
        <v>5299</v>
      </c>
      <c r="K92" s="848" t="s">
        <v>5300</v>
      </c>
      <c r="L92" s="846" t="s">
        <v>5301</v>
      </c>
      <c r="M92" s="848" t="s">
        <v>5302</v>
      </c>
      <c r="N92" s="3166" t="s">
        <v>5303</v>
      </c>
      <c r="O92" s="848" t="s">
        <v>5304</v>
      </c>
      <c r="P92" s="3166" t="s">
        <v>5305</v>
      </c>
      <c r="Q92" s="848" t="s">
        <v>5306</v>
      </c>
      <c r="R92" s="3166" t="s">
        <v>5307</v>
      </c>
      <c r="S92" s="848" t="s">
        <v>5308</v>
      </c>
      <c r="T92" s="3166" t="s">
        <v>5309</v>
      </c>
      <c r="U92" s="848" t="s">
        <v>5310</v>
      </c>
      <c r="V92" s="3166" t="s">
        <v>5311</v>
      </c>
      <c r="W92" s="848" t="s">
        <v>5312</v>
      </c>
      <c r="X92" s="3166" t="s">
        <v>5313</v>
      </c>
      <c r="Y92" s="5744" t="s">
        <v>5314</v>
      </c>
      <c r="Z92" s="846" t="s">
        <v>5315</v>
      </c>
      <c r="AA92" s="848" t="s">
        <v>5316</v>
      </c>
      <c r="AB92" s="846" t="s">
        <v>5317</v>
      </c>
      <c r="AC92" s="848" t="s">
        <v>5318</v>
      </c>
      <c r="AD92" s="846" t="s">
        <v>5319</v>
      </c>
      <c r="AE92" s="848" t="s">
        <v>5320</v>
      </c>
      <c r="AF92" s="3166" t="s">
        <v>5321</v>
      </c>
      <c r="AG92" s="3167" t="s">
        <v>5322</v>
      </c>
      <c r="AH92" s="3077" t="s">
        <v>5323</v>
      </c>
      <c r="AI92" s="3077" t="s">
        <v>5324</v>
      </c>
      <c r="AJ92" s="1687" t="str">
        <f t="shared" si="51"/>
        <v xml:space="preserve">* El Número de Migrantes no puede superar el Total Ambos Sexos. * El Número de Pueblos Originarios no puede superar el Total Ambos Sexos. </v>
      </c>
      <c r="BO92" s="2630"/>
      <c r="BP92" s="2630"/>
      <c r="BQ92" s="2630"/>
      <c r="BR92" s="2630"/>
      <c r="BS92" s="2630"/>
      <c r="BT92" s="2630"/>
      <c r="BU92" s="2630"/>
      <c r="BV92" s="2630"/>
      <c r="BW92" s="2630"/>
      <c r="BX92" s="2630"/>
      <c r="BY92" s="2630"/>
      <c r="BZ92" s="2630"/>
      <c r="CA92" s="2630"/>
      <c r="CB92" s="2784" t="str">
        <f t="shared" si="52"/>
        <v xml:space="preserve">* El Número de Migrantes no puede superar el Total Ambos Sexos. </v>
      </c>
      <c r="CC92" s="2784" t="str">
        <f t="shared" si="53"/>
        <v xml:space="preserve">* El Número de Pueblos Originarios no puede superar el Total Ambos Sexos. </v>
      </c>
      <c r="CD92" s="2630"/>
      <c r="CE92" s="2630"/>
      <c r="CF92" s="600"/>
      <c r="CG92" s="600"/>
      <c r="CH92" s="600"/>
      <c r="CI92" s="600"/>
      <c r="CJ92" s="600"/>
      <c r="CL92" s="1725">
        <f t="shared" si="54"/>
        <v>1</v>
      </c>
      <c r="CM92" s="1725">
        <f t="shared" si="54"/>
        <v>1</v>
      </c>
    </row>
    <row r="93" spans="1:93" ht="15" customHeight="1" x14ac:dyDescent="0.3">
      <c r="A93" s="6234" t="s">
        <v>4009</v>
      </c>
      <c r="B93" s="2994" t="s">
        <v>2427</v>
      </c>
      <c r="C93" s="3168" t="s">
        <v>5292</v>
      </c>
      <c r="D93" s="3169" t="s">
        <v>5293</v>
      </c>
      <c r="E93" s="3123" t="s">
        <v>5294</v>
      </c>
      <c r="F93" s="2410" t="s">
        <v>5295</v>
      </c>
      <c r="G93" s="2924" t="s">
        <v>5296</v>
      </c>
      <c r="H93" s="2815" t="s">
        <v>5297</v>
      </c>
      <c r="I93" s="2924" t="s">
        <v>5298</v>
      </c>
      <c r="J93" s="3170" t="s">
        <v>5299</v>
      </c>
      <c r="K93" s="3171" t="s">
        <v>5300</v>
      </c>
      <c r="L93" s="3172" t="s">
        <v>5301</v>
      </c>
      <c r="M93" s="3171" t="s">
        <v>5302</v>
      </c>
      <c r="N93" s="3170" t="s">
        <v>5303</v>
      </c>
      <c r="O93" s="3171" t="s">
        <v>5304</v>
      </c>
      <c r="P93" s="3170" t="s">
        <v>5305</v>
      </c>
      <c r="Q93" s="3171" t="s">
        <v>5306</v>
      </c>
      <c r="R93" s="3170" t="s">
        <v>5307</v>
      </c>
      <c r="S93" s="3171" t="s">
        <v>5308</v>
      </c>
      <c r="T93" s="3170" t="s">
        <v>5309</v>
      </c>
      <c r="U93" s="3171" t="s">
        <v>5310</v>
      </c>
      <c r="V93" s="3170" t="s">
        <v>5311</v>
      </c>
      <c r="W93" s="3171" t="s">
        <v>5312</v>
      </c>
      <c r="X93" s="3170" t="s">
        <v>5313</v>
      </c>
      <c r="Y93" s="5745" t="s">
        <v>5314</v>
      </c>
      <c r="Z93" s="5746" t="s">
        <v>5315</v>
      </c>
      <c r="AA93" s="5747" t="s">
        <v>5316</v>
      </c>
      <c r="AB93" s="3172" t="s">
        <v>5317</v>
      </c>
      <c r="AC93" s="3171" t="s">
        <v>5318</v>
      </c>
      <c r="AD93" s="3172" t="s">
        <v>5319</v>
      </c>
      <c r="AE93" s="3171" t="s">
        <v>5320</v>
      </c>
      <c r="AF93" s="3170" t="s">
        <v>5321</v>
      </c>
      <c r="AG93" s="3173" t="s">
        <v>5322</v>
      </c>
      <c r="AH93" s="2413" t="s">
        <v>5323</v>
      </c>
      <c r="AI93" s="2413" t="s">
        <v>5324</v>
      </c>
      <c r="AJ93" s="1687" t="str">
        <f t="shared" si="51"/>
        <v xml:space="preserve">* El Número de Migrantes no puede superar el Total Ambos Sexos. * El Número de Pueblos Originarios no puede superar el Total Ambos Sexos. </v>
      </c>
      <c r="BO93" s="2630"/>
      <c r="BP93" s="2630"/>
      <c r="BQ93" s="2630"/>
      <c r="BR93" s="2630"/>
      <c r="BS93" s="2630"/>
      <c r="BT93" s="2630"/>
      <c r="BU93" s="2630"/>
      <c r="BV93" s="2630"/>
      <c r="BW93" s="2630"/>
      <c r="BX93" s="2630"/>
      <c r="BY93" s="2630"/>
      <c r="BZ93" s="2630"/>
      <c r="CA93" s="2630"/>
      <c r="CB93" s="2784" t="str">
        <f t="shared" si="52"/>
        <v xml:space="preserve">* El Número de Migrantes no puede superar el Total Ambos Sexos. </v>
      </c>
      <c r="CC93" s="2784" t="str">
        <f>IF(AND($C93&lt;&gt;0,AI93=""),"* No olvide ingresar la columna "&amp;AI$85&amp;""&amp;" (Digite CERO si no tiene). ",IF(AI93&gt;$C93,"* El Número de Pueblos Originarios no puede superar el Total Ambos Sexos. ",""))</f>
        <v xml:space="preserve">* El Número de Pueblos Originarios no puede superar el Total Ambos Sexos. </v>
      </c>
      <c r="CD93" s="2630"/>
      <c r="CE93" s="2630"/>
      <c r="CF93" s="600"/>
      <c r="CG93" s="600"/>
      <c r="CH93" s="600"/>
      <c r="CI93" s="600"/>
      <c r="CJ93" s="600"/>
      <c r="CL93" s="1725">
        <f t="shared" si="54"/>
        <v>1</v>
      </c>
      <c r="CM93" s="1725">
        <f t="shared" si="54"/>
        <v>1</v>
      </c>
    </row>
    <row r="95" spans="1:93" x14ac:dyDescent="0.3">
      <c r="A95" t="s">
        <v>4625</v>
      </c>
    </row>
    <row r="96" spans="1:93" x14ac:dyDescent="0.3">
      <c r="A96" s="6234" t="s">
        <v>5226</v>
      </c>
    </row>
    <row r="97" spans="1:1" x14ac:dyDescent="0.3">
      <c r="A97" s="6234" t="s">
        <v>5227</v>
      </c>
    </row>
    <row r="98" spans="1:1" x14ac:dyDescent="0.3">
      <c r="A98" s="6234" t="s">
        <v>5228</v>
      </c>
    </row>
    <row r="99" spans="1:1" x14ac:dyDescent="0.3">
      <c r="A99" s="6234" t="s">
        <v>5229</v>
      </c>
    </row>
    <row r="100" spans="1:1" x14ac:dyDescent="0.3">
      <c r="A100" s="6234" t="s">
        <v>5230</v>
      </c>
    </row>
    <row r="102" spans="1:1" x14ac:dyDescent="0.3">
      <c r="A102" s="6309" t="s">
        <v>5231</v>
      </c>
    </row>
    <row r="103" spans="1:1" x14ac:dyDescent="0.3">
      <c r="A103" s="6237" t="s">
        <v>4003</v>
      </c>
    </row>
    <row r="151" spans="2:3" hidden="1" x14ac:dyDescent="0.3">
      <c r="B151" s="3177">
        <f>SUM(D11:D32,D36:D39,D44:D66,D70:D74,G70:G74,C78:C82,C88:C93)</f>
        <v>0</v>
      </c>
      <c r="C151" s="3177" t="e">
        <f>SUM(CL11:CS93)</f>
        <v>#VALUE!</v>
      </c>
    </row>
  </sheetData>
  <dataConsolidate/>
  <mergeCells count="103">
    <mergeCell ref="B6:Q6"/>
    <mergeCell ref="B9:B10"/>
    <mergeCell ref="C9:C10"/>
    <mergeCell ref="D9:D10"/>
    <mergeCell ref="E9:U9"/>
    <mergeCell ref="B19:B20"/>
    <mergeCell ref="B25:B26"/>
    <mergeCell ref="B27:B28"/>
    <mergeCell ref="B29:B30"/>
    <mergeCell ref="B31:B32"/>
    <mergeCell ref="AD9:AD10"/>
    <mergeCell ref="B11:B12"/>
    <mergeCell ref="B13:B14"/>
    <mergeCell ref="B15:B16"/>
    <mergeCell ref="B17:B18"/>
    <mergeCell ref="AB9:AB10"/>
    <mergeCell ref="AC9:AC10"/>
    <mergeCell ref="X9:X10"/>
    <mergeCell ref="Y9:Y10"/>
    <mergeCell ref="Z9:Z10"/>
    <mergeCell ref="AA9:AA10"/>
    <mergeCell ref="V9:W9"/>
    <mergeCell ref="B21:B22"/>
    <mergeCell ref="B23:B24"/>
    <mergeCell ref="AO34:AO35"/>
    <mergeCell ref="B36:B39"/>
    <mergeCell ref="B41:B43"/>
    <mergeCell ref="C41:C43"/>
    <mergeCell ref="D41:F42"/>
    <mergeCell ref="G41:AN41"/>
    <mergeCell ref="AO41:AO43"/>
    <mergeCell ref="Y42:Z42"/>
    <mergeCell ref="B34:B35"/>
    <mergeCell ref="C34:C35"/>
    <mergeCell ref="D34:F34"/>
    <mergeCell ref="G34:AI34"/>
    <mergeCell ref="AJ34:AK34"/>
    <mergeCell ref="AL34:AL35"/>
    <mergeCell ref="AM34:AM35"/>
    <mergeCell ref="AN34:AN35"/>
    <mergeCell ref="AP41:AP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AM42:AN42"/>
    <mergeCell ref="AI42:AJ42"/>
    <mergeCell ref="AK42:AL42"/>
    <mergeCell ref="B44:B47"/>
    <mergeCell ref="B48:B50"/>
    <mergeCell ref="B51:B53"/>
    <mergeCell ref="B54:B56"/>
    <mergeCell ref="B57:B62"/>
    <mergeCell ref="AA42:AB42"/>
    <mergeCell ref="AC42:AD42"/>
    <mergeCell ref="AE42:AF42"/>
    <mergeCell ref="AG42:AH42"/>
    <mergeCell ref="B85:B87"/>
    <mergeCell ref="C85:E86"/>
    <mergeCell ref="F85:AG85"/>
    <mergeCell ref="V86:W86"/>
    <mergeCell ref="X86:Y86"/>
    <mergeCell ref="B76:B77"/>
    <mergeCell ref="C76:C77"/>
    <mergeCell ref="B63:B66"/>
    <mergeCell ref="B68:C69"/>
    <mergeCell ref="B70:C70"/>
    <mergeCell ref="B71:C71"/>
    <mergeCell ref="B72:C72"/>
    <mergeCell ref="B73:C73"/>
    <mergeCell ref="B74:C74"/>
    <mergeCell ref="D76:E76"/>
    <mergeCell ref="K76:K77"/>
    <mergeCell ref="L76:L77"/>
    <mergeCell ref="M76:M77"/>
    <mergeCell ref="D68:F68"/>
    <mergeCell ref="G68:I68"/>
    <mergeCell ref="L68:L69"/>
    <mergeCell ref="M68:M69"/>
    <mergeCell ref="J68:J69"/>
    <mergeCell ref="K68:K69"/>
    <mergeCell ref="N76:N77"/>
    <mergeCell ref="AI85:AI87"/>
    <mergeCell ref="F86:G86"/>
    <mergeCell ref="H86:I86"/>
    <mergeCell ref="J86:K86"/>
    <mergeCell ref="L86:M86"/>
    <mergeCell ref="N86:O86"/>
    <mergeCell ref="P86:Q86"/>
    <mergeCell ref="R86:S86"/>
    <mergeCell ref="T86:U86"/>
    <mergeCell ref="Z86:AA86"/>
    <mergeCell ref="AB86:AC86"/>
    <mergeCell ref="AD86:AE86"/>
    <mergeCell ref="AF86:AG86"/>
    <mergeCell ref="AH85:AH87"/>
    <mergeCell ref="F76:G76"/>
    <mergeCell ref="H76:J7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A51"/>
  <sheetViews>
    <sheetView showGridLines="0" workbookViewId="0"/>
  </sheetViews>
  <sheetFormatPr baseColWidth="10" defaultColWidth="11.44140625" defaultRowHeight="14.4" x14ac:dyDescent="0.3"/>
  <cols>
    <col min="1" max="1" width="14.21875" customWidth="1"/>
    <col min="2" max="2" width="44.109375" customWidth="1"/>
    <col min="3" max="3" width="13.44140625" customWidth="1"/>
    <col min="79" max="79" width="12" customWidth="1"/>
    <col min="80" max="87" width="11.44140625" hidden="1" customWidth="1"/>
    <col min="88" max="131" width="11.44140625" customWidth="1"/>
  </cols>
  <sheetData>
    <row r="1" spans="1:131" x14ac:dyDescent="0.3">
      <c r="B1" s="774" t="s">
        <v>3879</v>
      </c>
    </row>
    <row r="2" spans="1:131" x14ac:dyDescent="0.3">
      <c r="B2" s="774" t="str">
        <f>CONCATENATE("COMUNA: ",NOMBRE!B2," - ","( ",NOMBRE!C2,NOMBRE!D2,NOMBRE!E2,NOMBRE!F2,NOMBRE!G2," )")</f>
        <v>COMUNA:  - (  )</v>
      </c>
    </row>
    <row r="3" spans="1:131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31" x14ac:dyDescent="0.3">
      <c r="B4" s="774" t="str">
        <f>CONCATENATE("MES: ",NOMBRE!B6," - ","( ",NOMBRE!C6,NOMBRE!D6," )")</f>
        <v>MES:  - (  )</v>
      </c>
    </row>
    <row r="5" spans="1:131" x14ac:dyDescent="0.3">
      <c r="B5" s="774" t="str">
        <f>CONCATENATE("AÑO: ",NOMBRE!B7)</f>
        <v>AÑO: 2024</v>
      </c>
    </row>
    <row r="6" spans="1:131" s="777" customFormat="1" ht="19.8" x14ac:dyDescent="0.3">
      <c r="B6" s="6396" t="s">
        <v>2428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6396"/>
      <c r="S6" s="6396"/>
      <c r="T6" s="6396"/>
      <c r="U6" s="6396"/>
      <c r="V6" s="6396"/>
      <c r="W6" s="6396"/>
      <c r="X6" s="6396"/>
      <c r="Y6" s="6396"/>
      <c r="Z6" s="6396"/>
      <c r="AA6" s="6396"/>
      <c r="AB6" s="6396"/>
      <c r="AC6" s="6396"/>
      <c r="AD6" s="6396"/>
      <c r="AE6" s="6396"/>
      <c r="AF6" s="3178"/>
      <c r="AG6" s="102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103"/>
      <c r="CB6" s="2572"/>
      <c r="CC6" s="2572"/>
      <c r="CD6" s="2572"/>
      <c r="CE6" s="2572"/>
      <c r="CF6" s="2572"/>
      <c r="CG6" s="2572"/>
      <c r="CH6" s="2572"/>
      <c r="CI6" s="2572"/>
      <c r="CJ6" s="2572"/>
      <c r="CK6" s="2572"/>
      <c r="CL6" s="2572"/>
      <c r="CM6" s="2572"/>
      <c r="CN6" s="2572"/>
      <c r="CO6" s="2572"/>
      <c r="CP6" s="2572"/>
      <c r="CQ6" s="2572"/>
      <c r="CR6" s="2572"/>
      <c r="CS6" s="2572"/>
      <c r="CT6" s="2572"/>
      <c r="CU6" s="2572"/>
      <c r="CV6" s="2572"/>
      <c r="CW6" s="2572"/>
      <c r="CX6" s="2572"/>
      <c r="CY6" s="2572"/>
      <c r="CZ6" s="2572"/>
      <c r="DA6" s="2572"/>
      <c r="DB6" s="2572"/>
      <c r="DC6" s="2572"/>
      <c r="DD6" s="2572"/>
      <c r="DE6" s="2572"/>
      <c r="DF6" s="2572"/>
      <c r="DG6" s="2572"/>
      <c r="DH6" s="2572"/>
      <c r="DI6" s="2572"/>
      <c r="DJ6" s="2572"/>
      <c r="DK6" s="2572"/>
      <c r="DL6" s="2572"/>
      <c r="DM6" s="2572"/>
      <c r="DN6" s="2572"/>
      <c r="DO6" s="2572"/>
      <c r="DP6" s="2572"/>
      <c r="DQ6" s="2572"/>
      <c r="DR6" s="2572"/>
      <c r="DS6" s="2572"/>
      <c r="DT6" s="2572"/>
      <c r="DU6" s="2572"/>
      <c r="DV6" s="2572"/>
      <c r="DW6" s="2572"/>
      <c r="DX6" s="2572"/>
      <c r="DY6" s="2572"/>
      <c r="DZ6" s="2572"/>
      <c r="EA6" s="2572"/>
    </row>
    <row r="8" spans="1:131" s="17" customFormat="1" ht="18" customHeight="1" x14ac:dyDescent="0.25">
      <c r="B8" s="123" t="s">
        <v>2429</v>
      </c>
      <c r="C8" s="123"/>
      <c r="D8" s="123"/>
      <c r="E8" s="123"/>
      <c r="F8" s="123"/>
      <c r="G8" s="123"/>
    </row>
    <row r="9" spans="1:131" ht="15" customHeight="1" x14ac:dyDescent="0.3">
      <c r="B9" s="6323" t="s">
        <v>61</v>
      </c>
      <c r="C9" s="6330" t="s">
        <v>24</v>
      </c>
      <c r="D9" s="6328"/>
      <c r="E9" s="6333"/>
      <c r="F9" s="6402" t="s">
        <v>2</v>
      </c>
      <c r="G9" s="6342" t="s">
        <v>3</v>
      </c>
    </row>
    <row r="10" spans="1:131" ht="15" customHeight="1" x14ac:dyDescent="0.3">
      <c r="B10" s="6362"/>
      <c r="C10" s="2740" t="s">
        <v>26</v>
      </c>
      <c r="D10" s="3159" t="s">
        <v>22</v>
      </c>
      <c r="E10" s="3179" t="s">
        <v>27</v>
      </c>
      <c r="F10" s="6403"/>
      <c r="G10" s="6325"/>
    </row>
    <row r="11" spans="1:131" ht="15" customHeight="1" x14ac:dyDescent="0.3">
      <c r="A11" s="6238"/>
      <c r="B11" s="3180" t="s">
        <v>47</v>
      </c>
      <c r="C11" s="3148">
        <f>SUM(C12:C17)</f>
        <v>0</v>
      </c>
      <c r="D11" s="3181">
        <f>SUM(D12:D17)</f>
        <v>0</v>
      </c>
      <c r="E11" s="3182">
        <f>SUM(E12:E17)</f>
        <v>0</v>
      </c>
      <c r="F11" s="3183">
        <f>SUM(F12:F17)</f>
        <v>0</v>
      </c>
      <c r="G11" s="3149">
        <f>SUM(G12:G17)</f>
        <v>0</v>
      </c>
    </row>
    <row r="12" spans="1:131" ht="15" customHeight="1" x14ac:dyDescent="0.3">
      <c r="A12" s="6239" t="s">
        <v>4010</v>
      </c>
      <c r="B12" s="1929" t="s">
        <v>74</v>
      </c>
      <c r="C12" s="3046" t="s">
        <v>5292</v>
      </c>
      <c r="D12" s="106" t="s">
        <v>5293</v>
      </c>
      <c r="E12" s="767" t="s">
        <v>5294</v>
      </c>
      <c r="F12" s="768" t="s">
        <v>5295</v>
      </c>
      <c r="G12" s="105" t="s">
        <v>5296</v>
      </c>
      <c r="H12" s="112" t="str">
        <f>$CB12&amp;CC12</f>
        <v xml:space="preserve">* El Número de Pueblos Originarios no puede superar el Total. * El Número de Migrantes no puede superar el Total. </v>
      </c>
      <c r="CB12" s="2784" t="str">
        <f>IF(AND($C12&lt;&gt;0,F12=""),"* No olvide ingresar la columna "&amp;F$9&amp;""&amp;" (Digite CERO si no tiene).  ",IF(F12&gt;$C12,"* El Número de Pueblos Originarios no puede superar el Total. ",""))</f>
        <v xml:space="preserve">* El Número de Pueblos Originarios no puede superar el Total. </v>
      </c>
      <c r="CC12" s="2784" t="str">
        <f>IF(AND($C12&lt;&gt;0,G12=""),"* No olvide ingresar la columna "&amp;G$9&amp;""&amp;" (Digite CERO si no tiene).  ",IF(G12&gt;$C12,"* El Número de Migrantes no puede superar el Total. ",""))</f>
        <v xml:space="preserve">* El Número de Migrantes no puede superar el Total. </v>
      </c>
      <c r="CG12" s="1725">
        <f>IF(AND($C12&lt;&gt;0,F12=""),1,IF(F12&gt;$C12,1,0))</f>
        <v>1</v>
      </c>
      <c r="CH12" s="1725">
        <f>IF(AND($C12&lt;&gt;0,G12=""),1,IF(G12&gt;$C12,1,0))</f>
        <v>1</v>
      </c>
    </row>
    <row r="13" spans="1:131" ht="15" customHeight="1" x14ac:dyDescent="0.3">
      <c r="A13" s="6239" t="s">
        <v>4011</v>
      </c>
      <c r="B13" s="3184" t="s">
        <v>76</v>
      </c>
      <c r="C13" s="3046" t="s">
        <v>5292</v>
      </c>
      <c r="D13" s="106" t="s">
        <v>5293</v>
      </c>
      <c r="E13" s="767" t="s">
        <v>5294</v>
      </c>
      <c r="F13" s="768" t="s">
        <v>5295</v>
      </c>
      <c r="G13" s="105" t="s">
        <v>5296</v>
      </c>
      <c r="H13" s="112" t="str">
        <f t="shared" ref="H13:H17" si="0">$CB13&amp;CC13</f>
        <v xml:space="preserve">* El Número de Pueblos Originarios no puede superar el Total. * El Número de Migrantes no puede superar el Total. </v>
      </c>
      <c r="CB13" s="2784" t="str">
        <f t="shared" ref="CB13:CB17" si="1">IF(AND($C13&lt;&gt;0,F13=""),"* No olvide ingresar la columna "&amp;F$9&amp;""&amp;" (Digite CERO si no tiene).  ",IF(F13&gt;$C13,"* El Número de Pueblos Originarios no puede superar el Total. ",""))</f>
        <v xml:space="preserve">* El Número de Pueblos Originarios no puede superar el Total. </v>
      </c>
      <c r="CC13" s="2784" t="str">
        <f t="shared" ref="CC13:CC17" si="2">IF(AND($C13&lt;&gt;0,G13=""),"* No olvide ingresar la columna "&amp;G$9&amp;""&amp;" (Digite CERO si no tiene).  ",IF(G13&gt;$C13,"* El Número de Migrantes no puede superar el Total. ",""))</f>
        <v xml:space="preserve">* El Número de Migrantes no puede superar el Total. </v>
      </c>
      <c r="CG13" s="1725">
        <f t="shared" ref="CG13:CH17" si="3">IF(AND($C13&lt;&gt;0,F13=""),1,IF(F13&gt;$C13,1,0))</f>
        <v>1</v>
      </c>
      <c r="CH13" s="1725">
        <f t="shared" si="3"/>
        <v>1</v>
      </c>
    </row>
    <row r="14" spans="1:131" ht="15" customHeight="1" x14ac:dyDescent="0.3">
      <c r="A14" s="6239" t="s">
        <v>4012</v>
      </c>
      <c r="B14" s="3184" t="s">
        <v>77</v>
      </c>
      <c r="C14" s="3046" t="s">
        <v>5292</v>
      </c>
      <c r="D14" s="106" t="s">
        <v>5293</v>
      </c>
      <c r="E14" s="767" t="s">
        <v>5294</v>
      </c>
      <c r="F14" s="768" t="s">
        <v>5295</v>
      </c>
      <c r="G14" s="105" t="s">
        <v>5296</v>
      </c>
      <c r="H14" s="112" t="str">
        <f t="shared" si="0"/>
        <v xml:space="preserve">* El Número de Pueblos Originarios no puede superar el Total. * El Número de Migrantes no puede superar el Total. </v>
      </c>
      <c r="CB14" s="2784" t="str">
        <f t="shared" si="1"/>
        <v xml:space="preserve">* El Número de Pueblos Originarios no puede superar el Total. </v>
      </c>
      <c r="CC14" s="2784" t="str">
        <f t="shared" si="2"/>
        <v xml:space="preserve">* El Número de Migrantes no puede superar el Total. </v>
      </c>
      <c r="CG14" s="1725">
        <f t="shared" si="3"/>
        <v>1</v>
      </c>
      <c r="CH14" s="1725">
        <f t="shared" si="3"/>
        <v>1</v>
      </c>
    </row>
    <row r="15" spans="1:131" ht="15" customHeight="1" x14ac:dyDescent="0.3">
      <c r="A15" s="6239" t="s">
        <v>4013</v>
      </c>
      <c r="B15" s="3184" t="s">
        <v>247</v>
      </c>
      <c r="C15" s="3046" t="s">
        <v>5292</v>
      </c>
      <c r="D15" s="106" t="s">
        <v>5293</v>
      </c>
      <c r="E15" s="767" t="s">
        <v>5294</v>
      </c>
      <c r="F15" s="768" t="s">
        <v>5295</v>
      </c>
      <c r="G15" s="105" t="s">
        <v>5296</v>
      </c>
      <c r="H15" s="112" t="str">
        <f t="shared" si="0"/>
        <v xml:space="preserve">* El Número de Pueblos Originarios no puede superar el Total. * El Número de Migrantes no puede superar el Total. </v>
      </c>
      <c r="CB15" s="2784" t="str">
        <f t="shared" si="1"/>
        <v xml:space="preserve">* El Número de Pueblos Originarios no puede superar el Total. </v>
      </c>
      <c r="CC15" s="2784" t="str">
        <f t="shared" si="2"/>
        <v xml:space="preserve">* El Número de Migrantes no puede superar el Total. </v>
      </c>
      <c r="CG15" s="1725">
        <f t="shared" si="3"/>
        <v>1</v>
      </c>
      <c r="CH15" s="1725">
        <f t="shared" si="3"/>
        <v>1</v>
      </c>
    </row>
    <row r="16" spans="1:131" ht="15" customHeight="1" x14ac:dyDescent="0.3">
      <c r="A16" s="6239" t="s">
        <v>4014</v>
      </c>
      <c r="B16" s="769" t="s">
        <v>2430</v>
      </c>
      <c r="C16" s="3046" t="s">
        <v>5292</v>
      </c>
      <c r="D16" s="106" t="s">
        <v>5293</v>
      </c>
      <c r="E16" s="767" t="s">
        <v>5294</v>
      </c>
      <c r="F16" s="768" t="s">
        <v>5295</v>
      </c>
      <c r="G16" s="105" t="s">
        <v>5296</v>
      </c>
      <c r="H16" s="112" t="str">
        <f t="shared" si="0"/>
        <v xml:space="preserve">* El Número de Pueblos Originarios no puede superar el Total. * El Número de Migrantes no puede superar el Total. </v>
      </c>
      <c r="CB16" s="2784" t="str">
        <f t="shared" si="1"/>
        <v xml:space="preserve">* El Número de Pueblos Originarios no puede superar el Total. </v>
      </c>
      <c r="CC16" s="2784" t="str">
        <f t="shared" si="2"/>
        <v xml:space="preserve">* El Número de Migrantes no puede superar el Total. </v>
      </c>
      <c r="CG16" s="1725">
        <f t="shared" si="3"/>
        <v>1</v>
      </c>
      <c r="CH16" s="1725">
        <f t="shared" si="3"/>
        <v>1</v>
      </c>
    </row>
    <row r="17" spans="1:87" ht="15" customHeight="1" x14ac:dyDescent="0.3">
      <c r="A17" s="6239" t="s">
        <v>4015</v>
      </c>
      <c r="B17" s="3185" t="s">
        <v>632</v>
      </c>
      <c r="C17" s="150" t="s">
        <v>5292</v>
      </c>
      <c r="D17" s="3023" t="s">
        <v>5293</v>
      </c>
      <c r="E17" s="770" t="s">
        <v>5294</v>
      </c>
      <c r="F17" s="3155" t="s">
        <v>5295</v>
      </c>
      <c r="G17" s="2800" t="s">
        <v>5296</v>
      </c>
      <c r="H17" s="112" t="str">
        <f t="shared" si="0"/>
        <v xml:space="preserve">* El Número de Pueblos Originarios no puede superar el Total. * El Número de Migrantes no puede superar el Total. </v>
      </c>
      <c r="CB17" s="2784" t="str">
        <f t="shared" si="1"/>
        <v xml:space="preserve">* El Número de Pueblos Originarios no puede superar el Total. </v>
      </c>
      <c r="CC17" s="2784" t="str">
        <f t="shared" si="2"/>
        <v xml:space="preserve">* El Número de Migrantes no puede superar el Total. </v>
      </c>
      <c r="CG17" s="1725">
        <f t="shared" si="3"/>
        <v>1</v>
      </c>
      <c r="CH17" s="1725">
        <f t="shared" si="3"/>
        <v>1</v>
      </c>
    </row>
    <row r="18" spans="1:87" s="17" customFormat="1" ht="18" customHeight="1" x14ac:dyDescent="0.25">
      <c r="A18" s="103"/>
      <c r="B18" s="123" t="s">
        <v>2431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40"/>
      <c r="AI18" s="140"/>
    </row>
    <row r="19" spans="1:87" ht="15" customHeight="1" x14ac:dyDescent="0.3">
      <c r="A19" s="103"/>
      <c r="B19" s="6404" t="s">
        <v>2503</v>
      </c>
      <c r="C19" s="6330" t="s">
        <v>24</v>
      </c>
      <c r="D19" s="6328"/>
      <c r="E19" s="6329"/>
      <c r="F19" s="6326" t="s">
        <v>4</v>
      </c>
      <c r="G19" s="6401"/>
      <c r="H19" s="6326" t="s">
        <v>5</v>
      </c>
      <c r="I19" s="6327"/>
      <c r="J19" s="6326" t="s">
        <v>6</v>
      </c>
      <c r="K19" s="6327"/>
      <c r="L19" s="6326" t="s">
        <v>7</v>
      </c>
      <c r="M19" s="6327"/>
      <c r="N19" s="6326" t="s">
        <v>8</v>
      </c>
      <c r="O19" s="6327"/>
      <c r="P19" s="6326" t="s">
        <v>9</v>
      </c>
      <c r="Q19" s="6327"/>
      <c r="R19" s="6326" t="s">
        <v>10</v>
      </c>
      <c r="S19" s="6327"/>
      <c r="T19" s="6326" t="s">
        <v>11</v>
      </c>
      <c r="U19" s="6327"/>
      <c r="V19" s="6326" t="s">
        <v>18</v>
      </c>
      <c r="W19" s="6327"/>
      <c r="X19" s="6326" t="s">
        <v>19</v>
      </c>
      <c r="Y19" s="6327"/>
      <c r="Z19" s="6326" t="s">
        <v>20</v>
      </c>
      <c r="AA19" s="6327"/>
      <c r="AB19" s="6326" t="s">
        <v>70</v>
      </c>
      <c r="AC19" s="6327"/>
      <c r="AD19" s="6326" t="s">
        <v>71</v>
      </c>
      <c r="AE19" s="6327"/>
      <c r="AF19" s="6326" t="s">
        <v>32</v>
      </c>
      <c r="AG19" s="6346"/>
      <c r="AH19" s="6342" t="s">
        <v>2</v>
      </c>
      <c r="AI19" s="6342" t="s">
        <v>3</v>
      </c>
    </row>
    <row r="20" spans="1:87" ht="15" customHeight="1" x14ac:dyDescent="0.3">
      <c r="A20" s="103"/>
      <c r="B20" s="6378"/>
      <c r="C20" s="4632" t="s">
        <v>26</v>
      </c>
      <c r="D20" s="4630" t="s">
        <v>22</v>
      </c>
      <c r="E20" s="3186" t="s">
        <v>27</v>
      </c>
      <c r="F20" s="3159" t="s">
        <v>22</v>
      </c>
      <c r="G20" s="3187" t="s">
        <v>27</v>
      </c>
      <c r="H20" s="3159" t="s">
        <v>22</v>
      </c>
      <c r="I20" s="3187" t="s">
        <v>27</v>
      </c>
      <c r="J20" s="3159" t="s">
        <v>22</v>
      </c>
      <c r="K20" s="3187" t="s">
        <v>27</v>
      </c>
      <c r="L20" s="3159" t="s">
        <v>22</v>
      </c>
      <c r="M20" s="3187" t="s">
        <v>27</v>
      </c>
      <c r="N20" s="3159" t="s">
        <v>22</v>
      </c>
      <c r="O20" s="3187" t="s">
        <v>27</v>
      </c>
      <c r="P20" s="3159" t="s">
        <v>22</v>
      </c>
      <c r="Q20" s="3187" t="s">
        <v>27</v>
      </c>
      <c r="R20" s="3159" t="s">
        <v>22</v>
      </c>
      <c r="S20" s="3187" t="s">
        <v>27</v>
      </c>
      <c r="T20" s="3159" t="s">
        <v>22</v>
      </c>
      <c r="U20" s="3187" t="s">
        <v>27</v>
      </c>
      <c r="V20" s="3159" t="s">
        <v>22</v>
      </c>
      <c r="W20" s="3187" t="s">
        <v>27</v>
      </c>
      <c r="X20" s="3159" t="s">
        <v>22</v>
      </c>
      <c r="Y20" s="3187" t="s">
        <v>27</v>
      </c>
      <c r="Z20" s="3159" t="s">
        <v>22</v>
      </c>
      <c r="AA20" s="3187" t="s">
        <v>27</v>
      </c>
      <c r="AB20" s="3159" t="s">
        <v>22</v>
      </c>
      <c r="AC20" s="3187" t="s">
        <v>27</v>
      </c>
      <c r="AD20" s="3159" t="s">
        <v>22</v>
      </c>
      <c r="AE20" s="3187" t="s">
        <v>27</v>
      </c>
      <c r="AF20" s="3159" t="s">
        <v>22</v>
      </c>
      <c r="AG20" s="3188" t="s">
        <v>27</v>
      </c>
      <c r="AH20" s="6325"/>
      <c r="AI20" s="6325"/>
    </row>
    <row r="21" spans="1:87" ht="15" customHeight="1" x14ac:dyDescent="0.3">
      <c r="A21" s="6238"/>
      <c r="B21" s="3180" t="s">
        <v>24</v>
      </c>
      <c r="C21" s="4633">
        <f>SUM(C22:C25)</f>
        <v>0</v>
      </c>
      <c r="D21" s="4631">
        <f>SUM(D22:D25)</f>
        <v>0</v>
      </c>
      <c r="E21" s="3149">
        <f>SUM(E22:E25)</f>
        <v>0</v>
      </c>
      <c r="F21" s="3181">
        <f t="shared" ref="F21:AG21" si="4">SUM(F22:F25)</f>
        <v>0</v>
      </c>
      <c r="G21" s="3189">
        <f t="shared" si="4"/>
        <v>0</v>
      </c>
      <c r="H21" s="3181">
        <f t="shared" si="4"/>
        <v>0</v>
      </c>
      <c r="I21" s="3189">
        <f t="shared" si="4"/>
        <v>0</v>
      </c>
      <c r="J21" s="3181">
        <f t="shared" si="4"/>
        <v>0</v>
      </c>
      <c r="K21" s="3189">
        <f t="shared" si="4"/>
        <v>0</v>
      </c>
      <c r="L21" s="3181">
        <f t="shared" si="4"/>
        <v>0</v>
      </c>
      <c r="M21" s="3189">
        <f t="shared" si="4"/>
        <v>0</v>
      </c>
      <c r="N21" s="3181">
        <f t="shared" si="4"/>
        <v>0</v>
      </c>
      <c r="O21" s="3189">
        <f t="shared" si="4"/>
        <v>0</v>
      </c>
      <c r="P21" s="3181">
        <f t="shared" si="4"/>
        <v>0</v>
      </c>
      <c r="Q21" s="3189">
        <f t="shared" si="4"/>
        <v>0</v>
      </c>
      <c r="R21" s="3181">
        <f t="shared" si="4"/>
        <v>0</v>
      </c>
      <c r="S21" s="3189">
        <f t="shared" si="4"/>
        <v>0</v>
      </c>
      <c r="T21" s="3181">
        <f t="shared" si="4"/>
        <v>0</v>
      </c>
      <c r="U21" s="3189">
        <f t="shared" si="4"/>
        <v>0</v>
      </c>
      <c r="V21" s="3181">
        <f t="shared" si="4"/>
        <v>0</v>
      </c>
      <c r="W21" s="3189">
        <f t="shared" si="4"/>
        <v>0</v>
      </c>
      <c r="X21" s="3181">
        <f t="shared" si="4"/>
        <v>0</v>
      </c>
      <c r="Y21" s="3189">
        <f t="shared" si="4"/>
        <v>0</v>
      </c>
      <c r="Z21" s="3181">
        <f t="shared" si="4"/>
        <v>0</v>
      </c>
      <c r="AA21" s="3189">
        <f t="shared" si="4"/>
        <v>0</v>
      </c>
      <c r="AB21" s="3181">
        <f t="shared" si="4"/>
        <v>0</v>
      </c>
      <c r="AC21" s="3189">
        <f t="shared" si="4"/>
        <v>0</v>
      </c>
      <c r="AD21" s="3181">
        <f t="shared" si="4"/>
        <v>0</v>
      </c>
      <c r="AE21" s="3189">
        <f t="shared" si="4"/>
        <v>0</v>
      </c>
      <c r="AF21" s="3181">
        <f t="shared" si="4"/>
        <v>0</v>
      </c>
      <c r="AG21" s="3150">
        <f t="shared" si="4"/>
        <v>0</v>
      </c>
      <c r="AH21" s="3149">
        <f>SUM(AH22:AH25)</f>
        <v>0</v>
      </c>
      <c r="AI21" s="3149">
        <f>SUM(AI22:AI25)</f>
        <v>0</v>
      </c>
      <c r="AJ21" s="112" t="str">
        <f>CB21&amp;CC21&amp;CD21</f>
        <v/>
      </c>
      <c r="CB21" s="2630"/>
      <c r="CC21" s="2784" t="str">
        <f>IF(D21&lt;&gt;D11," * Debe coincidir el Total de EMP según estado nutricional en Hombres, con los EMP realizados en Hombres según Profesional de la Sección A","")</f>
        <v/>
      </c>
      <c r="CD21" s="2784" t="str">
        <f>IF(E21&lt;&gt;E11," * Debe coincidir el Total de EMP según estado nutricional en Mujeres, con los EMP realizados en Mujeres según Profesional de la Sección A","")</f>
        <v/>
      </c>
      <c r="CH21" s="1725">
        <f>IF(D21&lt;&gt;D11,1,0)</f>
        <v>0</v>
      </c>
      <c r="CI21" s="1725">
        <f>IF(E21&lt;&gt;E11,1,0)</f>
        <v>0</v>
      </c>
    </row>
    <row r="22" spans="1:87" ht="15" customHeight="1" x14ac:dyDescent="0.3">
      <c r="A22" s="6234" t="s">
        <v>4016</v>
      </c>
      <c r="B22" s="1929" t="s">
        <v>2432</v>
      </c>
      <c r="C22" s="1113" t="s">
        <v>5292</v>
      </c>
      <c r="D22" s="4161" t="s">
        <v>5293</v>
      </c>
      <c r="E22" s="3191" t="s">
        <v>5294</v>
      </c>
      <c r="F22" s="106" t="s">
        <v>5295</v>
      </c>
      <c r="G22" s="587" t="s">
        <v>5296</v>
      </c>
      <c r="H22" s="106" t="s">
        <v>5297</v>
      </c>
      <c r="I22" s="587" t="s">
        <v>5298</v>
      </c>
      <c r="J22" s="106" t="s">
        <v>5299</v>
      </c>
      <c r="K22" s="587" t="s">
        <v>5300</v>
      </c>
      <c r="L22" s="106" t="s">
        <v>5301</v>
      </c>
      <c r="M22" s="587" t="s">
        <v>5302</v>
      </c>
      <c r="N22" s="106" t="s">
        <v>5303</v>
      </c>
      <c r="O22" s="587" t="s">
        <v>5304</v>
      </c>
      <c r="P22" s="106" t="s">
        <v>5305</v>
      </c>
      <c r="Q22" s="587" t="s">
        <v>5306</v>
      </c>
      <c r="R22" s="106" t="s">
        <v>5307</v>
      </c>
      <c r="S22" s="587" t="s">
        <v>5308</v>
      </c>
      <c r="T22" s="106" t="s">
        <v>5309</v>
      </c>
      <c r="U22" s="587" t="s">
        <v>5310</v>
      </c>
      <c r="V22" s="106" t="s">
        <v>5311</v>
      </c>
      <c r="W22" s="587" t="s">
        <v>5312</v>
      </c>
      <c r="X22" s="106" t="s">
        <v>5313</v>
      </c>
      <c r="Y22" s="587" t="s">
        <v>5314</v>
      </c>
      <c r="Z22" s="106" t="s">
        <v>5315</v>
      </c>
      <c r="AA22" s="587" t="s">
        <v>5316</v>
      </c>
      <c r="AB22" s="106" t="s">
        <v>5317</v>
      </c>
      <c r="AC22" s="587" t="s">
        <v>5318</v>
      </c>
      <c r="AD22" s="106" t="s">
        <v>5319</v>
      </c>
      <c r="AE22" s="587" t="s">
        <v>5320</v>
      </c>
      <c r="AF22" s="106" t="s">
        <v>5321</v>
      </c>
      <c r="AG22" s="772" t="s">
        <v>5322</v>
      </c>
      <c r="AH22" s="105" t="s">
        <v>5323</v>
      </c>
      <c r="AI22" s="105" t="s">
        <v>5324</v>
      </c>
      <c r="AJ22" s="112" t="str">
        <f t="shared" ref="AJ22:AJ25" si="5">CB22&amp;CC22&amp;CD22</f>
        <v xml:space="preserve">* El Número de Pueblos Originarios no puede superar el Total. * El Número de Migrantes no puede superar el Total. </v>
      </c>
      <c r="CB22" s="2784" t="str">
        <f>IF(AND($C22&lt;&gt;0,AH22=""),"* No olvide ingresar la columna "&amp;AH$19&amp;""&amp;" (Digite CERO si no tiene).  ",IF(AH22&gt;$C22,"* El Número de Pueblos Originarios no puede superar el Total. ",""))</f>
        <v xml:space="preserve">* El Número de Pueblos Originarios no puede superar el Total. </v>
      </c>
      <c r="CC22" s="2784" t="str">
        <f>IF(AND($C22&lt;&gt;0,AI22=""),"* No olvide ingresar la columna "&amp;AI$19&amp;""&amp;" (Digite CERO si no tiene).  ",IF(AI22&gt;$C22,"* El Número de Migrantes no puede superar el Total. ",""))</f>
        <v xml:space="preserve">* El Número de Migrantes no puede superar el Total. </v>
      </c>
      <c r="CG22" s="1725">
        <f>IF(AND($C22&lt;&gt;0,AH22=""),1,IF(AH22&gt;$C22,1,0))</f>
        <v>1</v>
      </c>
      <c r="CH22" s="1725">
        <f>IF(AND($C22&lt;&gt;0,AI22=""),1,IF(AI22&gt;$C22,1,0))</f>
        <v>1</v>
      </c>
    </row>
    <row r="23" spans="1:87" ht="15" customHeight="1" x14ac:dyDescent="0.3">
      <c r="A23" s="6234" t="s">
        <v>4017</v>
      </c>
      <c r="B23" s="3184" t="s">
        <v>2433</v>
      </c>
      <c r="C23" s="1113" t="s">
        <v>5292</v>
      </c>
      <c r="D23" s="4161" t="s">
        <v>5293</v>
      </c>
      <c r="E23" s="3191" t="s">
        <v>5294</v>
      </c>
      <c r="F23" s="616" t="s">
        <v>5295</v>
      </c>
      <c r="G23" s="626" t="s">
        <v>5296</v>
      </c>
      <c r="H23" s="616" t="s">
        <v>5297</v>
      </c>
      <c r="I23" s="626" t="s">
        <v>5298</v>
      </c>
      <c r="J23" s="616" t="s">
        <v>5299</v>
      </c>
      <c r="K23" s="626" t="s">
        <v>5300</v>
      </c>
      <c r="L23" s="616" t="s">
        <v>5301</v>
      </c>
      <c r="M23" s="626" t="s">
        <v>5302</v>
      </c>
      <c r="N23" s="616" t="s">
        <v>5303</v>
      </c>
      <c r="O23" s="626" t="s">
        <v>5304</v>
      </c>
      <c r="P23" s="616" t="s">
        <v>5305</v>
      </c>
      <c r="Q23" s="626" t="s">
        <v>5306</v>
      </c>
      <c r="R23" s="616" t="s">
        <v>5307</v>
      </c>
      <c r="S23" s="626" t="s">
        <v>5308</v>
      </c>
      <c r="T23" s="616" t="s">
        <v>5309</v>
      </c>
      <c r="U23" s="626" t="s">
        <v>5310</v>
      </c>
      <c r="V23" s="616" t="s">
        <v>5311</v>
      </c>
      <c r="W23" s="626" t="s">
        <v>5312</v>
      </c>
      <c r="X23" s="616" t="s">
        <v>5313</v>
      </c>
      <c r="Y23" s="626" t="s">
        <v>5314</v>
      </c>
      <c r="Z23" s="616" t="s">
        <v>5315</v>
      </c>
      <c r="AA23" s="626" t="s">
        <v>5316</v>
      </c>
      <c r="AB23" s="616" t="s">
        <v>5317</v>
      </c>
      <c r="AC23" s="626" t="s">
        <v>5318</v>
      </c>
      <c r="AD23" s="616" t="s">
        <v>5319</v>
      </c>
      <c r="AE23" s="626" t="s">
        <v>5320</v>
      </c>
      <c r="AF23" s="616" t="s">
        <v>5321</v>
      </c>
      <c r="AG23" s="624" t="s">
        <v>5322</v>
      </c>
      <c r="AH23" s="3077" t="s">
        <v>5323</v>
      </c>
      <c r="AI23" s="3077" t="s">
        <v>5324</v>
      </c>
      <c r="AJ23" s="112" t="str">
        <f t="shared" si="5"/>
        <v xml:space="preserve">* El Número de Pueblos Originarios no puede superar el Total. * El Número de Migrantes no puede superar el Total. </v>
      </c>
      <c r="CB23" s="2784" t="str">
        <f t="shared" ref="CB23:CB25" si="6">IF(AND($C23&lt;&gt;0,AH23=""),"* No olvide ingresar la columna "&amp;AH$19&amp;""&amp;" (Digite CERO si no tiene).  ",IF(AH23&gt;$C23,"* El Número de Pueblos Originarios no puede superar el Total. ",""))</f>
        <v xml:space="preserve">* El Número de Pueblos Originarios no puede superar el Total. </v>
      </c>
      <c r="CC23" s="2784" t="str">
        <f t="shared" ref="CC23:CC25" si="7">IF(AND($C23&lt;&gt;0,AI23=""),"* No olvide ingresar la columna "&amp;AI$19&amp;""&amp;" (Digite CERO si no tiene).  ",IF(AI23&gt;$C23,"* El Número de Migrantes no puede superar el Total. ",""))</f>
        <v xml:space="preserve">* El Número de Migrantes no puede superar el Total. </v>
      </c>
      <c r="CG23" s="1725">
        <f t="shared" ref="CG23:CH25" si="8">IF(AND($C23&lt;&gt;0,AH23=""),1,IF(AH23&gt;$C23,1,0))</f>
        <v>1</v>
      </c>
      <c r="CH23" s="1725">
        <f t="shared" si="8"/>
        <v>1</v>
      </c>
    </row>
    <row r="24" spans="1:87" ht="15" customHeight="1" x14ac:dyDescent="0.3">
      <c r="A24" s="6234" t="s">
        <v>4018</v>
      </c>
      <c r="B24" s="3184" t="s">
        <v>2434</v>
      </c>
      <c r="C24" s="1113" t="s">
        <v>5292</v>
      </c>
      <c r="D24" s="4161" t="s">
        <v>5293</v>
      </c>
      <c r="E24" s="3191" t="s">
        <v>5294</v>
      </c>
      <c r="F24" s="106" t="s">
        <v>5295</v>
      </c>
      <c r="G24" s="587" t="s">
        <v>5296</v>
      </c>
      <c r="H24" s="106" t="s">
        <v>5297</v>
      </c>
      <c r="I24" s="587" t="s">
        <v>5298</v>
      </c>
      <c r="J24" s="106" t="s">
        <v>5299</v>
      </c>
      <c r="K24" s="587" t="s">
        <v>5300</v>
      </c>
      <c r="L24" s="106" t="s">
        <v>5301</v>
      </c>
      <c r="M24" s="587" t="s">
        <v>5302</v>
      </c>
      <c r="N24" s="106" t="s">
        <v>5303</v>
      </c>
      <c r="O24" s="587" t="s">
        <v>5304</v>
      </c>
      <c r="P24" s="106" t="s">
        <v>5305</v>
      </c>
      <c r="Q24" s="587" t="s">
        <v>5306</v>
      </c>
      <c r="R24" s="106" t="s">
        <v>5307</v>
      </c>
      <c r="S24" s="587" t="s">
        <v>5308</v>
      </c>
      <c r="T24" s="106" t="s">
        <v>5309</v>
      </c>
      <c r="U24" s="587" t="s">
        <v>5310</v>
      </c>
      <c r="V24" s="106" t="s">
        <v>5311</v>
      </c>
      <c r="W24" s="587" t="s">
        <v>5312</v>
      </c>
      <c r="X24" s="106" t="s">
        <v>5313</v>
      </c>
      <c r="Y24" s="587" t="s">
        <v>5314</v>
      </c>
      <c r="Z24" s="106" t="s">
        <v>5315</v>
      </c>
      <c r="AA24" s="587" t="s">
        <v>5316</v>
      </c>
      <c r="AB24" s="106" t="s">
        <v>5317</v>
      </c>
      <c r="AC24" s="587" t="s">
        <v>5318</v>
      </c>
      <c r="AD24" s="106" t="s">
        <v>5319</v>
      </c>
      <c r="AE24" s="587" t="s">
        <v>5320</v>
      </c>
      <c r="AF24" s="106" t="s">
        <v>5321</v>
      </c>
      <c r="AG24" s="772" t="s">
        <v>5322</v>
      </c>
      <c r="AH24" s="105" t="s">
        <v>5323</v>
      </c>
      <c r="AI24" s="105" t="s">
        <v>5324</v>
      </c>
      <c r="AJ24" s="112" t="str">
        <f t="shared" si="5"/>
        <v xml:space="preserve">* El Número de Pueblos Originarios no puede superar el Total. * El Número de Migrantes no puede superar el Total. </v>
      </c>
      <c r="CB24" s="2784" t="str">
        <f t="shared" si="6"/>
        <v xml:space="preserve">* El Número de Pueblos Originarios no puede superar el Total. </v>
      </c>
      <c r="CC24" s="2784" t="str">
        <f t="shared" si="7"/>
        <v xml:space="preserve">* El Número de Migrantes no puede superar el Total. </v>
      </c>
      <c r="CG24" s="1725">
        <f t="shared" si="8"/>
        <v>1</v>
      </c>
      <c r="CH24" s="1725">
        <f t="shared" si="8"/>
        <v>1</v>
      </c>
    </row>
    <row r="25" spans="1:87" ht="15" customHeight="1" x14ac:dyDescent="0.3">
      <c r="A25" s="6234" t="s">
        <v>4019</v>
      </c>
      <c r="B25" s="593" t="s">
        <v>2435</v>
      </c>
      <c r="C25" s="3192" t="s">
        <v>5292</v>
      </c>
      <c r="D25" s="583" t="s">
        <v>5293</v>
      </c>
      <c r="E25" s="773" t="s">
        <v>5294</v>
      </c>
      <c r="F25" s="3023" t="s">
        <v>5295</v>
      </c>
      <c r="G25" s="3035" t="s">
        <v>5296</v>
      </c>
      <c r="H25" s="3023" t="s">
        <v>5297</v>
      </c>
      <c r="I25" s="3035" t="s">
        <v>5298</v>
      </c>
      <c r="J25" s="3023" t="s">
        <v>5299</v>
      </c>
      <c r="K25" s="3035" t="s">
        <v>5300</v>
      </c>
      <c r="L25" s="3023" t="s">
        <v>5301</v>
      </c>
      <c r="M25" s="3035" t="s">
        <v>5302</v>
      </c>
      <c r="N25" s="3023" t="s">
        <v>5303</v>
      </c>
      <c r="O25" s="3035" t="s">
        <v>5304</v>
      </c>
      <c r="P25" s="3023" t="s">
        <v>5305</v>
      </c>
      <c r="Q25" s="3035" t="s">
        <v>5306</v>
      </c>
      <c r="R25" s="3023" t="s">
        <v>5307</v>
      </c>
      <c r="S25" s="3035" t="s">
        <v>5308</v>
      </c>
      <c r="T25" s="3023" t="s">
        <v>5309</v>
      </c>
      <c r="U25" s="3035" t="s">
        <v>5310</v>
      </c>
      <c r="V25" s="3023" t="s">
        <v>5311</v>
      </c>
      <c r="W25" s="3035" t="s">
        <v>5312</v>
      </c>
      <c r="X25" s="3023" t="s">
        <v>5313</v>
      </c>
      <c r="Y25" s="3035" t="s">
        <v>5314</v>
      </c>
      <c r="Z25" s="3023" t="s">
        <v>5315</v>
      </c>
      <c r="AA25" s="3035" t="s">
        <v>5316</v>
      </c>
      <c r="AB25" s="3023" t="s">
        <v>5317</v>
      </c>
      <c r="AC25" s="3035" t="s">
        <v>5318</v>
      </c>
      <c r="AD25" s="3023" t="s">
        <v>5319</v>
      </c>
      <c r="AE25" s="3035" t="s">
        <v>5320</v>
      </c>
      <c r="AF25" s="3023" t="s">
        <v>5321</v>
      </c>
      <c r="AG25" s="3080" t="s">
        <v>5322</v>
      </c>
      <c r="AH25" s="117" t="s">
        <v>5323</v>
      </c>
      <c r="AI25" s="117" t="s">
        <v>5324</v>
      </c>
      <c r="AJ25" s="112" t="str">
        <f t="shared" si="5"/>
        <v xml:space="preserve">* El Número de Pueblos Originarios no puede superar el Total. * El Número de Migrantes no puede superar el Total. </v>
      </c>
      <c r="CB25" s="2784" t="str">
        <f t="shared" si="6"/>
        <v xml:space="preserve">* El Número de Pueblos Originarios no puede superar el Total. </v>
      </c>
      <c r="CC25" s="2784" t="str">
        <f t="shared" si="7"/>
        <v xml:space="preserve">* El Número de Migrantes no puede superar el Total. </v>
      </c>
      <c r="CG25" s="1725">
        <f t="shared" si="8"/>
        <v>1</v>
      </c>
      <c r="CH25" s="1725">
        <f t="shared" si="8"/>
        <v>1</v>
      </c>
    </row>
    <row r="26" spans="1:87" s="17" customFormat="1" ht="18" customHeight="1" x14ac:dyDescent="0.25">
      <c r="A26" s="103"/>
      <c r="B26" s="123" t="s">
        <v>2436</v>
      </c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40"/>
      <c r="AI26" s="140"/>
      <c r="AJ26" s="112"/>
    </row>
    <row r="27" spans="1:87" ht="15" customHeight="1" x14ac:dyDescent="0.3">
      <c r="A27" s="103"/>
      <c r="B27" s="6323" t="s">
        <v>3897</v>
      </c>
      <c r="C27" s="6330" t="s">
        <v>24</v>
      </c>
      <c r="D27" s="6328"/>
      <c r="E27" s="6329"/>
      <c r="F27" s="6326" t="s">
        <v>4</v>
      </c>
      <c r="G27" s="6401"/>
      <c r="H27" s="6326" t="s">
        <v>5</v>
      </c>
      <c r="I27" s="6327"/>
      <c r="J27" s="6326" t="s">
        <v>6</v>
      </c>
      <c r="K27" s="6327"/>
      <c r="L27" s="6326" t="s">
        <v>7</v>
      </c>
      <c r="M27" s="6327"/>
      <c r="N27" s="6326" t="s">
        <v>8</v>
      </c>
      <c r="O27" s="6327"/>
      <c r="P27" s="6326" t="s">
        <v>9</v>
      </c>
      <c r="Q27" s="6327"/>
      <c r="R27" s="6326" t="s">
        <v>10</v>
      </c>
      <c r="S27" s="6327"/>
      <c r="T27" s="6326" t="s">
        <v>11</v>
      </c>
      <c r="U27" s="6327"/>
      <c r="V27" s="6326" t="s">
        <v>18</v>
      </c>
      <c r="W27" s="6327"/>
      <c r="X27" s="6326" t="s">
        <v>19</v>
      </c>
      <c r="Y27" s="6327"/>
      <c r="Z27" s="6326" t="s">
        <v>20</v>
      </c>
      <c r="AA27" s="6327"/>
      <c r="AB27" s="6326" t="s">
        <v>70</v>
      </c>
      <c r="AC27" s="6327"/>
      <c r="AD27" s="6326" t="s">
        <v>71</v>
      </c>
      <c r="AE27" s="6327"/>
      <c r="AF27" s="6326" t="s">
        <v>32</v>
      </c>
      <c r="AG27" s="6346"/>
      <c r="AH27" s="6342" t="s">
        <v>2</v>
      </c>
      <c r="AI27" s="6399" t="s">
        <v>3</v>
      </c>
    </row>
    <row r="28" spans="1:87" ht="15" customHeight="1" x14ac:dyDescent="0.3">
      <c r="A28" s="103"/>
      <c r="B28" s="6362"/>
      <c r="C28" s="4636" t="s">
        <v>26</v>
      </c>
      <c r="D28" s="4630" t="s">
        <v>22</v>
      </c>
      <c r="E28" s="3186" t="s">
        <v>27</v>
      </c>
      <c r="F28" s="3159" t="s">
        <v>22</v>
      </c>
      <c r="G28" s="3187" t="s">
        <v>27</v>
      </c>
      <c r="H28" s="3159" t="s">
        <v>22</v>
      </c>
      <c r="I28" s="3187" t="s">
        <v>27</v>
      </c>
      <c r="J28" s="3159" t="s">
        <v>22</v>
      </c>
      <c r="K28" s="3187" t="s">
        <v>27</v>
      </c>
      <c r="L28" s="3159" t="s">
        <v>22</v>
      </c>
      <c r="M28" s="3187" t="s">
        <v>27</v>
      </c>
      <c r="N28" s="3159" t="s">
        <v>22</v>
      </c>
      <c r="O28" s="3187" t="s">
        <v>27</v>
      </c>
      <c r="P28" s="3159" t="s">
        <v>22</v>
      </c>
      <c r="Q28" s="3187" t="s">
        <v>27</v>
      </c>
      <c r="R28" s="3159" t="s">
        <v>22</v>
      </c>
      <c r="S28" s="3187" t="s">
        <v>27</v>
      </c>
      <c r="T28" s="3159" t="s">
        <v>22</v>
      </c>
      <c r="U28" s="3187" t="s">
        <v>27</v>
      </c>
      <c r="V28" s="3159" t="s">
        <v>22</v>
      </c>
      <c r="W28" s="3187" t="s">
        <v>27</v>
      </c>
      <c r="X28" s="3159" t="s">
        <v>22</v>
      </c>
      <c r="Y28" s="3187" t="s">
        <v>27</v>
      </c>
      <c r="Z28" s="3159" t="s">
        <v>22</v>
      </c>
      <c r="AA28" s="3187" t="s">
        <v>27</v>
      </c>
      <c r="AB28" s="3159" t="s">
        <v>22</v>
      </c>
      <c r="AC28" s="3187" t="s">
        <v>27</v>
      </c>
      <c r="AD28" s="3159" t="s">
        <v>22</v>
      </c>
      <c r="AE28" s="3187" t="s">
        <v>27</v>
      </c>
      <c r="AF28" s="3159" t="s">
        <v>22</v>
      </c>
      <c r="AG28" s="3188" t="s">
        <v>27</v>
      </c>
      <c r="AH28" s="6325"/>
      <c r="AI28" s="6400"/>
    </row>
    <row r="29" spans="1:87" ht="15" customHeight="1" x14ac:dyDescent="0.3">
      <c r="A29" s="6234" t="s">
        <v>4020</v>
      </c>
      <c r="B29" s="3193" t="s">
        <v>33</v>
      </c>
      <c r="C29" s="4637" t="s">
        <v>5292</v>
      </c>
      <c r="D29" s="4634" t="s">
        <v>5293</v>
      </c>
      <c r="E29" s="3195" t="s">
        <v>5294</v>
      </c>
      <c r="F29" s="3127" t="s">
        <v>5295</v>
      </c>
      <c r="G29" s="3128" t="s">
        <v>5296</v>
      </c>
      <c r="H29" s="3127" t="s">
        <v>5297</v>
      </c>
      <c r="I29" s="3128" t="s">
        <v>5298</v>
      </c>
      <c r="J29" s="3127" t="s">
        <v>5299</v>
      </c>
      <c r="K29" s="3128" t="s">
        <v>5300</v>
      </c>
      <c r="L29" s="3127" t="s">
        <v>5301</v>
      </c>
      <c r="M29" s="3128" t="s">
        <v>5302</v>
      </c>
      <c r="N29" s="3127" t="s">
        <v>5303</v>
      </c>
      <c r="O29" s="3128" t="s">
        <v>5304</v>
      </c>
      <c r="P29" s="3127" t="s">
        <v>5305</v>
      </c>
      <c r="Q29" s="3128" t="s">
        <v>5306</v>
      </c>
      <c r="R29" s="3127" t="s">
        <v>5307</v>
      </c>
      <c r="S29" s="3128" t="s">
        <v>5308</v>
      </c>
      <c r="T29" s="3127" t="s">
        <v>5309</v>
      </c>
      <c r="U29" s="3128" t="s">
        <v>5310</v>
      </c>
      <c r="V29" s="3127" t="s">
        <v>5311</v>
      </c>
      <c r="W29" s="3128" t="s">
        <v>5312</v>
      </c>
      <c r="X29" s="3127" t="s">
        <v>5313</v>
      </c>
      <c r="Y29" s="3128" t="s">
        <v>5314</v>
      </c>
      <c r="Z29" s="3127" t="s">
        <v>5315</v>
      </c>
      <c r="AA29" s="3128" t="s">
        <v>5316</v>
      </c>
      <c r="AB29" s="3127" t="s">
        <v>5317</v>
      </c>
      <c r="AC29" s="3128" t="s">
        <v>5318</v>
      </c>
      <c r="AD29" s="3127" t="s">
        <v>5319</v>
      </c>
      <c r="AE29" s="3128" t="s">
        <v>5320</v>
      </c>
      <c r="AF29" s="3127" t="s">
        <v>5321</v>
      </c>
      <c r="AG29" s="3196" t="s">
        <v>5322</v>
      </c>
      <c r="AH29" s="3134" t="s">
        <v>5323</v>
      </c>
      <c r="AI29" s="3134" t="s">
        <v>5324</v>
      </c>
      <c r="AJ29" s="112" t="str">
        <f t="shared" ref="AJ29:AJ30" si="9">$CB29&amp;CC29</f>
        <v xml:space="preserve">* El Número de Pueblos Originarios no puede superar el Total. * El Número de Migrantes no puede superar el Total. </v>
      </c>
      <c r="CB29" s="2784" t="str">
        <f t="shared" ref="CB29:CB30" si="10">IF(AND($C29&lt;&gt;0,AH29=""),"* No olvide ingresar la columna "&amp;AH$19&amp;""&amp;" (Digite CERO si no tiene).  ",IF(AH29&gt;$C29,"* El Número de Pueblos Originarios no puede superar el Total. ",""))</f>
        <v xml:space="preserve">* El Número de Pueblos Originarios no puede superar el Total. </v>
      </c>
      <c r="CC29" s="2784" t="str">
        <f t="shared" ref="CC29:CC30" si="11">IF(AND($C29&lt;&gt;0,AI29=""),"* No olvide ingresar la columna "&amp;AI$19&amp;""&amp;" (Digite CERO si no tiene).  ",IF(AI29&gt;$C29,"* El Número de Migrantes no puede superar el Total. ",""))</f>
        <v xml:space="preserve">* El Número de Migrantes no puede superar el Total. </v>
      </c>
      <c r="CG29" s="1725">
        <f t="shared" ref="CG29:CH30" si="12">IF(AND($C29&lt;&gt;0,AH29=""),1,IF(AH29&gt;$C29,1,0))</f>
        <v>1</v>
      </c>
      <c r="CH29" s="1725">
        <f t="shared" si="12"/>
        <v>1</v>
      </c>
    </row>
    <row r="30" spans="1:87" ht="15" customHeight="1" x14ac:dyDescent="0.3">
      <c r="A30" s="6234" t="s">
        <v>4021</v>
      </c>
      <c r="B30" s="207" t="s">
        <v>2437</v>
      </c>
      <c r="C30" s="3192" t="s">
        <v>5292</v>
      </c>
      <c r="D30" s="583" t="s">
        <v>5293</v>
      </c>
      <c r="E30" s="773" t="s">
        <v>5294</v>
      </c>
      <c r="F30" s="2410" t="s">
        <v>5295</v>
      </c>
      <c r="G30" s="2924" t="s">
        <v>5296</v>
      </c>
      <c r="H30" s="2410" t="s">
        <v>5297</v>
      </c>
      <c r="I30" s="2924" t="s">
        <v>5298</v>
      </c>
      <c r="J30" s="2410" t="s">
        <v>5299</v>
      </c>
      <c r="K30" s="2924" t="s">
        <v>5300</v>
      </c>
      <c r="L30" s="2410" t="s">
        <v>5301</v>
      </c>
      <c r="M30" s="2924" t="s">
        <v>5302</v>
      </c>
      <c r="N30" s="2410" t="s">
        <v>5303</v>
      </c>
      <c r="O30" s="2924" t="s">
        <v>5304</v>
      </c>
      <c r="P30" s="2410" t="s">
        <v>5305</v>
      </c>
      <c r="Q30" s="2924" t="s">
        <v>5306</v>
      </c>
      <c r="R30" s="2410" t="s">
        <v>5307</v>
      </c>
      <c r="S30" s="2924" t="s">
        <v>5308</v>
      </c>
      <c r="T30" s="2410" t="s">
        <v>5309</v>
      </c>
      <c r="U30" s="2924" t="s">
        <v>5310</v>
      </c>
      <c r="V30" s="2410" t="s">
        <v>5311</v>
      </c>
      <c r="W30" s="2924" t="s">
        <v>5312</v>
      </c>
      <c r="X30" s="2410" t="s">
        <v>5313</v>
      </c>
      <c r="Y30" s="2924" t="s">
        <v>5314</v>
      </c>
      <c r="Z30" s="2410" t="s">
        <v>5315</v>
      </c>
      <c r="AA30" s="2924" t="s">
        <v>5316</v>
      </c>
      <c r="AB30" s="2410" t="s">
        <v>5317</v>
      </c>
      <c r="AC30" s="2924" t="s">
        <v>5318</v>
      </c>
      <c r="AD30" s="2410" t="s">
        <v>5319</v>
      </c>
      <c r="AE30" s="2924" t="s">
        <v>5320</v>
      </c>
      <c r="AF30" s="2410" t="s">
        <v>5321</v>
      </c>
      <c r="AG30" s="2923" t="s">
        <v>5322</v>
      </c>
      <c r="AH30" s="2413" t="s">
        <v>5323</v>
      </c>
      <c r="AI30" s="153" t="s">
        <v>5324</v>
      </c>
      <c r="AJ30" s="112" t="str">
        <f t="shared" si="9"/>
        <v xml:space="preserve">* El Número de Pueblos Originarios no puede superar el Total. * El Número de Migrantes no puede superar el Total. </v>
      </c>
      <c r="CB30" s="2784" t="str">
        <f t="shared" si="10"/>
        <v xml:space="preserve">* El Número de Pueblos Originarios no puede superar el Total. </v>
      </c>
      <c r="CC30" s="2784" t="str">
        <f t="shared" si="11"/>
        <v xml:space="preserve">* El Número de Migrantes no puede superar el Total. </v>
      </c>
      <c r="CG30" s="1725">
        <f t="shared" si="12"/>
        <v>1</v>
      </c>
      <c r="CH30" s="1725">
        <f t="shared" si="12"/>
        <v>1</v>
      </c>
    </row>
    <row r="31" spans="1:87" ht="18" customHeight="1" x14ac:dyDescent="0.3">
      <c r="A31" s="103"/>
      <c r="B31" s="123" t="s">
        <v>2438</v>
      </c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774"/>
      <c r="Q31" s="419"/>
      <c r="R31" s="3011"/>
      <c r="S31" s="3011"/>
      <c r="T31" s="3011"/>
      <c r="U31" s="3011"/>
      <c r="V31" s="3011"/>
      <c r="W31" s="3011"/>
      <c r="X31" s="3011"/>
      <c r="Y31" s="3011"/>
      <c r="Z31" s="3011"/>
      <c r="AA31" s="3011"/>
      <c r="AB31" s="3011"/>
      <c r="AC31" s="3011"/>
      <c r="AD31" s="3011"/>
      <c r="AE31" s="3011"/>
      <c r="AF31" s="3011"/>
      <c r="AG31" s="102"/>
      <c r="AH31" s="3197"/>
      <c r="AI31" s="775"/>
    </row>
    <row r="32" spans="1:87" ht="15" customHeight="1" x14ac:dyDescent="0.3">
      <c r="A32" s="103"/>
      <c r="B32" s="6323" t="s">
        <v>3897</v>
      </c>
      <c r="C32" s="6330" t="s">
        <v>24</v>
      </c>
      <c r="D32" s="6328"/>
      <c r="E32" s="6329"/>
      <c r="F32" s="6326" t="s">
        <v>4</v>
      </c>
      <c r="G32" s="6401"/>
      <c r="H32" s="6326" t="s">
        <v>5</v>
      </c>
      <c r="I32" s="6327"/>
      <c r="J32" s="6326" t="s">
        <v>6</v>
      </c>
      <c r="K32" s="6327"/>
      <c r="L32" s="6326" t="s">
        <v>7</v>
      </c>
      <c r="M32" s="6327"/>
      <c r="N32" s="6326" t="s">
        <v>8</v>
      </c>
      <c r="O32" s="6327"/>
      <c r="P32" s="6326" t="s">
        <v>9</v>
      </c>
      <c r="Q32" s="6327"/>
      <c r="R32" s="6326" t="s">
        <v>10</v>
      </c>
      <c r="S32" s="6327"/>
      <c r="T32" s="6326" t="s">
        <v>11</v>
      </c>
      <c r="U32" s="6327"/>
      <c r="V32" s="6326" t="s">
        <v>18</v>
      </c>
      <c r="W32" s="6327"/>
      <c r="X32" s="6326" t="s">
        <v>19</v>
      </c>
      <c r="Y32" s="6327"/>
      <c r="Z32" s="6326" t="s">
        <v>20</v>
      </c>
      <c r="AA32" s="6327"/>
      <c r="AB32" s="6326" t="s">
        <v>70</v>
      </c>
      <c r="AC32" s="6327"/>
      <c r="AD32" s="6326" t="s">
        <v>71</v>
      </c>
      <c r="AE32" s="6327"/>
      <c r="AF32" s="6326" t="s">
        <v>32</v>
      </c>
      <c r="AG32" s="6346"/>
      <c r="AH32" s="6342" t="s">
        <v>2</v>
      </c>
      <c r="AI32" s="6342" t="s">
        <v>3</v>
      </c>
    </row>
    <row r="33" spans="1:86" ht="15" customHeight="1" x14ac:dyDescent="0.3">
      <c r="A33" s="103"/>
      <c r="B33" s="6362"/>
      <c r="C33" s="4636" t="s">
        <v>26</v>
      </c>
      <c r="D33" s="4635" t="s">
        <v>22</v>
      </c>
      <c r="E33" s="3186" t="s">
        <v>27</v>
      </c>
      <c r="F33" s="3159" t="s">
        <v>22</v>
      </c>
      <c r="G33" s="3187" t="s">
        <v>27</v>
      </c>
      <c r="H33" s="3159" t="s">
        <v>22</v>
      </c>
      <c r="I33" s="3187" t="s">
        <v>27</v>
      </c>
      <c r="J33" s="3159" t="s">
        <v>22</v>
      </c>
      <c r="K33" s="3187" t="s">
        <v>27</v>
      </c>
      <c r="L33" s="3159" t="s">
        <v>22</v>
      </c>
      <c r="M33" s="3187" t="s">
        <v>27</v>
      </c>
      <c r="N33" s="3159" t="s">
        <v>22</v>
      </c>
      <c r="O33" s="3187" t="s">
        <v>27</v>
      </c>
      <c r="P33" s="3159" t="s">
        <v>22</v>
      </c>
      <c r="Q33" s="3187" t="s">
        <v>27</v>
      </c>
      <c r="R33" s="3159" t="s">
        <v>22</v>
      </c>
      <c r="S33" s="3187" t="s">
        <v>27</v>
      </c>
      <c r="T33" s="3159" t="s">
        <v>22</v>
      </c>
      <c r="U33" s="3187" t="s">
        <v>27</v>
      </c>
      <c r="V33" s="3159" t="s">
        <v>22</v>
      </c>
      <c r="W33" s="3187" t="s">
        <v>27</v>
      </c>
      <c r="X33" s="3159" t="s">
        <v>22</v>
      </c>
      <c r="Y33" s="3187" t="s">
        <v>27</v>
      </c>
      <c r="Z33" s="3159" t="s">
        <v>22</v>
      </c>
      <c r="AA33" s="3187" t="s">
        <v>27</v>
      </c>
      <c r="AB33" s="3159" t="s">
        <v>22</v>
      </c>
      <c r="AC33" s="3187" t="s">
        <v>27</v>
      </c>
      <c r="AD33" s="3159" t="s">
        <v>22</v>
      </c>
      <c r="AE33" s="3187" t="s">
        <v>27</v>
      </c>
      <c r="AF33" s="3159" t="s">
        <v>22</v>
      </c>
      <c r="AG33" s="3188" t="s">
        <v>27</v>
      </c>
      <c r="AH33" s="6325"/>
      <c r="AI33" s="6325"/>
    </row>
    <row r="34" spans="1:86" ht="15" customHeight="1" x14ac:dyDescent="0.3">
      <c r="A34" s="6234" t="s">
        <v>4022</v>
      </c>
      <c r="B34" s="3198" t="s">
        <v>2439</v>
      </c>
      <c r="C34" s="1113" t="s">
        <v>5292</v>
      </c>
      <c r="D34" s="4161" t="s">
        <v>5293</v>
      </c>
      <c r="E34" s="3191" t="s">
        <v>5294</v>
      </c>
      <c r="F34" s="106" t="s">
        <v>5295</v>
      </c>
      <c r="G34" s="587" t="s">
        <v>5296</v>
      </c>
      <c r="H34" s="106" t="s">
        <v>5297</v>
      </c>
      <c r="I34" s="587" t="s">
        <v>5298</v>
      </c>
      <c r="J34" s="106" t="s">
        <v>5299</v>
      </c>
      <c r="K34" s="587" t="s">
        <v>5300</v>
      </c>
      <c r="L34" s="106" t="s">
        <v>5301</v>
      </c>
      <c r="M34" s="587" t="s">
        <v>5302</v>
      </c>
      <c r="N34" s="106" t="s">
        <v>5303</v>
      </c>
      <c r="O34" s="587" t="s">
        <v>5304</v>
      </c>
      <c r="P34" s="106" t="s">
        <v>5305</v>
      </c>
      <c r="Q34" s="587" t="s">
        <v>5306</v>
      </c>
      <c r="R34" s="106" t="s">
        <v>5307</v>
      </c>
      <c r="S34" s="587" t="s">
        <v>5308</v>
      </c>
      <c r="T34" s="106" t="s">
        <v>5309</v>
      </c>
      <c r="U34" s="587" t="s">
        <v>5310</v>
      </c>
      <c r="V34" s="106" t="s">
        <v>5311</v>
      </c>
      <c r="W34" s="587" t="s">
        <v>5312</v>
      </c>
      <c r="X34" s="106" t="s">
        <v>5313</v>
      </c>
      <c r="Y34" s="587" t="s">
        <v>5314</v>
      </c>
      <c r="Z34" s="106" t="s">
        <v>5315</v>
      </c>
      <c r="AA34" s="587" t="s">
        <v>5316</v>
      </c>
      <c r="AB34" s="106" t="s">
        <v>5317</v>
      </c>
      <c r="AC34" s="587" t="s">
        <v>5318</v>
      </c>
      <c r="AD34" s="106" t="s">
        <v>5319</v>
      </c>
      <c r="AE34" s="587" t="s">
        <v>5320</v>
      </c>
      <c r="AF34" s="106" t="s">
        <v>5321</v>
      </c>
      <c r="AG34" s="772" t="s">
        <v>5322</v>
      </c>
      <c r="AH34" s="3134" t="s">
        <v>5323</v>
      </c>
      <c r="AI34" s="3134" t="s">
        <v>5324</v>
      </c>
      <c r="AJ34" s="112" t="str">
        <f>$CB34&amp;CC34</f>
        <v xml:space="preserve">* El Número de Pueblos Originarios no puede superar el Total. * El Número de Migrantes no puede superar el Total. </v>
      </c>
      <c r="CB34" s="2784" t="str">
        <f>IF(AND($C34&lt;&gt;0,AH34=""),"* No olvide ingresar la columna "&amp;AH$19&amp;""&amp;" (Digite CERO si no tiene).  ",IF(AH34&gt;$C34,"* El Número de Pueblos Originarios no puede superar el Total. ",""))</f>
        <v xml:space="preserve">* El Número de Pueblos Originarios no puede superar el Total. </v>
      </c>
      <c r="CC34" s="2784" t="str">
        <f>IF(AND($C34&lt;&gt;0,AI34=""),"* No olvide ingresar la columna "&amp;AI$19&amp;""&amp;" (Digite CERO si no tiene).  ",IF(AI34&gt;$C34,"* El Número de Migrantes no puede superar el Total. ",""))</f>
        <v xml:space="preserve">* El Número de Migrantes no puede superar el Total. </v>
      </c>
      <c r="CG34" s="1725">
        <f>IF(AND($C34&lt;&gt;0,AH34=""),1,IF(AH34&gt;$C34,1,0))</f>
        <v>1</v>
      </c>
      <c r="CH34" s="1725">
        <f>IF(AND($C34&lt;&gt;0,AI34=""),1,IF(AI34&gt;$C34,1,0))</f>
        <v>1</v>
      </c>
    </row>
    <row r="35" spans="1:86" ht="15" customHeight="1" x14ac:dyDescent="0.3">
      <c r="A35" s="6234" t="s">
        <v>4023</v>
      </c>
      <c r="B35" s="2994" t="s">
        <v>2440</v>
      </c>
      <c r="C35" s="3192" t="s">
        <v>5292</v>
      </c>
      <c r="D35" s="583" t="s">
        <v>5293</v>
      </c>
      <c r="E35" s="773" t="s">
        <v>5294</v>
      </c>
      <c r="F35" s="3023" t="s">
        <v>5295</v>
      </c>
      <c r="G35" s="3035" t="s">
        <v>5296</v>
      </c>
      <c r="H35" s="3023" t="s">
        <v>5297</v>
      </c>
      <c r="I35" s="3035" t="s">
        <v>5298</v>
      </c>
      <c r="J35" s="3023" t="s">
        <v>5299</v>
      </c>
      <c r="K35" s="3035" t="s">
        <v>5300</v>
      </c>
      <c r="L35" s="3023" t="s">
        <v>5301</v>
      </c>
      <c r="M35" s="3035" t="s">
        <v>5302</v>
      </c>
      <c r="N35" s="3023" t="s">
        <v>5303</v>
      </c>
      <c r="O35" s="3035" t="s">
        <v>5304</v>
      </c>
      <c r="P35" s="3023" t="s">
        <v>5305</v>
      </c>
      <c r="Q35" s="3035" t="s">
        <v>5306</v>
      </c>
      <c r="R35" s="3023" t="s">
        <v>5307</v>
      </c>
      <c r="S35" s="3035" t="s">
        <v>5308</v>
      </c>
      <c r="T35" s="3023" t="s">
        <v>5309</v>
      </c>
      <c r="U35" s="3035" t="s">
        <v>5310</v>
      </c>
      <c r="V35" s="3023" t="s">
        <v>5311</v>
      </c>
      <c r="W35" s="3035" t="s">
        <v>5312</v>
      </c>
      <c r="X35" s="3023" t="s">
        <v>5313</v>
      </c>
      <c r="Y35" s="3035" t="s">
        <v>5314</v>
      </c>
      <c r="Z35" s="3023" t="s">
        <v>5315</v>
      </c>
      <c r="AA35" s="3035" t="s">
        <v>5316</v>
      </c>
      <c r="AB35" s="3023" t="s">
        <v>5317</v>
      </c>
      <c r="AC35" s="3035" t="s">
        <v>5318</v>
      </c>
      <c r="AD35" s="3023" t="s">
        <v>5319</v>
      </c>
      <c r="AE35" s="3035" t="s">
        <v>5320</v>
      </c>
      <c r="AF35" s="3023" t="s">
        <v>5321</v>
      </c>
      <c r="AG35" s="3080" t="s">
        <v>5322</v>
      </c>
      <c r="AH35" s="2413" t="s">
        <v>5323</v>
      </c>
      <c r="AI35" s="2413" t="s">
        <v>5324</v>
      </c>
      <c r="AJ35" s="112" t="str">
        <f>$CB35&amp;CC35</f>
        <v xml:space="preserve">* El Número de Pueblos Originarios no puede superar el Total. * El Número de Migrantes no puede superar el Total. </v>
      </c>
      <c r="CB35" s="2784" t="str">
        <f>IF(AND($C35&lt;&gt;0,AH35=""),"* No olvide ingresar la columna "&amp;AH$19&amp;""&amp;" (Digite CERO si no tiene).  ",IF(AH35&gt;$C35,"* El Número de Pueblos Originarios no puede superar el Total. ",""))</f>
        <v xml:space="preserve">* El Número de Pueblos Originarios no puede superar el Total. </v>
      </c>
      <c r="CC35" s="2784" t="str">
        <f>IF(AND($C35&lt;&gt;0,AI35=""),"* No olvide ingresar la columna "&amp;AI$19&amp;""&amp;" (Digite CERO si no tiene).  ",IF(AI35&gt;$C35,"* El Número de Migrantes no puede superar el Total. ",""))</f>
        <v xml:space="preserve">* El Número de Migrantes no puede superar el Total. </v>
      </c>
      <c r="CG35" s="1725">
        <f>IF(AND($C35&lt;&gt;0,AH35=""),1,IF(AH35&gt;$C35,1,0))</f>
        <v>1</v>
      </c>
      <c r="CH35" s="1725">
        <f>IF(AND($C35&lt;&gt;0,AI35=""),1,IF(AI35&gt;$C35,1,0))</f>
        <v>1</v>
      </c>
    </row>
    <row r="51" spans="2:131" s="777" customFormat="1" ht="16.5" hidden="1" customHeight="1" x14ac:dyDescent="0.25">
      <c r="B51" s="3177">
        <f>SUM(C12:C17,C22:C25,C29:C30,C34:C35)</f>
        <v>0</v>
      </c>
      <c r="C51" s="3177">
        <f>SUM(CG12:CI35)</f>
        <v>28</v>
      </c>
      <c r="CB51" s="2572"/>
      <c r="CC51" s="2572"/>
      <c r="CD51" s="2572"/>
      <c r="CE51" s="2572"/>
      <c r="CF51" s="2572"/>
      <c r="CG51" s="2572"/>
      <c r="CH51" s="2572"/>
      <c r="CI51" s="2572"/>
      <c r="CJ51" s="2572"/>
      <c r="CK51" s="2572"/>
      <c r="CL51" s="2572"/>
      <c r="CM51" s="2572"/>
      <c r="CN51" s="2572"/>
      <c r="CO51" s="2572"/>
      <c r="CP51" s="2572"/>
      <c r="CQ51" s="2572"/>
      <c r="CR51" s="2572"/>
      <c r="CS51" s="2572"/>
      <c r="CT51" s="2572"/>
      <c r="CU51" s="2572"/>
      <c r="CV51" s="2572"/>
      <c r="CW51" s="2572"/>
      <c r="CX51" s="2572"/>
      <c r="CY51" s="2572"/>
      <c r="CZ51" s="2572"/>
      <c r="DA51" s="2572"/>
      <c r="DB51" s="2572"/>
      <c r="DC51" s="2572"/>
      <c r="DD51" s="2572"/>
      <c r="DE51" s="2572"/>
      <c r="DF51" s="2572"/>
      <c r="DG51" s="2572"/>
      <c r="DH51" s="2572"/>
      <c r="DI51" s="2572"/>
      <c r="DJ51" s="2572"/>
      <c r="DK51" s="2572"/>
      <c r="DL51" s="2572"/>
      <c r="DM51" s="2572"/>
      <c r="DN51" s="2572"/>
      <c r="DO51" s="2572"/>
      <c r="DP51" s="2572"/>
      <c r="DQ51" s="2572"/>
      <c r="DR51" s="2572"/>
      <c r="DS51" s="2572"/>
      <c r="DT51" s="2572"/>
      <c r="DU51" s="2572"/>
      <c r="DV51" s="2572"/>
      <c r="DW51" s="2572"/>
      <c r="DX51" s="2572"/>
      <c r="DY51" s="2572"/>
      <c r="DZ51" s="2572"/>
      <c r="EA51" s="2572"/>
    </row>
  </sheetData>
  <mergeCells count="59">
    <mergeCell ref="B19:B20"/>
    <mergeCell ref="C19:E19"/>
    <mergeCell ref="F19:G19"/>
    <mergeCell ref="H19:I19"/>
    <mergeCell ref="J19:K19"/>
    <mergeCell ref="B6:AE6"/>
    <mergeCell ref="B9:B10"/>
    <mergeCell ref="C9:E9"/>
    <mergeCell ref="F9:F10"/>
    <mergeCell ref="G9:G10"/>
    <mergeCell ref="AH19:AH20"/>
    <mergeCell ref="L19:M19"/>
    <mergeCell ref="N19:O19"/>
    <mergeCell ref="P19:Q19"/>
    <mergeCell ref="R19:S19"/>
    <mergeCell ref="T19:U19"/>
    <mergeCell ref="V19:W19"/>
    <mergeCell ref="AD27:AE27"/>
    <mergeCell ref="AI19:AI20"/>
    <mergeCell ref="B27:B28"/>
    <mergeCell ref="C27:E27"/>
    <mergeCell ref="F27:G27"/>
    <mergeCell ref="H27:I27"/>
    <mergeCell ref="J27:K27"/>
    <mergeCell ref="L27:M27"/>
    <mergeCell ref="N27:O27"/>
    <mergeCell ref="P27:Q27"/>
    <mergeCell ref="R27:S27"/>
    <mergeCell ref="X19:Y19"/>
    <mergeCell ref="Z19:AA19"/>
    <mergeCell ref="AB19:AC19"/>
    <mergeCell ref="AD19:AE19"/>
    <mergeCell ref="AF19:AG19"/>
    <mergeCell ref="Z32:AA32"/>
    <mergeCell ref="AF27:AG27"/>
    <mergeCell ref="AH27:AH28"/>
    <mergeCell ref="AI27:AI28"/>
    <mergeCell ref="B32:B33"/>
    <mergeCell ref="C32:E32"/>
    <mergeCell ref="F32:G32"/>
    <mergeCell ref="H32:I32"/>
    <mergeCell ref="J32:K32"/>
    <mergeCell ref="L32:M32"/>
    <mergeCell ref="N32:O32"/>
    <mergeCell ref="T27:U27"/>
    <mergeCell ref="V27:W27"/>
    <mergeCell ref="X27:Y27"/>
    <mergeCell ref="Z27:AA27"/>
    <mergeCell ref="AB27:AC27"/>
    <mergeCell ref="P32:Q32"/>
    <mergeCell ref="R32:S32"/>
    <mergeCell ref="T32:U32"/>
    <mergeCell ref="V32:W32"/>
    <mergeCell ref="X32:Y32"/>
    <mergeCell ref="AB32:AC32"/>
    <mergeCell ref="AD32:AE32"/>
    <mergeCell ref="AF32:AG32"/>
    <mergeCell ref="AH32:AH33"/>
    <mergeCell ref="AI32:AI33"/>
  </mergeCells>
  <dataValidations count="2">
    <dataValidation type="whole" operator="greaterThanOrEqual" allowBlank="1" showInputMessage="1" showErrorMessage="1" sqref="F29:AI30 F34:AI35 F22:AI25 D12:G17" xr:uid="{00000000-0002-0000-0200-000000000000}">
      <formula1>0</formula1>
    </dataValidation>
    <dataValidation operator="notBetween" allowBlank="1" showInputMessage="1" showErrorMessage="1" error="Valor no Permitido" sqref="B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A402"/>
  <sheetViews>
    <sheetView showGridLines="0" workbookViewId="0"/>
  </sheetViews>
  <sheetFormatPr baseColWidth="10" defaultColWidth="11.44140625" defaultRowHeight="14.4" x14ac:dyDescent="0.3"/>
  <cols>
    <col min="1" max="1" width="18.33203125" customWidth="1"/>
    <col min="2" max="2" width="31" customWidth="1"/>
    <col min="3" max="3" width="28.6640625" customWidth="1"/>
    <col min="4" max="4" width="16.44140625" customWidth="1"/>
    <col min="5" max="13" width="15.6640625" customWidth="1"/>
    <col min="24" max="24" width="13.109375" customWidth="1"/>
    <col min="54" max="62" width="11.44140625" customWidth="1"/>
    <col min="73" max="79" width="16" customWidth="1"/>
    <col min="80" max="95" width="11.44140625" hidden="1" customWidth="1"/>
    <col min="96" max="131" width="11.44140625" customWidth="1"/>
  </cols>
  <sheetData>
    <row r="1" spans="1:131" x14ac:dyDescent="0.3">
      <c r="B1" s="774" t="s">
        <v>3879</v>
      </c>
    </row>
    <row r="2" spans="1:131" x14ac:dyDescent="0.3">
      <c r="B2" s="774" t="str">
        <f>CONCATENATE("COMUNA: ",NOMBRE!B2," - ","( ",NOMBRE!C2,NOMBRE!D2,NOMBRE!E2,NOMBRE!F2,NOMBRE!G2," )")</f>
        <v>COMUNA:  - (  )</v>
      </c>
    </row>
    <row r="3" spans="1:131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31" x14ac:dyDescent="0.3">
      <c r="B4" s="774" t="str">
        <f>CONCATENATE("MES: ",NOMBRE!B6," - ","( ",NOMBRE!C6,NOMBRE!D6," )")</f>
        <v>MES:  - (  )</v>
      </c>
    </row>
    <row r="5" spans="1:131" x14ac:dyDescent="0.3">
      <c r="B5" s="774" t="str">
        <f>CONCATENATE("AÑO: ",NOMBRE!B7)</f>
        <v>AÑO: 2024</v>
      </c>
    </row>
    <row r="6" spans="1:131" s="599" customFormat="1" ht="18" customHeight="1" x14ac:dyDescent="0.3">
      <c r="B6" s="6396" t="s">
        <v>2441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6396"/>
      <c r="S6" s="6396"/>
      <c r="T6" s="6396"/>
      <c r="U6" s="6396"/>
      <c r="V6" s="6396"/>
      <c r="W6" s="6396"/>
      <c r="X6" s="6396"/>
      <c r="Y6" s="6396"/>
      <c r="Z6" s="6659"/>
      <c r="AA6" s="920"/>
      <c r="AB6" s="920"/>
      <c r="AC6" s="3199"/>
      <c r="AD6" s="3199"/>
      <c r="AE6" s="3199"/>
      <c r="AF6" s="3199"/>
      <c r="AG6" s="3199"/>
      <c r="AH6" s="3199"/>
      <c r="AI6" s="3199"/>
      <c r="AJ6" s="3199"/>
      <c r="AK6" s="3199"/>
      <c r="AL6" s="3199"/>
      <c r="AM6" s="3199"/>
      <c r="AN6" s="3199"/>
      <c r="AO6" s="3199"/>
      <c r="AP6" s="3199"/>
      <c r="AQ6" s="3199"/>
      <c r="AR6" s="3199"/>
      <c r="AS6" s="3199"/>
      <c r="AT6" s="3199"/>
      <c r="AU6" s="3199"/>
      <c r="AV6" s="3199"/>
      <c r="AW6" s="3199"/>
      <c r="AX6" s="3199"/>
      <c r="AY6" s="3199"/>
      <c r="AZ6" s="3199"/>
      <c r="BA6" s="3199"/>
      <c r="BB6" s="3200"/>
      <c r="BC6" s="3200"/>
      <c r="BD6" s="3200"/>
      <c r="BE6" s="3200"/>
      <c r="BF6" s="3200"/>
      <c r="BG6" s="3200"/>
      <c r="BH6" s="3200"/>
      <c r="BI6" s="3200"/>
      <c r="BJ6" s="3200"/>
      <c r="BK6" s="3200"/>
      <c r="BL6" s="3200"/>
      <c r="BM6" s="3200"/>
      <c r="BN6" s="3200"/>
      <c r="BO6" s="3200"/>
      <c r="BP6" s="3200"/>
      <c r="BQ6" s="3200"/>
      <c r="BR6" s="3200"/>
      <c r="BS6" s="3200"/>
      <c r="BT6" s="3200"/>
      <c r="BU6" s="3199"/>
      <c r="BV6" s="3199"/>
      <c r="BW6" s="3199"/>
      <c r="BX6" s="3199"/>
      <c r="BY6" s="3199"/>
      <c r="BZ6" s="3199"/>
      <c r="CA6" s="3199"/>
      <c r="CB6" s="3201"/>
      <c r="CC6" s="3201"/>
      <c r="CD6" s="3201"/>
      <c r="CE6" s="3201"/>
      <c r="CF6" s="3201"/>
      <c r="CG6" s="3201"/>
      <c r="CH6" s="3201"/>
      <c r="CI6" s="3201"/>
      <c r="CJ6" s="3201"/>
      <c r="CK6" s="3201"/>
      <c r="CL6" s="3201"/>
      <c r="CM6" s="3201"/>
      <c r="CN6" s="3201"/>
      <c r="CO6" s="3201"/>
      <c r="CP6" s="3201"/>
      <c r="CQ6" s="3201"/>
      <c r="CR6" s="3201"/>
      <c r="CS6" s="3201"/>
      <c r="CT6" s="3201"/>
      <c r="CU6" s="3201"/>
      <c r="CV6" s="3201"/>
      <c r="CW6" s="3201"/>
      <c r="CX6" s="3201"/>
      <c r="CY6" s="3201"/>
      <c r="CZ6" s="3201"/>
      <c r="DA6" s="3201"/>
      <c r="DB6" s="3201"/>
      <c r="DC6" s="3201"/>
      <c r="DD6" s="3201"/>
      <c r="DE6" s="3201"/>
      <c r="DF6" s="3201"/>
      <c r="DG6" s="3201"/>
      <c r="DH6" s="3201"/>
      <c r="DI6" s="3201"/>
      <c r="DJ6" s="3201"/>
      <c r="DK6" s="3201"/>
      <c r="DL6" s="3201"/>
      <c r="DM6" s="3201"/>
      <c r="DN6" s="3201"/>
      <c r="DO6" s="3201"/>
      <c r="DP6" s="3201"/>
      <c r="DQ6" s="3201"/>
      <c r="DR6" s="3201"/>
      <c r="DS6" s="3201"/>
      <c r="DT6" s="3201"/>
      <c r="DU6" s="3201"/>
      <c r="DV6" s="3201"/>
      <c r="DW6" s="3201"/>
      <c r="DX6" s="3201"/>
      <c r="DY6" s="3201"/>
      <c r="DZ6" s="3201"/>
      <c r="EA6" s="3201"/>
    </row>
    <row r="8" spans="1:131" ht="18" customHeight="1" x14ac:dyDescent="0.3">
      <c r="B8" s="123" t="s">
        <v>2442</v>
      </c>
      <c r="C8" s="3202"/>
      <c r="D8" s="3202"/>
      <c r="E8" s="3202"/>
      <c r="F8" s="3202"/>
      <c r="G8" s="3202"/>
      <c r="H8" s="3202"/>
      <c r="I8" s="3202"/>
      <c r="J8" s="3202"/>
      <c r="K8" s="3202"/>
      <c r="L8" s="3202"/>
      <c r="M8" s="3202"/>
      <c r="N8" s="3202"/>
      <c r="O8" s="3202"/>
      <c r="P8" s="3202"/>
      <c r="Q8" s="3203"/>
      <c r="R8" s="3204"/>
      <c r="S8" s="920"/>
      <c r="T8" s="920"/>
      <c r="U8" s="920"/>
      <c r="V8" s="920"/>
      <c r="W8" s="920"/>
      <c r="X8" s="920"/>
      <c r="Y8" s="920"/>
      <c r="Z8" s="920"/>
    </row>
    <row r="9" spans="1:131" ht="18" customHeight="1" x14ac:dyDescent="0.3">
      <c r="B9" s="3061" t="s">
        <v>2443</v>
      </c>
      <c r="C9" s="2909"/>
      <c r="D9" s="2909"/>
      <c r="E9" s="2909"/>
      <c r="F9" s="2909"/>
      <c r="G9" s="1681"/>
      <c r="H9" s="2630"/>
      <c r="I9" s="3205"/>
      <c r="J9" s="3206"/>
      <c r="K9" s="2630"/>
      <c r="L9" s="3207"/>
      <c r="M9" s="2630"/>
      <c r="N9" s="3208"/>
      <c r="O9" s="3206"/>
      <c r="P9" s="3206"/>
      <c r="Q9" s="3209"/>
      <c r="R9" s="2630"/>
      <c r="S9" s="3208"/>
      <c r="T9" s="3208"/>
      <c r="U9" s="3208"/>
      <c r="V9" s="3208"/>
      <c r="W9" s="3208"/>
      <c r="X9" s="3208"/>
      <c r="Y9" s="3208"/>
      <c r="Z9" s="3206"/>
    </row>
    <row r="10" spans="1:131" ht="15" customHeight="1" x14ac:dyDescent="0.3">
      <c r="B10" s="6461" t="s">
        <v>2444</v>
      </c>
      <c r="C10" s="6461"/>
      <c r="D10" s="6351" t="s">
        <v>35</v>
      </c>
      <c r="E10" s="6341"/>
      <c r="F10" s="6342"/>
      <c r="G10" s="6326" t="s">
        <v>30</v>
      </c>
      <c r="H10" s="6345"/>
      <c r="I10" s="6345"/>
      <c r="J10" s="6345"/>
      <c r="K10" s="6345"/>
      <c r="L10" s="6345"/>
      <c r="M10" s="6345"/>
      <c r="N10" s="6345"/>
      <c r="O10" s="6345"/>
      <c r="P10" s="6345"/>
      <c r="Q10" s="6345"/>
      <c r="R10" s="6345"/>
      <c r="S10" s="6345"/>
      <c r="T10" s="6345"/>
      <c r="U10" s="6345"/>
      <c r="V10" s="6345"/>
      <c r="W10" s="6345"/>
      <c r="X10" s="6345"/>
      <c r="Y10" s="6345"/>
      <c r="Z10" s="6327"/>
    </row>
    <row r="11" spans="1:131" ht="15" customHeight="1" x14ac:dyDescent="0.3">
      <c r="B11" s="6461"/>
      <c r="C11" s="6461"/>
      <c r="D11" s="6353"/>
      <c r="E11" s="6383"/>
      <c r="F11" s="6325"/>
      <c r="G11" s="6326" t="s">
        <v>2742</v>
      </c>
      <c r="H11" s="6327"/>
      <c r="I11" s="6326" t="s">
        <v>547</v>
      </c>
      <c r="J11" s="6327"/>
      <c r="K11" s="6326" t="s">
        <v>548</v>
      </c>
      <c r="L11" s="6327"/>
      <c r="M11" s="6326" t="s">
        <v>549</v>
      </c>
      <c r="N11" s="6327"/>
      <c r="O11" s="6326" t="s">
        <v>550</v>
      </c>
      <c r="P11" s="6327"/>
      <c r="Q11" s="6326" t="s">
        <v>2392</v>
      </c>
      <c r="R11" s="6327"/>
      <c r="S11" s="6326" t="s">
        <v>552</v>
      </c>
      <c r="T11" s="6327"/>
      <c r="U11" s="6326" t="s">
        <v>2445</v>
      </c>
      <c r="V11" s="6327"/>
      <c r="W11" s="6326" t="s">
        <v>2446</v>
      </c>
      <c r="X11" s="6327"/>
      <c r="Y11" s="6326" t="s">
        <v>2447</v>
      </c>
      <c r="Z11" s="6327"/>
    </row>
    <row r="12" spans="1:131" ht="15" customHeight="1" x14ac:dyDescent="0.3">
      <c r="B12" s="6461"/>
      <c r="C12" s="6461"/>
      <c r="D12" s="3153" t="s">
        <v>26</v>
      </c>
      <c r="E12" s="3160" t="s">
        <v>22</v>
      </c>
      <c r="F12" s="3161" t="s">
        <v>27</v>
      </c>
      <c r="G12" s="1931" t="s">
        <v>22</v>
      </c>
      <c r="H12" s="3161" t="s">
        <v>27</v>
      </c>
      <c r="I12" s="1931" t="s">
        <v>22</v>
      </c>
      <c r="J12" s="3161" t="s">
        <v>27</v>
      </c>
      <c r="K12" s="1931" t="s">
        <v>22</v>
      </c>
      <c r="L12" s="3161" t="s">
        <v>27</v>
      </c>
      <c r="M12" s="1931" t="s">
        <v>22</v>
      </c>
      <c r="N12" s="3161" t="s">
        <v>27</v>
      </c>
      <c r="O12" s="1931" t="s">
        <v>22</v>
      </c>
      <c r="P12" s="3161" t="s">
        <v>27</v>
      </c>
      <c r="Q12" s="1931" t="s">
        <v>22</v>
      </c>
      <c r="R12" s="3161" t="s">
        <v>27</v>
      </c>
      <c r="S12" s="1931" t="s">
        <v>22</v>
      </c>
      <c r="T12" s="3161" t="s">
        <v>27</v>
      </c>
      <c r="U12" s="1931" t="s">
        <v>22</v>
      </c>
      <c r="V12" s="3161" t="s">
        <v>27</v>
      </c>
      <c r="W12" s="1931" t="s">
        <v>22</v>
      </c>
      <c r="X12" s="3161" t="s">
        <v>27</v>
      </c>
      <c r="Y12" s="1931" t="s">
        <v>22</v>
      </c>
      <c r="Z12" s="3161" t="s">
        <v>27</v>
      </c>
    </row>
    <row r="13" spans="1:131" ht="15" customHeight="1" x14ac:dyDescent="0.3">
      <c r="A13" s="6240" t="s">
        <v>4024</v>
      </c>
      <c r="B13" s="6657" t="s">
        <v>2448</v>
      </c>
      <c r="C13" s="6657"/>
      <c r="D13" s="3210" t="s">
        <v>5292</v>
      </c>
      <c r="E13" s="3211" t="s">
        <v>5293</v>
      </c>
      <c r="F13" s="3212" t="s">
        <v>5294</v>
      </c>
      <c r="G13" s="3213" t="s">
        <v>5295</v>
      </c>
      <c r="H13" s="3214" t="s">
        <v>5296</v>
      </c>
      <c r="I13" s="3213" t="s">
        <v>5297</v>
      </c>
      <c r="J13" s="3214" t="s">
        <v>5298</v>
      </c>
      <c r="K13" s="3213" t="s">
        <v>5299</v>
      </c>
      <c r="L13" s="3214" t="s">
        <v>5300</v>
      </c>
      <c r="M13" s="3213" t="s">
        <v>5301</v>
      </c>
      <c r="N13" s="3214" t="s">
        <v>5302</v>
      </c>
      <c r="O13" s="3213" t="s">
        <v>5303</v>
      </c>
      <c r="P13" s="3214" t="s">
        <v>5304</v>
      </c>
      <c r="Q13" s="3213" t="s">
        <v>5305</v>
      </c>
      <c r="R13" s="3214" t="s">
        <v>5306</v>
      </c>
      <c r="S13" s="3213" t="s">
        <v>5307</v>
      </c>
      <c r="T13" s="3214" t="s">
        <v>5308</v>
      </c>
      <c r="U13" s="3213" t="s">
        <v>5309</v>
      </c>
      <c r="V13" s="3214" t="s">
        <v>5310</v>
      </c>
      <c r="W13" s="3213" t="s">
        <v>5311</v>
      </c>
      <c r="X13" s="3214" t="s">
        <v>5312</v>
      </c>
      <c r="Y13" s="3213" t="s">
        <v>5313</v>
      </c>
      <c r="Z13" s="3214" t="s">
        <v>5314</v>
      </c>
    </row>
    <row r="14" spans="1:131" ht="15" customHeight="1" x14ac:dyDescent="0.3">
      <c r="A14" s="6240" t="s">
        <v>4025</v>
      </c>
      <c r="B14" s="6658" t="s">
        <v>2449</v>
      </c>
      <c r="C14" s="3193" t="s">
        <v>2432</v>
      </c>
      <c r="D14" s="3215" t="s">
        <v>5292</v>
      </c>
      <c r="E14" s="182" t="s">
        <v>5293</v>
      </c>
      <c r="F14" s="3216" t="s">
        <v>5294</v>
      </c>
      <c r="G14" s="3127" t="s">
        <v>5295</v>
      </c>
      <c r="H14" s="3134" t="s">
        <v>5296</v>
      </c>
      <c r="I14" s="3127" t="s">
        <v>5297</v>
      </c>
      <c r="J14" s="3134" t="s">
        <v>5298</v>
      </c>
      <c r="K14" s="3127" t="s">
        <v>5299</v>
      </c>
      <c r="L14" s="3134" t="s">
        <v>5300</v>
      </c>
      <c r="M14" s="3127" t="s">
        <v>5301</v>
      </c>
      <c r="N14" s="3134" t="s">
        <v>5302</v>
      </c>
      <c r="O14" s="3127" t="s">
        <v>5303</v>
      </c>
      <c r="P14" s="3134" t="s">
        <v>5304</v>
      </c>
      <c r="Q14" s="3127" t="s">
        <v>5305</v>
      </c>
      <c r="R14" s="3134" t="s">
        <v>5306</v>
      </c>
      <c r="S14" s="3127" t="s">
        <v>5307</v>
      </c>
      <c r="T14" s="3134" t="s">
        <v>5308</v>
      </c>
      <c r="U14" s="3127" t="s">
        <v>5309</v>
      </c>
      <c r="V14" s="3134" t="s">
        <v>5310</v>
      </c>
      <c r="W14" s="3127" t="s">
        <v>5311</v>
      </c>
      <c r="X14" s="3134" t="s">
        <v>5312</v>
      </c>
      <c r="Y14" s="3127" t="s">
        <v>5313</v>
      </c>
      <c r="Z14" s="3134" t="s">
        <v>5314</v>
      </c>
    </row>
    <row r="15" spans="1:131" ht="15" customHeight="1" x14ac:dyDescent="0.3">
      <c r="A15" s="6240" t="s">
        <v>4026</v>
      </c>
      <c r="B15" s="6647"/>
      <c r="C15" s="207" t="s">
        <v>2450</v>
      </c>
      <c r="D15" s="3217" t="s">
        <v>5292</v>
      </c>
      <c r="E15" s="3218" t="s">
        <v>5293</v>
      </c>
      <c r="F15" s="161" t="s">
        <v>5294</v>
      </c>
      <c r="G15" s="3219" t="s">
        <v>5295</v>
      </c>
      <c r="H15" s="3220" t="s">
        <v>5296</v>
      </c>
      <c r="I15" s="3023" t="s">
        <v>5297</v>
      </c>
      <c r="J15" s="117" t="s">
        <v>5298</v>
      </c>
      <c r="K15" s="3023" t="s">
        <v>5299</v>
      </c>
      <c r="L15" s="117" t="s">
        <v>5300</v>
      </c>
      <c r="M15" s="3219" t="s">
        <v>5301</v>
      </c>
      <c r="N15" s="3220" t="s">
        <v>5302</v>
      </c>
      <c r="O15" s="3219" t="s">
        <v>5303</v>
      </c>
      <c r="P15" s="3220" t="s">
        <v>5304</v>
      </c>
      <c r="Q15" s="3219" t="s">
        <v>5305</v>
      </c>
      <c r="R15" s="3220" t="s">
        <v>5306</v>
      </c>
      <c r="S15" s="3219" t="s">
        <v>5307</v>
      </c>
      <c r="T15" s="3220" t="s">
        <v>5308</v>
      </c>
      <c r="U15" s="3219" t="s">
        <v>5309</v>
      </c>
      <c r="V15" s="3221" t="s">
        <v>5310</v>
      </c>
      <c r="W15" s="3219" t="s">
        <v>5311</v>
      </c>
      <c r="X15" s="3221" t="s">
        <v>5312</v>
      </c>
      <c r="Y15" s="3219" t="s">
        <v>5313</v>
      </c>
      <c r="Z15" s="3220" t="s">
        <v>5314</v>
      </c>
    </row>
    <row r="16" spans="1:131" ht="18" customHeight="1" x14ac:dyDescent="0.3">
      <c r="A16" s="599"/>
      <c r="B16" s="3061" t="s">
        <v>2451</v>
      </c>
      <c r="C16" s="2909"/>
      <c r="D16" s="2909"/>
      <c r="E16" s="2909"/>
      <c r="F16" s="2909"/>
      <c r="G16" s="2909"/>
      <c r="H16" s="2909"/>
      <c r="I16" s="2909"/>
      <c r="J16" s="2909"/>
      <c r="K16" s="2909"/>
      <c r="L16" s="2909"/>
      <c r="M16" s="2909"/>
      <c r="N16" s="2909"/>
      <c r="O16" s="2909"/>
      <c r="P16" s="2909"/>
      <c r="Q16" s="1681"/>
      <c r="R16" s="3222"/>
      <c r="S16" s="3223"/>
      <c r="T16" s="3223"/>
    </row>
    <row r="17" spans="1:91" ht="15" customHeight="1" x14ac:dyDescent="0.3">
      <c r="A17" s="599"/>
      <c r="B17" s="6666" t="s">
        <v>58</v>
      </c>
      <c r="C17" s="6666" t="s">
        <v>2452</v>
      </c>
      <c r="D17" s="6667" t="s">
        <v>1924</v>
      </c>
      <c r="E17" s="6341"/>
      <c r="F17" s="6342"/>
      <c r="G17" s="6330" t="s">
        <v>30</v>
      </c>
      <c r="H17" s="6328"/>
      <c r="I17" s="6328"/>
      <c r="J17" s="6328"/>
      <c r="K17" s="6328"/>
      <c r="L17" s="6328"/>
      <c r="M17" s="6328"/>
      <c r="N17" s="6328"/>
      <c r="O17" s="6328"/>
      <c r="P17" s="6328"/>
      <c r="Q17" s="6328"/>
      <c r="R17" s="6328"/>
      <c r="S17" s="6402" t="s">
        <v>2</v>
      </c>
      <c r="T17" s="6342" t="s">
        <v>3</v>
      </c>
    </row>
    <row r="18" spans="1:91" ht="15" customHeight="1" x14ac:dyDescent="0.3">
      <c r="A18" s="599"/>
      <c r="B18" s="6373"/>
      <c r="C18" s="6373"/>
      <c r="D18" s="6353"/>
      <c r="E18" s="6383"/>
      <c r="F18" s="6325"/>
      <c r="G18" s="6326" t="s">
        <v>3763</v>
      </c>
      <c r="H18" s="6462"/>
      <c r="I18" s="6326" t="s">
        <v>2454</v>
      </c>
      <c r="J18" s="6462"/>
      <c r="K18" s="6326" t="s">
        <v>2446</v>
      </c>
      <c r="L18" s="6462"/>
      <c r="M18" s="6326" t="s">
        <v>2455</v>
      </c>
      <c r="N18" s="6462"/>
      <c r="O18" s="6326" t="s">
        <v>2456</v>
      </c>
      <c r="P18" s="6462"/>
      <c r="Q18" s="6326" t="s">
        <v>2457</v>
      </c>
      <c r="R18" s="6665"/>
      <c r="S18" s="6668"/>
      <c r="T18" s="6324"/>
    </row>
    <row r="19" spans="1:91" ht="15" customHeight="1" x14ac:dyDescent="0.3">
      <c r="A19" s="599"/>
      <c r="B19" s="6362"/>
      <c r="C19" s="6362"/>
      <c r="D19" s="3224" t="s">
        <v>26</v>
      </c>
      <c r="E19" s="3225" t="s">
        <v>22</v>
      </c>
      <c r="F19" s="3226" t="s">
        <v>27</v>
      </c>
      <c r="G19" s="3153" t="s">
        <v>22</v>
      </c>
      <c r="H19" s="3226" t="s">
        <v>27</v>
      </c>
      <c r="I19" s="3153" t="s">
        <v>22</v>
      </c>
      <c r="J19" s="3226" t="s">
        <v>27</v>
      </c>
      <c r="K19" s="3153" t="s">
        <v>22</v>
      </c>
      <c r="L19" s="3226" t="s">
        <v>27</v>
      </c>
      <c r="M19" s="3153" t="s">
        <v>22</v>
      </c>
      <c r="N19" s="3226" t="s">
        <v>27</v>
      </c>
      <c r="O19" s="3153" t="s">
        <v>22</v>
      </c>
      <c r="P19" s="3226" t="s">
        <v>27</v>
      </c>
      <c r="Q19" s="3153" t="s">
        <v>22</v>
      </c>
      <c r="R19" s="3227" t="s">
        <v>27</v>
      </c>
      <c r="S19" s="6403"/>
      <c r="T19" s="6325"/>
    </row>
    <row r="20" spans="1:91" ht="15" customHeight="1" x14ac:dyDescent="0.3">
      <c r="A20" s="6234" t="s">
        <v>4027</v>
      </c>
      <c r="B20" s="6654" t="s">
        <v>2458</v>
      </c>
      <c r="C20" s="6655"/>
      <c r="D20" s="3228" t="s">
        <v>5292</v>
      </c>
      <c r="E20" s="3229" t="s">
        <v>5293</v>
      </c>
      <c r="F20" s="3230" t="s">
        <v>5294</v>
      </c>
      <c r="G20" s="3213" t="s">
        <v>5295</v>
      </c>
      <c r="H20" s="3231" t="s">
        <v>5296</v>
      </c>
      <c r="I20" s="3213" t="s">
        <v>5297</v>
      </c>
      <c r="J20" s="3231" t="s">
        <v>5298</v>
      </c>
      <c r="K20" s="3213" t="s">
        <v>5299</v>
      </c>
      <c r="L20" s="3231" t="s">
        <v>5300</v>
      </c>
      <c r="M20" s="3213" t="s">
        <v>5301</v>
      </c>
      <c r="N20" s="3231" t="s">
        <v>5302</v>
      </c>
      <c r="O20" s="3213" t="s">
        <v>5303</v>
      </c>
      <c r="P20" s="3231" t="s">
        <v>5304</v>
      </c>
      <c r="Q20" s="3213" t="s">
        <v>5305</v>
      </c>
      <c r="R20" s="3232" t="s">
        <v>5306</v>
      </c>
      <c r="S20" s="3233" t="s">
        <v>5307</v>
      </c>
      <c r="T20" s="3234" t="s">
        <v>5308</v>
      </c>
      <c r="U20" s="3235" t="str">
        <f>$CB20&amp;CC20</f>
        <v xml:space="preserve">* El Número de Pueblos Originarios no puede superar el Total. * El Número de Migrantes no puede superar el Total. </v>
      </c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3236"/>
      <c r="BA20" s="3236"/>
      <c r="BB20" s="3236"/>
      <c r="BC20" s="3236"/>
      <c r="BD20" s="3236"/>
      <c r="BE20" s="3236"/>
      <c r="BF20" s="3236"/>
      <c r="BG20" s="3236"/>
      <c r="BH20" s="3236"/>
      <c r="BI20" s="3236"/>
      <c r="BJ20" s="3236"/>
      <c r="BK20" s="3236"/>
      <c r="BL20" s="3236"/>
      <c r="BM20" s="3236"/>
      <c r="BN20" s="3236"/>
      <c r="BO20" s="3236"/>
      <c r="BP20" s="3236"/>
      <c r="BQ20" s="3236"/>
      <c r="BR20" s="3236"/>
      <c r="BS20" s="3236"/>
      <c r="BT20" s="3236"/>
      <c r="BU20" s="3236"/>
      <c r="BV20" s="3236"/>
      <c r="BW20" s="3236"/>
      <c r="BX20" s="3236"/>
      <c r="BY20" s="3236"/>
      <c r="BZ20" s="3236"/>
      <c r="CA20" s="3236"/>
      <c r="CB20" s="3237" t="str">
        <f>IF(AND($D20&lt;&gt;0,S20=""),"* No olvide ingresar la columna "&amp;S$17&amp;""&amp;" (Digite CERO si no tiene). ",IF(S20&gt;$D20,"* El Número de Pueblos Originarios no puede superar el Total. ",""))</f>
        <v xml:space="preserve">* El Número de Pueblos Originarios no puede superar el Total. </v>
      </c>
      <c r="CC20" s="3237" t="str">
        <f>IF(AND($D20&lt;&gt;0,T20=""),"* No olvide ingresar la columna "&amp;T$17&amp;""&amp;" (Digite CERO si no tiene). ",IF(T20&gt;$D20,"* El Número de Migrantes no puede superar el Total. ",""))</f>
        <v xml:space="preserve">* El Número de Migrantes no puede superar el Total. </v>
      </c>
      <c r="CD20" s="3236"/>
      <c r="CE20" s="3236"/>
      <c r="CF20" s="3238"/>
      <c r="CG20" s="3238"/>
      <c r="CH20" s="3238"/>
      <c r="CI20" s="3238"/>
      <c r="CJ20" s="3238"/>
      <c r="CK20" s="17"/>
      <c r="CL20" s="1724">
        <f>IF(AND($D20&lt;&gt;0,S20=""),1,IF(S20&gt;$D20,1,0))</f>
        <v>1</v>
      </c>
      <c r="CM20" s="1724">
        <f>IF(AND($D20&lt;&gt;0,T20=""),1,IF(T20&gt;$D20,1,0))</f>
        <v>1</v>
      </c>
    </row>
    <row r="21" spans="1:91" ht="15" customHeight="1" x14ac:dyDescent="0.3">
      <c r="A21" s="6234" t="s">
        <v>4028</v>
      </c>
      <c r="B21" s="6367" t="s">
        <v>2459</v>
      </c>
      <c r="C21" s="3198" t="s">
        <v>2432</v>
      </c>
      <c r="D21" s="3215" t="s">
        <v>5292</v>
      </c>
      <c r="E21" s="213" t="s">
        <v>5293</v>
      </c>
      <c r="F21" s="3216" t="s">
        <v>5294</v>
      </c>
      <c r="G21" s="106" t="s">
        <v>5295</v>
      </c>
      <c r="H21" s="587" t="s">
        <v>5296</v>
      </c>
      <c r="I21" s="106" t="s">
        <v>5297</v>
      </c>
      <c r="J21" s="587" t="s">
        <v>5298</v>
      </c>
      <c r="K21" s="106" t="s">
        <v>5299</v>
      </c>
      <c r="L21" s="587" t="s">
        <v>5300</v>
      </c>
      <c r="M21" s="106" t="s">
        <v>5301</v>
      </c>
      <c r="N21" s="587" t="s">
        <v>5302</v>
      </c>
      <c r="O21" s="113" t="s">
        <v>5303</v>
      </c>
      <c r="P21" s="587" t="s">
        <v>5304</v>
      </c>
      <c r="Q21" s="113" t="s">
        <v>5305</v>
      </c>
      <c r="R21" s="839" t="s">
        <v>5306</v>
      </c>
      <c r="S21" s="768" t="s">
        <v>5307</v>
      </c>
      <c r="T21" s="105" t="s">
        <v>5308</v>
      </c>
      <c r="U21" s="3235" t="str">
        <f t="shared" ref="U21:U41" si="0">$CB21&amp;CC21</f>
        <v xml:space="preserve">* El Número de Pueblos Originarios no puede superar el Total. * El Número de Migrantes no puede superar el Total. </v>
      </c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3236"/>
      <c r="BA21" s="3236"/>
      <c r="BB21" s="3236"/>
      <c r="BC21" s="3236"/>
      <c r="BD21" s="3236"/>
      <c r="BE21" s="3236"/>
      <c r="BF21" s="3236"/>
      <c r="BG21" s="3236"/>
      <c r="BH21" s="3236"/>
      <c r="BI21" s="3236"/>
      <c r="BJ21" s="3236"/>
      <c r="BK21" s="3236"/>
      <c r="BL21" s="3236"/>
      <c r="BM21" s="3236"/>
      <c r="BN21" s="3236"/>
      <c r="BO21" s="3236"/>
      <c r="BP21" s="3236"/>
      <c r="BQ21" s="3236"/>
      <c r="BR21" s="3236"/>
      <c r="BS21" s="3236"/>
      <c r="BT21" s="3236"/>
      <c r="BU21" s="3236"/>
      <c r="BV21" s="3236"/>
      <c r="BW21" s="3236"/>
      <c r="BX21" s="3236"/>
      <c r="BY21" s="3236"/>
      <c r="BZ21" s="3236"/>
      <c r="CA21" s="3236"/>
      <c r="CB21" s="3237" t="str">
        <f t="shared" ref="CB21:CB41" si="1">IF(AND($D21&lt;&gt;0,S21=""),"* No olvide ingresar la columna "&amp;S$17&amp;""&amp;" (Digite CERO si no tiene). ",IF(S21&gt;$D21,"* El Número de Pueblos Originarios no puede superar el Total. ",""))</f>
        <v xml:space="preserve">* El Número de Pueblos Originarios no puede superar el Total. </v>
      </c>
      <c r="CC21" s="3237" t="str">
        <f t="shared" ref="CC21:CC40" si="2">IF(AND($D21&lt;&gt;0,T21=""),"* No olvide ingresar la columna "&amp;T$17&amp;""&amp;" (Digite CERO si no tiene). ",IF(T21&gt;$D21,"* El Número de Migrantes no puede superar el Total. ",""))</f>
        <v xml:space="preserve">* El Número de Migrantes no puede superar el Total. </v>
      </c>
      <c r="CD21" s="3236"/>
      <c r="CE21" s="3236"/>
      <c r="CF21" s="3238"/>
      <c r="CG21" s="3238"/>
      <c r="CH21" s="3238"/>
      <c r="CI21" s="3238"/>
      <c r="CJ21" s="3238"/>
      <c r="CK21" s="17"/>
      <c r="CL21" s="1724">
        <f t="shared" ref="CL21:CM41" si="3">IF(AND($D21&lt;&gt;0,S21=""),1,IF(S21&gt;$D21,1,0))</f>
        <v>1</v>
      </c>
      <c r="CM21" s="1724">
        <f t="shared" si="3"/>
        <v>1</v>
      </c>
    </row>
    <row r="22" spans="1:91" ht="15" customHeight="1" x14ac:dyDescent="0.3">
      <c r="A22" s="6234" t="s">
        <v>4029</v>
      </c>
      <c r="B22" s="6349"/>
      <c r="C22" s="3239" t="s">
        <v>1931</v>
      </c>
      <c r="D22" s="145" t="s">
        <v>5292</v>
      </c>
      <c r="E22" s="945" t="s">
        <v>5293</v>
      </c>
      <c r="F22" s="154" t="s">
        <v>5294</v>
      </c>
      <c r="G22" s="616" t="s">
        <v>5295</v>
      </c>
      <c r="H22" s="626" t="s">
        <v>5296</v>
      </c>
      <c r="I22" s="106" t="s">
        <v>5297</v>
      </c>
      <c r="J22" s="587" t="s">
        <v>5298</v>
      </c>
      <c r="K22" s="616" t="s">
        <v>5299</v>
      </c>
      <c r="L22" s="626" t="s">
        <v>5300</v>
      </c>
      <c r="M22" s="616" t="s">
        <v>5301</v>
      </c>
      <c r="N22" s="626" t="s">
        <v>5302</v>
      </c>
      <c r="O22" s="3240" t="s">
        <v>5303</v>
      </c>
      <c r="P22" s="626" t="s">
        <v>5304</v>
      </c>
      <c r="Q22" s="3240" t="s">
        <v>5305</v>
      </c>
      <c r="R22" s="791" t="s">
        <v>5306</v>
      </c>
      <c r="S22" s="618" t="s">
        <v>5307</v>
      </c>
      <c r="T22" s="3077" t="s">
        <v>5308</v>
      </c>
      <c r="U22" s="3235" t="str">
        <f t="shared" si="0"/>
        <v xml:space="preserve">* El Número de Pueblos Originarios no puede superar el Total. * El Número de Migrantes no puede superar el Total. </v>
      </c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3236"/>
      <c r="BA22" s="3236"/>
      <c r="BB22" s="3236"/>
      <c r="BC22" s="3236"/>
      <c r="BD22" s="3236"/>
      <c r="BE22" s="3236"/>
      <c r="BF22" s="3236"/>
      <c r="BG22" s="3236"/>
      <c r="BH22" s="3236"/>
      <c r="BI22" s="3236"/>
      <c r="BJ22" s="3236"/>
      <c r="BK22" s="3236"/>
      <c r="BL22" s="3236"/>
      <c r="BM22" s="3236"/>
      <c r="BN22" s="3236"/>
      <c r="BO22" s="3236"/>
      <c r="BP22" s="3236"/>
      <c r="BQ22" s="3236"/>
      <c r="BR22" s="3236"/>
      <c r="BS22" s="3236"/>
      <c r="BT22" s="3236"/>
      <c r="BU22" s="3236"/>
      <c r="BV22" s="3236"/>
      <c r="BW22" s="3236"/>
      <c r="BX22" s="3236"/>
      <c r="BY22" s="3236"/>
      <c r="BZ22" s="3236"/>
      <c r="CA22" s="3236"/>
      <c r="CB22" s="3237" t="str">
        <f t="shared" si="1"/>
        <v xml:space="preserve">* El Número de Pueblos Originarios no puede superar el Total. </v>
      </c>
      <c r="CC22" s="3237" t="str">
        <f t="shared" si="2"/>
        <v xml:space="preserve">* El Número de Migrantes no puede superar el Total. </v>
      </c>
      <c r="CD22" s="3236"/>
      <c r="CE22" s="3236"/>
      <c r="CF22" s="3238"/>
      <c r="CG22" s="3238"/>
      <c r="CH22" s="3238"/>
      <c r="CI22" s="3238"/>
      <c r="CJ22" s="3238"/>
      <c r="CK22" s="17"/>
      <c r="CL22" s="1724">
        <f t="shared" si="3"/>
        <v>1</v>
      </c>
      <c r="CM22" s="1724">
        <f t="shared" si="3"/>
        <v>1</v>
      </c>
    </row>
    <row r="23" spans="1:91" ht="15" customHeight="1" x14ac:dyDescent="0.3">
      <c r="A23" s="6234" t="s">
        <v>4030</v>
      </c>
      <c r="B23" s="6349"/>
      <c r="C23" s="203" t="s">
        <v>1932</v>
      </c>
      <c r="D23" s="635" t="s">
        <v>5292</v>
      </c>
      <c r="E23" s="3241" t="s">
        <v>5293</v>
      </c>
      <c r="F23" s="3242" t="s">
        <v>5294</v>
      </c>
      <c r="G23" s="616" t="s">
        <v>5295</v>
      </c>
      <c r="H23" s="626" t="s">
        <v>5296</v>
      </c>
      <c r="I23" s="106" t="s">
        <v>5297</v>
      </c>
      <c r="J23" s="587" t="s">
        <v>5298</v>
      </c>
      <c r="K23" s="616" t="s">
        <v>5299</v>
      </c>
      <c r="L23" s="626" t="s">
        <v>5300</v>
      </c>
      <c r="M23" s="616" t="s">
        <v>5301</v>
      </c>
      <c r="N23" s="626" t="s">
        <v>5302</v>
      </c>
      <c r="O23" s="3240" t="s">
        <v>5303</v>
      </c>
      <c r="P23" s="626" t="s">
        <v>5304</v>
      </c>
      <c r="Q23" s="3240" t="s">
        <v>5305</v>
      </c>
      <c r="R23" s="791" t="s">
        <v>5306</v>
      </c>
      <c r="S23" s="618" t="s">
        <v>5307</v>
      </c>
      <c r="T23" s="3077" t="s">
        <v>5308</v>
      </c>
      <c r="U23" s="3235" t="str">
        <f t="shared" si="0"/>
        <v xml:space="preserve">* El Número de Pueblos Originarios no puede superar el Total. * El Número de Migrantes no puede superar el Total. </v>
      </c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3236"/>
      <c r="BA23" s="3236"/>
      <c r="BB23" s="3236"/>
      <c r="BC23" s="3236"/>
      <c r="BD23" s="3236"/>
      <c r="BE23" s="3236"/>
      <c r="BF23" s="3236"/>
      <c r="BG23" s="3236"/>
      <c r="BH23" s="3236"/>
      <c r="BI23" s="3236"/>
      <c r="BJ23" s="3236"/>
      <c r="BK23" s="3236"/>
      <c r="BL23" s="3236"/>
      <c r="BM23" s="3236"/>
      <c r="BN23" s="3236"/>
      <c r="BO23" s="3236"/>
      <c r="BP23" s="3236"/>
      <c r="BQ23" s="3236"/>
      <c r="BR23" s="3236"/>
      <c r="BS23" s="3236"/>
      <c r="BT23" s="3236"/>
      <c r="BU23" s="3236"/>
      <c r="BV23" s="3236"/>
      <c r="BW23" s="3236"/>
      <c r="BX23" s="3236"/>
      <c r="BY23" s="3236"/>
      <c r="BZ23" s="3236"/>
      <c r="CA23" s="3236"/>
      <c r="CB23" s="3237" t="str">
        <f t="shared" si="1"/>
        <v xml:space="preserve">* El Número de Pueblos Originarios no puede superar el Total. </v>
      </c>
      <c r="CC23" s="3237" t="str">
        <f t="shared" si="2"/>
        <v xml:space="preserve">* El Número de Migrantes no puede superar el Total. </v>
      </c>
      <c r="CD23" s="3236"/>
      <c r="CE23" s="3236"/>
      <c r="CF23" s="3238"/>
      <c r="CG23" s="3238"/>
      <c r="CH23" s="3238"/>
      <c r="CI23" s="3238"/>
      <c r="CJ23" s="3238"/>
      <c r="CK23" s="17"/>
      <c r="CL23" s="1724">
        <f t="shared" si="3"/>
        <v>1</v>
      </c>
      <c r="CM23" s="1724">
        <f t="shared" si="3"/>
        <v>1</v>
      </c>
    </row>
    <row r="24" spans="1:91" ht="15" customHeight="1" x14ac:dyDescent="0.3">
      <c r="A24" s="6234" t="s">
        <v>4031</v>
      </c>
      <c r="B24" s="6350"/>
      <c r="C24" s="207" t="s">
        <v>1933</v>
      </c>
      <c r="D24" s="3217" t="s">
        <v>5292</v>
      </c>
      <c r="E24" s="3243" t="s">
        <v>5293</v>
      </c>
      <c r="F24" s="161" t="s">
        <v>5294</v>
      </c>
      <c r="G24" s="3023" t="s">
        <v>5295</v>
      </c>
      <c r="H24" s="3035" t="s">
        <v>5296</v>
      </c>
      <c r="I24" s="3023" t="s">
        <v>5297</v>
      </c>
      <c r="J24" s="3035" t="s">
        <v>5298</v>
      </c>
      <c r="K24" s="3023" t="s">
        <v>5299</v>
      </c>
      <c r="L24" s="3035" t="s">
        <v>5300</v>
      </c>
      <c r="M24" s="3023" t="s">
        <v>5301</v>
      </c>
      <c r="N24" s="3035" t="s">
        <v>5302</v>
      </c>
      <c r="O24" s="118" t="s">
        <v>5303</v>
      </c>
      <c r="P24" s="3035" t="s">
        <v>5304</v>
      </c>
      <c r="Q24" s="118" t="s">
        <v>5305</v>
      </c>
      <c r="R24" s="3244" t="s">
        <v>5306</v>
      </c>
      <c r="S24" s="3155" t="s">
        <v>5307</v>
      </c>
      <c r="T24" s="117" t="s">
        <v>5308</v>
      </c>
      <c r="U24" s="3235" t="str">
        <f t="shared" si="0"/>
        <v xml:space="preserve">* El Número de Pueblos Originarios no puede superar el Total. * El Número de Migrantes no puede superar el Total. </v>
      </c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3236"/>
      <c r="BA24" s="3236"/>
      <c r="BB24" s="3236"/>
      <c r="BC24" s="3236"/>
      <c r="BD24" s="3236"/>
      <c r="BE24" s="3236"/>
      <c r="BF24" s="3236"/>
      <c r="BG24" s="3236"/>
      <c r="BH24" s="3236"/>
      <c r="BI24" s="3236"/>
      <c r="BJ24" s="3236"/>
      <c r="BK24" s="3236"/>
      <c r="BL24" s="3236"/>
      <c r="BM24" s="3236"/>
      <c r="BN24" s="3236"/>
      <c r="BO24" s="3236"/>
      <c r="BP24" s="3236"/>
      <c r="BQ24" s="3236"/>
      <c r="BR24" s="3236"/>
      <c r="BS24" s="3236"/>
      <c r="BT24" s="3236"/>
      <c r="BU24" s="3236"/>
      <c r="BV24" s="3236"/>
      <c r="BW24" s="3236"/>
      <c r="BX24" s="3236"/>
      <c r="BY24" s="3236"/>
      <c r="BZ24" s="3236"/>
      <c r="CA24" s="3236"/>
      <c r="CB24" s="3237" t="str">
        <f t="shared" si="1"/>
        <v xml:space="preserve">* El Número de Pueblos Originarios no puede superar el Total. </v>
      </c>
      <c r="CC24" s="3237" t="str">
        <f t="shared" si="2"/>
        <v xml:space="preserve">* El Número de Migrantes no puede superar el Total. </v>
      </c>
      <c r="CD24" s="3236"/>
      <c r="CE24" s="3236"/>
      <c r="CF24" s="3238"/>
      <c r="CG24" s="3238"/>
      <c r="CH24" s="3238"/>
      <c r="CI24" s="3238"/>
      <c r="CJ24" s="3238"/>
      <c r="CK24" s="17"/>
      <c r="CL24" s="1724">
        <f t="shared" si="3"/>
        <v>1</v>
      </c>
      <c r="CM24" s="1724">
        <f t="shared" si="3"/>
        <v>1</v>
      </c>
    </row>
    <row r="25" spans="1:91" x14ac:dyDescent="0.3">
      <c r="A25" s="6234" t="s">
        <v>4032</v>
      </c>
      <c r="B25" s="6367" t="s">
        <v>2460</v>
      </c>
      <c r="C25" s="3198" t="s">
        <v>2461</v>
      </c>
      <c r="D25" s="3215" t="s">
        <v>5292</v>
      </c>
      <c r="E25" s="213" t="s">
        <v>5293</v>
      </c>
      <c r="F25" s="3216" t="s">
        <v>5294</v>
      </c>
      <c r="G25" s="3127" t="s">
        <v>5295</v>
      </c>
      <c r="H25" s="3128" t="s">
        <v>5296</v>
      </c>
      <c r="I25" s="3127" t="s">
        <v>5297</v>
      </c>
      <c r="J25" s="3128" t="s">
        <v>5298</v>
      </c>
      <c r="K25" s="3127" t="s">
        <v>5299</v>
      </c>
      <c r="L25" s="3128" t="s">
        <v>5300</v>
      </c>
      <c r="M25" s="3127" t="s">
        <v>5301</v>
      </c>
      <c r="N25" s="3128" t="s">
        <v>5302</v>
      </c>
      <c r="O25" s="3245" t="s">
        <v>5303</v>
      </c>
      <c r="P25" s="3128" t="s">
        <v>5304</v>
      </c>
      <c r="Q25" s="3245" t="s">
        <v>5305</v>
      </c>
      <c r="R25" s="3246" t="s">
        <v>5306</v>
      </c>
      <c r="S25" s="3247" t="s">
        <v>5307</v>
      </c>
      <c r="T25" s="3134" t="s">
        <v>5308</v>
      </c>
      <c r="U25" s="3235" t="str">
        <f t="shared" si="0"/>
        <v xml:space="preserve">* El Número de Pueblos Originarios no puede superar el Total. * El Número de Migrantes no puede superar el Total. </v>
      </c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3236"/>
      <c r="BA25" s="3236"/>
      <c r="BB25" s="3236"/>
      <c r="BC25" s="3236"/>
      <c r="BD25" s="3236"/>
      <c r="BE25" s="3236"/>
      <c r="BF25" s="3236"/>
      <c r="BG25" s="3236"/>
      <c r="BH25" s="3236"/>
      <c r="BI25" s="3236"/>
      <c r="BJ25" s="3236"/>
      <c r="BK25" s="3236"/>
      <c r="BL25" s="3236"/>
      <c r="BM25" s="3236"/>
      <c r="BN25" s="3236"/>
      <c r="BO25" s="3236"/>
      <c r="BP25" s="3236"/>
      <c r="BQ25" s="3236"/>
      <c r="BR25" s="3236"/>
      <c r="BS25" s="3236"/>
      <c r="BT25" s="3236"/>
      <c r="BU25" s="3236"/>
      <c r="BV25" s="3236"/>
      <c r="BW25" s="3236"/>
      <c r="BX25" s="3236"/>
      <c r="BY25" s="3236"/>
      <c r="BZ25" s="3236"/>
      <c r="CA25" s="3236"/>
      <c r="CB25" s="3237" t="str">
        <f t="shared" si="1"/>
        <v xml:space="preserve">* El Número de Pueblos Originarios no puede superar el Total. </v>
      </c>
      <c r="CC25" s="3237" t="str">
        <f t="shared" si="2"/>
        <v xml:space="preserve">* El Número de Migrantes no puede superar el Total. </v>
      </c>
      <c r="CD25" s="3236"/>
      <c r="CE25" s="3236"/>
      <c r="CF25" s="3238"/>
      <c r="CG25" s="3238"/>
      <c r="CH25" s="3238"/>
      <c r="CI25" s="3238"/>
      <c r="CJ25" s="3238"/>
      <c r="CK25" s="17"/>
      <c r="CL25" s="1724">
        <f t="shared" si="3"/>
        <v>1</v>
      </c>
      <c r="CM25" s="1724">
        <f t="shared" si="3"/>
        <v>1</v>
      </c>
    </row>
    <row r="26" spans="1:91" ht="15" customHeight="1" x14ac:dyDescent="0.3">
      <c r="A26" s="6234" t="s">
        <v>4033</v>
      </c>
      <c r="B26" s="6349"/>
      <c r="C26" s="2998" t="s">
        <v>2462</v>
      </c>
      <c r="D26" s="145" t="s">
        <v>5292</v>
      </c>
      <c r="E26" s="945" t="s">
        <v>5293</v>
      </c>
      <c r="F26" s="154" t="s">
        <v>5294</v>
      </c>
      <c r="G26" s="106" t="s">
        <v>5295</v>
      </c>
      <c r="H26" s="587" t="s">
        <v>5296</v>
      </c>
      <c r="I26" s="106" t="s">
        <v>5297</v>
      </c>
      <c r="J26" s="587" t="s">
        <v>5298</v>
      </c>
      <c r="K26" s="106" t="s">
        <v>5299</v>
      </c>
      <c r="L26" s="587" t="s">
        <v>5300</v>
      </c>
      <c r="M26" s="106" t="s">
        <v>5301</v>
      </c>
      <c r="N26" s="587" t="s">
        <v>5302</v>
      </c>
      <c r="O26" s="113" t="s">
        <v>5303</v>
      </c>
      <c r="P26" s="587" t="s">
        <v>5304</v>
      </c>
      <c r="Q26" s="113" t="s">
        <v>5305</v>
      </c>
      <c r="R26" s="839" t="s">
        <v>5306</v>
      </c>
      <c r="S26" s="768" t="s">
        <v>5307</v>
      </c>
      <c r="T26" s="105" t="s">
        <v>5308</v>
      </c>
      <c r="U26" s="3235" t="str">
        <f t="shared" si="0"/>
        <v xml:space="preserve">* El Número de Pueblos Originarios no puede superar el Total. * El Número de Migrantes no puede superar el Total. </v>
      </c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3236"/>
      <c r="BA26" s="3236"/>
      <c r="BB26" s="3236"/>
      <c r="BC26" s="3236"/>
      <c r="BD26" s="3236"/>
      <c r="BE26" s="3236"/>
      <c r="BF26" s="3236"/>
      <c r="BG26" s="3236"/>
      <c r="BH26" s="3236"/>
      <c r="BI26" s="3236"/>
      <c r="BJ26" s="3236"/>
      <c r="BK26" s="3236"/>
      <c r="BL26" s="3236"/>
      <c r="BM26" s="3236"/>
      <c r="BN26" s="3236"/>
      <c r="BO26" s="3236"/>
      <c r="BP26" s="3236"/>
      <c r="BQ26" s="3236"/>
      <c r="BR26" s="3236"/>
      <c r="BS26" s="3236"/>
      <c r="BT26" s="3236"/>
      <c r="BU26" s="3236"/>
      <c r="BV26" s="3236"/>
      <c r="BW26" s="3236"/>
      <c r="BX26" s="3236"/>
      <c r="BY26" s="3236"/>
      <c r="BZ26" s="3236"/>
      <c r="CA26" s="3236"/>
      <c r="CB26" s="3237" t="str">
        <f t="shared" si="1"/>
        <v xml:space="preserve">* El Número de Pueblos Originarios no puede superar el Total. </v>
      </c>
      <c r="CC26" s="3237" t="str">
        <f t="shared" si="2"/>
        <v xml:space="preserve">* El Número de Migrantes no puede superar el Total. </v>
      </c>
      <c r="CD26" s="3236"/>
      <c r="CE26" s="3236"/>
      <c r="CF26" s="3238"/>
      <c r="CG26" s="3238"/>
      <c r="CH26" s="3238"/>
      <c r="CI26" s="3238"/>
      <c r="CJ26" s="3238"/>
      <c r="CK26" s="17"/>
      <c r="CL26" s="1724">
        <f t="shared" si="3"/>
        <v>1</v>
      </c>
      <c r="CM26" s="1724">
        <f t="shared" si="3"/>
        <v>1</v>
      </c>
    </row>
    <row r="27" spans="1:91" ht="15" customHeight="1" x14ac:dyDescent="0.3">
      <c r="A27" s="6234" t="s">
        <v>4034</v>
      </c>
      <c r="B27" s="6349"/>
      <c r="C27" s="2998" t="s">
        <v>2463</v>
      </c>
      <c r="D27" s="145" t="s">
        <v>5292</v>
      </c>
      <c r="E27" s="945" t="s">
        <v>5293</v>
      </c>
      <c r="F27" s="154" t="s">
        <v>5294</v>
      </c>
      <c r="G27" s="106" t="s">
        <v>5295</v>
      </c>
      <c r="H27" s="587" t="s">
        <v>5296</v>
      </c>
      <c r="I27" s="106" t="s">
        <v>5297</v>
      </c>
      <c r="J27" s="587" t="s">
        <v>5298</v>
      </c>
      <c r="K27" s="106" t="s">
        <v>5299</v>
      </c>
      <c r="L27" s="587" t="s">
        <v>5300</v>
      </c>
      <c r="M27" s="106" t="s">
        <v>5301</v>
      </c>
      <c r="N27" s="587" t="s">
        <v>5302</v>
      </c>
      <c r="O27" s="113" t="s">
        <v>5303</v>
      </c>
      <c r="P27" s="587" t="s">
        <v>5304</v>
      </c>
      <c r="Q27" s="113" t="s">
        <v>5305</v>
      </c>
      <c r="R27" s="839" t="s">
        <v>5306</v>
      </c>
      <c r="S27" s="768" t="s">
        <v>5307</v>
      </c>
      <c r="T27" s="105" t="s">
        <v>5308</v>
      </c>
      <c r="U27" s="3235" t="str">
        <f t="shared" si="0"/>
        <v xml:space="preserve">* El Número de Pueblos Originarios no puede superar el Total. * El Número de Migrantes no puede superar el Total. </v>
      </c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3236"/>
      <c r="BA27" s="3236"/>
      <c r="BB27" s="3236"/>
      <c r="BC27" s="3236"/>
      <c r="BD27" s="3236"/>
      <c r="BE27" s="3236"/>
      <c r="BF27" s="3236"/>
      <c r="BG27" s="3236"/>
      <c r="BH27" s="3236"/>
      <c r="BI27" s="3236"/>
      <c r="BJ27" s="3236"/>
      <c r="BK27" s="3236"/>
      <c r="BL27" s="3236"/>
      <c r="BM27" s="3236"/>
      <c r="BN27" s="3236"/>
      <c r="BO27" s="3236"/>
      <c r="BP27" s="3236"/>
      <c r="BQ27" s="3236"/>
      <c r="BR27" s="3236"/>
      <c r="BS27" s="3236"/>
      <c r="BT27" s="3236"/>
      <c r="BU27" s="3236"/>
      <c r="BV27" s="3236"/>
      <c r="BW27" s="3236"/>
      <c r="BX27" s="3236"/>
      <c r="BY27" s="3236"/>
      <c r="BZ27" s="3236"/>
      <c r="CA27" s="3236"/>
      <c r="CB27" s="3237" t="str">
        <f t="shared" si="1"/>
        <v xml:space="preserve">* El Número de Pueblos Originarios no puede superar el Total. </v>
      </c>
      <c r="CC27" s="3237" t="str">
        <f t="shared" si="2"/>
        <v xml:space="preserve">* El Número de Migrantes no puede superar el Total. </v>
      </c>
      <c r="CD27" s="3236"/>
      <c r="CE27" s="3236"/>
      <c r="CF27" s="3238"/>
      <c r="CG27" s="3238"/>
      <c r="CH27" s="3238"/>
      <c r="CI27" s="3238"/>
      <c r="CJ27" s="3238"/>
      <c r="CK27" s="17"/>
      <c r="CL27" s="1724">
        <f t="shared" si="3"/>
        <v>1</v>
      </c>
      <c r="CM27" s="1724">
        <f t="shared" si="3"/>
        <v>1</v>
      </c>
    </row>
    <row r="28" spans="1:91" ht="15" customHeight="1" x14ac:dyDescent="0.3">
      <c r="A28" s="6234" t="s">
        <v>4035</v>
      </c>
      <c r="B28" s="6349"/>
      <c r="C28" s="2997" t="s">
        <v>2464</v>
      </c>
      <c r="D28" s="3248" t="s">
        <v>5292</v>
      </c>
      <c r="E28" s="3249" t="s">
        <v>5293</v>
      </c>
      <c r="F28" s="3250" t="s">
        <v>5294</v>
      </c>
      <c r="G28" s="106" t="s">
        <v>5295</v>
      </c>
      <c r="H28" s="587" t="s">
        <v>5296</v>
      </c>
      <c r="I28" s="106" t="s">
        <v>5297</v>
      </c>
      <c r="J28" s="587" t="s">
        <v>5298</v>
      </c>
      <c r="K28" s="106" t="s">
        <v>5299</v>
      </c>
      <c r="L28" s="587" t="s">
        <v>5300</v>
      </c>
      <c r="M28" s="106" t="s">
        <v>5301</v>
      </c>
      <c r="N28" s="587" t="s">
        <v>5302</v>
      </c>
      <c r="O28" s="113" t="s">
        <v>5303</v>
      </c>
      <c r="P28" s="587" t="s">
        <v>5304</v>
      </c>
      <c r="Q28" s="113" t="s">
        <v>5305</v>
      </c>
      <c r="R28" s="839" t="s">
        <v>5306</v>
      </c>
      <c r="S28" s="768" t="s">
        <v>5307</v>
      </c>
      <c r="T28" s="105" t="s">
        <v>5308</v>
      </c>
      <c r="U28" s="3235" t="str">
        <f t="shared" si="0"/>
        <v xml:space="preserve">* El Número de Pueblos Originarios no puede superar el Total. * El Número de Migrantes no puede superar el Total. </v>
      </c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3236"/>
      <c r="BA28" s="3236"/>
      <c r="BB28" s="3236"/>
      <c r="BC28" s="3236"/>
      <c r="BD28" s="3236"/>
      <c r="BE28" s="3236"/>
      <c r="BF28" s="3236"/>
      <c r="BG28" s="3236"/>
      <c r="BH28" s="3236"/>
      <c r="BI28" s="3236"/>
      <c r="BJ28" s="3236"/>
      <c r="BK28" s="3236"/>
      <c r="BL28" s="3236"/>
      <c r="BM28" s="3236"/>
      <c r="BN28" s="3236"/>
      <c r="BO28" s="3236"/>
      <c r="BP28" s="3236"/>
      <c r="BQ28" s="3236"/>
      <c r="BR28" s="3236"/>
      <c r="BS28" s="3236"/>
      <c r="BT28" s="3236"/>
      <c r="BU28" s="3236"/>
      <c r="BV28" s="3236"/>
      <c r="BW28" s="3236"/>
      <c r="BX28" s="3236"/>
      <c r="BY28" s="3236"/>
      <c r="BZ28" s="3236"/>
      <c r="CA28" s="3236"/>
      <c r="CB28" s="3237" t="str">
        <f t="shared" si="1"/>
        <v xml:space="preserve">* El Número de Pueblos Originarios no puede superar el Total. </v>
      </c>
      <c r="CC28" s="3237" t="str">
        <f t="shared" si="2"/>
        <v xml:space="preserve">* El Número de Migrantes no puede superar el Total. </v>
      </c>
      <c r="CD28" s="3236"/>
      <c r="CE28" s="3236"/>
      <c r="CF28" s="3238"/>
      <c r="CG28" s="3238"/>
      <c r="CH28" s="3238"/>
      <c r="CI28" s="3238"/>
      <c r="CJ28" s="3238"/>
      <c r="CK28" s="17"/>
      <c r="CL28" s="1724">
        <f t="shared" si="3"/>
        <v>1</v>
      </c>
      <c r="CM28" s="1724">
        <f t="shared" si="3"/>
        <v>1</v>
      </c>
    </row>
    <row r="29" spans="1:91" x14ac:dyDescent="0.3">
      <c r="A29" s="6234" t="s">
        <v>4036</v>
      </c>
      <c r="B29" s="6349"/>
      <c r="C29" s="2997" t="s">
        <v>2465</v>
      </c>
      <c r="D29" s="3248" t="s">
        <v>5292</v>
      </c>
      <c r="E29" s="3249" t="s">
        <v>5293</v>
      </c>
      <c r="F29" s="3250" t="s">
        <v>5294</v>
      </c>
      <c r="G29" s="106" t="s">
        <v>5295</v>
      </c>
      <c r="H29" s="587" t="s">
        <v>5296</v>
      </c>
      <c r="I29" s="106" t="s">
        <v>5297</v>
      </c>
      <c r="J29" s="587" t="s">
        <v>5298</v>
      </c>
      <c r="K29" s="106" t="s">
        <v>5299</v>
      </c>
      <c r="L29" s="587" t="s">
        <v>5300</v>
      </c>
      <c r="M29" s="106" t="s">
        <v>5301</v>
      </c>
      <c r="N29" s="587" t="s">
        <v>5302</v>
      </c>
      <c r="O29" s="113" t="s">
        <v>5303</v>
      </c>
      <c r="P29" s="587" t="s">
        <v>5304</v>
      </c>
      <c r="Q29" s="113" t="s">
        <v>5305</v>
      </c>
      <c r="R29" s="839" t="s">
        <v>5306</v>
      </c>
      <c r="S29" s="768" t="s">
        <v>5307</v>
      </c>
      <c r="T29" s="105" t="s">
        <v>5308</v>
      </c>
      <c r="U29" s="3235" t="str">
        <f t="shared" si="0"/>
        <v xml:space="preserve">* El Número de Pueblos Originarios no puede superar el Total. * El Número de Migrantes no puede superar el Total. </v>
      </c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3236"/>
      <c r="BA29" s="3236"/>
      <c r="BB29" s="3236"/>
      <c r="BC29" s="3236"/>
      <c r="BD29" s="3236"/>
      <c r="BE29" s="3236"/>
      <c r="BF29" s="3236"/>
      <c r="BG29" s="3236"/>
      <c r="BH29" s="3236"/>
      <c r="BI29" s="3236"/>
      <c r="BJ29" s="3236"/>
      <c r="BK29" s="3236"/>
      <c r="BL29" s="3236"/>
      <c r="BM29" s="3236"/>
      <c r="BN29" s="3236"/>
      <c r="BO29" s="3236"/>
      <c r="BP29" s="3236"/>
      <c r="BQ29" s="3236"/>
      <c r="BR29" s="3236"/>
      <c r="BS29" s="3236"/>
      <c r="BT29" s="3236"/>
      <c r="BU29" s="3236"/>
      <c r="BV29" s="3236"/>
      <c r="BW29" s="3236"/>
      <c r="BX29" s="3236"/>
      <c r="BY29" s="3236"/>
      <c r="BZ29" s="3236"/>
      <c r="CA29" s="3236"/>
      <c r="CB29" s="3237" t="str">
        <f t="shared" si="1"/>
        <v xml:space="preserve">* El Número de Pueblos Originarios no puede superar el Total. </v>
      </c>
      <c r="CC29" s="3237" t="str">
        <f t="shared" si="2"/>
        <v xml:space="preserve">* El Número de Migrantes no puede superar el Total. </v>
      </c>
      <c r="CD29" s="3236"/>
      <c r="CE29" s="3236"/>
      <c r="CF29" s="3238"/>
      <c r="CG29" s="3238"/>
      <c r="CH29" s="3238"/>
      <c r="CI29" s="3238"/>
      <c r="CJ29" s="3238"/>
      <c r="CK29" s="17"/>
      <c r="CL29" s="1724">
        <f t="shared" si="3"/>
        <v>1</v>
      </c>
      <c r="CM29" s="1724">
        <f t="shared" si="3"/>
        <v>1</v>
      </c>
    </row>
    <row r="30" spans="1:91" ht="15" customHeight="1" x14ac:dyDescent="0.3">
      <c r="A30" s="6234" t="s">
        <v>4037</v>
      </c>
      <c r="B30" s="6349"/>
      <c r="C30" s="2997" t="s">
        <v>2466</v>
      </c>
      <c r="D30" s="3248" t="s">
        <v>5292</v>
      </c>
      <c r="E30" s="3249" t="s">
        <v>5293</v>
      </c>
      <c r="F30" s="3250" t="s">
        <v>5294</v>
      </c>
      <c r="G30" s="106" t="s">
        <v>5295</v>
      </c>
      <c r="H30" s="587" t="s">
        <v>5296</v>
      </c>
      <c r="I30" s="106" t="s">
        <v>5297</v>
      </c>
      <c r="J30" s="587" t="s">
        <v>5298</v>
      </c>
      <c r="K30" s="106" t="s">
        <v>5299</v>
      </c>
      <c r="L30" s="587" t="s">
        <v>5300</v>
      </c>
      <c r="M30" s="106" t="s">
        <v>5301</v>
      </c>
      <c r="N30" s="587" t="s">
        <v>5302</v>
      </c>
      <c r="O30" s="113" t="s">
        <v>5303</v>
      </c>
      <c r="P30" s="587" t="s">
        <v>5304</v>
      </c>
      <c r="Q30" s="113" t="s">
        <v>5305</v>
      </c>
      <c r="R30" s="839" t="s">
        <v>5306</v>
      </c>
      <c r="S30" s="768" t="s">
        <v>5307</v>
      </c>
      <c r="T30" s="105" t="s">
        <v>5308</v>
      </c>
      <c r="U30" s="3235" t="str">
        <f t="shared" si="0"/>
        <v xml:space="preserve">* El Número de Pueblos Originarios no puede superar el Total. * El Número de Migrantes no puede superar el Total. </v>
      </c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3236"/>
      <c r="BA30" s="3236"/>
      <c r="BB30" s="3236"/>
      <c r="BC30" s="3236"/>
      <c r="BD30" s="3236"/>
      <c r="BE30" s="3236"/>
      <c r="BF30" s="3236"/>
      <c r="BG30" s="3236"/>
      <c r="BH30" s="3236"/>
      <c r="BI30" s="3236"/>
      <c r="BJ30" s="3236"/>
      <c r="BK30" s="3236"/>
      <c r="BL30" s="3236"/>
      <c r="BM30" s="3236"/>
      <c r="BN30" s="3236"/>
      <c r="BO30" s="3236"/>
      <c r="BP30" s="3236"/>
      <c r="BQ30" s="3236"/>
      <c r="BR30" s="3236"/>
      <c r="BS30" s="3236"/>
      <c r="BT30" s="3236"/>
      <c r="BU30" s="3236"/>
      <c r="BV30" s="3236"/>
      <c r="BW30" s="3236"/>
      <c r="BX30" s="3236"/>
      <c r="BY30" s="3236"/>
      <c r="BZ30" s="3236"/>
      <c r="CA30" s="3236"/>
      <c r="CB30" s="3237" t="str">
        <f t="shared" si="1"/>
        <v xml:space="preserve">* El Número de Pueblos Originarios no puede superar el Total. </v>
      </c>
      <c r="CC30" s="3237" t="str">
        <f t="shared" si="2"/>
        <v xml:space="preserve">* El Número de Migrantes no puede superar el Total. </v>
      </c>
      <c r="CD30" s="3236"/>
      <c r="CE30" s="3236"/>
      <c r="CF30" s="3238"/>
      <c r="CG30" s="3238"/>
      <c r="CH30" s="3238"/>
      <c r="CI30" s="3238"/>
      <c r="CJ30" s="3238"/>
      <c r="CK30" s="17"/>
      <c r="CL30" s="1724">
        <f t="shared" si="3"/>
        <v>1</v>
      </c>
      <c r="CM30" s="1724">
        <f t="shared" si="3"/>
        <v>1</v>
      </c>
    </row>
    <row r="31" spans="1:91" ht="24.75" customHeight="1" x14ac:dyDescent="0.3">
      <c r="A31" s="6234" t="s">
        <v>4038</v>
      </c>
      <c r="B31" s="6349"/>
      <c r="C31" s="2997" t="s">
        <v>2467</v>
      </c>
      <c r="D31" s="3248" t="s">
        <v>5292</v>
      </c>
      <c r="E31" s="945" t="s">
        <v>5293</v>
      </c>
      <c r="F31" s="154" t="s">
        <v>5294</v>
      </c>
      <c r="G31" s="106" t="s">
        <v>5295</v>
      </c>
      <c r="H31" s="587" t="s">
        <v>5296</v>
      </c>
      <c r="I31" s="106" t="s">
        <v>5297</v>
      </c>
      <c r="J31" s="587" t="s">
        <v>5298</v>
      </c>
      <c r="K31" s="106" t="s">
        <v>5299</v>
      </c>
      <c r="L31" s="587" t="s">
        <v>5300</v>
      </c>
      <c r="M31" s="106" t="s">
        <v>5301</v>
      </c>
      <c r="N31" s="587" t="s">
        <v>5302</v>
      </c>
      <c r="O31" s="113" t="s">
        <v>5303</v>
      </c>
      <c r="P31" s="587" t="s">
        <v>5304</v>
      </c>
      <c r="Q31" s="113" t="s">
        <v>5305</v>
      </c>
      <c r="R31" s="839" t="s">
        <v>5306</v>
      </c>
      <c r="S31" s="768" t="s">
        <v>5307</v>
      </c>
      <c r="T31" s="105" t="s">
        <v>5308</v>
      </c>
      <c r="U31" s="3235" t="str">
        <f t="shared" si="0"/>
        <v xml:space="preserve">* El Número de Pueblos Originarios no puede superar el Total. * El Número de Migrantes no puede superar el Total. </v>
      </c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3236"/>
      <c r="BA31" s="3236"/>
      <c r="BB31" s="3236"/>
      <c r="BC31" s="3236"/>
      <c r="BD31" s="3236"/>
      <c r="BE31" s="3236"/>
      <c r="BF31" s="3236"/>
      <c r="BG31" s="3236"/>
      <c r="BH31" s="3236"/>
      <c r="BI31" s="3236"/>
      <c r="BJ31" s="3236"/>
      <c r="BK31" s="3236"/>
      <c r="BL31" s="3236"/>
      <c r="BM31" s="3236"/>
      <c r="BN31" s="3236"/>
      <c r="BO31" s="3236"/>
      <c r="BP31" s="3236"/>
      <c r="BQ31" s="3236"/>
      <c r="BR31" s="3236"/>
      <c r="BS31" s="3236"/>
      <c r="BT31" s="3236"/>
      <c r="BU31" s="3236"/>
      <c r="BV31" s="3236"/>
      <c r="BW31" s="3236"/>
      <c r="BX31" s="3236"/>
      <c r="BY31" s="3236"/>
      <c r="BZ31" s="3236"/>
      <c r="CA31" s="3236"/>
      <c r="CB31" s="3237" t="str">
        <f t="shared" si="1"/>
        <v xml:space="preserve">* El Número de Pueblos Originarios no puede superar el Total. </v>
      </c>
      <c r="CC31" s="3237" t="str">
        <f t="shared" si="2"/>
        <v xml:space="preserve">* El Número de Migrantes no puede superar el Total. </v>
      </c>
      <c r="CD31" s="3236"/>
      <c r="CE31" s="3236"/>
      <c r="CF31" s="3238"/>
      <c r="CG31" s="3238"/>
      <c r="CH31" s="3238"/>
      <c r="CI31" s="3238"/>
      <c r="CJ31" s="3238"/>
      <c r="CK31" s="17"/>
      <c r="CL31" s="1724">
        <f t="shared" si="3"/>
        <v>1</v>
      </c>
      <c r="CM31" s="1724">
        <f t="shared" si="3"/>
        <v>1</v>
      </c>
    </row>
    <row r="32" spans="1:91" ht="15" customHeight="1" x14ac:dyDescent="0.3">
      <c r="A32" s="6234" t="s">
        <v>4039</v>
      </c>
      <c r="B32" s="6349"/>
      <c r="C32" s="2997" t="s">
        <v>2468</v>
      </c>
      <c r="D32" s="145" t="s">
        <v>5292</v>
      </c>
      <c r="E32" s="945" t="s">
        <v>5293</v>
      </c>
      <c r="F32" s="154" t="s">
        <v>5294</v>
      </c>
      <c r="G32" s="616" t="s">
        <v>5295</v>
      </c>
      <c r="H32" s="626" t="s">
        <v>5296</v>
      </c>
      <c r="I32" s="616" t="s">
        <v>5297</v>
      </c>
      <c r="J32" s="626" t="s">
        <v>5298</v>
      </c>
      <c r="K32" s="616" t="s">
        <v>5299</v>
      </c>
      <c r="L32" s="626" t="s">
        <v>5300</v>
      </c>
      <c r="M32" s="616" t="s">
        <v>5301</v>
      </c>
      <c r="N32" s="626" t="s">
        <v>5302</v>
      </c>
      <c r="O32" s="3240" t="s">
        <v>5303</v>
      </c>
      <c r="P32" s="626" t="s">
        <v>5304</v>
      </c>
      <c r="Q32" s="3240" t="s">
        <v>5305</v>
      </c>
      <c r="R32" s="791" t="s">
        <v>5306</v>
      </c>
      <c r="S32" s="618" t="s">
        <v>5307</v>
      </c>
      <c r="T32" s="3077" t="s">
        <v>5308</v>
      </c>
      <c r="U32" s="3235" t="str">
        <f t="shared" si="0"/>
        <v xml:space="preserve">* El Número de Pueblos Originarios no puede superar el Total. * El Número de Migrantes no puede superar el Total. </v>
      </c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3236"/>
      <c r="BA32" s="3236"/>
      <c r="BB32" s="3236"/>
      <c r="BC32" s="3236"/>
      <c r="BD32" s="3236"/>
      <c r="BE32" s="3236"/>
      <c r="BF32" s="3236"/>
      <c r="BG32" s="3236"/>
      <c r="BH32" s="3236"/>
      <c r="BI32" s="3236"/>
      <c r="BJ32" s="3236"/>
      <c r="BK32" s="3236"/>
      <c r="BL32" s="3236"/>
      <c r="BM32" s="3236"/>
      <c r="BN32" s="3236"/>
      <c r="BO32" s="3236"/>
      <c r="BP32" s="3236"/>
      <c r="BQ32" s="3236"/>
      <c r="BR32" s="3236"/>
      <c r="BS32" s="3236"/>
      <c r="BT32" s="3236"/>
      <c r="BU32" s="3236"/>
      <c r="BV32" s="3236"/>
      <c r="BW32" s="3236"/>
      <c r="BX32" s="3236"/>
      <c r="BY32" s="3236"/>
      <c r="BZ32" s="3236"/>
      <c r="CA32" s="3236"/>
      <c r="CB32" s="3237" t="str">
        <f t="shared" si="1"/>
        <v xml:space="preserve">* El Número de Pueblos Originarios no puede superar el Total. </v>
      </c>
      <c r="CC32" s="3237" t="str">
        <f t="shared" si="2"/>
        <v xml:space="preserve">* El Número de Migrantes no puede superar el Total. </v>
      </c>
      <c r="CD32" s="3236"/>
      <c r="CE32" s="3236"/>
      <c r="CF32" s="3238"/>
      <c r="CG32" s="3238"/>
      <c r="CH32" s="3238"/>
      <c r="CI32" s="3238"/>
      <c r="CJ32" s="3238"/>
      <c r="CK32" s="17"/>
      <c r="CL32" s="1724">
        <f t="shared" si="3"/>
        <v>1</v>
      </c>
      <c r="CM32" s="1724">
        <f t="shared" si="3"/>
        <v>1</v>
      </c>
    </row>
    <row r="33" spans="1:91" ht="15" customHeight="1" x14ac:dyDescent="0.3">
      <c r="A33" s="6234" t="s">
        <v>4040</v>
      </c>
      <c r="B33" s="6349"/>
      <c r="C33" s="3251" t="s">
        <v>2469</v>
      </c>
      <c r="D33" s="635" t="s">
        <v>5292</v>
      </c>
      <c r="E33" s="3241" t="s">
        <v>5293</v>
      </c>
      <c r="F33" s="3242" t="s">
        <v>5294</v>
      </c>
      <c r="G33" s="90" t="s">
        <v>5295</v>
      </c>
      <c r="H33" s="92" t="s">
        <v>5296</v>
      </c>
      <c r="I33" s="90" t="s">
        <v>5297</v>
      </c>
      <c r="J33" s="92" t="s">
        <v>5298</v>
      </c>
      <c r="K33" s="90" t="s">
        <v>5299</v>
      </c>
      <c r="L33" s="92" t="s">
        <v>5300</v>
      </c>
      <c r="M33" s="90" t="s">
        <v>5301</v>
      </c>
      <c r="N33" s="92" t="s">
        <v>5302</v>
      </c>
      <c r="O33" s="93" t="s">
        <v>5303</v>
      </c>
      <c r="P33" s="92" t="s">
        <v>5304</v>
      </c>
      <c r="Q33" s="93" t="s">
        <v>5305</v>
      </c>
      <c r="R33" s="128" t="s">
        <v>5306</v>
      </c>
      <c r="S33" s="876" t="s">
        <v>5307</v>
      </c>
      <c r="T33" s="91" t="s">
        <v>5308</v>
      </c>
      <c r="U33" s="3235" t="str">
        <f t="shared" si="0"/>
        <v xml:space="preserve">* El Número de Pueblos Originarios no puede superar el Total. * El Número de Migrantes no puede superar el Total. </v>
      </c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3236"/>
      <c r="BA33" s="3236"/>
      <c r="BB33" s="3236"/>
      <c r="BC33" s="3236"/>
      <c r="BD33" s="3236"/>
      <c r="BE33" s="3236"/>
      <c r="BF33" s="3236"/>
      <c r="BG33" s="3236"/>
      <c r="BH33" s="3236"/>
      <c r="BI33" s="3236"/>
      <c r="BJ33" s="3236"/>
      <c r="BK33" s="3236"/>
      <c r="BL33" s="3236"/>
      <c r="BM33" s="3236"/>
      <c r="BN33" s="3236"/>
      <c r="BO33" s="3236"/>
      <c r="BP33" s="3236"/>
      <c r="BQ33" s="3236"/>
      <c r="BR33" s="3236"/>
      <c r="BS33" s="3236"/>
      <c r="BT33" s="3236"/>
      <c r="BU33" s="3236"/>
      <c r="BV33" s="3236"/>
      <c r="BW33" s="3236"/>
      <c r="BX33" s="3236"/>
      <c r="BY33" s="3236"/>
      <c r="BZ33" s="3236"/>
      <c r="CA33" s="3236"/>
      <c r="CB33" s="3237" t="str">
        <f t="shared" si="1"/>
        <v xml:space="preserve">* El Número de Pueblos Originarios no puede superar el Total. </v>
      </c>
      <c r="CC33" s="3237" t="str">
        <f t="shared" si="2"/>
        <v xml:space="preserve">* El Número de Migrantes no puede superar el Total. </v>
      </c>
      <c r="CD33" s="3236"/>
      <c r="CE33" s="3236"/>
      <c r="CF33" s="3238"/>
      <c r="CG33" s="3238"/>
      <c r="CH33" s="3238"/>
      <c r="CI33" s="3238"/>
      <c r="CJ33" s="3238"/>
      <c r="CK33" s="17"/>
      <c r="CL33" s="1724">
        <f t="shared" si="3"/>
        <v>1</v>
      </c>
      <c r="CM33" s="1724">
        <f t="shared" si="3"/>
        <v>1</v>
      </c>
    </row>
    <row r="34" spans="1:91" ht="15" customHeight="1" x14ac:dyDescent="0.3">
      <c r="A34" s="6234" t="s">
        <v>4041</v>
      </c>
      <c r="B34" s="6349"/>
      <c r="C34" s="3239" t="s">
        <v>2470</v>
      </c>
      <c r="D34" s="635" t="s">
        <v>5292</v>
      </c>
      <c r="E34" s="3241" t="s">
        <v>5293</v>
      </c>
      <c r="F34" s="3242" t="s">
        <v>5294</v>
      </c>
      <c r="G34" s="90" t="s">
        <v>5295</v>
      </c>
      <c r="H34" s="92" t="s">
        <v>5296</v>
      </c>
      <c r="I34" s="90" t="s">
        <v>5297</v>
      </c>
      <c r="J34" s="92" t="s">
        <v>5298</v>
      </c>
      <c r="K34" s="90" t="s">
        <v>5299</v>
      </c>
      <c r="L34" s="92" t="s">
        <v>5300</v>
      </c>
      <c r="M34" s="90" t="s">
        <v>5301</v>
      </c>
      <c r="N34" s="92" t="s">
        <v>5302</v>
      </c>
      <c r="O34" s="93" t="s">
        <v>5303</v>
      </c>
      <c r="P34" s="92" t="s">
        <v>5304</v>
      </c>
      <c r="Q34" s="93" t="s">
        <v>5305</v>
      </c>
      <c r="R34" s="128" t="s">
        <v>5306</v>
      </c>
      <c r="S34" s="876" t="s">
        <v>5307</v>
      </c>
      <c r="T34" s="91" t="s">
        <v>5308</v>
      </c>
      <c r="U34" s="3235" t="str">
        <f t="shared" si="0"/>
        <v xml:space="preserve">* El Número de Pueblos Originarios no puede superar el Total. * El Número de Migrantes no puede superar el Total. </v>
      </c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3236"/>
      <c r="BA34" s="3236"/>
      <c r="BB34" s="3236"/>
      <c r="BC34" s="3236"/>
      <c r="BD34" s="3236"/>
      <c r="BE34" s="3236"/>
      <c r="BF34" s="3236"/>
      <c r="BG34" s="3236"/>
      <c r="BH34" s="3236"/>
      <c r="BI34" s="3236"/>
      <c r="BJ34" s="3236"/>
      <c r="BK34" s="3236"/>
      <c r="BL34" s="3236"/>
      <c r="BM34" s="3236"/>
      <c r="BN34" s="3236"/>
      <c r="BO34" s="3236"/>
      <c r="BP34" s="3236"/>
      <c r="BQ34" s="3236"/>
      <c r="BR34" s="3236"/>
      <c r="BS34" s="3236"/>
      <c r="BT34" s="3236"/>
      <c r="BU34" s="3236"/>
      <c r="BV34" s="3236"/>
      <c r="BW34" s="3236"/>
      <c r="BX34" s="3236"/>
      <c r="BY34" s="3236"/>
      <c r="BZ34" s="3236"/>
      <c r="CA34" s="3236"/>
      <c r="CB34" s="3237" t="str">
        <f t="shared" si="1"/>
        <v xml:space="preserve">* El Número de Pueblos Originarios no puede superar el Total. </v>
      </c>
      <c r="CC34" s="3237" t="str">
        <f t="shared" si="2"/>
        <v xml:space="preserve">* El Número de Migrantes no puede superar el Total. </v>
      </c>
      <c r="CD34" s="3236"/>
      <c r="CE34" s="3236"/>
      <c r="CF34" s="3238"/>
      <c r="CG34" s="3238"/>
      <c r="CH34" s="3238"/>
      <c r="CI34" s="3238"/>
      <c r="CJ34" s="3238"/>
      <c r="CK34" s="17"/>
      <c r="CL34" s="1724">
        <f t="shared" si="3"/>
        <v>1</v>
      </c>
      <c r="CM34" s="1724">
        <f t="shared" si="3"/>
        <v>1</v>
      </c>
    </row>
    <row r="35" spans="1:91" ht="15" customHeight="1" x14ac:dyDescent="0.3">
      <c r="A35" s="6234" t="s">
        <v>4042</v>
      </c>
      <c r="B35" s="6349"/>
      <c r="C35" s="3252" t="s">
        <v>2471</v>
      </c>
      <c r="D35" s="3253" t="s">
        <v>5292</v>
      </c>
      <c r="E35" s="190" t="s">
        <v>5293</v>
      </c>
      <c r="F35" s="3254" t="s">
        <v>5294</v>
      </c>
      <c r="G35" s="90" t="s">
        <v>5295</v>
      </c>
      <c r="H35" s="92" t="s">
        <v>5296</v>
      </c>
      <c r="I35" s="90" t="s">
        <v>5297</v>
      </c>
      <c r="J35" s="92" t="s">
        <v>5298</v>
      </c>
      <c r="K35" s="90" t="s">
        <v>5299</v>
      </c>
      <c r="L35" s="92" t="s">
        <v>5300</v>
      </c>
      <c r="M35" s="90" t="s">
        <v>5301</v>
      </c>
      <c r="N35" s="92" t="s">
        <v>5302</v>
      </c>
      <c r="O35" s="93" t="s">
        <v>5303</v>
      </c>
      <c r="P35" s="92" t="s">
        <v>5304</v>
      </c>
      <c r="Q35" s="93" t="s">
        <v>5305</v>
      </c>
      <c r="R35" s="128" t="s">
        <v>5306</v>
      </c>
      <c r="S35" s="876" t="s">
        <v>5307</v>
      </c>
      <c r="T35" s="91" t="s">
        <v>5308</v>
      </c>
      <c r="U35" s="3235" t="str">
        <f t="shared" si="0"/>
        <v xml:space="preserve">* El Número de Pueblos Originarios no puede superar el Total. * El Número de Migrantes no puede superar el Total. </v>
      </c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3236"/>
      <c r="BA35" s="3236"/>
      <c r="BB35" s="3236"/>
      <c r="BC35" s="3236"/>
      <c r="BD35" s="3236"/>
      <c r="BE35" s="3236"/>
      <c r="BF35" s="3236"/>
      <c r="BG35" s="3236"/>
      <c r="BH35" s="3236"/>
      <c r="BI35" s="3236"/>
      <c r="BJ35" s="3236"/>
      <c r="BK35" s="3236"/>
      <c r="BL35" s="3236"/>
      <c r="BM35" s="3236"/>
      <c r="BN35" s="3236"/>
      <c r="BO35" s="3236"/>
      <c r="BP35" s="3236"/>
      <c r="BQ35" s="3236"/>
      <c r="BR35" s="3236"/>
      <c r="BS35" s="3236"/>
      <c r="BT35" s="3236"/>
      <c r="BU35" s="3236"/>
      <c r="BV35" s="3236"/>
      <c r="BW35" s="3236"/>
      <c r="BX35" s="3236"/>
      <c r="BY35" s="3236"/>
      <c r="BZ35" s="3236"/>
      <c r="CA35" s="3236"/>
      <c r="CB35" s="3237" t="str">
        <f t="shared" si="1"/>
        <v xml:space="preserve">* El Número de Pueblos Originarios no puede superar el Total. </v>
      </c>
      <c r="CC35" s="3237" t="str">
        <f t="shared" si="2"/>
        <v xml:space="preserve">* El Número de Migrantes no puede superar el Total. </v>
      </c>
      <c r="CD35" s="3236"/>
      <c r="CE35" s="3236"/>
      <c r="CF35" s="3238"/>
      <c r="CG35" s="3238"/>
      <c r="CH35" s="3238"/>
      <c r="CI35" s="3238"/>
      <c r="CJ35" s="3238"/>
      <c r="CK35" s="17"/>
      <c r="CL35" s="1724">
        <f t="shared" si="3"/>
        <v>1</v>
      </c>
      <c r="CM35" s="1724">
        <f t="shared" si="3"/>
        <v>1</v>
      </c>
    </row>
    <row r="36" spans="1:91" x14ac:dyDescent="0.3">
      <c r="A36" s="6234" t="s">
        <v>4043</v>
      </c>
      <c r="B36" s="6350"/>
      <c r="C36" s="3255" t="s">
        <v>2472</v>
      </c>
      <c r="D36" s="3217" t="s">
        <v>5292</v>
      </c>
      <c r="E36" s="3243" t="s">
        <v>5293</v>
      </c>
      <c r="F36" s="161" t="s">
        <v>5294</v>
      </c>
      <c r="G36" s="3023" t="s">
        <v>5295</v>
      </c>
      <c r="H36" s="3035" t="s">
        <v>5296</v>
      </c>
      <c r="I36" s="3023" t="s">
        <v>5297</v>
      </c>
      <c r="J36" s="3035" t="s">
        <v>5298</v>
      </c>
      <c r="K36" s="3023" t="s">
        <v>5299</v>
      </c>
      <c r="L36" s="3035" t="s">
        <v>5300</v>
      </c>
      <c r="M36" s="3023" t="s">
        <v>5301</v>
      </c>
      <c r="N36" s="3035" t="s">
        <v>5302</v>
      </c>
      <c r="O36" s="118" t="s">
        <v>5303</v>
      </c>
      <c r="P36" s="3035" t="s">
        <v>5304</v>
      </c>
      <c r="Q36" s="118" t="s">
        <v>5305</v>
      </c>
      <c r="R36" s="3244" t="s">
        <v>5306</v>
      </c>
      <c r="S36" s="3155" t="s">
        <v>5307</v>
      </c>
      <c r="T36" s="117" t="s">
        <v>5308</v>
      </c>
      <c r="U36" s="3235" t="str">
        <f t="shared" si="0"/>
        <v xml:space="preserve">* El Número de Pueblos Originarios no puede superar el Total. * El Número de Migrantes no puede superar el Total. </v>
      </c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3236"/>
      <c r="BA36" s="3236"/>
      <c r="BB36" s="3236"/>
      <c r="BC36" s="3236"/>
      <c r="BD36" s="3236"/>
      <c r="BE36" s="3236"/>
      <c r="BF36" s="3236"/>
      <c r="BG36" s="3236"/>
      <c r="BH36" s="3236"/>
      <c r="BI36" s="3236"/>
      <c r="BJ36" s="3236"/>
      <c r="BK36" s="3236"/>
      <c r="BL36" s="3236"/>
      <c r="BM36" s="3236"/>
      <c r="BN36" s="3236"/>
      <c r="BO36" s="3236"/>
      <c r="BP36" s="3236"/>
      <c r="BQ36" s="3236"/>
      <c r="BR36" s="3236"/>
      <c r="BS36" s="3236"/>
      <c r="BT36" s="3236"/>
      <c r="BU36" s="3236"/>
      <c r="BV36" s="3236"/>
      <c r="BW36" s="3236"/>
      <c r="BX36" s="3236"/>
      <c r="BY36" s="3236"/>
      <c r="BZ36" s="3236"/>
      <c r="CA36" s="3236"/>
      <c r="CB36" s="3237" t="str">
        <f t="shared" si="1"/>
        <v xml:space="preserve">* El Número de Pueblos Originarios no puede superar el Total. </v>
      </c>
      <c r="CC36" s="3237" t="str">
        <f t="shared" si="2"/>
        <v xml:space="preserve">* El Número de Migrantes no puede superar el Total. </v>
      </c>
      <c r="CD36" s="3236"/>
      <c r="CE36" s="3236"/>
      <c r="CF36" s="3238"/>
      <c r="CG36" s="3238"/>
      <c r="CH36" s="3238"/>
      <c r="CI36" s="3238"/>
      <c r="CJ36" s="3238"/>
      <c r="CK36" s="17"/>
      <c r="CL36" s="1724">
        <f t="shared" si="3"/>
        <v>1</v>
      </c>
      <c r="CM36" s="1724">
        <f t="shared" si="3"/>
        <v>1</v>
      </c>
    </row>
    <row r="37" spans="1:91" ht="15" customHeight="1" x14ac:dyDescent="0.3">
      <c r="A37" s="6234" t="s">
        <v>4044</v>
      </c>
      <c r="B37" s="6606" t="s">
        <v>2473</v>
      </c>
      <c r="C37" s="203" t="s">
        <v>1932</v>
      </c>
      <c r="D37" s="145" t="s">
        <v>5292</v>
      </c>
      <c r="E37" s="945" t="s">
        <v>5293</v>
      </c>
      <c r="F37" s="154" t="s">
        <v>5294</v>
      </c>
      <c r="G37" s="106" t="s">
        <v>5295</v>
      </c>
      <c r="H37" s="587" t="s">
        <v>5296</v>
      </c>
      <c r="I37" s="106" t="s">
        <v>5297</v>
      </c>
      <c r="J37" s="587" t="s">
        <v>5298</v>
      </c>
      <c r="K37" s="106" t="s">
        <v>5299</v>
      </c>
      <c r="L37" s="587" t="s">
        <v>5300</v>
      </c>
      <c r="M37" s="106" t="s">
        <v>5301</v>
      </c>
      <c r="N37" s="587" t="s">
        <v>5302</v>
      </c>
      <c r="O37" s="106" t="s">
        <v>5303</v>
      </c>
      <c r="P37" s="587" t="s">
        <v>5304</v>
      </c>
      <c r="Q37" s="113" t="s">
        <v>5305</v>
      </c>
      <c r="R37" s="839" t="s">
        <v>5306</v>
      </c>
      <c r="S37" s="768" t="s">
        <v>5307</v>
      </c>
      <c r="T37" s="105" t="s">
        <v>5308</v>
      </c>
      <c r="U37" s="3235" t="str">
        <f t="shared" si="0"/>
        <v xml:space="preserve">* El Número de Pueblos Originarios no puede superar el Total. * El Número de Migrantes no puede superar el Total. </v>
      </c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3236"/>
      <c r="BA37" s="3236"/>
      <c r="BB37" s="3236"/>
      <c r="BC37" s="3236"/>
      <c r="BD37" s="3236"/>
      <c r="BE37" s="3236"/>
      <c r="BF37" s="3236"/>
      <c r="BG37" s="3236"/>
      <c r="BH37" s="3236"/>
      <c r="BI37" s="3236"/>
      <c r="BJ37" s="3236"/>
      <c r="BK37" s="3236"/>
      <c r="BL37" s="3236"/>
      <c r="BM37" s="3236"/>
      <c r="BN37" s="3236"/>
      <c r="BO37" s="3236"/>
      <c r="BP37" s="3236"/>
      <c r="BQ37" s="3236"/>
      <c r="BR37" s="3236"/>
      <c r="BS37" s="3236"/>
      <c r="BT37" s="3236"/>
      <c r="BU37" s="3236"/>
      <c r="BV37" s="3236"/>
      <c r="BW37" s="3236"/>
      <c r="BX37" s="3236"/>
      <c r="BY37" s="3236"/>
      <c r="BZ37" s="3236"/>
      <c r="CA37" s="3236"/>
      <c r="CB37" s="3237" t="str">
        <f t="shared" si="1"/>
        <v xml:space="preserve">* El Número de Pueblos Originarios no puede superar el Total. </v>
      </c>
      <c r="CC37" s="3237" t="str">
        <f t="shared" si="2"/>
        <v xml:space="preserve">* El Número de Migrantes no puede superar el Total. </v>
      </c>
      <c r="CD37" s="3236"/>
      <c r="CE37" s="3236"/>
      <c r="CF37" s="3238"/>
      <c r="CG37" s="3238"/>
      <c r="CH37" s="3238"/>
      <c r="CI37" s="3238"/>
      <c r="CJ37" s="3238"/>
      <c r="CK37" s="17"/>
      <c r="CL37" s="1724">
        <f t="shared" si="3"/>
        <v>1</v>
      </c>
      <c r="CM37" s="1724">
        <f t="shared" si="3"/>
        <v>1</v>
      </c>
    </row>
    <row r="38" spans="1:91" ht="15" customHeight="1" x14ac:dyDescent="0.3">
      <c r="A38" s="6234" t="s">
        <v>4045</v>
      </c>
      <c r="B38" s="6606"/>
      <c r="C38" s="207" t="s">
        <v>1933</v>
      </c>
      <c r="D38" s="87" t="s">
        <v>5292</v>
      </c>
      <c r="E38" s="88" t="s">
        <v>5293</v>
      </c>
      <c r="F38" s="89" t="s">
        <v>5294</v>
      </c>
      <c r="G38" s="90" t="s">
        <v>5295</v>
      </c>
      <c r="H38" s="92" t="s">
        <v>5296</v>
      </c>
      <c r="I38" s="90" t="s">
        <v>5297</v>
      </c>
      <c r="J38" s="92" t="s">
        <v>5298</v>
      </c>
      <c r="K38" s="90" t="s">
        <v>5299</v>
      </c>
      <c r="L38" s="92" t="s">
        <v>5300</v>
      </c>
      <c r="M38" s="90" t="s">
        <v>5301</v>
      </c>
      <c r="N38" s="92" t="s">
        <v>5302</v>
      </c>
      <c r="O38" s="90" t="s">
        <v>5303</v>
      </c>
      <c r="P38" s="92" t="s">
        <v>5304</v>
      </c>
      <c r="Q38" s="93" t="s">
        <v>5305</v>
      </c>
      <c r="R38" s="128" t="s">
        <v>5306</v>
      </c>
      <c r="S38" s="876" t="s">
        <v>5307</v>
      </c>
      <c r="T38" s="91" t="s">
        <v>5308</v>
      </c>
      <c r="U38" s="3235" t="str">
        <f t="shared" si="0"/>
        <v xml:space="preserve">* El Número de Pueblos Originarios no puede superar el Total. * El Número de Migrantes no puede superar el Total. </v>
      </c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3236"/>
      <c r="BA38" s="3236"/>
      <c r="BB38" s="3236"/>
      <c r="BC38" s="3236"/>
      <c r="BD38" s="3236"/>
      <c r="BE38" s="3236"/>
      <c r="BF38" s="3236"/>
      <c r="BG38" s="3236"/>
      <c r="BH38" s="3236"/>
      <c r="BI38" s="3236"/>
      <c r="BJ38" s="3236"/>
      <c r="BK38" s="3236"/>
      <c r="BL38" s="3236"/>
      <c r="BM38" s="3236"/>
      <c r="BN38" s="3236"/>
      <c r="BO38" s="3236"/>
      <c r="BP38" s="3236"/>
      <c r="BQ38" s="3236"/>
      <c r="BR38" s="3236"/>
      <c r="BS38" s="3236"/>
      <c r="BT38" s="3236"/>
      <c r="BU38" s="3236"/>
      <c r="BV38" s="3236"/>
      <c r="BW38" s="3236"/>
      <c r="BX38" s="3236"/>
      <c r="BY38" s="3236"/>
      <c r="BZ38" s="3236"/>
      <c r="CA38" s="3236"/>
      <c r="CB38" s="3237" t="str">
        <f t="shared" si="1"/>
        <v xml:space="preserve">* El Número de Pueblos Originarios no puede superar el Total. </v>
      </c>
      <c r="CC38" s="3237" t="str">
        <f t="shared" si="2"/>
        <v xml:space="preserve">* El Número de Migrantes no puede superar el Total. </v>
      </c>
      <c r="CD38" s="3236"/>
      <c r="CE38" s="3236"/>
      <c r="CF38" s="3238"/>
      <c r="CG38" s="3238"/>
      <c r="CH38" s="3238"/>
      <c r="CI38" s="3238"/>
      <c r="CJ38" s="3238"/>
      <c r="CK38" s="17"/>
      <c r="CL38" s="1724">
        <f t="shared" si="3"/>
        <v>1</v>
      </c>
      <c r="CM38" s="1724">
        <f t="shared" si="3"/>
        <v>1</v>
      </c>
    </row>
    <row r="39" spans="1:91" ht="15" customHeight="1" x14ac:dyDescent="0.3">
      <c r="A39" s="6234" t="s">
        <v>4046</v>
      </c>
      <c r="B39" s="6367" t="s">
        <v>2474</v>
      </c>
      <c r="C39" s="2996" t="s">
        <v>1931</v>
      </c>
      <c r="D39" s="3228" t="s">
        <v>5292</v>
      </c>
      <c r="E39" s="3229" t="s">
        <v>5293</v>
      </c>
      <c r="F39" s="3216" t="s">
        <v>5294</v>
      </c>
      <c r="G39" s="3127" t="s">
        <v>5295</v>
      </c>
      <c r="H39" s="3128" t="s">
        <v>5296</v>
      </c>
      <c r="I39" s="3127" t="s">
        <v>5297</v>
      </c>
      <c r="J39" s="3128" t="s">
        <v>5298</v>
      </c>
      <c r="K39" s="3127" t="s">
        <v>5299</v>
      </c>
      <c r="L39" s="3128" t="s">
        <v>5300</v>
      </c>
      <c r="M39" s="3127" t="s">
        <v>5301</v>
      </c>
      <c r="N39" s="3128" t="s">
        <v>5302</v>
      </c>
      <c r="O39" s="3127" t="s">
        <v>5303</v>
      </c>
      <c r="P39" s="3128" t="s">
        <v>5304</v>
      </c>
      <c r="Q39" s="3245" t="s">
        <v>5305</v>
      </c>
      <c r="R39" s="3246" t="s">
        <v>5306</v>
      </c>
      <c r="S39" s="3247" t="s">
        <v>5307</v>
      </c>
      <c r="T39" s="3134" t="s">
        <v>5308</v>
      </c>
      <c r="U39" s="3235" t="str">
        <f t="shared" si="0"/>
        <v xml:space="preserve">* El Número de Pueblos Originarios no puede superar el Total. * El Número de Migrantes no puede superar el Total. </v>
      </c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3236"/>
      <c r="BA39" s="3236"/>
      <c r="BB39" s="3236"/>
      <c r="BC39" s="3236"/>
      <c r="BD39" s="3236"/>
      <c r="BE39" s="3236"/>
      <c r="BF39" s="3236"/>
      <c r="BG39" s="3236"/>
      <c r="BH39" s="3236"/>
      <c r="BI39" s="3236"/>
      <c r="BJ39" s="3236"/>
      <c r="BK39" s="3236"/>
      <c r="BL39" s="3236"/>
      <c r="BM39" s="3236"/>
      <c r="BN39" s="3236"/>
      <c r="BO39" s="3236"/>
      <c r="BP39" s="3236"/>
      <c r="BQ39" s="3236"/>
      <c r="BR39" s="3236"/>
      <c r="BS39" s="3236"/>
      <c r="BT39" s="3236"/>
      <c r="BU39" s="3236"/>
      <c r="BV39" s="3236"/>
      <c r="BW39" s="3236"/>
      <c r="BX39" s="3236"/>
      <c r="BY39" s="3236"/>
      <c r="BZ39" s="3236"/>
      <c r="CA39" s="3236"/>
      <c r="CB39" s="3237" t="str">
        <f t="shared" si="1"/>
        <v xml:space="preserve">* El Número de Pueblos Originarios no puede superar el Total. </v>
      </c>
      <c r="CC39" s="3237" t="str">
        <f t="shared" si="2"/>
        <v xml:space="preserve">* El Número de Migrantes no puede superar el Total. </v>
      </c>
      <c r="CD39" s="3236"/>
      <c r="CE39" s="3236"/>
      <c r="CF39" s="3238"/>
      <c r="CG39" s="3238"/>
      <c r="CH39" s="3238"/>
      <c r="CI39" s="3238"/>
      <c r="CJ39" s="3238"/>
      <c r="CK39" s="17"/>
      <c r="CL39" s="1724">
        <f t="shared" si="3"/>
        <v>1</v>
      </c>
      <c r="CM39" s="1724">
        <f t="shared" si="3"/>
        <v>1</v>
      </c>
    </row>
    <row r="40" spans="1:91" ht="15" customHeight="1" x14ac:dyDescent="0.3">
      <c r="A40" s="6234" t="s">
        <v>4047</v>
      </c>
      <c r="B40" s="6349"/>
      <c r="C40" s="3239" t="s">
        <v>1932</v>
      </c>
      <c r="D40" s="635" t="s">
        <v>5292</v>
      </c>
      <c r="E40" s="3241" t="s">
        <v>5293</v>
      </c>
      <c r="F40" s="3242" t="s">
        <v>5294</v>
      </c>
      <c r="G40" s="616" t="s">
        <v>5295</v>
      </c>
      <c r="H40" s="626" t="s">
        <v>5296</v>
      </c>
      <c r="I40" s="616" t="s">
        <v>5297</v>
      </c>
      <c r="J40" s="626" t="s">
        <v>5298</v>
      </c>
      <c r="K40" s="616" t="s">
        <v>5299</v>
      </c>
      <c r="L40" s="626" t="s">
        <v>5300</v>
      </c>
      <c r="M40" s="616" t="s">
        <v>5301</v>
      </c>
      <c r="N40" s="626" t="s">
        <v>5302</v>
      </c>
      <c r="O40" s="616" t="s">
        <v>5303</v>
      </c>
      <c r="P40" s="626" t="s">
        <v>5304</v>
      </c>
      <c r="Q40" s="3240" t="s">
        <v>5305</v>
      </c>
      <c r="R40" s="791" t="s">
        <v>5306</v>
      </c>
      <c r="S40" s="618" t="s">
        <v>5307</v>
      </c>
      <c r="T40" s="3077" t="s">
        <v>5308</v>
      </c>
      <c r="U40" s="3235" t="str">
        <f t="shared" si="0"/>
        <v xml:space="preserve">* El Número de Pueblos Originarios no puede superar el Total. * El Número de Migrantes no puede superar el Total. </v>
      </c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3236"/>
      <c r="BA40" s="3236"/>
      <c r="BB40" s="3236"/>
      <c r="BC40" s="3236"/>
      <c r="BD40" s="3236"/>
      <c r="BE40" s="3236"/>
      <c r="BF40" s="3236"/>
      <c r="BG40" s="3236"/>
      <c r="BH40" s="3236"/>
      <c r="BI40" s="3236"/>
      <c r="BJ40" s="3236"/>
      <c r="BK40" s="3236"/>
      <c r="BL40" s="3236"/>
      <c r="BM40" s="3236"/>
      <c r="BN40" s="3236"/>
      <c r="BO40" s="3236"/>
      <c r="BP40" s="3236"/>
      <c r="BQ40" s="3236"/>
      <c r="BR40" s="3236"/>
      <c r="BS40" s="3236"/>
      <c r="BT40" s="3236"/>
      <c r="BU40" s="3236"/>
      <c r="BV40" s="3236"/>
      <c r="BW40" s="3236"/>
      <c r="BX40" s="3236"/>
      <c r="BY40" s="3236"/>
      <c r="BZ40" s="3236"/>
      <c r="CA40" s="3236"/>
      <c r="CB40" s="3237" t="str">
        <f t="shared" si="1"/>
        <v xml:space="preserve">* El Número de Pueblos Originarios no puede superar el Total. </v>
      </c>
      <c r="CC40" s="3237" t="str">
        <f t="shared" si="2"/>
        <v xml:space="preserve">* El Número de Migrantes no puede superar el Total. </v>
      </c>
      <c r="CD40" s="3236"/>
      <c r="CE40" s="3236"/>
      <c r="CF40" s="3238"/>
      <c r="CG40" s="3238"/>
      <c r="CH40" s="3238"/>
      <c r="CI40" s="3238"/>
      <c r="CJ40" s="3238"/>
      <c r="CK40" s="17"/>
      <c r="CL40" s="1724">
        <f t="shared" si="3"/>
        <v>1</v>
      </c>
      <c r="CM40" s="1724">
        <f t="shared" si="3"/>
        <v>1</v>
      </c>
    </row>
    <row r="41" spans="1:91" ht="15" customHeight="1" x14ac:dyDescent="0.3">
      <c r="A41" s="6234" t="s">
        <v>4048</v>
      </c>
      <c r="B41" s="6350"/>
      <c r="C41" s="207" t="s">
        <v>1933</v>
      </c>
      <c r="D41" s="3217" t="s">
        <v>5292</v>
      </c>
      <c r="E41" s="3243" t="s">
        <v>5293</v>
      </c>
      <c r="F41" s="161" t="s">
        <v>5294</v>
      </c>
      <c r="G41" s="3023" t="s">
        <v>5295</v>
      </c>
      <c r="H41" s="3035" t="s">
        <v>5296</v>
      </c>
      <c r="I41" s="3023" t="s">
        <v>5297</v>
      </c>
      <c r="J41" s="3035" t="s">
        <v>5298</v>
      </c>
      <c r="K41" s="3023" t="s">
        <v>5299</v>
      </c>
      <c r="L41" s="3035" t="s">
        <v>5300</v>
      </c>
      <c r="M41" s="3023" t="s">
        <v>5301</v>
      </c>
      <c r="N41" s="3035" t="s">
        <v>5302</v>
      </c>
      <c r="O41" s="3023" t="s">
        <v>5303</v>
      </c>
      <c r="P41" s="3035" t="s">
        <v>5304</v>
      </c>
      <c r="Q41" s="118" t="s">
        <v>5305</v>
      </c>
      <c r="R41" s="3244" t="s">
        <v>5306</v>
      </c>
      <c r="S41" s="3155" t="s">
        <v>5307</v>
      </c>
      <c r="T41" s="117" t="s">
        <v>5308</v>
      </c>
      <c r="U41" s="3235" t="str">
        <f t="shared" si="0"/>
        <v xml:space="preserve">* El Número de Pueblos Originarios no puede superar el Total. * El Número de Migrantes no puede superar el Total. </v>
      </c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3236"/>
      <c r="BA41" s="3236"/>
      <c r="BB41" s="3236"/>
      <c r="BC41" s="3236"/>
      <c r="BD41" s="3236"/>
      <c r="BE41" s="3236"/>
      <c r="BF41" s="3236"/>
      <c r="BG41" s="3236"/>
      <c r="BH41" s="3236"/>
      <c r="BI41" s="3236"/>
      <c r="BJ41" s="3236"/>
      <c r="BK41" s="3236"/>
      <c r="BL41" s="3236"/>
      <c r="BM41" s="3236"/>
      <c r="BN41" s="3236"/>
      <c r="BO41" s="3236"/>
      <c r="BP41" s="3236"/>
      <c r="BQ41" s="3236"/>
      <c r="BR41" s="3236"/>
      <c r="BS41" s="3236"/>
      <c r="BT41" s="3236"/>
      <c r="BU41" s="3236"/>
      <c r="BV41" s="3236"/>
      <c r="BW41" s="3236"/>
      <c r="BX41" s="3236"/>
      <c r="BY41" s="3236"/>
      <c r="BZ41" s="3236"/>
      <c r="CA41" s="3236"/>
      <c r="CB41" s="3237" t="str">
        <f t="shared" si="1"/>
        <v xml:space="preserve">* El Número de Pueblos Originarios no puede superar el Total. </v>
      </c>
      <c r="CC41" s="3237" t="str">
        <f>IF(AND($D41&lt;&gt;0,T41=""),"* No olvide ingresar la columna "&amp;T$17&amp;""&amp;" (Digite CERO si no tiene). ",IF(T41&gt;$D41,"* El Número de Migrantes no puede superar el Total. ",""))</f>
        <v xml:space="preserve">* El Número de Migrantes no puede superar el Total. </v>
      </c>
      <c r="CD41" s="3236"/>
      <c r="CE41" s="3236"/>
      <c r="CF41" s="3238"/>
      <c r="CG41" s="3238"/>
      <c r="CH41" s="3238"/>
      <c r="CI41" s="3238"/>
      <c r="CJ41" s="3238"/>
      <c r="CK41" s="17"/>
      <c r="CL41" s="1724">
        <f t="shared" si="3"/>
        <v>1</v>
      </c>
      <c r="CM41" s="1724">
        <f t="shared" si="3"/>
        <v>1</v>
      </c>
    </row>
    <row r="42" spans="1:91" ht="18" customHeight="1" x14ac:dyDescent="0.3">
      <c r="B42" s="3256" t="s">
        <v>2475</v>
      </c>
      <c r="C42" s="3257"/>
      <c r="D42" s="3257"/>
      <c r="E42" s="3257"/>
      <c r="F42" s="3257"/>
      <c r="G42" s="3257"/>
      <c r="H42" s="3257"/>
      <c r="I42" s="3257"/>
      <c r="J42" s="3257"/>
      <c r="K42" s="3257"/>
      <c r="L42" s="3257"/>
      <c r="M42" s="3257"/>
      <c r="N42" s="3257"/>
      <c r="O42" s="3257"/>
      <c r="P42" s="3257"/>
      <c r="Q42" s="3257"/>
    </row>
    <row r="43" spans="1:91" ht="15" customHeight="1" x14ac:dyDescent="0.3">
      <c r="B43" s="6323" t="s">
        <v>2476</v>
      </c>
      <c r="C43" s="6340" t="s">
        <v>1924</v>
      </c>
      <c r="D43" s="6341"/>
      <c r="E43" s="6342"/>
      <c r="F43" s="6330" t="s">
        <v>30</v>
      </c>
      <c r="G43" s="6328"/>
      <c r="H43" s="6328"/>
      <c r="I43" s="6328"/>
      <c r="J43" s="6328"/>
      <c r="K43" s="6328"/>
      <c r="L43" s="6328"/>
      <c r="M43" s="6328"/>
      <c r="N43" s="6328"/>
      <c r="O43" s="6328"/>
      <c r="P43" s="6328"/>
      <c r="Q43" s="6347"/>
      <c r="R43" s="6669" t="s">
        <v>2</v>
      </c>
      <c r="S43" s="6670" t="s">
        <v>3</v>
      </c>
    </row>
    <row r="44" spans="1:91" ht="15" customHeight="1" x14ac:dyDescent="0.3">
      <c r="B44" s="6373"/>
      <c r="C44" s="6353"/>
      <c r="D44" s="6383"/>
      <c r="E44" s="6325"/>
      <c r="F44" s="6326" t="s">
        <v>3763</v>
      </c>
      <c r="G44" s="6462"/>
      <c r="H44" s="6326" t="s">
        <v>2454</v>
      </c>
      <c r="I44" s="6462"/>
      <c r="J44" s="6326" t="s">
        <v>2446</v>
      </c>
      <c r="K44" s="6462"/>
      <c r="L44" s="6326" t="s">
        <v>2455</v>
      </c>
      <c r="M44" s="6462"/>
      <c r="N44" s="6326" t="s">
        <v>2456</v>
      </c>
      <c r="O44" s="6462"/>
      <c r="P44" s="6326" t="s">
        <v>2457</v>
      </c>
      <c r="Q44" s="6359"/>
      <c r="R44" s="6637"/>
      <c r="S44" s="6598"/>
    </row>
    <row r="45" spans="1:91" ht="15" customHeight="1" x14ac:dyDescent="0.3">
      <c r="B45" s="6362"/>
      <c r="C45" s="4638" t="s">
        <v>26</v>
      </c>
      <c r="D45" s="3160" t="s">
        <v>22</v>
      </c>
      <c r="E45" s="2739" t="s">
        <v>27</v>
      </c>
      <c r="F45" s="3153" t="s">
        <v>22</v>
      </c>
      <c r="G45" s="2556" t="s">
        <v>27</v>
      </c>
      <c r="H45" s="3153" t="s">
        <v>22</v>
      </c>
      <c r="I45" s="2556" t="s">
        <v>27</v>
      </c>
      <c r="J45" s="3153" t="s">
        <v>22</v>
      </c>
      <c r="K45" s="2556" t="s">
        <v>27</v>
      </c>
      <c r="L45" s="3153" t="s">
        <v>22</v>
      </c>
      <c r="M45" s="2556" t="s">
        <v>27</v>
      </c>
      <c r="N45" s="3153" t="s">
        <v>22</v>
      </c>
      <c r="O45" s="2556" t="s">
        <v>27</v>
      </c>
      <c r="P45" s="3153" t="s">
        <v>22</v>
      </c>
      <c r="Q45" s="5697" t="s">
        <v>27</v>
      </c>
      <c r="R45" s="6650"/>
      <c r="S45" s="6652"/>
    </row>
    <row r="46" spans="1:91" ht="15" customHeight="1" x14ac:dyDescent="0.3">
      <c r="A46" s="6234" t="s">
        <v>4049</v>
      </c>
      <c r="B46" s="3258" t="s">
        <v>1931</v>
      </c>
      <c r="C46" s="4639" t="s">
        <v>5292</v>
      </c>
      <c r="D46" s="3259" t="s">
        <v>5293</v>
      </c>
      <c r="E46" s="3195" t="s">
        <v>5294</v>
      </c>
      <c r="F46" s="3127" t="s">
        <v>5295</v>
      </c>
      <c r="G46" s="3134" t="s">
        <v>5296</v>
      </c>
      <c r="H46" s="3127" t="s">
        <v>5297</v>
      </c>
      <c r="I46" s="3134" t="s">
        <v>5298</v>
      </c>
      <c r="J46" s="3127" t="s">
        <v>5299</v>
      </c>
      <c r="K46" s="3128" t="s">
        <v>5300</v>
      </c>
      <c r="L46" s="3127" t="s">
        <v>5301</v>
      </c>
      <c r="M46" s="3128" t="s">
        <v>5302</v>
      </c>
      <c r="N46" s="3245" t="s">
        <v>5303</v>
      </c>
      <c r="O46" s="3128" t="s">
        <v>5304</v>
      </c>
      <c r="P46" s="3245" t="s">
        <v>5305</v>
      </c>
      <c r="Q46" s="5690" t="s">
        <v>5306</v>
      </c>
      <c r="R46" s="5691" t="s">
        <v>5307</v>
      </c>
      <c r="S46" s="5748" t="s">
        <v>5308</v>
      </c>
      <c r="T46" s="3235" t="str">
        <f>$CB46&amp;CC46</f>
        <v xml:space="preserve">* El Número de Pueblos Originarios no puede superar el Total. * El Número de Migrantes no puede superar el Total. </v>
      </c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3236"/>
      <c r="AZ46" s="3236"/>
      <c r="BA46" s="3236"/>
      <c r="BB46" s="3236"/>
      <c r="BC46" s="3236"/>
      <c r="BD46" s="3236"/>
      <c r="BE46" s="3236"/>
      <c r="BF46" s="3236"/>
      <c r="BG46" s="3236"/>
      <c r="BH46" s="3236"/>
      <c r="BI46" s="3236"/>
      <c r="BJ46" s="3236"/>
      <c r="BK46" s="3236"/>
      <c r="BL46" s="3236"/>
      <c r="BM46" s="3236"/>
      <c r="BN46" s="3236"/>
      <c r="BO46" s="3236"/>
      <c r="BP46" s="3236"/>
      <c r="BQ46" s="3236"/>
      <c r="BR46" s="3236"/>
      <c r="BS46" s="3236"/>
      <c r="BT46" s="3236"/>
      <c r="BU46" s="3236"/>
      <c r="BV46" s="3236"/>
      <c r="BW46" s="3236"/>
      <c r="BX46" s="3236"/>
      <c r="BY46" s="3236"/>
      <c r="BZ46" s="3236"/>
      <c r="CA46" s="3236"/>
      <c r="CB46" s="3237" t="str">
        <f>IF(AND($C46&lt;&gt;0,R46=""),"* No olvide ingresar la columna "&amp;R$43&amp;""&amp;" (Digite CERO si no tiene). ",IF(R46&gt;$C46,"* El Número de Pueblos Originarios no puede superar el Total. ",""))</f>
        <v xml:space="preserve">* El Número de Pueblos Originarios no puede superar el Total. </v>
      </c>
      <c r="CC46" s="3237" t="str">
        <f>IF(AND($C46&lt;&gt;0,S46=""),"* No olvide ingresar la columna "&amp;S$43&amp;""&amp;" (Digite CERO si no tiene). ",IF(S46&gt;$C46,"* El Número de Migrantes no puede superar el Total. ",""))</f>
        <v xml:space="preserve">* El Número de Migrantes no puede superar el Total. </v>
      </c>
      <c r="CD46" s="3236"/>
      <c r="CE46" s="3236"/>
      <c r="CF46" s="3238"/>
      <c r="CG46" s="3238"/>
      <c r="CH46" s="3238"/>
      <c r="CI46" s="3238"/>
      <c r="CJ46" s="3238"/>
      <c r="CK46" s="17"/>
      <c r="CL46" s="1724">
        <f>IF(AND($C46&lt;&gt;0,R46=""),1,IF(R46&gt;$C46,1,0))</f>
        <v>1</v>
      </c>
      <c r="CM46" s="1724">
        <f>IF(AND($C46&lt;&gt;0,S46=""),1,IF(S46&gt;$C46,1,0))</f>
        <v>1</v>
      </c>
    </row>
    <row r="47" spans="1:91" ht="15" customHeight="1" x14ac:dyDescent="0.3">
      <c r="A47" s="6234" t="s">
        <v>4050</v>
      </c>
      <c r="B47" s="3261" t="s">
        <v>1932</v>
      </c>
      <c r="C47" s="4640" t="s">
        <v>5292</v>
      </c>
      <c r="D47" s="3262" t="s">
        <v>5293</v>
      </c>
      <c r="E47" s="143" t="s">
        <v>5294</v>
      </c>
      <c r="F47" s="616" t="s">
        <v>5295</v>
      </c>
      <c r="G47" s="105" t="s">
        <v>5296</v>
      </c>
      <c r="H47" s="106" t="s">
        <v>5297</v>
      </c>
      <c r="I47" s="105" t="s">
        <v>5298</v>
      </c>
      <c r="J47" s="106" t="s">
        <v>5299</v>
      </c>
      <c r="K47" s="587" t="s">
        <v>5300</v>
      </c>
      <c r="L47" s="106" t="s">
        <v>5301</v>
      </c>
      <c r="M47" s="587" t="s">
        <v>5302</v>
      </c>
      <c r="N47" s="113" t="s">
        <v>5303</v>
      </c>
      <c r="O47" s="587" t="s">
        <v>5304</v>
      </c>
      <c r="P47" s="113" t="s">
        <v>5305</v>
      </c>
      <c r="Q47" s="4771" t="s">
        <v>5306</v>
      </c>
      <c r="R47" s="916" t="s">
        <v>5307</v>
      </c>
      <c r="S47" s="626" t="s">
        <v>5308</v>
      </c>
      <c r="T47" s="3235" t="str">
        <f>$CB47&amp;CC47</f>
        <v xml:space="preserve">* El Número de Pueblos Originarios no puede superar el Total. * El Número de Migrantes no puede superar el Total. </v>
      </c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3236"/>
      <c r="AZ47" s="3236"/>
      <c r="BA47" s="3236"/>
      <c r="BB47" s="3236"/>
      <c r="BC47" s="3236"/>
      <c r="BD47" s="3236"/>
      <c r="BE47" s="3236"/>
      <c r="BF47" s="3236"/>
      <c r="BG47" s="3236"/>
      <c r="BH47" s="3236"/>
      <c r="BI47" s="3236"/>
      <c r="BJ47" s="3236"/>
      <c r="BK47" s="3236"/>
      <c r="BL47" s="3236"/>
      <c r="BM47" s="3236"/>
      <c r="BN47" s="3236"/>
      <c r="BO47" s="3236"/>
      <c r="BP47" s="3236"/>
      <c r="BQ47" s="3236"/>
      <c r="BR47" s="3236"/>
      <c r="BS47" s="3236"/>
      <c r="BT47" s="3236"/>
      <c r="BU47" s="3236"/>
      <c r="BV47" s="3236"/>
      <c r="BW47" s="3236"/>
      <c r="BX47" s="3236"/>
      <c r="BY47" s="3236"/>
      <c r="BZ47" s="3236"/>
      <c r="CA47" s="3236"/>
      <c r="CB47" s="3237" t="str">
        <f t="shared" ref="CB47:CB49" si="4">IF(AND($C47&lt;&gt;0,R47=""),"* No olvide ingresar la columna "&amp;R$43&amp;""&amp;" (Digite CERO si no tiene). ",IF(R47&gt;$C47,"* El Número de Pueblos Originarios no puede superar el Total. ",""))</f>
        <v xml:space="preserve">* El Número de Pueblos Originarios no puede superar el Total. </v>
      </c>
      <c r="CC47" s="3237" t="str">
        <f t="shared" ref="CC47:CC49" si="5">IF(AND($C47&lt;&gt;0,S47=""),"* No olvide ingresar la columna "&amp;S$43&amp;""&amp;" (Digite CERO si no tiene). ",IF(S47&gt;$C47,"* El Número de Migrantes no puede superar el Total. ",""))</f>
        <v xml:space="preserve">* El Número de Migrantes no puede superar el Total. </v>
      </c>
      <c r="CD47" s="3236"/>
      <c r="CE47" s="3236"/>
      <c r="CF47" s="3238"/>
      <c r="CG47" s="3238"/>
      <c r="CH47" s="3238"/>
      <c r="CI47" s="3238"/>
      <c r="CJ47" s="3238"/>
      <c r="CK47" s="17"/>
      <c r="CL47" s="1724">
        <f t="shared" ref="CL47:CL49" si="6">IF(AND($C47&lt;&gt;0,R47=""),1,IF(R47&gt;$C47,1,0))</f>
        <v>1</v>
      </c>
      <c r="CM47" s="1724">
        <f t="shared" ref="CM47:CM49" si="7">IF(AND($C47&lt;&gt;0,S47=""),1,IF(S47&gt;$C47,1,0))</f>
        <v>1</v>
      </c>
    </row>
    <row r="48" spans="1:91" ht="15" customHeight="1" x14ac:dyDescent="0.3">
      <c r="A48" s="6234" t="s">
        <v>4051</v>
      </c>
      <c r="B48" s="3261" t="s">
        <v>1933</v>
      </c>
      <c r="C48" s="4769" t="s">
        <v>5292</v>
      </c>
      <c r="D48" s="4562" t="s">
        <v>5293</v>
      </c>
      <c r="E48" s="3191" t="s">
        <v>5294</v>
      </c>
      <c r="F48" s="1072" t="s">
        <v>5295</v>
      </c>
      <c r="G48" s="3077" t="s">
        <v>5296</v>
      </c>
      <c r="H48" s="1072" t="s">
        <v>5297</v>
      </c>
      <c r="I48" s="3077" t="s">
        <v>5298</v>
      </c>
      <c r="J48" s="1072" t="s">
        <v>5299</v>
      </c>
      <c r="K48" s="1060" t="s">
        <v>5300</v>
      </c>
      <c r="L48" s="1072" t="s">
        <v>5301</v>
      </c>
      <c r="M48" s="1060" t="s">
        <v>5302</v>
      </c>
      <c r="N48" s="3240" t="s">
        <v>5303</v>
      </c>
      <c r="O48" s="1060" t="s">
        <v>5304</v>
      </c>
      <c r="P48" s="3240" t="s">
        <v>5305</v>
      </c>
      <c r="Q48" s="5409" t="s">
        <v>5306</v>
      </c>
      <c r="R48" s="916" t="s">
        <v>5307</v>
      </c>
      <c r="S48" s="626" t="s">
        <v>5308</v>
      </c>
      <c r="T48" s="3235" t="str">
        <f>$CB48&amp;CC48</f>
        <v xml:space="preserve">* El Número de Pueblos Originarios no puede superar el Total. * El Número de Migrantes no puede superar el Total. </v>
      </c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3236"/>
      <c r="AZ48" s="3236"/>
      <c r="BA48" s="3236"/>
      <c r="BB48" s="3236"/>
      <c r="BC48" s="3236"/>
      <c r="BD48" s="3236"/>
      <c r="BE48" s="3236"/>
      <c r="BF48" s="3236"/>
      <c r="BG48" s="3236"/>
      <c r="BH48" s="3236"/>
      <c r="BI48" s="3236"/>
      <c r="BJ48" s="3236"/>
      <c r="BK48" s="3236"/>
      <c r="BL48" s="3236"/>
      <c r="BM48" s="3236"/>
      <c r="BN48" s="3236"/>
      <c r="BO48" s="3236"/>
      <c r="BP48" s="3236"/>
      <c r="BQ48" s="3236"/>
      <c r="BR48" s="3236"/>
      <c r="BS48" s="3236"/>
      <c r="BT48" s="3236"/>
      <c r="BU48" s="3236"/>
      <c r="BV48" s="3236"/>
      <c r="BW48" s="3236"/>
      <c r="BX48" s="3236"/>
      <c r="BY48" s="3236"/>
      <c r="BZ48" s="3236"/>
      <c r="CA48" s="3236"/>
      <c r="CB48" s="3237" t="str">
        <f t="shared" si="4"/>
        <v xml:space="preserve">* El Número de Pueblos Originarios no puede superar el Total. </v>
      </c>
      <c r="CC48" s="3237" t="str">
        <f t="shared" si="5"/>
        <v xml:space="preserve">* El Número de Migrantes no puede superar el Total. </v>
      </c>
      <c r="CD48" s="3236"/>
      <c r="CE48" s="3236"/>
      <c r="CF48" s="3238"/>
      <c r="CG48" s="3238"/>
      <c r="CH48" s="3238"/>
      <c r="CI48" s="3238"/>
      <c r="CJ48" s="3238"/>
      <c r="CK48" s="17"/>
      <c r="CL48" s="1724">
        <f t="shared" si="6"/>
        <v>1</v>
      </c>
      <c r="CM48" s="1724">
        <f t="shared" si="7"/>
        <v>1</v>
      </c>
    </row>
    <row r="49" spans="1:91" ht="15" customHeight="1" x14ac:dyDescent="0.3">
      <c r="A49" s="6241" t="s">
        <v>4052</v>
      </c>
      <c r="B49" s="4761" t="s">
        <v>1934</v>
      </c>
      <c r="C49" s="4762" t="s">
        <v>5292</v>
      </c>
      <c r="D49" s="4763" t="s">
        <v>5293</v>
      </c>
      <c r="E49" s="4764" t="s">
        <v>5294</v>
      </c>
      <c r="F49" s="4765" t="s">
        <v>5295</v>
      </c>
      <c r="G49" s="4766" t="s">
        <v>5296</v>
      </c>
      <c r="H49" s="4765" t="s">
        <v>5297</v>
      </c>
      <c r="I49" s="4766" t="s">
        <v>5298</v>
      </c>
      <c r="J49" s="4765" t="s">
        <v>5299</v>
      </c>
      <c r="K49" s="4767" t="s">
        <v>5300</v>
      </c>
      <c r="L49" s="4765" t="s">
        <v>5301</v>
      </c>
      <c r="M49" s="4767" t="s">
        <v>5302</v>
      </c>
      <c r="N49" s="4768" t="s">
        <v>5303</v>
      </c>
      <c r="O49" s="4767" t="s">
        <v>5304</v>
      </c>
      <c r="P49" s="4768" t="s">
        <v>5305</v>
      </c>
      <c r="Q49" s="5417" t="s">
        <v>5306</v>
      </c>
      <c r="R49" s="5418" t="s">
        <v>5307</v>
      </c>
      <c r="S49" s="4767" t="s">
        <v>5308</v>
      </c>
      <c r="T49" s="3235" t="str">
        <f t="shared" ref="T49" si="8">$CB49&amp;CC49</f>
        <v xml:space="preserve">* El Número de Pueblos Originarios no puede superar el Total. * El Número de Migrantes no puede superar el Total. </v>
      </c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3236"/>
      <c r="AZ49" s="3236"/>
      <c r="BA49" s="3236"/>
      <c r="BB49" s="3236"/>
      <c r="BC49" s="3236"/>
      <c r="BD49" s="3236"/>
      <c r="BE49" s="3236"/>
      <c r="BF49" s="3236"/>
      <c r="BG49" s="3236"/>
      <c r="BH49" s="3236"/>
      <c r="BI49" s="3236"/>
      <c r="BJ49" s="3236"/>
      <c r="BK49" s="3236"/>
      <c r="BL49" s="3236"/>
      <c r="BM49" s="3236"/>
      <c r="BN49" s="3236"/>
      <c r="BO49" s="3236"/>
      <c r="BP49" s="3236"/>
      <c r="BQ49" s="3236"/>
      <c r="BR49" s="3236"/>
      <c r="BS49" s="3236"/>
      <c r="BT49" s="3236"/>
      <c r="BU49" s="3236"/>
      <c r="BV49" s="3236"/>
      <c r="BW49" s="3236"/>
      <c r="BX49" s="3236"/>
      <c r="BY49" s="3236"/>
      <c r="BZ49" s="3236"/>
      <c r="CA49" s="3236"/>
      <c r="CB49" s="3237" t="str">
        <f t="shared" si="4"/>
        <v xml:space="preserve">* El Número de Pueblos Originarios no puede superar el Total. </v>
      </c>
      <c r="CC49" s="3237" t="str">
        <f t="shared" si="5"/>
        <v xml:space="preserve">* El Número de Migrantes no puede superar el Total. </v>
      </c>
      <c r="CD49" s="3236"/>
      <c r="CE49" s="3236"/>
      <c r="CF49" s="3238"/>
      <c r="CG49" s="3238"/>
      <c r="CH49" s="3238"/>
      <c r="CI49" s="3238"/>
      <c r="CJ49" s="3238"/>
      <c r="CK49" s="17"/>
      <c r="CL49" s="1724">
        <f t="shared" si="6"/>
        <v>1</v>
      </c>
      <c r="CM49" s="1724">
        <f t="shared" si="7"/>
        <v>1</v>
      </c>
    </row>
    <row r="50" spans="1:91" ht="18" customHeight="1" x14ac:dyDescent="0.3">
      <c r="A50" s="599"/>
      <c r="B50" s="3061" t="s">
        <v>2477</v>
      </c>
      <c r="C50" s="2909"/>
      <c r="D50" s="2909"/>
      <c r="E50" s="2909"/>
      <c r="F50" s="2909"/>
      <c r="G50" s="2909"/>
      <c r="H50" s="2909"/>
      <c r="I50" s="2909"/>
    </row>
    <row r="51" spans="1:91" ht="15" customHeight="1" x14ac:dyDescent="0.3">
      <c r="A51" s="599"/>
      <c r="B51" s="6337" t="s">
        <v>2478</v>
      </c>
      <c r="C51" s="6340" t="s">
        <v>35</v>
      </c>
      <c r="D51" s="6341"/>
      <c r="E51" s="6342"/>
      <c r="F51" s="6461" t="s">
        <v>30</v>
      </c>
      <c r="G51" s="6461"/>
      <c r="H51" s="6461"/>
      <c r="I51" s="6648"/>
      <c r="J51" s="6649" t="s">
        <v>2</v>
      </c>
      <c r="K51" s="6651" t="s">
        <v>3</v>
      </c>
    </row>
    <row r="52" spans="1:91" ht="15" customHeight="1" x14ac:dyDescent="0.3">
      <c r="A52" s="599"/>
      <c r="B52" s="6338"/>
      <c r="C52" s="6353"/>
      <c r="D52" s="6383"/>
      <c r="E52" s="6325"/>
      <c r="F52" s="6326" t="s">
        <v>547</v>
      </c>
      <c r="G52" s="6462"/>
      <c r="H52" s="6326" t="s">
        <v>548</v>
      </c>
      <c r="I52" s="6653"/>
      <c r="J52" s="6637"/>
      <c r="K52" s="6598"/>
    </row>
    <row r="53" spans="1:91" ht="15" customHeight="1" x14ac:dyDescent="0.3">
      <c r="A53" s="599"/>
      <c r="B53" s="6339"/>
      <c r="C53" s="4638" t="s">
        <v>26</v>
      </c>
      <c r="D53" s="3160" t="s">
        <v>22</v>
      </c>
      <c r="E53" s="2739" t="s">
        <v>27</v>
      </c>
      <c r="F53" s="3153" t="s">
        <v>22</v>
      </c>
      <c r="G53" s="3226" t="s">
        <v>27</v>
      </c>
      <c r="H53" s="3153" t="s">
        <v>22</v>
      </c>
      <c r="I53" s="4754" t="s">
        <v>27</v>
      </c>
      <c r="J53" s="6650"/>
      <c r="K53" s="6652"/>
    </row>
    <row r="54" spans="1:91" ht="21" customHeight="1" x14ac:dyDescent="0.3">
      <c r="A54" s="6242"/>
      <c r="B54" s="3263" t="s">
        <v>2479</v>
      </c>
      <c r="C54" s="4641">
        <f>SUM(D54+E54)</f>
        <v>0</v>
      </c>
      <c r="D54" s="3265">
        <f t="shared" ref="D54:E57" si="9">SUM(F54+H54)</f>
        <v>0</v>
      </c>
      <c r="E54" s="3230">
        <f t="shared" si="9"/>
        <v>0</v>
      </c>
      <c r="F54" s="3181">
        <f t="shared" ref="F54:K54" si="10">SUM(F55:F57)</f>
        <v>0</v>
      </c>
      <c r="G54" s="3264">
        <f t="shared" si="10"/>
        <v>0</v>
      </c>
      <c r="H54" s="3266">
        <f t="shared" si="10"/>
        <v>0</v>
      </c>
      <c r="I54" s="4770">
        <f t="shared" si="10"/>
        <v>0</v>
      </c>
      <c r="J54" s="4772">
        <f t="shared" si="10"/>
        <v>0</v>
      </c>
      <c r="K54" s="4773">
        <f t="shared" si="10"/>
        <v>0</v>
      </c>
    </row>
    <row r="55" spans="1:91" ht="15" customHeight="1" x14ac:dyDescent="0.3">
      <c r="A55" s="6234" t="s">
        <v>4053</v>
      </c>
      <c r="B55" s="3267" t="s">
        <v>2432</v>
      </c>
      <c r="C55" s="2004" t="s">
        <v>5292</v>
      </c>
      <c r="D55" s="3268" t="s">
        <v>5293</v>
      </c>
      <c r="E55" s="154" t="s">
        <v>5294</v>
      </c>
      <c r="F55" s="106" t="s">
        <v>5295</v>
      </c>
      <c r="G55" s="105" t="s">
        <v>5296</v>
      </c>
      <c r="H55" s="113" t="s">
        <v>5297</v>
      </c>
      <c r="I55" s="4771" t="s">
        <v>5298</v>
      </c>
      <c r="J55" s="1114" t="s">
        <v>5299</v>
      </c>
      <c r="K55" s="1060" t="s">
        <v>5300</v>
      </c>
      <c r="L55" s="3235" t="str">
        <f>$CB55&amp;CC55</f>
        <v xml:space="preserve">* El Número de Pueblos Originarios no puede superar el Total. * El Número de Migrantes no puede superar el Total. </v>
      </c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3236"/>
      <c r="AR55" s="3236"/>
      <c r="AS55" s="3236"/>
      <c r="AT55" s="3236"/>
      <c r="AU55" s="3236"/>
      <c r="AV55" s="3236"/>
      <c r="AW55" s="3236"/>
      <c r="AX55" s="3236"/>
      <c r="AY55" s="3236"/>
      <c r="AZ55" s="3236"/>
      <c r="BA55" s="3236"/>
      <c r="BB55" s="3236"/>
      <c r="BC55" s="3236"/>
      <c r="BD55" s="3236"/>
      <c r="BE55" s="3236"/>
      <c r="BF55" s="3236"/>
      <c r="BG55" s="3236"/>
      <c r="BH55" s="3236"/>
      <c r="BI55" s="3236"/>
      <c r="BJ55" s="3236"/>
      <c r="BK55" s="3236"/>
      <c r="BL55" s="3236"/>
      <c r="BM55" s="3236"/>
      <c r="BN55" s="3236"/>
      <c r="BO55" s="3236"/>
      <c r="BP55" s="3236"/>
      <c r="BQ55" s="3236"/>
      <c r="BR55" s="3236"/>
      <c r="BS55" s="3236"/>
      <c r="BT55" s="3236"/>
      <c r="BU55" s="3236"/>
      <c r="BV55" s="3236"/>
      <c r="BW55" s="3236"/>
      <c r="BX55" s="3236"/>
      <c r="BY55" s="3236"/>
      <c r="BZ55" s="3236"/>
      <c r="CA55" s="3236"/>
      <c r="CB55" s="3237" t="str">
        <f>IF(AND($C55&lt;&gt;0,J55=""),"* No olvide ingresar la columna "&amp;J$51&amp;""&amp;" (Digite CERO si no tiene). ",IF(J55&gt;$C55,"* El Número de Pueblos Originarios no puede superar el Total. ",""))</f>
        <v xml:space="preserve">* El Número de Pueblos Originarios no puede superar el Total. </v>
      </c>
      <c r="CC55" s="3237" t="str">
        <f>IF(AND($C55&lt;&gt;0,K55=""),"* No olvide ingresar la columna "&amp;K$51&amp;""&amp;" (Digite CERO si no tiene). ",IF(K55&gt;$C55,"* El Número de Migrantes no puede superar el Total. ",""))</f>
        <v xml:space="preserve">* El Número de Migrantes no puede superar el Total. </v>
      </c>
      <c r="CD55" s="3236"/>
      <c r="CE55" s="3236"/>
      <c r="CF55" s="3238"/>
      <c r="CG55" s="3238"/>
      <c r="CH55" s="3238"/>
      <c r="CI55" s="3238"/>
      <c r="CJ55" s="3238"/>
      <c r="CK55" s="17"/>
      <c r="CL55" s="1724">
        <f>IF(AND($C55&lt;&gt;0,J55=""),1,IF(J55&gt;$C55,1,0))</f>
        <v>1</v>
      </c>
      <c r="CM55" s="1724">
        <f>IF(AND($C55&lt;&gt;0,K55=""),1,IF(K55&gt;$C55,1,0))</f>
        <v>1</v>
      </c>
    </row>
    <row r="56" spans="1:91" ht="15" customHeight="1" x14ac:dyDescent="0.3">
      <c r="A56" s="6234" t="s">
        <v>4054</v>
      </c>
      <c r="B56" s="3261" t="s">
        <v>2480</v>
      </c>
      <c r="C56" s="1037" t="s">
        <v>5292</v>
      </c>
      <c r="D56" s="3270" t="s">
        <v>5293</v>
      </c>
      <c r="E56" s="3242" t="s">
        <v>5294</v>
      </c>
      <c r="F56" s="616" t="s">
        <v>5295</v>
      </c>
      <c r="G56" s="3077" t="s">
        <v>5296</v>
      </c>
      <c r="H56" s="3240" t="s">
        <v>5297</v>
      </c>
      <c r="I56" s="1080" t="s">
        <v>5298</v>
      </c>
      <c r="J56" s="1114" t="s">
        <v>5299</v>
      </c>
      <c r="K56" s="1060" t="s">
        <v>5300</v>
      </c>
      <c r="L56" s="3235" t="str">
        <f t="shared" ref="L56:L57" si="11">$CB56&amp;CC56</f>
        <v xml:space="preserve">* El Número de Pueblos Originarios no puede superar el Total. * El Número de Migrantes no puede superar el Total. </v>
      </c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3236"/>
      <c r="AR56" s="3236"/>
      <c r="AS56" s="3236"/>
      <c r="AT56" s="3236"/>
      <c r="AU56" s="3236"/>
      <c r="AV56" s="3236"/>
      <c r="AW56" s="3236"/>
      <c r="AX56" s="3236"/>
      <c r="AY56" s="3236"/>
      <c r="AZ56" s="3236"/>
      <c r="BA56" s="3236"/>
      <c r="BB56" s="3236"/>
      <c r="BC56" s="3236"/>
      <c r="BD56" s="3236"/>
      <c r="BE56" s="3236"/>
      <c r="BF56" s="3236"/>
      <c r="BG56" s="3236"/>
      <c r="BH56" s="3236"/>
      <c r="BI56" s="3236"/>
      <c r="BJ56" s="3236"/>
      <c r="BK56" s="3236"/>
      <c r="BL56" s="3236"/>
      <c r="BM56" s="3236"/>
      <c r="BN56" s="3236"/>
      <c r="BO56" s="3236"/>
      <c r="BP56" s="3236"/>
      <c r="BQ56" s="3236"/>
      <c r="BR56" s="3236"/>
      <c r="BS56" s="3236"/>
      <c r="BT56" s="3236"/>
      <c r="BU56" s="3236"/>
      <c r="BV56" s="3236"/>
      <c r="BW56" s="3236"/>
      <c r="BX56" s="3236"/>
      <c r="BY56" s="3236"/>
      <c r="BZ56" s="3236"/>
      <c r="CA56" s="3236"/>
      <c r="CB56" s="3237" t="str">
        <f t="shared" ref="CB56:CB57" si="12">IF(AND($C56&lt;&gt;0,J56=""),"* No olvide ingresar la columna "&amp;J$51&amp;""&amp;" (Digite CERO si no tiene). ",IF(J56&gt;$C56,"* El Número de Pueblos Originarios no puede superar el Total. ",""))</f>
        <v xml:space="preserve">* El Número de Pueblos Originarios no puede superar el Total. </v>
      </c>
      <c r="CC56" s="3237" t="str">
        <f t="shared" ref="CC56:CC57" si="13">IF(AND($C56&lt;&gt;0,K56=""),"* No olvide ingresar la columna "&amp;K$51&amp;""&amp;" (Digite CERO si no tiene). ",IF(K56&gt;$C56,"* El Número de Migrantes no puede superar el Total. ",""))</f>
        <v xml:space="preserve">* El Número de Migrantes no puede superar el Total. </v>
      </c>
      <c r="CD56" s="3236"/>
      <c r="CE56" s="3236"/>
      <c r="CF56" s="3238"/>
      <c r="CG56" s="3238"/>
      <c r="CH56" s="3238"/>
      <c r="CI56" s="3238"/>
      <c r="CJ56" s="3238"/>
      <c r="CK56" s="17"/>
      <c r="CL56" s="1724">
        <f t="shared" ref="CL56:CM57" si="14">IF(AND($C56&lt;&gt;0,J56=""),1,IF(J56&gt;$C56,1,0))</f>
        <v>1</v>
      </c>
      <c r="CM56" s="1724">
        <f t="shared" si="14"/>
        <v>1</v>
      </c>
    </row>
    <row r="57" spans="1:91" ht="15" customHeight="1" x14ac:dyDescent="0.3">
      <c r="A57" s="6234" t="s">
        <v>4055</v>
      </c>
      <c r="B57" s="1985" t="s">
        <v>2481</v>
      </c>
      <c r="C57" s="3217" t="s">
        <v>5292</v>
      </c>
      <c r="D57" s="208" t="s">
        <v>5293</v>
      </c>
      <c r="E57" s="161" t="s">
        <v>5294</v>
      </c>
      <c r="F57" s="3023" t="s">
        <v>5295</v>
      </c>
      <c r="G57" s="117" t="s">
        <v>5296</v>
      </c>
      <c r="H57" s="118" t="s">
        <v>5297</v>
      </c>
      <c r="I57" s="3244" t="s">
        <v>5298</v>
      </c>
      <c r="J57" s="3754" t="s">
        <v>5299</v>
      </c>
      <c r="K57" s="3035" t="s">
        <v>5300</v>
      </c>
      <c r="L57" s="3235" t="str">
        <f t="shared" si="11"/>
        <v xml:space="preserve">* El Número de Pueblos Originarios no puede superar el Total. * El Número de Migrantes no puede superar el Total. </v>
      </c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3236"/>
      <c r="AR57" s="3236"/>
      <c r="AS57" s="3236"/>
      <c r="AT57" s="3236"/>
      <c r="AU57" s="3236"/>
      <c r="AV57" s="3236"/>
      <c r="AW57" s="3236"/>
      <c r="AX57" s="3236"/>
      <c r="AY57" s="3236"/>
      <c r="AZ57" s="3236"/>
      <c r="BA57" s="3236"/>
      <c r="BB57" s="3236"/>
      <c r="BC57" s="3236"/>
      <c r="BD57" s="3236"/>
      <c r="BE57" s="3236"/>
      <c r="BF57" s="3236"/>
      <c r="BG57" s="3236"/>
      <c r="BH57" s="3236"/>
      <c r="BI57" s="3236"/>
      <c r="BJ57" s="3236"/>
      <c r="BK57" s="3236"/>
      <c r="BL57" s="3236"/>
      <c r="BM57" s="3236"/>
      <c r="BN57" s="3236"/>
      <c r="BO57" s="3236"/>
      <c r="BP57" s="3236"/>
      <c r="BQ57" s="3236"/>
      <c r="BR57" s="3236"/>
      <c r="BS57" s="3236"/>
      <c r="BT57" s="3236"/>
      <c r="BU57" s="3236"/>
      <c r="BV57" s="3236"/>
      <c r="BW57" s="3236"/>
      <c r="BX57" s="3236"/>
      <c r="BY57" s="3236"/>
      <c r="BZ57" s="3236"/>
      <c r="CA57" s="3236"/>
      <c r="CB57" s="3237" t="str">
        <f t="shared" si="12"/>
        <v xml:space="preserve">* El Número de Pueblos Originarios no puede superar el Total. </v>
      </c>
      <c r="CC57" s="3237" t="str">
        <f t="shared" si="13"/>
        <v xml:space="preserve">* El Número de Migrantes no puede superar el Total. </v>
      </c>
      <c r="CD57" s="3236"/>
      <c r="CE57" s="3236"/>
      <c r="CF57" s="3238"/>
      <c r="CG57" s="3238"/>
      <c r="CH57" s="3238"/>
      <c r="CI57" s="3238"/>
      <c r="CJ57" s="3238"/>
      <c r="CK57" s="17"/>
      <c r="CL57" s="1724">
        <f t="shared" si="14"/>
        <v>1</v>
      </c>
      <c r="CM57" s="1724">
        <f t="shared" si="14"/>
        <v>1</v>
      </c>
    </row>
    <row r="58" spans="1:91" ht="18" customHeight="1" x14ac:dyDescent="0.3">
      <c r="A58" s="599"/>
      <c r="B58" s="3061" t="s">
        <v>2482</v>
      </c>
      <c r="C58" s="2909"/>
      <c r="D58" s="2909"/>
      <c r="E58" s="2909"/>
      <c r="F58" s="2909"/>
      <c r="G58" s="2909"/>
      <c r="H58" s="2909"/>
      <c r="I58" s="2909"/>
      <c r="J58" s="2909"/>
      <c r="K58" s="1681"/>
      <c r="L58" s="1681"/>
    </row>
    <row r="59" spans="1:91" ht="15" customHeight="1" x14ac:dyDescent="0.3">
      <c r="A59" s="599"/>
      <c r="B59" s="6340" t="s">
        <v>2483</v>
      </c>
      <c r="C59" s="6342"/>
      <c r="D59" s="6323" t="s">
        <v>24</v>
      </c>
      <c r="E59" s="6326" t="s">
        <v>2484</v>
      </c>
      <c r="F59" s="6345"/>
      <c r="G59" s="6345"/>
      <c r="H59" s="6345"/>
      <c r="I59" s="6345"/>
      <c r="J59" s="6345"/>
      <c r="K59" s="6346"/>
      <c r="L59" s="6656" t="s">
        <v>2</v>
      </c>
      <c r="M59" s="6342" t="s">
        <v>3</v>
      </c>
    </row>
    <row r="60" spans="1:91" ht="20.399999999999999" x14ac:dyDescent="0.3">
      <c r="A60" s="599"/>
      <c r="B60" s="6353"/>
      <c r="C60" s="6325"/>
      <c r="D60" s="6362"/>
      <c r="E60" s="3271" t="s">
        <v>2485</v>
      </c>
      <c r="F60" s="3271" t="s">
        <v>2486</v>
      </c>
      <c r="G60" s="3271" t="s">
        <v>2487</v>
      </c>
      <c r="H60" s="3226" t="s">
        <v>2488</v>
      </c>
      <c r="I60" s="3070" t="s">
        <v>2489</v>
      </c>
      <c r="J60" s="3272" t="s">
        <v>2490</v>
      </c>
      <c r="K60" s="3273" t="s">
        <v>2491</v>
      </c>
      <c r="L60" s="6597"/>
      <c r="M60" s="6324"/>
    </row>
    <row r="61" spans="1:91" ht="15" customHeight="1" x14ac:dyDescent="0.3">
      <c r="A61" s="6234" t="s">
        <v>4056</v>
      </c>
      <c r="B61" s="6584" t="s">
        <v>2492</v>
      </c>
      <c r="C61" s="6585"/>
      <c r="D61" s="3274" t="s">
        <v>5292</v>
      </c>
      <c r="E61" s="3275" t="s">
        <v>5293</v>
      </c>
      <c r="F61" s="3275" t="s">
        <v>5294</v>
      </c>
      <c r="G61" s="3275" t="s">
        <v>5295</v>
      </c>
      <c r="H61" s="3134" t="s">
        <v>5296</v>
      </c>
      <c r="I61" s="3260" t="s">
        <v>5297</v>
      </c>
      <c r="J61" s="3276" t="s">
        <v>5298</v>
      </c>
      <c r="K61" s="3277" t="s">
        <v>5299</v>
      </c>
      <c r="L61" s="3260" t="s">
        <v>5300</v>
      </c>
      <c r="M61" s="3128" t="s">
        <v>5301</v>
      </c>
      <c r="N61" s="3235" t="str">
        <f>$CB61&amp;CC61</f>
        <v xml:space="preserve">* El Número de Pueblos Originarios no puede superar el Total. * El Número de Migrantes no puede superar el Total. </v>
      </c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3236"/>
      <c r="AT61" s="3236"/>
      <c r="AU61" s="3236"/>
      <c r="AV61" s="3236"/>
      <c r="AW61" s="3236"/>
      <c r="AX61" s="3236"/>
      <c r="AY61" s="3236"/>
      <c r="AZ61" s="3236"/>
      <c r="BA61" s="3236"/>
      <c r="BB61" s="3236"/>
      <c r="BC61" s="3236"/>
      <c r="BD61" s="3236"/>
      <c r="BE61" s="3236"/>
      <c r="BF61" s="3236"/>
      <c r="BG61" s="3236"/>
      <c r="BH61" s="3236"/>
      <c r="BI61" s="3236"/>
      <c r="BJ61" s="3236"/>
      <c r="BK61" s="3236"/>
      <c r="BL61" s="3236"/>
      <c r="BM61" s="3236"/>
      <c r="BN61" s="3236"/>
      <c r="BO61" s="3236"/>
      <c r="BP61" s="3236"/>
      <c r="BQ61" s="3236"/>
      <c r="BR61" s="3236"/>
      <c r="BS61" s="3236"/>
      <c r="BT61" s="3236"/>
      <c r="BU61" s="3236"/>
      <c r="BV61" s="3236"/>
      <c r="BW61" s="3236"/>
      <c r="BX61" s="3236"/>
      <c r="BY61" s="3236"/>
      <c r="BZ61" s="3236"/>
      <c r="CA61" s="3236"/>
      <c r="CB61" s="3237" t="str">
        <f>IF(AND($D61&lt;&gt;0,L61=""),"* No olvide ingresar la columna "&amp;L$59&amp;""&amp;" (Digite CERO si no tiene). ",IF(L61&gt;$D61,"* El Número de Pueblos Originarios no puede superar el Total. ",""))</f>
        <v xml:space="preserve">* El Número de Pueblos Originarios no puede superar el Total. </v>
      </c>
      <c r="CC61" s="3237" t="str">
        <f>IF(AND($D61&lt;&gt;0,M61=""),"* No olvide ingresar la columna "&amp;M$59&amp;""&amp;" (Digite CERO si no tiene). ",IF(M61&gt;$D61,"* El Número de Migrantes no puede superar el Total. ",""))</f>
        <v xml:space="preserve">* El Número de Migrantes no puede superar el Total. </v>
      </c>
      <c r="CD61" s="3236"/>
      <c r="CE61" s="3236"/>
      <c r="CF61" s="3238"/>
      <c r="CG61" s="3238"/>
      <c r="CH61" s="3238"/>
      <c r="CI61" s="3238"/>
      <c r="CJ61" s="3238"/>
      <c r="CK61" s="17"/>
      <c r="CL61" s="1724">
        <f>IF(AND($D61&lt;&gt;0,L61=""),1,IF(L61&gt;$D61,1,0))</f>
        <v>1</v>
      </c>
      <c r="CM61" s="1724">
        <f>IF(AND($D61&lt;&gt;0,M61=""),1,IF(M61&gt;$D61,1,0))</f>
        <v>1</v>
      </c>
    </row>
    <row r="62" spans="1:91" ht="15" customHeight="1" x14ac:dyDescent="0.3">
      <c r="A62" s="6240" t="s">
        <v>4057</v>
      </c>
      <c r="B62" s="6641" t="s">
        <v>2493</v>
      </c>
      <c r="C62" s="6642"/>
      <c r="D62" s="3269" t="s">
        <v>5292</v>
      </c>
      <c r="E62" s="148" t="s">
        <v>5293</v>
      </c>
      <c r="F62" s="148" t="s">
        <v>5294</v>
      </c>
      <c r="G62" s="148" t="s">
        <v>5295</v>
      </c>
      <c r="H62" s="105" t="s">
        <v>5296</v>
      </c>
      <c r="I62" s="588" t="s">
        <v>5297</v>
      </c>
      <c r="J62" s="3025" t="s">
        <v>5298</v>
      </c>
      <c r="K62" s="3279" t="s">
        <v>5299</v>
      </c>
      <c r="L62" s="3143" t="s">
        <v>5300</v>
      </c>
      <c r="M62" s="626" t="s">
        <v>5301</v>
      </c>
      <c r="N62" s="3235" t="str">
        <f t="shared" ref="N62:N67" si="15">$CB62&amp;CC62</f>
        <v xml:space="preserve">* El Número de Pueblos Originarios no puede superar el Total. * El Número de Migrantes no puede superar el Total. </v>
      </c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3236"/>
      <c r="AT62" s="3236"/>
      <c r="AU62" s="3236"/>
      <c r="AV62" s="3236"/>
      <c r="AW62" s="3236"/>
      <c r="AX62" s="3236"/>
      <c r="AY62" s="3236"/>
      <c r="AZ62" s="3236"/>
      <c r="BA62" s="3236"/>
      <c r="BB62" s="3236"/>
      <c r="BC62" s="3236"/>
      <c r="BD62" s="3236"/>
      <c r="BE62" s="3236"/>
      <c r="BF62" s="3236"/>
      <c r="BG62" s="3236"/>
      <c r="BH62" s="3236"/>
      <c r="BI62" s="3236"/>
      <c r="BJ62" s="3236"/>
      <c r="BK62" s="3236"/>
      <c r="BL62" s="3236"/>
      <c r="BM62" s="3236"/>
      <c r="BN62" s="3236"/>
      <c r="BO62" s="3236"/>
      <c r="BP62" s="3236"/>
      <c r="BQ62" s="3236"/>
      <c r="BR62" s="3236"/>
      <c r="BS62" s="3236"/>
      <c r="BT62" s="3236"/>
      <c r="BU62" s="3236"/>
      <c r="BV62" s="3236"/>
      <c r="BW62" s="3236"/>
      <c r="BX62" s="3236"/>
      <c r="BY62" s="3236"/>
      <c r="BZ62" s="3236"/>
      <c r="CA62" s="3236"/>
      <c r="CB62" s="3237" t="str">
        <f t="shared" ref="CB62:CB67" si="16">IF(AND($D62&lt;&gt;0,L62=""),"* No olvide ingresar la columna "&amp;L$59&amp;""&amp;" (Digite CERO si no tiene). ",IF(L62&gt;$D62,"* El Número de Pueblos Originarios no puede superar el Total. ",""))</f>
        <v xml:space="preserve">* El Número de Pueblos Originarios no puede superar el Total. </v>
      </c>
      <c r="CC62" s="3237" t="str">
        <f t="shared" ref="CC62:CC67" si="17">IF(AND($D62&lt;&gt;0,M62=""),"* No olvide ingresar la columna "&amp;M$59&amp;""&amp;" (Digite CERO si no tiene). ",IF(M62&gt;$D62,"* El Número de Migrantes no puede superar el Total. ",""))</f>
        <v xml:space="preserve">* El Número de Migrantes no puede superar el Total. </v>
      </c>
      <c r="CD62" s="3236"/>
      <c r="CE62" s="3236"/>
      <c r="CF62" s="3238"/>
      <c r="CG62" s="3238"/>
      <c r="CH62" s="3238"/>
      <c r="CI62" s="3238"/>
      <c r="CJ62" s="3238"/>
      <c r="CK62" s="17"/>
      <c r="CL62" s="1724">
        <f t="shared" ref="CL62:CM67" si="18">IF(AND($D62&lt;&gt;0,L62=""),1,IF(L62&gt;$D62,1,0))</f>
        <v>1</v>
      </c>
      <c r="CM62" s="1724">
        <f t="shared" si="18"/>
        <v>1</v>
      </c>
    </row>
    <row r="63" spans="1:91" ht="15" customHeight="1" x14ac:dyDescent="0.3">
      <c r="A63" s="6234" t="s">
        <v>4058</v>
      </c>
      <c r="B63" s="6643" t="s">
        <v>2494</v>
      </c>
      <c r="C63" s="6642"/>
      <c r="D63" s="3269" t="s">
        <v>5292</v>
      </c>
      <c r="E63" s="3145" t="s">
        <v>5293</v>
      </c>
      <c r="F63" s="3145" t="s">
        <v>5294</v>
      </c>
      <c r="G63" s="3145" t="s">
        <v>5295</v>
      </c>
      <c r="H63" s="3077" t="s">
        <v>5296</v>
      </c>
      <c r="I63" s="3143" t="s">
        <v>5297</v>
      </c>
      <c r="J63" s="3280" t="s">
        <v>5298</v>
      </c>
      <c r="K63" s="3281" t="s">
        <v>5299</v>
      </c>
      <c r="L63" s="3143" t="s">
        <v>5300</v>
      </c>
      <c r="M63" s="626" t="s">
        <v>5301</v>
      </c>
      <c r="N63" s="3235" t="str">
        <f t="shared" si="15"/>
        <v xml:space="preserve">* El Número de Pueblos Originarios no puede superar el Total. * El Número de Migrantes no puede superar el Total. </v>
      </c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3236"/>
      <c r="AT63" s="3236"/>
      <c r="AU63" s="3236"/>
      <c r="AV63" s="3236"/>
      <c r="AW63" s="3236"/>
      <c r="AX63" s="3236"/>
      <c r="AY63" s="3236"/>
      <c r="AZ63" s="3236"/>
      <c r="BA63" s="3236"/>
      <c r="BB63" s="3236"/>
      <c r="BC63" s="3236"/>
      <c r="BD63" s="3236"/>
      <c r="BE63" s="3236"/>
      <c r="BF63" s="3236"/>
      <c r="BG63" s="3236"/>
      <c r="BH63" s="3236"/>
      <c r="BI63" s="3236"/>
      <c r="BJ63" s="3236"/>
      <c r="BK63" s="3236"/>
      <c r="BL63" s="3236"/>
      <c r="BM63" s="3236"/>
      <c r="BN63" s="3236"/>
      <c r="BO63" s="3236"/>
      <c r="BP63" s="3236"/>
      <c r="BQ63" s="3236"/>
      <c r="BR63" s="3236"/>
      <c r="BS63" s="3236"/>
      <c r="BT63" s="3236"/>
      <c r="BU63" s="3236"/>
      <c r="BV63" s="3236"/>
      <c r="BW63" s="3236"/>
      <c r="BX63" s="3236"/>
      <c r="BY63" s="3236"/>
      <c r="BZ63" s="3236"/>
      <c r="CA63" s="3236"/>
      <c r="CB63" s="3237" t="str">
        <f t="shared" si="16"/>
        <v xml:space="preserve">* El Número de Pueblos Originarios no puede superar el Total. </v>
      </c>
      <c r="CC63" s="3237" t="str">
        <f t="shared" si="17"/>
        <v xml:space="preserve">* El Número de Migrantes no puede superar el Total. </v>
      </c>
      <c r="CD63" s="3236"/>
      <c r="CE63" s="3236"/>
      <c r="CF63" s="3238"/>
      <c r="CG63" s="3238"/>
      <c r="CH63" s="3238"/>
      <c r="CI63" s="3238"/>
      <c r="CJ63" s="3238"/>
      <c r="CK63" s="17"/>
      <c r="CL63" s="1724">
        <f t="shared" si="18"/>
        <v>1</v>
      </c>
      <c r="CM63" s="1724">
        <f t="shared" si="18"/>
        <v>1</v>
      </c>
    </row>
    <row r="64" spans="1:91" ht="15" customHeight="1" x14ac:dyDescent="0.3">
      <c r="A64" s="6234" t="s">
        <v>4059</v>
      </c>
      <c r="B64" s="6643" t="s">
        <v>2495</v>
      </c>
      <c r="C64" s="6642"/>
      <c r="D64" s="635" t="s">
        <v>5292</v>
      </c>
      <c r="E64" s="3282" t="s">
        <v>5293</v>
      </c>
      <c r="F64" s="3282" t="s">
        <v>5294</v>
      </c>
      <c r="G64" s="3282" t="s">
        <v>5295</v>
      </c>
      <c r="H64" s="3282" t="s">
        <v>5296</v>
      </c>
      <c r="I64" s="3283" t="s">
        <v>5297</v>
      </c>
      <c r="J64" s="616" t="s">
        <v>5298</v>
      </c>
      <c r="K64" s="3147" t="s">
        <v>5299</v>
      </c>
      <c r="L64" s="3143" t="s">
        <v>5300</v>
      </c>
      <c r="M64" s="626" t="s">
        <v>5301</v>
      </c>
      <c r="N64" s="3235" t="str">
        <f t="shared" si="15"/>
        <v xml:space="preserve">* El Número de Pueblos Originarios no puede superar el Total. * El Número de Migrantes no puede superar el Total. </v>
      </c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3236"/>
      <c r="AT64" s="3236"/>
      <c r="AU64" s="3236"/>
      <c r="AV64" s="3236"/>
      <c r="AW64" s="3236"/>
      <c r="AX64" s="3236"/>
      <c r="AY64" s="3236"/>
      <c r="AZ64" s="3236"/>
      <c r="BA64" s="3236"/>
      <c r="BB64" s="3236"/>
      <c r="BC64" s="3236"/>
      <c r="BD64" s="3236"/>
      <c r="BE64" s="3236"/>
      <c r="BF64" s="3236"/>
      <c r="BG64" s="3236"/>
      <c r="BH64" s="3236"/>
      <c r="BI64" s="3236"/>
      <c r="BJ64" s="3236"/>
      <c r="BK64" s="3236"/>
      <c r="BL64" s="3236"/>
      <c r="BM64" s="3236"/>
      <c r="BN64" s="3236"/>
      <c r="BO64" s="3236"/>
      <c r="BP64" s="3236"/>
      <c r="BQ64" s="3236"/>
      <c r="BR64" s="3236"/>
      <c r="BS64" s="3236"/>
      <c r="BT64" s="3236"/>
      <c r="BU64" s="3236"/>
      <c r="BV64" s="3236"/>
      <c r="BW64" s="3236"/>
      <c r="BX64" s="3236"/>
      <c r="BY64" s="3236"/>
      <c r="BZ64" s="3236"/>
      <c r="CA64" s="3236"/>
      <c r="CB64" s="3237" t="str">
        <f t="shared" si="16"/>
        <v xml:space="preserve">* El Número de Pueblos Originarios no puede superar el Total. </v>
      </c>
      <c r="CC64" s="3237" t="str">
        <f t="shared" si="17"/>
        <v xml:space="preserve">* El Número de Migrantes no puede superar el Total. </v>
      </c>
      <c r="CD64" s="3236"/>
      <c r="CE64" s="3236"/>
      <c r="CF64" s="3238"/>
      <c r="CG64" s="3238"/>
      <c r="CH64" s="3238"/>
      <c r="CI64" s="3238"/>
      <c r="CJ64" s="3238"/>
      <c r="CK64" s="17"/>
      <c r="CL64" s="1724">
        <f t="shared" si="18"/>
        <v>1</v>
      </c>
      <c r="CM64" s="1724">
        <f t="shared" si="18"/>
        <v>1</v>
      </c>
    </row>
    <row r="65" spans="1:91" ht="20.25" customHeight="1" x14ac:dyDescent="0.3">
      <c r="A65" s="6234" t="s">
        <v>4060</v>
      </c>
      <c r="B65" s="6643" t="s">
        <v>2496</v>
      </c>
      <c r="C65" s="6642"/>
      <c r="D65" s="635" t="s">
        <v>5292</v>
      </c>
      <c r="E65" s="3282" t="s">
        <v>5293</v>
      </c>
      <c r="F65" s="3282" t="s">
        <v>5294</v>
      </c>
      <c r="G65" s="3282" t="s">
        <v>5295</v>
      </c>
      <c r="H65" s="3282" t="s">
        <v>5296</v>
      </c>
      <c r="I65" s="3283" t="s">
        <v>5297</v>
      </c>
      <c r="J65" s="616" t="s">
        <v>5298</v>
      </c>
      <c r="K65" s="3147" t="s">
        <v>5299</v>
      </c>
      <c r="L65" s="3143" t="s">
        <v>5300</v>
      </c>
      <c r="M65" s="626" t="s">
        <v>5301</v>
      </c>
      <c r="N65" s="3235" t="str">
        <f t="shared" si="15"/>
        <v xml:space="preserve">* El Número de Pueblos Originarios no puede superar el Total. * El Número de Migrantes no puede superar el Total. </v>
      </c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3236"/>
      <c r="AT65" s="3236"/>
      <c r="AU65" s="3236"/>
      <c r="AV65" s="3236"/>
      <c r="AW65" s="3236"/>
      <c r="AX65" s="3236"/>
      <c r="AY65" s="3236"/>
      <c r="AZ65" s="3236"/>
      <c r="BA65" s="3236"/>
      <c r="BB65" s="3236"/>
      <c r="BC65" s="3236"/>
      <c r="BD65" s="3236"/>
      <c r="BE65" s="3236"/>
      <c r="BF65" s="3236"/>
      <c r="BG65" s="3236"/>
      <c r="BH65" s="3236"/>
      <c r="BI65" s="3236"/>
      <c r="BJ65" s="3236"/>
      <c r="BK65" s="3236"/>
      <c r="BL65" s="3236"/>
      <c r="BM65" s="3236"/>
      <c r="BN65" s="3236"/>
      <c r="BO65" s="3236"/>
      <c r="BP65" s="3236"/>
      <c r="BQ65" s="3236"/>
      <c r="BR65" s="3236"/>
      <c r="BS65" s="3236"/>
      <c r="BT65" s="3236"/>
      <c r="BU65" s="3236"/>
      <c r="BV65" s="3236"/>
      <c r="BW65" s="3236"/>
      <c r="BX65" s="3236"/>
      <c r="BY65" s="3236"/>
      <c r="BZ65" s="3236"/>
      <c r="CA65" s="3236"/>
      <c r="CB65" s="3237" t="str">
        <f t="shared" si="16"/>
        <v xml:space="preserve">* El Número de Pueblos Originarios no puede superar el Total. </v>
      </c>
      <c r="CC65" s="3237" t="str">
        <f t="shared" si="17"/>
        <v xml:space="preserve">* El Número de Migrantes no puede superar el Total. </v>
      </c>
      <c r="CD65" s="3236"/>
      <c r="CE65" s="3236"/>
      <c r="CF65" s="3238"/>
      <c r="CG65" s="3238"/>
      <c r="CH65" s="3238"/>
      <c r="CI65" s="3238"/>
      <c r="CJ65" s="3238"/>
      <c r="CK65" s="17"/>
      <c r="CL65" s="1724">
        <f t="shared" si="18"/>
        <v>1</v>
      </c>
      <c r="CM65" s="1724">
        <f t="shared" si="18"/>
        <v>1</v>
      </c>
    </row>
    <row r="66" spans="1:91" ht="15" customHeight="1" x14ac:dyDescent="0.3">
      <c r="A66" s="6234" t="s">
        <v>4061</v>
      </c>
      <c r="B66" s="6644" t="s">
        <v>2497</v>
      </c>
      <c r="C66" s="6645"/>
      <c r="D66" s="917" t="s">
        <v>5292</v>
      </c>
      <c r="E66" s="904" t="s">
        <v>5293</v>
      </c>
      <c r="F66" s="904" t="s">
        <v>5294</v>
      </c>
      <c r="G66" s="904" t="s">
        <v>5295</v>
      </c>
      <c r="H66" s="904" t="s">
        <v>5296</v>
      </c>
      <c r="I66" s="3284" t="s">
        <v>5297</v>
      </c>
      <c r="J66" s="3023" t="s">
        <v>5298</v>
      </c>
      <c r="K66" s="1688" t="s">
        <v>5299</v>
      </c>
      <c r="L66" s="121" t="s">
        <v>5300</v>
      </c>
      <c r="M66" s="3035" t="s">
        <v>5301</v>
      </c>
      <c r="N66" s="3235" t="str">
        <f>$CB66&amp;CC66</f>
        <v xml:space="preserve">* El Número de Pueblos Originarios no puede superar el Total. * El Número de Migrantes no puede superar el Total. </v>
      </c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3236"/>
      <c r="AT66" s="3236"/>
      <c r="AU66" s="3236"/>
      <c r="AV66" s="3236"/>
      <c r="AW66" s="3236"/>
      <c r="AX66" s="3236"/>
      <c r="AY66" s="3236"/>
      <c r="AZ66" s="3236"/>
      <c r="BA66" s="3236"/>
      <c r="BB66" s="3236"/>
      <c r="BC66" s="3236"/>
      <c r="BD66" s="3236"/>
      <c r="BE66" s="3236"/>
      <c r="BF66" s="3236"/>
      <c r="BG66" s="3236"/>
      <c r="BH66" s="3236"/>
      <c r="BI66" s="3236"/>
      <c r="BJ66" s="3236"/>
      <c r="BK66" s="3236"/>
      <c r="BL66" s="3236"/>
      <c r="BM66" s="3236"/>
      <c r="BN66" s="3236"/>
      <c r="BO66" s="3236"/>
      <c r="BP66" s="3236"/>
      <c r="BQ66" s="3236"/>
      <c r="BR66" s="3236"/>
      <c r="BS66" s="3236"/>
      <c r="BT66" s="3236"/>
      <c r="BU66" s="3236"/>
      <c r="BV66" s="3236"/>
      <c r="BW66" s="3236"/>
      <c r="BX66" s="3236"/>
      <c r="BY66" s="3236"/>
      <c r="BZ66" s="3236"/>
      <c r="CA66" s="3236"/>
      <c r="CB66" s="3237" t="str">
        <f>IF(AND($D66&lt;&gt;0,L66=""),"* No olvide ingresar la columna "&amp;L$59&amp;""&amp;" (Digite CERO si no tiene). ",IF(L66&gt;$D66,"* El Número de Pueblos Originarios no puede superar el Total. ",""))</f>
        <v xml:space="preserve">* El Número de Pueblos Originarios no puede superar el Total. </v>
      </c>
      <c r="CC66" s="3237" t="str">
        <f t="shared" si="17"/>
        <v xml:space="preserve">* El Número de Migrantes no puede superar el Total. </v>
      </c>
      <c r="CD66" s="3236"/>
      <c r="CE66" s="3236"/>
      <c r="CF66" s="3238"/>
      <c r="CG66" s="3238"/>
      <c r="CH66" s="3238"/>
      <c r="CI66" s="3238"/>
      <c r="CJ66" s="3238"/>
      <c r="CK66" s="17"/>
      <c r="CL66" s="1724">
        <f t="shared" si="18"/>
        <v>1</v>
      </c>
      <c r="CM66" s="1724">
        <f t="shared" si="18"/>
        <v>1</v>
      </c>
    </row>
    <row r="67" spans="1:91" ht="15" customHeight="1" x14ac:dyDescent="0.3">
      <c r="A67" s="6234" t="s">
        <v>4062</v>
      </c>
      <c r="B67" s="6646" t="s">
        <v>2498</v>
      </c>
      <c r="C67" s="6647"/>
      <c r="D67" s="2729" t="s">
        <v>5292</v>
      </c>
      <c r="E67" s="3285" t="s">
        <v>5293</v>
      </c>
      <c r="F67" s="3285" t="s">
        <v>5294</v>
      </c>
      <c r="G67" s="3285" t="s">
        <v>5295</v>
      </c>
      <c r="H67" s="3285" t="s">
        <v>5296</v>
      </c>
      <c r="I67" s="3170" t="s">
        <v>5297</v>
      </c>
      <c r="J67" s="2410" t="s">
        <v>5298</v>
      </c>
      <c r="K67" s="3286" t="s">
        <v>5299</v>
      </c>
      <c r="L67" s="2815" t="s">
        <v>5300</v>
      </c>
      <c r="M67" s="2924" t="s">
        <v>5301</v>
      </c>
      <c r="N67" s="3235" t="str">
        <f t="shared" si="15"/>
        <v xml:space="preserve">* El Número de Pueblos Originarios no puede superar el Total. * El Número de Migrantes no puede superar el Total. </v>
      </c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3236"/>
      <c r="AT67" s="3236"/>
      <c r="AU67" s="3236"/>
      <c r="AV67" s="3236"/>
      <c r="AW67" s="3236"/>
      <c r="AX67" s="3236"/>
      <c r="AY67" s="3236"/>
      <c r="AZ67" s="3236"/>
      <c r="BA67" s="3236"/>
      <c r="BB67" s="3236"/>
      <c r="BC67" s="3236"/>
      <c r="BD67" s="3236"/>
      <c r="BE67" s="3236"/>
      <c r="BF67" s="3236"/>
      <c r="BG67" s="3236"/>
      <c r="BH67" s="3236"/>
      <c r="BI67" s="3236"/>
      <c r="BJ67" s="3236"/>
      <c r="BK67" s="3236"/>
      <c r="BL67" s="3236"/>
      <c r="BM67" s="3236"/>
      <c r="BN67" s="3236"/>
      <c r="BO67" s="3236"/>
      <c r="BP67" s="3236"/>
      <c r="BQ67" s="3236"/>
      <c r="BR67" s="3236"/>
      <c r="BS67" s="3236"/>
      <c r="BT67" s="3236"/>
      <c r="BU67" s="3236"/>
      <c r="BV67" s="3236"/>
      <c r="BW67" s="3236"/>
      <c r="BX67" s="3236"/>
      <c r="BY67" s="3236"/>
      <c r="BZ67" s="3236"/>
      <c r="CA67" s="3236"/>
      <c r="CB67" s="3237" t="str">
        <f t="shared" si="16"/>
        <v xml:space="preserve">* El Número de Pueblos Originarios no puede superar el Total. </v>
      </c>
      <c r="CC67" s="3237" t="str">
        <f t="shared" si="17"/>
        <v xml:space="preserve">* El Número de Migrantes no puede superar el Total. </v>
      </c>
      <c r="CD67" s="3236"/>
      <c r="CE67" s="3236"/>
      <c r="CF67" s="3238"/>
      <c r="CG67" s="3238"/>
      <c r="CH67" s="3238"/>
      <c r="CI67" s="3238"/>
      <c r="CJ67" s="3238"/>
      <c r="CK67" s="17"/>
      <c r="CL67" s="1724">
        <f t="shared" si="18"/>
        <v>1</v>
      </c>
      <c r="CM67" s="1724">
        <f t="shared" si="18"/>
        <v>1</v>
      </c>
    </row>
    <row r="68" spans="1:91" s="3290" customFormat="1" ht="18" customHeight="1" x14ac:dyDescent="0.3">
      <c r="B68" s="3061" t="s">
        <v>2499</v>
      </c>
      <c r="C68" s="3287"/>
      <c r="D68" s="3287"/>
      <c r="E68" s="3287"/>
      <c r="F68" s="3287"/>
      <c r="G68" s="3287"/>
      <c r="H68" s="3287"/>
      <c r="I68" s="3287"/>
      <c r="J68" s="3287"/>
      <c r="K68" s="3288"/>
      <c r="L68" s="3288"/>
      <c r="M68" s="3289"/>
    </row>
    <row r="69" spans="1:91" ht="15" customHeight="1" x14ac:dyDescent="0.3">
      <c r="A69" s="6236"/>
      <c r="B69" s="6342" t="s">
        <v>2452</v>
      </c>
      <c r="C69" s="6340" t="s">
        <v>35</v>
      </c>
      <c r="D69" s="6341"/>
      <c r="E69" s="6342"/>
      <c r="F69" s="6461" t="s">
        <v>30</v>
      </c>
      <c r="G69" s="6461"/>
      <c r="H69" s="6461"/>
      <c r="I69" s="6635"/>
      <c r="J69" s="6636" t="s">
        <v>2</v>
      </c>
      <c r="K69" s="6639" t="s">
        <v>3</v>
      </c>
    </row>
    <row r="70" spans="1:91" ht="15" customHeight="1" x14ac:dyDescent="0.3">
      <c r="A70" s="6236"/>
      <c r="B70" s="6324"/>
      <c r="C70" s="6353"/>
      <c r="D70" s="6383"/>
      <c r="E70" s="6325"/>
      <c r="F70" s="6326" t="s">
        <v>549</v>
      </c>
      <c r="G70" s="6462"/>
      <c r="H70" s="6345" t="s">
        <v>550</v>
      </c>
      <c r="I70" s="6346"/>
      <c r="J70" s="6637"/>
      <c r="K70" s="6598"/>
    </row>
    <row r="71" spans="1:91" ht="15" customHeight="1" x14ac:dyDescent="0.3">
      <c r="A71" s="6236"/>
      <c r="B71" s="6325"/>
      <c r="C71" s="4642" t="s">
        <v>26</v>
      </c>
      <c r="D71" s="3160" t="s">
        <v>22</v>
      </c>
      <c r="E71" s="2739" t="s">
        <v>27</v>
      </c>
      <c r="F71" s="3153" t="s">
        <v>22</v>
      </c>
      <c r="G71" s="3226" t="s">
        <v>27</v>
      </c>
      <c r="H71" s="3153" t="s">
        <v>22</v>
      </c>
      <c r="I71" s="3162" t="s">
        <v>27</v>
      </c>
      <c r="J71" s="6638"/>
      <c r="K71" s="6640"/>
    </row>
    <row r="72" spans="1:91" ht="15" customHeight="1" x14ac:dyDescent="0.3">
      <c r="A72" s="6240" t="s">
        <v>4063</v>
      </c>
      <c r="B72" s="3291" t="s">
        <v>2432</v>
      </c>
      <c r="C72" s="145" t="s">
        <v>5292</v>
      </c>
      <c r="D72" s="3292" t="s">
        <v>5293</v>
      </c>
      <c r="E72" s="3293" t="s">
        <v>5294</v>
      </c>
      <c r="F72" s="3127" t="s">
        <v>5295</v>
      </c>
      <c r="G72" s="105" t="s">
        <v>5296</v>
      </c>
      <c r="H72" s="106" t="s">
        <v>5297</v>
      </c>
      <c r="I72" s="767" t="s">
        <v>5298</v>
      </c>
      <c r="J72" s="588" t="s">
        <v>5299</v>
      </c>
      <c r="K72" s="587" t="s">
        <v>5300</v>
      </c>
      <c r="L72" s="3235" t="str">
        <f>$CB72&amp;CC72</f>
        <v xml:space="preserve">* El Número de Pueblos Originarios no puede superar el Total. * El Número de Migrantes no puede superar el Total. </v>
      </c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3236"/>
      <c r="AR72" s="3236"/>
      <c r="AS72" s="3236"/>
      <c r="AT72" s="3236"/>
      <c r="AU72" s="3236"/>
      <c r="AV72" s="3236"/>
      <c r="AW72" s="3236"/>
      <c r="AX72" s="3236"/>
      <c r="AY72" s="3236"/>
      <c r="AZ72" s="3236"/>
      <c r="BA72" s="3236"/>
      <c r="BB72" s="3236"/>
      <c r="BC72" s="3236"/>
      <c r="BD72" s="3236"/>
      <c r="BE72" s="3236"/>
      <c r="BF72" s="3236"/>
      <c r="BG72" s="3236"/>
      <c r="BH72" s="3236"/>
      <c r="BI72" s="3236"/>
      <c r="BJ72" s="3236"/>
      <c r="BK72" s="3236"/>
      <c r="BL72" s="3236"/>
      <c r="BM72" s="3236"/>
      <c r="BN72" s="3236"/>
      <c r="BO72" s="3236"/>
      <c r="BP72" s="3236"/>
      <c r="BQ72" s="3236"/>
      <c r="BR72" s="3236"/>
      <c r="BS72" s="3236"/>
      <c r="BT72" s="3236"/>
      <c r="BU72" s="3236"/>
      <c r="BV72" s="3236"/>
      <c r="BW72" s="3236"/>
      <c r="BX72" s="3236"/>
      <c r="BY72" s="3236"/>
      <c r="BZ72" s="3236"/>
      <c r="CA72" s="3236"/>
      <c r="CB72" s="3237" t="str">
        <f>IF(AND($C72&lt;&gt;0,J72=""),"* No olvide ingresar la columna "&amp;J$69&amp;""&amp;" (Digite CERO si no tiene). ",IF(J72&gt;$C72,"* El Número de Pueblos Originarios no puede superar el Total. ",""))</f>
        <v xml:space="preserve">* El Número de Pueblos Originarios no puede superar el Total. </v>
      </c>
      <c r="CC72" s="3237" t="str">
        <f>IF(AND($C72&lt;&gt;0,K72=""),"* No olvide ingresar la columna "&amp;K$69&amp;""&amp;" (Digite CERO si no tiene). ",IF(K72&gt;$C72,"* El Número de Migrantes no puede superar el Total. ",""))</f>
        <v xml:space="preserve">* El Número de Migrantes no puede superar el Total. </v>
      </c>
      <c r="CD72" s="3236"/>
      <c r="CE72" s="3236"/>
      <c r="CF72" s="3238"/>
      <c r="CG72" s="3238"/>
      <c r="CH72" s="3238"/>
      <c r="CI72" s="3238"/>
      <c r="CJ72" s="3238"/>
      <c r="CK72" s="17"/>
      <c r="CL72" s="1724">
        <f>IF(AND($C72&lt;&gt;0,J72=""),1,IF(J72&gt;$C72,1,0))</f>
        <v>1</v>
      </c>
      <c r="CM72" s="1724">
        <f>IF(AND($C72&lt;&gt;0,K72=""),1,IF(K72&gt;$C72,1,0))</f>
        <v>1</v>
      </c>
    </row>
    <row r="73" spans="1:91" ht="15" customHeight="1" x14ac:dyDescent="0.3">
      <c r="A73" s="6240" t="s">
        <v>4064</v>
      </c>
      <c r="B73" s="3294" t="s">
        <v>2480</v>
      </c>
      <c r="C73" s="1037" t="s">
        <v>5292</v>
      </c>
      <c r="D73" s="3295" t="s">
        <v>5293</v>
      </c>
      <c r="E73" s="3296" t="s">
        <v>5294</v>
      </c>
      <c r="F73" s="616" t="s">
        <v>5295</v>
      </c>
      <c r="G73" s="3077" t="s">
        <v>5296</v>
      </c>
      <c r="H73" s="616" t="s">
        <v>5297</v>
      </c>
      <c r="I73" s="3144" t="s">
        <v>5298</v>
      </c>
      <c r="J73" s="3143" t="s">
        <v>5299</v>
      </c>
      <c r="K73" s="626" t="s">
        <v>5300</v>
      </c>
      <c r="L73" s="3235" t="str">
        <f t="shared" ref="L73:L74" si="19">$CB73&amp;CC73</f>
        <v xml:space="preserve">* El Número de Pueblos Originarios no puede superar el Total. * El Número de Migrantes no puede superar el Total. </v>
      </c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3236"/>
      <c r="AR73" s="3236"/>
      <c r="AS73" s="3236"/>
      <c r="AT73" s="3236"/>
      <c r="AU73" s="3236"/>
      <c r="AV73" s="3236"/>
      <c r="AW73" s="3236"/>
      <c r="AX73" s="3236"/>
      <c r="AY73" s="3236"/>
      <c r="AZ73" s="3236"/>
      <c r="BA73" s="3236"/>
      <c r="BB73" s="3236"/>
      <c r="BC73" s="3236"/>
      <c r="BD73" s="3236"/>
      <c r="BE73" s="3236"/>
      <c r="BF73" s="3236"/>
      <c r="BG73" s="3236"/>
      <c r="BH73" s="3236"/>
      <c r="BI73" s="3236"/>
      <c r="BJ73" s="3236"/>
      <c r="BK73" s="3236"/>
      <c r="BL73" s="3236"/>
      <c r="BM73" s="3236"/>
      <c r="BN73" s="3236"/>
      <c r="BO73" s="3236"/>
      <c r="BP73" s="3236"/>
      <c r="BQ73" s="3236"/>
      <c r="BR73" s="3236"/>
      <c r="BS73" s="3236"/>
      <c r="BT73" s="3236"/>
      <c r="BU73" s="3236"/>
      <c r="BV73" s="3236"/>
      <c r="BW73" s="3236"/>
      <c r="BX73" s="3236"/>
      <c r="BY73" s="3236"/>
      <c r="BZ73" s="3236"/>
      <c r="CA73" s="3236"/>
      <c r="CB73" s="3237" t="str">
        <f t="shared" ref="CB73:CB74" si="20">IF(AND($C73&lt;&gt;0,J73=""),"* No olvide ingresar la columna "&amp;J$69&amp;""&amp;" (Digite CERO si no tiene). ",IF(J73&gt;$C73,"* El Número de Pueblos Originarios no puede superar el Total. ",""))</f>
        <v xml:space="preserve">* El Número de Pueblos Originarios no puede superar el Total. </v>
      </c>
      <c r="CC73" s="3237" t="str">
        <f t="shared" ref="CC73:CC74" si="21">IF(AND($C73&lt;&gt;0,K73=""),"* No olvide ingresar la columna "&amp;K$69&amp;""&amp;" (Digite CERO si no tiene). ",IF(K73&gt;$C73,"* El Número de Migrantes no puede superar el Total. ",""))</f>
        <v xml:space="preserve">* El Número de Migrantes no puede superar el Total. </v>
      </c>
      <c r="CD73" s="3236"/>
      <c r="CE73" s="3236"/>
      <c r="CF73" s="3238"/>
      <c r="CG73" s="3238"/>
      <c r="CH73" s="3238"/>
      <c r="CI73" s="3238"/>
      <c r="CJ73" s="3238"/>
      <c r="CK73" s="17"/>
      <c r="CL73" s="1724">
        <f t="shared" ref="CL73:CM74" si="22">IF(AND($C73&lt;&gt;0,J73=""),1,IF(J73&gt;$C73,1,0))</f>
        <v>1</v>
      </c>
      <c r="CM73" s="1724">
        <f t="shared" si="22"/>
        <v>1</v>
      </c>
    </row>
    <row r="74" spans="1:91" ht="15" customHeight="1" x14ac:dyDescent="0.3">
      <c r="A74" s="6240" t="s">
        <v>4065</v>
      </c>
      <c r="B74" s="1985" t="s">
        <v>2500</v>
      </c>
      <c r="C74" s="3217" t="s">
        <v>5292</v>
      </c>
      <c r="D74" s="3297" t="s">
        <v>5293</v>
      </c>
      <c r="E74" s="3298" t="s">
        <v>5294</v>
      </c>
      <c r="F74" s="3023" t="s">
        <v>5295</v>
      </c>
      <c r="G74" s="117" t="s">
        <v>5296</v>
      </c>
      <c r="H74" s="3023" t="s">
        <v>5297</v>
      </c>
      <c r="I74" s="770" t="s">
        <v>5298</v>
      </c>
      <c r="J74" s="121" t="s">
        <v>5299</v>
      </c>
      <c r="K74" s="3035" t="s">
        <v>5300</v>
      </c>
      <c r="L74" s="3235" t="str">
        <f t="shared" si="19"/>
        <v xml:space="preserve">* El Número de Pueblos Originarios no puede superar el Total. * El Número de Migrantes no puede superar el Total. </v>
      </c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3236"/>
      <c r="AR74" s="3236"/>
      <c r="AS74" s="3236"/>
      <c r="AT74" s="3236"/>
      <c r="AU74" s="3236"/>
      <c r="AV74" s="3236"/>
      <c r="AW74" s="3236"/>
      <c r="AX74" s="3236"/>
      <c r="AY74" s="3236"/>
      <c r="AZ74" s="3236"/>
      <c r="BA74" s="3236"/>
      <c r="BB74" s="3236"/>
      <c r="BC74" s="3236"/>
      <c r="BD74" s="3236"/>
      <c r="BE74" s="3236"/>
      <c r="BF74" s="3236"/>
      <c r="BG74" s="3236"/>
      <c r="BH74" s="3236"/>
      <c r="BI74" s="3236"/>
      <c r="BJ74" s="3236"/>
      <c r="BK74" s="3236"/>
      <c r="BL74" s="3236"/>
      <c r="BM74" s="3236"/>
      <c r="BN74" s="3236"/>
      <c r="BO74" s="3236"/>
      <c r="BP74" s="3236"/>
      <c r="BQ74" s="3236"/>
      <c r="BR74" s="3236"/>
      <c r="BS74" s="3236"/>
      <c r="BT74" s="3236"/>
      <c r="BU74" s="3236"/>
      <c r="BV74" s="3236"/>
      <c r="BW74" s="3236"/>
      <c r="BX74" s="3236"/>
      <c r="BY74" s="3236"/>
      <c r="BZ74" s="3236"/>
      <c r="CA74" s="3236"/>
      <c r="CB74" s="3237" t="str">
        <f t="shared" si="20"/>
        <v xml:space="preserve">* El Número de Pueblos Originarios no puede superar el Total. </v>
      </c>
      <c r="CC74" s="3237" t="str">
        <f t="shared" si="21"/>
        <v xml:space="preserve">* El Número de Migrantes no puede superar el Total. </v>
      </c>
      <c r="CD74" s="3236"/>
      <c r="CE74" s="3236"/>
      <c r="CF74" s="3238"/>
      <c r="CG74" s="3238"/>
      <c r="CH74" s="3238"/>
      <c r="CI74" s="3238"/>
      <c r="CJ74" s="3238"/>
      <c r="CK74" s="17"/>
      <c r="CL74" s="1724">
        <f t="shared" si="22"/>
        <v>1</v>
      </c>
      <c r="CM74" s="1724">
        <f t="shared" si="22"/>
        <v>1</v>
      </c>
    </row>
    <row r="75" spans="1:91" ht="18" customHeight="1" x14ac:dyDescent="0.3">
      <c r="B75" s="210" t="s">
        <v>2501</v>
      </c>
      <c r="C75" s="3197"/>
      <c r="D75" s="3197"/>
      <c r="E75" s="3197"/>
      <c r="F75" s="3197"/>
      <c r="G75" s="3197"/>
      <c r="H75" s="3197"/>
    </row>
    <row r="76" spans="1:91" ht="18" customHeight="1" x14ac:dyDescent="0.3">
      <c r="B76" s="210" t="s">
        <v>2502</v>
      </c>
      <c r="C76" s="3299"/>
      <c r="D76" s="3299"/>
      <c r="E76" s="3299"/>
      <c r="F76" s="3299"/>
      <c r="G76" s="3299"/>
      <c r="H76" s="3299"/>
    </row>
    <row r="77" spans="1:91" ht="15" customHeight="1" x14ac:dyDescent="0.3">
      <c r="B77" s="6323" t="s">
        <v>2503</v>
      </c>
      <c r="C77" s="6323" t="s">
        <v>24</v>
      </c>
    </row>
    <row r="78" spans="1:91" ht="15" customHeight="1" x14ac:dyDescent="0.3">
      <c r="B78" s="6373"/>
      <c r="C78" s="6362"/>
    </row>
    <row r="79" spans="1:91" ht="15" customHeight="1" x14ac:dyDescent="0.3">
      <c r="B79" s="6362"/>
      <c r="C79" s="3148">
        <f>SUM(C80:C83)</f>
        <v>0</v>
      </c>
    </row>
    <row r="80" spans="1:91" ht="15" customHeight="1" x14ac:dyDescent="0.3">
      <c r="A80" s="6234" t="s">
        <v>4066</v>
      </c>
      <c r="B80" s="1692" t="s">
        <v>2504</v>
      </c>
      <c r="C80" s="148" t="s">
        <v>5292</v>
      </c>
    </row>
    <row r="81" spans="1:92" ht="15" customHeight="1" x14ac:dyDescent="0.3">
      <c r="A81" s="6234" t="s">
        <v>4067</v>
      </c>
      <c r="B81" s="3046" t="s">
        <v>2434</v>
      </c>
      <c r="C81" s="3145" t="s">
        <v>5292</v>
      </c>
    </row>
    <row r="82" spans="1:92" ht="15" customHeight="1" x14ac:dyDescent="0.3">
      <c r="A82" s="6234" t="s">
        <v>4068</v>
      </c>
      <c r="B82" s="3046" t="s">
        <v>2432</v>
      </c>
      <c r="C82" s="3145" t="s">
        <v>5292</v>
      </c>
    </row>
    <row r="83" spans="1:92" ht="15" customHeight="1" x14ac:dyDescent="0.3">
      <c r="A83" s="6234" t="s">
        <v>4069</v>
      </c>
      <c r="B83" s="150" t="s">
        <v>2505</v>
      </c>
      <c r="C83" s="153" t="s">
        <v>5292</v>
      </c>
    </row>
    <row r="84" spans="1:92" ht="18" customHeight="1" x14ac:dyDescent="0.3">
      <c r="A84" s="599"/>
      <c r="B84" s="123" t="s">
        <v>2506</v>
      </c>
    </row>
    <row r="85" spans="1:92" ht="20.399999999999999" x14ac:dyDescent="0.3">
      <c r="A85" s="599"/>
      <c r="B85" s="3272" t="s">
        <v>112</v>
      </c>
      <c r="C85" s="3271" t="s">
        <v>2507</v>
      </c>
      <c r="D85" s="3271" t="s">
        <v>1932</v>
      </c>
      <c r="E85" s="3271" t="s">
        <v>2508</v>
      </c>
      <c r="F85" s="3271" t="s">
        <v>321</v>
      </c>
    </row>
    <row r="86" spans="1:92" ht="15" customHeight="1" x14ac:dyDescent="0.3">
      <c r="A86" s="6234" t="s">
        <v>4070</v>
      </c>
      <c r="B86" s="3300" t="s">
        <v>2509</v>
      </c>
      <c r="C86" s="3275" t="s">
        <v>5292</v>
      </c>
      <c r="D86" s="3275" t="s">
        <v>5293</v>
      </c>
      <c r="E86" s="3275" t="s">
        <v>5294</v>
      </c>
      <c r="F86" s="3275" t="s">
        <v>5295</v>
      </c>
      <c r="G86" s="3197" t="str">
        <f>CB86&amp;CC86&amp;CD86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CB86" s="2784" t="str">
        <f>IF(CL86=1,"*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86" s="5944" t="str">
        <f>IF(CM86=1,"*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86" s="5944" t="str">
        <f>IF(CN86=1,"*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E86" s="3201"/>
      <c r="CF86" s="3201"/>
      <c r="CG86" s="3201"/>
      <c r="CH86" s="3201"/>
      <c r="CI86" s="3201"/>
      <c r="CJ86" s="3201"/>
      <c r="CK86" s="3201"/>
      <c r="CL86" s="3644">
        <f>IF(C86&lt;D86,1,0)</f>
        <v>1</v>
      </c>
      <c r="CM86" s="3644">
        <f>IF(D86&lt;E86,1,0)</f>
        <v>1</v>
      </c>
      <c r="CN86" s="3644">
        <f>IF(F86&gt;C86,1,0)</f>
        <v>1</v>
      </c>
    </row>
    <row r="87" spans="1:92" ht="15" customHeight="1" x14ac:dyDescent="0.3">
      <c r="A87" s="6234" t="s">
        <v>4071</v>
      </c>
      <c r="B87" s="3301" t="s">
        <v>2510</v>
      </c>
      <c r="C87" s="2916" t="s">
        <v>5292</v>
      </c>
      <c r="D87" s="2916" t="s">
        <v>5293</v>
      </c>
      <c r="E87" s="2916" t="s">
        <v>5294</v>
      </c>
      <c r="F87" s="2916" t="s">
        <v>5295</v>
      </c>
      <c r="G87" s="3197" t="str">
        <f>CB87&amp;CC87&amp;CD87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CB87" s="2784" t="str">
        <f>IF(CL87=1,"*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87" s="5944" t="str">
        <f>IF(CM87=1,"*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87" s="5944" t="str">
        <f>IF(CN87=1,"*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E87" s="3201"/>
      <c r="CF87" s="3201"/>
      <c r="CG87" s="3201"/>
      <c r="CH87" s="3201"/>
      <c r="CI87" s="3201"/>
      <c r="CJ87" s="3201"/>
      <c r="CK87" s="3201"/>
      <c r="CL87" s="3644">
        <f>IF(C87&lt;D87,1,0)</f>
        <v>1</v>
      </c>
      <c r="CM87" s="3644">
        <f>IF(D87&lt;E87,1,0)</f>
        <v>1</v>
      </c>
      <c r="CN87" s="3644">
        <f>IF(F87&gt;C87,1,0)</f>
        <v>1</v>
      </c>
    </row>
    <row r="88" spans="1:92" ht="18" customHeight="1" x14ac:dyDescent="0.3">
      <c r="B88" s="123" t="s">
        <v>2511</v>
      </c>
      <c r="C88" s="1681"/>
      <c r="D88" s="1681"/>
      <c r="E88" s="1681"/>
      <c r="F88" s="1681"/>
      <c r="G88" s="3299"/>
    </row>
    <row r="89" spans="1:92" ht="51" x14ac:dyDescent="0.3">
      <c r="B89" s="6340" t="s">
        <v>23</v>
      </c>
      <c r="C89" s="6342"/>
      <c r="D89" s="1393" t="s">
        <v>2512</v>
      </c>
      <c r="E89" s="3271" t="s">
        <v>2513</v>
      </c>
      <c r="F89" s="3271" t="s">
        <v>2514</v>
      </c>
      <c r="G89" s="3271" t="s">
        <v>2515</v>
      </c>
    </row>
    <row r="90" spans="1:92" ht="24" customHeight="1" x14ac:dyDescent="0.3">
      <c r="A90" s="6240" t="s">
        <v>4072</v>
      </c>
      <c r="B90" s="6632" t="s">
        <v>2516</v>
      </c>
      <c r="C90" s="5662" t="s">
        <v>2517</v>
      </c>
      <c r="D90" s="5663" t="s">
        <v>5292</v>
      </c>
      <c r="E90" s="5664" t="s">
        <v>5293</v>
      </c>
      <c r="F90" s="5663" t="s">
        <v>5294</v>
      </c>
      <c r="G90" s="5663" t="s">
        <v>5295</v>
      </c>
    </row>
    <row r="91" spans="1:92" ht="21.6" customHeight="1" x14ac:dyDescent="0.3">
      <c r="A91" s="6240" t="s">
        <v>4073</v>
      </c>
      <c r="B91" s="6633"/>
      <c r="C91" s="1985" t="s">
        <v>2518</v>
      </c>
      <c r="D91" s="153" t="s">
        <v>5292</v>
      </c>
      <c r="E91" s="5665" t="s">
        <v>5293</v>
      </c>
      <c r="F91" s="153" t="s">
        <v>5294</v>
      </c>
      <c r="G91" s="153" t="s">
        <v>5295</v>
      </c>
    </row>
    <row r="92" spans="1:92" ht="15" customHeight="1" x14ac:dyDescent="0.3">
      <c r="A92" s="6234" t="s">
        <v>4074</v>
      </c>
      <c r="B92" s="6634" t="s">
        <v>2519</v>
      </c>
      <c r="C92" s="5579" t="s">
        <v>2520</v>
      </c>
      <c r="D92" s="784" t="s">
        <v>5292</v>
      </c>
      <c r="E92" s="784" t="s">
        <v>5293</v>
      </c>
      <c r="F92" s="5105" t="s">
        <v>5294</v>
      </c>
      <c r="G92" s="784" t="s">
        <v>5295</v>
      </c>
    </row>
    <row r="93" spans="1:92" ht="15" customHeight="1" x14ac:dyDescent="0.3">
      <c r="A93" s="6234" t="s">
        <v>4075</v>
      </c>
      <c r="B93" s="6350"/>
      <c r="C93" s="584" t="s">
        <v>2521</v>
      </c>
      <c r="D93" s="153" t="s">
        <v>5292</v>
      </c>
      <c r="E93" s="153" t="s">
        <v>5293</v>
      </c>
      <c r="F93" s="152" t="s">
        <v>5294</v>
      </c>
      <c r="G93" s="153" t="s">
        <v>5295</v>
      </c>
    </row>
    <row r="94" spans="1:92" ht="18" customHeight="1" x14ac:dyDescent="0.3">
      <c r="B94" s="123" t="s">
        <v>2522</v>
      </c>
      <c r="C94" s="3302"/>
      <c r="D94" s="112"/>
      <c r="E94" s="112"/>
      <c r="F94" s="112"/>
      <c r="G94" s="920"/>
      <c r="H94" s="3197"/>
      <c r="I94" s="3303"/>
      <c r="J94" s="920"/>
    </row>
    <row r="95" spans="1:92" ht="15" customHeight="1" x14ac:dyDescent="0.3">
      <c r="A95" s="6236"/>
      <c r="B95" s="6341" t="s">
        <v>2503</v>
      </c>
      <c r="C95" s="6342"/>
      <c r="D95" s="6326" t="s">
        <v>24</v>
      </c>
      <c r="E95" s="6345"/>
      <c r="F95" s="6462"/>
      <c r="G95" s="6326" t="s">
        <v>38</v>
      </c>
      <c r="H95" s="6462"/>
      <c r="I95" s="6326" t="s">
        <v>4</v>
      </c>
      <c r="J95" s="6462"/>
    </row>
    <row r="96" spans="1:92" ht="15" customHeight="1" x14ac:dyDescent="0.3">
      <c r="A96" s="6236"/>
      <c r="B96" s="6383"/>
      <c r="C96" s="6325"/>
      <c r="D96" s="3224" t="s">
        <v>26</v>
      </c>
      <c r="E96" s="3160" t="s">
        <v>22</v>
      </c>
      <c r="F96" s="3226" t="s">
        <v>27</v>
      </c>
      <c r="G96" s="3153" t="s">
        <v>22</v>
      </c>
      <c r="H96" s="3226" t="s">
        <v>27</v>
      </c>
      <c r="I96" s="3153" t="s">
        <v>22</v>
      </c>
      <c r="J96" s="3304" t="s">
        <v>27</v>
      </c>
    </row>
    <row r="97" spans="1:22" ht="15" customHeight="1" x14ac:dyDescent="0.3">
      <c r="A97" s="6243"/>
      <c r="B97" s="6326" t="s">
        <v>24</v>
      </c>
      <c r="C97" s="6462"/>
      <c r="D97" s="3181">
        <f t="shared" ref="D97:J97" si="23">SUM(D98:D102)</f>
        <v>0</v>
      </c>
      <c r="E97" s="3305">
        <f t="shared" si="23"/>
        <v>0</v>
      </c>
      <c r="F97" s="3264">
        <f t="shared" si="23"/>
        <v>0</v>
      </c>
      <c r="G97" s="3266">
        <f t="shared" si="23"/>
        <v>0</v>
      </c>
      <c r="H97" s="3189">
        <f t="shared" si="23"/>
        <v>0</v>
      </c>
      <c r="I97" s="3266">
        <f t="shared" si="23"/>
        <v>0</v>
      </c>
      <c r="J97" s="3189">
        <f t="shared" si="23"/>
        <v>0</v>
      </c>
    </row>
    <row r="98" spans="1:22" ht="15" customHeight="1" x14ac:dyDescent="0.3">
      <c r="A98" s="6240" t="s">
        <v>4076</v>
      </c>
      <c r="B98" s="6630" t="s">
        <v>2432</v>
      </c>
      <c r="C98" s="6631"/>
      <c r="D98" s="3194" t="s">
        <v>5292</v>
      </c>
      <c r="E98" s="3306" t="s">
        <v>5293</v>
      </c>
      <c r="F98" s="3195" t="s">
        <v>5294</v>
      </c>
      <c r="G98" s="3127" t="s">
        <v>5295</v>
      </c>
      <c r="H98" s="3134" t="s">
        <v>5296</v>
      </c>
      <c r="I98" s="3127" t="s">
        <v>5297</v>
      </c>
      <c r="J98" s="3128" t="s">
        <v>5298</v>
      </c>
    </row>
    <row r="99" spans="1:22" ht="15" customHeight="1" x14ac:dyDescent="0.3">
      <c r="A99" s="6240" t="s">
        <v>4077</v>
      </c>
      <c r="B99" s="6616" t="s">
        <v>2505</v>
      </c>
      <c r="C99" s="6587"/>
      <c r="D99" s="2101" t="s">
        <v>5292</v>
      </c>
      <c r="E99" s="3307" t="s">
        <v>5293</v>
      </c>
      <c r="F99" s="143" t="s">
        <v>5294</v>
      </c>
      <c r="G99" s="106" t="s">
        <v>5295</v>
      </c>
      <c r="H99" s="105" t="s">
        <v>5296</v>
      </c>
      <c r="I99" s="106" t="s">
        <v>5297</v>
      </c>
      <c r="J99" s="587" t="s">
        <v>5298</v>
      </c>
    </row>
    <row r="100" spans="1:22" ht="15" customHeight="1" x14ac:dyDescent="0.3">
      <c r="A100" s="6240" t="s">
        <v>4078</v>
      </c>
      <c r="B100" s="6616" t="s">
        <v>2434</v>
      </c>
      <c r="C100" s="6587"/>
      <c r="D100" s="2101" t="s">
        <v>5292</v>
      </c>
      <c r="E100" s="3307" t="s">
        <v>5293</v>
      </c>
      <c r="F100" s="143" t="s">
        <v>5294</v>
      </c>
      <c r="G100" s="616" t="s">
        <v>5295</v>
      </c>
      <c r="H100" s="3077" t="s">
        <v>5296</v>
      </c>
      <c r="I100" s="616" t="s">
        <v>5297</v>
      </c>
      <c r="J100" s="626" t="s">
        <v>5298</v>
      </c>
    </row>
    <row r="101" spans="1:22" ht="15" customHeight="1" x14ac:dyDescent="0.3">
      <c r="A101" s="6240" t="s">
        <v>4079</v>
      </c>
      <c r="B101" s="6617" t="s">
        <v>2435</v>
      </c>
      <c r="C101" s="6618"/>
      <c r="D101" s="3308" t="s">
        <v>5292</v>
      </c>
      <c r="E101" s="3309" t="s">
        <v>5293</v>
      </c>
      <c r="F101" s="3310" t="s">
        <v>5294</v>
      </c>
      <c r="G101" s="90" t="s">
        <v>5295</v>
      </c>
      <c r="H101" s="91" t="s">
        <v>5296</v>
      </c>
      <c r="I101" s="90" t="s">
        <v>5297</v>
      </c>
      <c r="J101" s="92" t="s">
        <v>5298</v>
      </c>
    </row>
    <row r="102" spans="1:22" ht="15" customHeight="1" x14ac:dyDescent="0.3">
      <c r="A102" s="6240" t="s">
        <v>4080</v>
      </c>
      <c r="B102" s="6619" t="s">
        <v>2523</v>
      </c>
      <c r="C102" s="6620"/>
      <c r="D102" s="3192" t="s">
        <v>5292</v>
      </c>
      <c r="E102" s="583" t="s">
        <v>5293</v>
      </c>
      <c r="F102" s="773" t="s">
        <v>5294</v>
      </c>
      <c r="G102" s="3023" t="s">
        <v>5295</v>
      </c>
      <c r="H102" s="117" t="s">
        <v>5296</v>
      </c>
      <c r="I102" s="3023" t="s">
        <v>5297</v>
      </c>
      <c r="J102" s="3035" t="s">
        <v>5298</v>
      </c>
    </row>
    <row r="103" spans="1:22" ht="18" customHeight="1" x14ac:dyDescent="0.3">
      <c r="B103" s="6621" t="s">
        <v>2524</v>
      </c>
      <c r="C103" s="6621"/>
      <c r="D103" s="6621"/>
      <c r="E103" s="6621"/>
      <c r="F103" s="6621"/>
      <c r="G103" s="6621"/>
      <c r="H103" s="6621"/>
      <c r="I103" s="6621"/>
      <c r="J103" s="6621"/>
      <c r="K103" s="6621"/>
      <c r="L103" s="6621"/>
      <c r="M103" s="6621"/>
      <c r="N103" s="6621"/>
      <c r="O103" s="6621"/>
      <c r="P103" s="6621"/>
      <c r="Q103" s="6621"/>
      <c r="R103" s="3311"/>
      <c r="S103" s="920"/>
      <c r="T103" s="920"/>
      <c r="U103" s="920"/>
      <c r="V103" s="920"/>
    </row>
    <row r="104" spans="1:22" ht="18" customHeight="1" x14ac:dyDescent="0.3">
      <c r="B104" s="6622" t="s">
        <v>2525</v>
      </c>
      <c r="C104" s="6622"/>
      <c r="D104" s="6622"/>
      <c r="E104" s="6622"/>
      <c r="F104" s="6622"/>
      <c r="G104" s="6623"/>
      <c r="H104" s="6623"/>
      <c r="I104" s="6623"/>
      <c r="J104" s="6623"/>
      <c r="K104" s="6623"/>
      <c r="L104" s="6623"/>
      <c r="M104" s="6623"/>
      <c r="N104" s="6623"/>
      <c r="O104" s="6623"/>
      <c r="P104" s="6623"/>
      <c r="Q104" s="6623"/>
      <c r="R104" s="6623"/>
      <c r="S104" s="920"/>
      <c r="T104" s="920"/>
      <c r="U104" s="920"/>
      <c r="V104" s="920"/>
    </row>
    <row r="105" spans="1:22" ht="15" customHeight="1" x14ac:dyDescent="0.3">
      <c r="B105" s="6624" t="s">
        <v>453</v>
      </c>
      <c r="C105" s="6625"/>
      <c r="D105" s="6340" t="s">
        <v>2526</v>
      </c>
      <c r="E105" s="6341"/>
      <c r="F105" s="6342"/>
      <c r="G105" s="6330" t="s">
        <v>30</v>
      </c>
      <c r="H105" s="6328"/>
      <c r="I105" s="6328"/>
      <c r="J105" s="6328"/>
      <c r="K105" s="6328"/>
      <c r="L105" s="6328"/>
      <c r="M105" s="6328"/>
      <c r="N105" s="6328"/>
      <c r="O105" s="6328"/>
      <c r="P105" s="6328"/>
      <c r="Q105" s="6328"/>
      <c r="R105" s="6328"/>
      <c r="S105" s="6328"/>
      <c r="T105" s="6328"/>
      <c r="U105" s="6328"/>
      <c r="V105" s="6571"/>
    </row>
    <row r="106" spans="1:22" ht="15" customHeight="1" x14ac:dyDescent="0.3">
      <c r="B106" s="6626"/>
      <c r="C106" s="6627"/>
      <c r="D106" s="6353"/>
      <c r="E106" s="6383"/>
      <c r="F106" s="6325"/>
      <c r="G106" s="6326" t="s">
        <v>554</v>
      </c>
      <c r="H106" s="6345"/>
      <c r="I106" s="6326" t="s">
        <v>568</v>
      </c>
      <c r="J106" s="6462"/>
      <c r="K106" s="6326" t="s">
        <v>559</v>
      </c>
      <c r="L106" s="6462"/>
      <c r="M106" s="6326" t="s">
        <v>2310</v>
      </c>
      <c r="N106" s="6462"/>
      <c r="O106" s="6326" t="s">
        <v>400</v>
      </c>
      <c r="P106" s="6462"/>
      <c r="Q106" s="6326" t="s">
        <v>557</v>
      </c>
      <c r="R106" s="6462"/>
      <c r="S106" s="6326" t="s">
        <v>2355</v>
      </c>
      <c r="T106" s="6462"/>
      <c r="U106" s="6326" t="s">
        <v>32</v>
      </c>
      <c r="V106" s="6462"/>
    </row>
    <row r="107" spans="1:22" ht="15" customHeight="1" x14ac:dyDescent="0.3">
      <c r="B107" s="6628"/>
      <c r="C107" s="6629"/>
      <c r="D107" s="3224" t="s">
        <v>26</v>
      </c>
      <c r="E107" s="3225" t="s">
        <v>22</v>
      </c>
      <c r="F107" s="2739" t="s">
        <v>27</v>
      </c>
      <c r="G107" s="3153" t="s">
        <v>22</v>
      </c>
      <c r="H107" s="1705" t="s">
        <v>27</v>
      </c>
      <c r="I107" s="3153" t="s">
        <v>22</v>
      </c>
      <c r="J107" s="2556" t="s">
        <v>27</v>
      </c>
      <c r="K107" s="3153" t="s">
        <v>22</v>
      </c>
      <c r="L107" s="2556" t="s">
        <v>27</v>
      </c>
      <c r="M107" s="3153" t="s">
        <v>22</v>
      </c>
      <c r="N107" s="2556" t="s">
        <v>27</v>
      </c>
      <c r="O107" s="3153" t="s">
        <v>22</v>
      </c>
      <c r="P107" s="2556" t="s">
        <v>27</v>
      </c>
      <c r="Q107" s="3153" t="s">
        <v>22</v>
      </c>
      <c r="R107" s="2556" t="s">
        <v>27</v>
      </c>
      <c r="S107" s="3153" t="s">
        <v>22</v>
      </c>
      <c r="T107" s="2556" t="s">
        <v>27</v>
      </c>
      <c r="U107" s="3153" t="s">
        <v>22</v>
      </c>
      <c r="V107" s="2556" t="s">
        <v>27</v>
      </c>
    </row>
    <row r="108" spans="1:22" ht="15" customHeight="1" x14ac:dyDescent="0.3">
      <c r="A108" s="6234" t="s">
        <v>4081</v>
      </c>
      <c r="B108" s="6612" t="s">
        <v>2527</v>
      </c>
      <c r="C108" s="6612"/>
      <c r="D108" s="3312" t="s">
        <v>5292</v>
      </c>
      <c r="E108" s="182" t="s">
        <v>5293</v>
      </c>
      <c r="F108" s="3216" t="s">
        <v>5294</v>
      </c>
      <c r="G108" s="3313" t="s">
        <v>5295</v>
      </c>
      <c r="H108" s="3314" t="s">
        <v>5296</v>
      </c>
      <c r="I108" s="3127" t="s">
        <v>5297</v>
      </c>
      <c r="J108" s="3128" t="s">
        <v>5298</v>
      </c>
      <c r="K108" s="3127" t="s">
        <v>5299</v>
      </c>
      <c r="L108" s="3128" t="s">
        <v>5300</v>
      </c>
      <c r="M108" s="3127" t="s">
        <v>5301</v>
      </c>
      <c r="N108" s="3128" t="s">
        <v>5302</v>
      </c>
      <c r="O108" s="3127" t="s">
        <v>5303</v>
      </c>
      <c r="P108" s="3128" t="s">
        <v>5304</v>
      </c>
      <c r="Q108" s="3245" t="s">
        <v>5305</v>
      </c>
      <c r="R108" s="3128" t="s">
        <v>5306</v>
      </c>
      <c r="S108" s="3245" t="s">
        <v>5307</v>
      </c>
      <c r="T108" s="3128" t="s">
        <v>5308</v>
      </c>
      <c r="U108" s="3245" t="s">
        <v>5309</v>
      </c>
      <c r="V108" s="3128" t="s">
        <v>5310</v>
      </c>
    </row>
    <row r="109" spans="1:22" ht="15" customHeight="1" x14ac:dyDescent="0.3">
      <c r="A109" s="6234" t="s">
        <v>4082</v>
      </c>
      <c r="B109" s="6613" t="s">
        <v>2528</v>
      </c>
      <c r="C109" s="6613"/>
      <c r="D109" s="3315" t="s">
        <v>5292</v>
      </c>
      <c r="E109" s="634" t="s">
        <v>5293</v>
      </c>
      <c r="F109" s="3242" t="s">
        <v>5294</v>
      </c>
      <c r="G109" s="840" t="s">
        <v>5295</v>
      </c>
      <c r="H109" s="3316" t="s">
        <v>5296</v>
      </c>
      <c r="I109" s="840" t="s">
        <v>5297</v>
      </c>
      <c r="J109" s="841" t="s">
        <v>5298</v>
      </c>
      <c r="K109" s="616" t="s">
        <v>5299</v>
      </c>
      <c r="L109" s="626" t="s">
        <v>5300</v>
      </c>
      <c r="M109" s="616" t="s">
        <v>5301</v>
      </c>
      <c r="N109" s="626" t="s">
        <v>5302</v>
      </c>
      <c r="O109" s="616" t="s">
        <v>5303</v>
      </c>
      <c r="P109" s="626" t="s">
        <v>5304</v>
      </c>
      <c r="Q109" s="3240" t="s">
        <v>5305</v>
      </c>
      <c r="R109" s="626" t="s">
        <v>5306</v>
      </c>
      <c r="S109" s="3240" t="s">
        <v>5307</v>
      </c>
      <c r="T109" s="626" t="s">
        <v>5308</v>
      </c>
      <c r="U109" s="3240" t="s">
        <v>5309</v>
      </c>
      <c r="V109" s="626" t="s">
        <v>5310</v>
      </c>
    </row>
    <row r="110" spans="1:22" ht="15" customHeight="1" x14ac:dyDescent="0.3">
      <c r="A110" s="6244" t="s">
        <v>4083</v>
      </c>
      <c r="B110" s="6613" t="s">
        <v>2529</v>
      </c>
      <c r="C110" s="6613"/>
      <c r="D110" s="3315" t="s">
        <v>5292</v>
      </c>
      <c r="E110" s="634" t="s">
        <v>5293</v>
      </c>
      <c r="F110" s="3242" t="s">
        <v>5294</v>
      </c>
      <c r="G110" s="564" t="s">
        <v>5295</v>
      </c>
      <c r="H110" s="3317" t="s">
        <v>5296</v>
      </c>
      <c r="I110" s="564" t="s">
        <v>5297</v>
      </c>
      <c r="J110" s="565" t="s">
        <v>5298</v>
      </c>
      <c r="K110" s="90" t="s">
        <v>5299</v>
      </c>
      <c r="L110" s="92" t="s">
        <v>5300</v>
      </c>
      <c r="M110" s="90" t="s">
        <v>5301</v>
      </c>
      <c r="N110" s="92" t="s">
        <v>5302</v>
      </c>
      <c r="O110" s="90" t="s">
        <v>5303</v>
      </c>
      <c r="P110" s="92" t="s">
        <v>5304</v>
      </c>
      <c r="Q110" s="93" t="s">
        <v>5305</v>
      </c>
      <c r="R110" s="92" t="s">
        <v>5306</v>
      </c>
      <c r="S110" s="93" t="s">
        <v>5307</v>
      </c>
      <c r="T110" s="92" t="s">
        <v>5308</v>
      </c>
      <c r="U110" s="93" t="s">
        <v>5309</v>
      </c>
      <c r="V110" s="92" t="s">
        <v>5310</v>
      </c>
    </row>
    <row r="111" spans="1:22" ht="15" customHeight="1" x14ac:dyDescent="0.3">
      <c r="A111" s="6234" t="s">
        <v>4084</v>
      </c>
      <c r="B111" s="6614" t="s">
        <v>2530</v>
      </c>
      <c r="C111" s="6615"/>
      <c r="D111" s="3315" t="s">
        <v>5292</v>
      </c>
      <c r="E111" s="634" t="s">
        <v>5293</v>
      </c>
      <c r="F111" s="3242" t="s">
        <v>5294</v>
      </c>
      <c r="G111" s="564" t="s">
        <v>5295</v>
      </c>
      <c r="H111" s="3317" t="s">
        <v>5296</v>
      </c>
      <c r="I111" s="564" t="s">
        <v>5297</v>
      </c>
      <c r="J111" s="565" t="s">
        <v>5298</v>
      </c>
      <c r="K111" s="90" t="s">
        <v>5299</v>
      </c>
      <c r="L111" s="92" t="s">
        <v>5300</v>
      </c>
      <c r="M111" s="90" t="s">
        <v>5301</v>
      </c>
      <c r="N111" s="92" t="s">
        <v>5302</v>
      </c>
      <c r="O111" s="90" t="s">
        <v>5303</v>
      </c>
      <c r="P111" s="92" t="s">
        <v>5304</v>
      </c>
      <c r="Q111" s="93" t="s">
        <v>5305</v>
      </c>
      <c r="R111" s="92" t="s">
        <v>5306</v>
      </c>
      <c r="S111" s="93" t="s">
        <v>5307</v>
      </c>
      <c r="T111" s="92" t="s">
        <v>5308</v>
      </c>
      <c r="U111" s="93" t="s">
        <v>5309</v>
      </c>
      <c r="V111" s="92" t="s">
        <v>5310</v>
      </c>
    </row>
    <row r="112" spans="1:22" ht="15" customHeight="1" x14ac:dyDescent="0.3">
      <c r="A112" s="6234" t="s">
        <v>4085</v>
      </c>
      <c r="B112" s="6614" t="s">
        <v>2531</v>
      </c>
      <c r="C112" s="6615"/>
      <c r="D112" s="3315" t="s">
        <v>5292</v>
      </c>
      <c r="E112" s="634" t="s">
        <v>5293</v>
      </c>
      <c r="F112" s="3242" t="s">
        <v>5294</v>
      </c>
      <c r="G112" s="90" t="s">
        <v>5295</v>
      </c>
      <c r="H112" s="1967" t="s">
        <v>5296</v>
      </c>
      <c r="I112" s="90" t="s">
        <v>5297</v>
      </c>
      <c r="J112" s="91" t="s">
        <v>5298</v>
      </c>
      <c r="K112" s="840" t="s">
        <v>5299</v>
      </c>
      <c r="L112" s="841" t="s">
        <v>5300</v>
      </c>
      <c r="M112" s="840" t="s">
        <v>5301</v>
      </c>
      <c r="N112" s="841" t="s">
        <v>5302</v>
      </c>
      <c r="O112" s="840" t="s">
        <v>5303</v>
      </c>
      <c r="P112" s="841" t="s">
        <v>5304</v>
      </c>
      <c r="Q112" s="3318" t="s">
        <v>5305</v>
      </c>
      <c r="R112" s="841" t="s">
        <v>5306</v>
      </c>
      <c r="S112" s="3318" t="s">
        <v>5307</v>
      </c>
      <c r="T112" s="841" t="s">
        <v>5308</v>
      </c>
      <c r="U112" s="3318" t="s">
        <v>5309</v>
      </c>
      <c r="V112" s="841" t="s">
        <v>5310</v>
      </c>
    </row>
    <row r="113" spans="1:28" ht="15" customHeight="1" x14ac:dyDescent="0.3">
      <c r="A113" s="6234" t="s">
        <v>4086</v>
      </c>
      <c r="B113" s="6614" t="s">
        <v>2532</v>
      </c>
      <c r="C113" s="6615"/>
      <c r="D113" s="3319" t="s">
        <v>5292</v>
      </c>
      <c r="E113" s="634" t="s">
        <v>5293</v>
      </c>
      <c r="F113" s="3242" t="s">
        <v>5294</v>
      </c>
      <c r="G113" s="90" t="s">
        <v>5295</v>
      </c>
      <c r="H113" s="1967" t="s">
        <v>5296</v>
      </c>
      <c r="I113" s="90" t="s">
        <v>5297</v>
      </c>
      <c r="J113" s="91" t="s">
        <v>5298</v>
      </c>
      <c r="K113" s="3320" t="s">
        <v>5299</v>
      </c>
      <c r="L113" s="875" t="s">
        <v>5300</v>
      </c>
      <c r="M113" s="3320" t="s">
        <v>5301</v>
      </c>
      <c r="N113" s="875" t="s">
        <v>5302</v>
      </c>
      <c r="O113" s="3320" t="s">
        <v>5303</v>
      </c>
      <c r="P113" s="875" t="s">
        <v>5304</v>
      </c>
      <c r="Q113" s="3321" t="s">
        <v>5305</v>
      </c>
      <c r="R113" s="875" t="s">
        <v>5306</v>
      </c>
      <c r="S113" s="3321" t="s">
        <v>5307</v>
      </c>
      <c r="T113" s="875" t="s">
        <v>5308</v>
      </c>
      <c r="U113" s="3321" t="s">
        <v>5309</v>
      </c>
      <c r="V113" s="875" t="s">
        <v>5310</v>
      </c>
    </row>
    <row r="114" spans="1:28" ht="15" customHeight="1" x14ac:dyDescent="0.3">
      <c r="A114" s="6234" t="s">
        <v>4087</v>
      </c>
      <c r="B114" s="6367" t="s">
        <v>2533</v>
      </c>
      <c r="C114" s="3322" t="s">
        <v>2534</v>
      </c>
      <c r="D114" s="3228" t="s">
        <v>5292</v>
      </c>
      <c r="E114" s="3229" t="s">
        <v>5293</v>
      </c>
      <c r="F114" s="3216" t="s">
        <v>5294</v>
      </c>
      <c r="G114" s="3127" t="s">
        <v>5295</v>
      </c>
      <c r="H114" s="3323" t="s">
        <v>5296</v>
      </c>
      <c r="I114" s="3127" t="s">
        <v>5297</v>
      </c>
      <c r="J114" s="3134" t="s">
        <v>5298</v>
      </c>
      <c r="K114" s="3127" t="s">
        <v>5299</v>
      </c>
      <c r="L114" s="3128" t="s">
        <v>5300</v>
      </c>
      <c r="M114" s="3127" t="s">
        <v>5301</v>
      </c>
      <c r="N114" s="3128" t="s">
        <v>5302</v>
      </c>
      <c r="O114" s="3127" t="s">
        <v>5303</v>
      </c>
      <c r="P114" s="3134" t="s">
        <v>5304</v>
      </c>
      <c r="Q114" s="3127" t="s">
        <v>5305</v>
      </c>
      <c r="R114" s="3134" t="s">
        <v>5306</v>
      </c>
      <c r="S114" s="3127" t="s">
        <v>5307</v>
      </c>
      <c r="T114" s="3134" t="s">
        <v>5308</v>
      </c>
      <c r="U114" s="3127" t="s">
        <v>5309</v>
      </c>
      <c r="V114" s="3134" t="s">
        <v>5310</v>
      </c>
    </row>
    <row r="115" spans="1:28" ht="15" customHeight="1" x14ac:dyDescent="0.3">
      <c r="A115" s="6234" t="s">
        <v>4088</v>
      </c>
      <c r="B115" s="6349"/>
      <c r="C115" s="3324" t="s">
        <v>2535</v>
      </c>
      <c r="D115" s="87" t="s">
        <v>5292</v>
      </c>
      <c r="E115" s="88" t="s">
        <v>5293</v>
      </c>
      <c r="F115" s="3325" t="s">
        <v>5294</v>
      </c>
      <c r="G115" s="90" t="s">
        <v>5295</v>
      </c>
      <c r="H115" s="1967" t="s">
        <v>5296</v>
      </c>
      <c r="I115" s="90" t="s">
        <v>5297</v>
      </c>
      <c r="J115" s="91" t="s">
        <v>5298</v>
      </c>
      <c r="K115" s="90" t="s">
        <v>5299</v>
      </c>
      <c r="L115" s="92" t="s">
        <v>5300</v>
      </c>
      <c r="M115" s="90" t="s">
        <v>5301</v>
      </c>
      <c r="N115" s="92" t="s">
        <v>5302</v>
      </c>
      <c r="O115" s="90" t="s">
        <v>5303</v>
      </c>
      <c r="P115" s="91" t="s">
        <v>5304</v>
      </c>
      <c r="Q115" s="90" t="s">
        <v>5305</v>
      </c>
      <c r="R115" s="91" t="s">
        <v>5306</v>
      </c>
      <c r="S115" s="90" t="s">
        <v>5307</v>
      </c>
      <c r="T115" s="91" t="s">
        <v>5308</v>
      </c>
      <c r="U115" s="90" t="s">
        <v>5309</v>
      </c>
      <c r="V115" s="91" t="s">
        <v>5310</v>
      </c>
    </row>
    <row r="116" spans="1:28" ht="19.5" customHeight="1" x14ac:dyDescent="0.3">
      <c r="A116" s="6234" t="s">
        <v>4089</v>
      </c>
      <c r="B116" s="6350"/>
      <c r="C116" s="3326" t="s">
        <v>2536</v>
      </c>
      <c r="D116" s="3217" t="s">
        <v>5292</v>
      </c>
      <c r="E116" s="3243" t="s">
        <v>5293</v>
      </c>
      <c r="F116" s="259" t="s">
        <v>5294</v>
      </c>
      <c r="G116" s="3023" t="s">
        <v>5295</v>
      </c>
      <c r="H116" s="138" t="s">
        <v>5296</v>
      </c>
      <c r="I116" s="3023" t="s">
        <v>5297</v>
      </c>
      <c r="J116" s="117" t="s">
        <v>5298</v>
      </c>
      <c r="K116" s="3023" t="s">
        <v>5299</v>
      </c>
      <c r="L116" s="3035" t="s">
        <v>5300</v>
      </c>
      <c r="M116" s="3023" t="s">
        <v>5301</v>
      </c>
      <c r="N116" s="3035" t="s">
        <v>5302</v>
      </c>
      <c r="O116" s="3023" t="s">
        <v>5303</v>
      </c>
      <c r="P116" s="117" t="s">
        <v>5304</v>
      </c>
      <c r="Q116" s="3023" t="s">
        <v>5305</v>
      </c>
      <c r="R116" s="117" t="s">
        <v>5306</v>
      </c>
      <c r="S116" s="3023" t="s">
        <v>5307</v>
      </c>
      <c r="T116" s="117" t="s">
        <v>5308</v>
      </c>
      <c r="U116" s="3023" t="s">
        <v>5309</v>
      </c>
      <c r="V116" s="117" t="s">
        <v>5310</v>
      </c>
    </row>
    <row r="117" spans="1:28" ht="18" customHeight="1" x14ac:dyDescent="0.3">
      <c r="B117" s="3061" t="s">
        <v>2537</v>
      </c>
      <c r="C117" s="3142"/>
      <c r="D117" s="3142"/>
      <c r="E117" s="3142"/>
      <c r="F117" s="3142"/>
      <c r="G117" s="3327"/>
      <c r="H117" s="3327"/>
      <c r="I117" s="3327"/>
      <c r="J117" s="3328"/>
      <c r="K117" s="3329"/>
      <c r="L117" s="3329"/>
      <c r="M117" s="3330"/>
      <c r="N117" s="3331"/>
      <c r="O117" s="3332"/>
      <c r="P117" s="3327"/>
      <c r="Q117" s="3332"/>
      <c r="R117" s="3333"/>
      <c r="S117" s="3334"/>
      <c r="T117" s="3334"/>
      <c r="U117" s="3332"/>
      <c r="V117" s="3332"/>
      <c r="W117" s="3332"/>
      <c r="X117" s="3327"/>
      <c r="Y117" s="3332"/>
      <c r="Z117" s="3327"/>
      <c r="AA117" s="3335"/>
      <c r="AB117" s="3336"/>
    </row>
    <row r="118" spans="1:28" ht="15" customHeight="1" x14ac:dyDescent="0.3">
      <c r="B118" s="6373" t="s">
        <v>58</v>
      </c>
      <c r="C118" s="6373" t="s">
        <v>2452</v>
      </c>
      <c r="D118" s="6590" t="s">
        <v>1924</v>
      </c>
      <c r="E118" s="6344"/>
      <c r="F118" s="6324"/>
      <c r="G118" s="6330" t="s">
        <v>30</v>
      </c>
      <c r="H118" s="6328"/>
      <c r="I118" s="6328"/>
      <c r="J118" s="6328"/>
      <c r="K118" s="6328"/>
      <c r="L118" s="6328"/>
      <c r="M118" s="6328"/>
      <c r="N118" s="6328"/>
      <c r="O118" s="6328"/>
      <c r="P118" s="6328"/>
      <c r="Q118" s="6328"/>
      <c r="R118" s="6328"/>
      <c r="S118" s="6328"/>
      <c r="T118" s="6328"/>
      <c r="U118" s="6611"/>
      <c r="V118" s="6611"/>
      <c r="W118" s="6328"/>
      <c r="X118" s="6328"/>
      <c r="Y118" s="6328"/>
      <c r="Z118" s="6328"/>
      <c r="AA118" s="6328"/>
      <c r="AB118" s="6571"/>
    </row>
    <row r="119" spans="1:28" ht="15" customHeight="1" x14ac:dyDescent="0.3">
      <c r="B119" s="6373"/>
      <c r="C119" s="6373"/>
      <c r="D119" s="6459"/>
      <c r="E119" s="6383"/>
      <c r="F119" s="6460"/>
      <c r="G119" s="6326" t="s">
        <v>2538</v>
      </c>
      <c r="H119" s="6462"/>
      <c r="I119" s="6326" t="s">
        <v>2539</v>
      </c>
      <c r="J119" s="6462"/>
      <c r="K119" s="6326" t="s">
        <v>1452</v>
      </c>
      <c r="L119" s="6462"/>
      <c r="M119" s="6345" t="s">
        <v>37</v>
      </c>
      <c r="N119" s="6462"/>
      <c r="O119" s="6326" t="s">
        <v>38</v>
      </c>
      <c r="P119" s="6462"/>
      <c r="Q119" s="6326" t="s">
        <v>4</v>
      </c>
      <c r="R119" s="6462"/>
      <c r="S119" s="6326" t="s">
        <v>5</v>
      </c>
      <c r="T119" s="6462"/>
      <c r="U119" s="6326" t="s">
        <v>3720</v>
      </c>
      <c r="V119" s="6462"/>
      <c r="W119" s="6326" t="s">
        <v>20</v>
      </c>
      <c r="X119" s="6462"/>
      <c r="Y119" s="6326" t="s">
        <v>3721</v>
      </c>
      <c r="Z119" s="6462"/>
      <c r="AA119" s="6600" t="s">
        <v>32</v>
      </c>
      <c r="AB119" s="6601"/>
    </row>
    <row r="120" spans="1:28" ht="15" customHeight="1" x14ac:dyDescent="0.3">
      <c r="B120" s="6362"/>
      <c r="C120" s="6362"/>
      <c r="D120" s="3153" t="s">
        <v>26</v>
      </c>
      <c r="E120" s="3225" t="s">
        <v>22</v>
      </c>
      <c r="F120" s="3304" t="s">
        <v>27</v>
      </c>
      <c r="G120" s="3153" t="s">
        <v>22</v>
      </c>
      <c r="H120" s="3338" t="s">
        <v>27</v>
      </c>
      <c r="I120" s="3153" t="s">
        <v>22</v>
      </c>
      <c r="J120" s="3338" t="s">
        <v>27</v>
      </c>
      <c r="K120" s="3153" t="s">
        <v>22</v>
      </c>
      <c r="L120" s="3338" t="s">
        <v>27</v>
      </c>
      <c r="M120" s="3160" t="s">
        <v>22</v>
      </c>
      <c r="N120" s="3338" t="s">
        <v>27</v>
      </c>
      <c r="O120" s="3153" t="s">
        <v>22</v>
      </c>
      <c r="P120" s="3338" t="s">
        <v>27</v>
      </c>
      <c r="Q120" s="3153" t="s">
        <v>22</v>
      </c>
      <c r="R120" s="3338" t="s">
        <v>27</v>
      </c>
      <c r="S120" s="3153" t="s">
        <v>22</v>
      </c>
      <c r="T120" s="3271" t="s">
        <v>27</v>
      </c>
      <c r="U120" s="3153" t="s">
        <v>22</v>
      </c>
      <c r="V120" s="3338" t="s">
        <v>27</v>
      </c>
      <c r="W120" s="3153" t="s">
        <v>22</v>
      </c>
      <c r="X120" s="3338" t="s">
        <v>27</v>
      </c>
      <c r="Y120" s="3153" t="s">
        <v>22</v>
      </c>
      <c r="Z120" s="3338" t="s">
        <v>27</v>
      </c>
      <c r="AA120" s="3339" t="s">
        <v>22</v>
      </c>
      <c r="AB120" s="3340" t="s">
        <v>27</v>
      </c>
    </row>
    <row r="121" spans="1:28" ht="15" customHeight="1" x14ac:dyDescent="0.3">
      <c r="A121" s="6234" t="s">
        <v>4090</v>
      </c>
      <c r="B121" s="6354" t="s">
        <v>2540</v>
      </c>
      <c r="C121" s="3198" t="s">
        <v>2541</v>
      </c>
      <c r="D121" s="3194" t="s">
        <v>5292</v>
      </c>
      <c r="E121" s="906" t="s">
        <v>5293</v>
      </c>
      <c r="F121" s="3341" t="s">
        <v>5294</v>
      </c>
      <c r="G121" s="3127" t="s">
        <v>5295</v>
      </c>
      <c r="H121" s="3134" t="s">
        <v>5296</v>
      </c>
      <c r="I121" s="3127" t="s">
        <v>5297</v>
      </c>
      <c r="J121" s="3128" t="s">
        <v>5298</v>
      </c>
      <c r="K121" s="3127" t="s">
        <v>5299</v>
      </c>
      <c r="L121" s="3128" t="s">
        <v>5300</v>
      </c>
      <c r="M121" s="3342" t="s">
        <v>5301</v>
      </c>
      <c r="N121" s="3128" t="s">
        <v>5302</v>
      </c>
      <c r="O121" s="3127" t="s">
        <v>5303</v>
      </c>
      <c r="P121" s="3128" t="s">
        <v>5304</v>
      </c>
      <c r="Q121" s="3127" t="s">
        <v>5305</v>
      </c>
      <c r="R121" s="3128" t="s">
        <v>5306</v>
      </c>
      <c r="S121" s="3127" t="s">
        <v>5307</v>
      </c>
      <c r="T121" s="3128" t="s">
        <v>5308</v>
      </c>
      <c r="U121" s="3127" t="s">
        <v>5309</v>
      </c>
      <c r="V121" s="3128" t="s">
        <v>5310</v>
      </c>
      <c r="W121" s="3245" t="s">
        <v>5311</v>
      </c>
      <c r="X121" s="3128" t="s">
        <v>5312</v>
      </c>
      <c r="Y121" s="3245" t="s">
        <v>5313</v>
      </c>
      <c r="Z121" s="3128" t="s">
        <v>5314</v>
      </c>
      <c r="AA121" s="3323" t="s">
        <v>5315</v>
      </c>
      <c r="AB121" s="3343" t="s">
        <v>5316</v>
      </c>
    </row>
    <row r="122" spans="1:28" ht="15" customHeight="1" x14ac:dyDescent="0.3">
      <c r="A122" s="6234" t="s">
        <v>4091</v>
      </c>
      <c r="B122" s="6609"/>
      <c r="C122" s="203" t="s">
        <v>2542</v>
      </c>
      <c r="D122" s="2101" t="s">
        <v>5292</v>
      </c>
      <c r="E122" s="3344" t="s">
        <v>5293</v>
      </c>
      <c r="F122" s="3345" t="s">
        <v>5294</v>
      </c>
      <c r="G122" s="616" t="s">
        <v>5295</v>
      </c>
      <c r="H122" s="3077" t="s">
        <v>5296</v>
      </c>
      <c r="I122" s="616" t="s">
        <v>5297</v>
      </c>
      <c r="J122" s="626" t="s">
        <v>5298</v>
      </c>
      <c r="K122" s="616" t="s">
        <v>5299</v>
      </c>
      <c r="L122" s="626" t="s">
        <v>5300</v>
      </c>
      <c r="M122" s="3346" t="s">
        <v>5301</v>
      </c>
      <c r="N122" s="626" t="s">
        <v>5302</v>
      </c>
      <c r="O122" s="616" t="s">
        <v>5303</v>
      </c>
      <c r="P122" s="626" t="s">
        <v>5304</v>
      </c>
      <c r="Q122" s="616" t="s">
        <v>5305</v>
      </c>
      <c r="R122" s="626" t="s">
        <v>5306</v>
      </c>
      <c r="S122" s="616" t="s">
        <v>5307</v>
      </c>
      <c r="T122" s="626" t="s">
        <v>5308</v>
      </c>
      <c r="U122" s="616" t="s">
        <v>5309</v>
      </c>
      <c r="V122" s="626" t="s">
        <v>5310</v>
      </c>
      <c r="W122" s="3240" t="s">
        <v>5311</v>
      </c>
      <c r="X122" s="626" t="s">
        <v>5312</v>
      </c>
      <c r="Y122" s="3240" t="s">
        <v>5313</v>
      </c>
      <c r="Z122" s="626" t="s">
        <v>5314</v>
      </c>
      <c r="AA122" s="3347" t="s">
        <v>5315</v>
      </c>
      <c r="AB122" s="848" t="s">
        <v>5316</v>
      </c>
    </row>
    <row r="123" spans="1:28" ht="15" customHeight="1" x14ac:dyDescent="0.3">
      <c r="A123" s="6234" t="s">
        <v>4092</v>
      </c>
      <c r="B123" s="6609"/>
      <c r="C123" s="3239" t="s">
        <v>2543</v>
      </c>
      <c r="D123" s="2101" t="s">
        <v>5292</v>
      </c>
      <c r="E123" s="3344" t="s">
        <v>5293</v>
      </c>
      <c r="F123" s="3345" t="s">
        <v>5294</v>
      </c>
      <c r="G123" s="616" t="s">
        <v>5295</v>
      </c>
      <c r="H123" s="3077" t="s">
        <v>5296</v>
      </c>
      <c r="I123" s="616" t="s">
        <v>5297</v>
      </c>
      <c r="J123" s="626" t="s">
        <v>5298</v>
      </c>
      <c r="K123" s="616" t="s">
        <v>5299</v>
      </c>
      <c r="L123" s="626" t="s">
        <v>5300</v>
      </c>
      <c r="M123" s="3346" t="s">
        <v>5301</v>
      </c>
      <c r="N123" s="626" t="s">
        <v>5302</v>
      </c>
      <c r="O123" s="616" t="s">
        <v>5303</v>
      </c>
      <c r="P123" s="626" t="s">
        <v>5304</v>
      </c>
      <c r="Q123" s="616" t="s">
        <v>5305</v>
      </c>
      <c r="R123" s="626" t="s">
        <v>5306</v>
      </c>
      <c r="S123" s="616" t="s">
        <v>5307</v>
      </c>
      <c r="T123" s="626" t="s">
        <v>5308</v>
      </c>
      <c r="U123" s="616" t="s">
        <v>5309</v>
      </c>
      <c r="V123" s="626" t="s">
        <v>5310</v>
      </c>
      <c r="W123" s="3240" t="s">
        <v>5311</v>
      </c>
      <c r="X123" s="626" t="s">
        <v>5312</v>
      </c>
      <c r="Y123" s="3240" t="s">
        <v>5313</v>
      </c>
      <c r="Z123" s="626" t="s">
        <v>5314</v>
      </c>
      <c r="AA123" s="3347" t="s">
        <v>5315</v>
      </c>
      <c r="AB123" s="848" t="s">
        <v>5316</v>
      </c>
    </row>
    <row r="124" spans="1:28" ht="15" customHeight="1" x14ac:dyDescent="0.3">
      <c r="A124" s="6234" t="s">
        <v>4093</v>
      </c>
      <c r="B124" s="6355"/>
      <c r="C124" s="3239" t="s">
        <v>2544</v>
      </c>
      <c r="D124" s="3190" t="s">
        <v>5292</v>
      </c>
      <c r="E124" s="908" t="s">
        <v>5293</v>
      </c>
      <c r="F124" s="786" t="s">
        <v>5294</v>
      </c>
      <c r="G124" s="616" t="s">
        <v>5295</v>
      </c>
      <c r="H124" s="3077" t="s">
        <v>5296</v>
      </c>
      <c r="I124" s="616" t="s">
        <v>5297</v>
      </c>
      <c r="J124" s="626" t="s">
        <v>5298</v>
      </c>
      <c r="K124" s="616" t="s">
        <v>5299</v>
      </c>
      <c r="L124" s="626" t="s">
        <v>5300</v>
      </c>
      <c r="M124" s="3346" t="s">
        <v>5301</v>
      </c>
      <c r="N124" s="626" t="s">
        <v>5302</v>
      </c>
      <c r="O124" s="616" t="s">
        <v>5303</v>
      </c>
      <c r="P124" s="626" t="s">
        <v>5304</v>
      </c>
      <c r="Q124" s="616" t="s">
        <v>5305</v>
      </c>
      <c r="R124" s="626" t="s">
        <v>5306</v>
      </c>
      <c r="S124" s="616" t="s">
        <v>5307</v>
      </c>
      <c r="T124" s="626" t="s">
        <v>5308</v>
      </c>
      <c r="U124" s="616" t="s">
        <v>5309</v>
      </c>
      <c r="V124" s="626" t="s">
        <v>5310</v>
      </c>
      <c r="W124" s="3240" t="s">
        <v>5311</v>
      </c>
      <c r="X124" s="626" t="s">
        <v>5312</v>
      </c>
      <c r="Y124" s="3240" t="s">
        <v>5313</v>
      </c>
      <c r="Z124" s="626" t="s">
        <v>5314</v>
      </c>
      <c r="AA124" s="3347" t="s">
        <v>5315</v>
      </c>
      <c r="AB124" s="848" t="s">
        <v>5316</v>
      </c>
    </row>
    <row r="125" spans="1:28" ht="15" customHeight="1" x14ac:dyDescent="0.3">
      <c r="A125" s="6234" t="s">
        <v>4094</v>
      </c>
      <c r="B125" s="6610"/>
      <c r="C125" s="207" t="s">
        <v>2545</v>
      </c>
      <c r="D125" s="3192" t="s">
        <v>5292</v>
      </c>
      <c r="E125" s="3348" t="s">
        <v>5293</v>
      </c>
      <c r="F125" s="3349" t="s">
        <v>5294</v>
      </c>
      <c r="G125" s="3023" t="s">
        <v>5295</v>
      </c>
      <c r="H125" s="117" t="s">
        <v>5296</v>
      </c>
      <c r="I125" s="3023" t="s">
        <v>5297</v>
      </c>
      <c r="J125" s="3035" t="s">
        <v>5298</v>
      </c>
      <c r="K125" s="3023" t="s">
        <v>5299</v>
      </c>
      <c r="L125" s="3035" t="s">
        <v>5300</v>
      </c>
      <c r="M125" s="138" t="s">
        <v>5301</v>
      </c>
      <c r="N125" s="3035" t="s">
        <v>5302</v>
      </c>
      <c r="O125" s="3023" t="s">
        <v>5303</v>
      </c>
      <c r="P125" s="3035" t="s">
        <v>5304</v>
      </c>
      <c r="Q125" s="3023" t="s">
        <v>5305</v>
      </c>
      <c r="R125" s="3035" t="s">
        <v>5306</v>
      </c>
      <c r="S125" s="3023" t="s">
        <v>5307</v>
      </c>
      <c r="T125" s="3035" t="s">
        <v>5308</v>
      </c>
      <c r="U125" s="3023" t="s">
        <v>5309</v>
      </c>
      <c r="V125" s="3035" t="s">
        <v>5310</v>
      </c>
      <c r="W125" s="118" t="s">
        <v>5311</v>
      </c>
      <c r="X125" s="3035" t="s">
        <v>5312</v>
      </c>
      <c r="Y125" s="118" t="s">
        <v>5313</v>
      </c>
      <c r="Z125" s="3035" t="s">
        <v>5314</v>
      </c>
      <c r="AA125" s="3350" t="s">
        <v>5315</v>
      </c>
      <c r="AB125" s="3351" t="s">
        <v>5316</v>
      </c>
    </row>
    <row r="126" spans="1:28" ht="15" customHeight="1" x14ac:dyDescent="0.3">
      <c r="A126" s="6234" t="s">
        <v>4095</v>
      </c>
      <c r="B126" s="6354" t="s">
        <v>2546</v>
      </c>
      <c r="C126" s="3198" t="s">
        <v>2541</v>
      </c>
      <c r="D126" s="3194" t="s">
        <v>5292</v>
      </c>
      <c r="E126" s="906" t="s">
        <v>5293</v>
      </c>
      <c r="F126" s="3341" t="s">
        <v>5294</v>
      </c>
      <c r="G126" s="3127" t="s">
        <v>5295</v>
      </c>
      <c r="H126" s="3134" t="s">
        <v>5296</v>
      </c>
      <c r="I126" s="3127" t="s">
        <v>5297</v>
      </c>
      <c r="J126" s="3128" t="s">
        <v>5298</v>
      </c>
      <c r="K126" s="3127" t="s">
        <v>5299</v>
      </c>
      <c r="L126" s="3128" t="s">
        <v>5300</v>
      </c>
      <c r="M126" s="3342" t="s">
        <v>5301</v>
      </c>
      <c r="N126" s="3128" t="s">
        <v>5302</v>
      </c>
      <c r="O126" s="3127" t="s">
        <v>5303</v>
      </c>
      <c r="P126" s="3128" t="s">
        <v>5304</v>
      </c>
      <c r="Q126" s="3127" t="s">
        <v>5305</v>
      </c>
      <c r="R126" s="3128" t="s">
        <v>5306</v>
      </c>
      <c r="S126" s="3127" t="s">
        <v>5307</v>
      </c>
      <c r="T126" s="3128" t="s">
        <v>5308</v>
      </c>
      <c r="U126" s="3127" t="s">
        <v>5309</v>
      </c>
      <c r="V126" s="3128" t="s">
        <v>5310</v>
      </c>
      <c r="W126" s="3245" t="s">
        <v>5311</v>
      </c>
      <c r="X126" s="3128" t="s">
        <v>5312</v>
      </c>
      <c r="Y126" s="3245" t="s">
        <v>5313</v>
      </c>
      <c r="Z126" s="3128" t="s">
        <v>5314</v>
      </c>
      <c r="AA126" s="3323" t="s">
        <v>5315</v>
      </c>
      <c r="AB126" s="3343" t="s">
        <v>5316</v>
      </c>
    </row>
    <row r="127" spans="1:28" ht="15" customHeight="1" x14ac:dyDescent="0.3">
      <c r="A127" s="6234" t="s">
        <v>4096</v>
      </c>
      <c r="B127" s="6609"/>
      <c r="C127" s="203" t="s">
        <v>2542</v>
      </c>
      <c r="D127" s="2101" t="s">
        <v>5292</v>
      </c>
      <c r="E127" s="3344" t="s">
        <v>5293</v>
      </c>
      <c r="F127" s="3345" t="s">
        <v>5294</v>
      </c>
      <c r="G127" s="616" t="s">
        <v>5295</v>
      </c>
      <c r="H127" s="3077" t="s">
        <v>5296</v>
      </c>
      <c r="I127" s="616" t="s">
        <v>5297</v>
      </c>
      <c r="J127" s="626" t="s">
        <v>5298</v>
      </c>
      <c r="K127" s="616" t="s">
        <v>5299</v>
      </c>
      <c r="L127" s="626" t="s">
        <v>5300</v>
      </c>
      <c r="M127" s="3346" t="s">
        <v>5301</v>
      </c>
      <c r="N127" s="626" t="s">
        <v>5302</v>
      </c>
      <c r="O127" s="616" t="s">
        <v>5303</v>
      </c>
      <c r="P127" s="626" t="s">
        <v>5304</v>
      </c>
      <c r="Q127" s="616" t="s">
        <v>5305</v>
      </c>
      <c r="R127" s="626" t="s">
        <v>5306</v>
      </c>
      <c r="S127" s="616" t="s">
        <v>5307</v>
      </c>
      <c r="T127" s="626" t="s">
        <v>5308</v>
      </c>
      <c r="U127" s="616" t="s">
        <v>5309</v>
      </c>
      <c r="V127" s="626" t="s">
        <v>5310</v>
      </c>
      <c r="W127" s="3240" t="s">
        <v>5311</v>
      </c>
      <c r="X127" s="626" t="s">
        <v>5312</v>
      </c>
      <c r="Y127" s="3240" t="s">
        <v>5313</v>
      </c>
      <c r="Z127" s="626" t="s">
        <v>5314</v>
      </c>
      <c r="AA127" s="3347" t="s">
        <v>5315</v>
      </c>
      <c r="AB127" s="848" t="s">
        <v>5316</v>
      </c>
    </row>
    <row r="128" spans="1:28" ht="15" customHeight="1" x14ac:dyDescent="0.3">
      <c r="A128" s="6234" t="s">
        <v>4097</v>
      </c>
      <c r="B128" s="6609"/>
      <c r="C128" s="3239" t="s">
        <v>2543</v>
      </c>
      <c r="D128" s="2101" t="s">
        <v>5292</v>
      </c>
      <c r="E128" s="3344" t="s">
        <v>5293</v>
      </c>
      <c r="F128" s="3345" t="s">
        <v>5294</v>
      </c>
      <c r="G128" s="616" t="s">
        <v>5295</v>
      </c>
      <c r="H128" s="3077" t="s">
        <v>5296</v>
      </c>
      <c r="I128" s="616" t="s">
        <v>5297</v>
      </c>
      <c r="J128" s="626" t="s">
        <v>5298</v>
      </c>
      <c r="K128" s="616" t="s">
        <v>5299</v>
      </c>
      <c r="L128" s="626" t="s">
        <v>5300</v>
      </c>
      <c r="M128" s="3346" t="s">
        <v>5301</v>
      </c>
      <c r="N128" s="626" t="s">
        <v>5302</v>
      </c>
      <c r="O128" s="616" t="s">
        <v>5303</v>
      </c>
      <c r="P128" s="626" t="s">
        <v>5304</v>
      </c>
      <c r="Q128" s="616" t="s">
        <v>5305</v>
      </c>
      <c r="R128" s="626" t="s">
        <v>5306</v>
      </c>
      <c r="S128" s="616" t="s">
        <v>5307</v>
      </c>
      <c r="T128" s="626" t="s">
        <v>5308</v>
      </c>
      <c r="U128" s="616" t="s">
        <v>5309</v>
      </c>
      <c r="V128" s="626" t="s">
        <v>5310</v>
      </c>
      <c r="W128" s="3240" t="s">
        <v>5311</v>
      </c>
      <c r="X128" s="626" t="s">
        <v>5312</v>
      </c>
      <c r="Y128" s="3240" t="s">
        <v>5313</v>
      </c>
      <c r="Z128" s="626" t="s">
        <v>5314</v>
      </c>
      <c r="AA128" s="3347" t="s">
        <v>5315</v>
      </c>
      <c r="AB128" s="848" t="s">
        <v>5316</v>
      </c>
    </row>
    <row r="129" spans="1:28" ht="15" customHeight="1" x14ac:dyDescent="0.3">
      <c r="A129" s="6234" t="s">
        <v>4098</v>
      </c>
      <c r="B129" s="6355"/>
      <c r="C129" s="3239" t="s">
        <v>2544</v>
      </c>
      <c r="D129" s="3190" t="s">
        <v>5292</v>
      </c>
      <c r="E129" s="908" t="s">
        <v>5293</v>
      </c>
      <c r="F129" s="786" t="s">
        <v>5294</v>
      </c>
      <c r="G129" s="616" t="s">
        <v>5295</v>
      </c>
      <c r="H129" s="3077" t="s">
        <v>5296</v>
      </c>
      <c r="I129" s="616" t="s">
        <v>5297</v>
      </c>
      <c r="J129" s="626" t="s">
        <v>5298</v>
      </c>
      <c r="K129" s="616" t="s">
        <v>5299</v>
      </c>
      <c r="L129" s="626" t="s">
        <v>5300</v>
      </c>
      <c r="M129" s="3346" t="s">
        <v>5301</v>
      </c>
      <c r="N129" s="626" t="s">
        <v>5302</v>
      </c>
      <c r="O129" s="616" t="s">
        <v>5303</v>
      </c>
      <c r="P129" s="626" t="s">
        <v>5304</v>
      </c>
      <c r="Q129" s="616" t="s">
        <v>5305</v>
      </c>
      <c r="R129" s="626" t="s">
        <v>5306</v>
      </c>
      <c r="S129" s="616" t="s">
        <v>5307</v>
      </c>
      <c r="T129" s="626" t="s">
        <v>5308</v>
      </c>
      <c r="U129" s="616" t="s">
        <v>5309</v>
      </c>
      <c r="V129" s="626" t="s">
        <v>5310</v>
      </c>
      <c r="W129" s="3240" t="s">
        <v>5311</v>
      </c>
      <c r="X129" s="626" t="s">
        <v>5312</v>
      </c>
      <c r="Y129" s="3240" t="s">
        <v>5313</v>
      </c>
      <c r="Z129" s="626" t="s">
        <v>5314</v>
      </c>
      <c r="AA129" s="3347" t="s">
        <v>5315</v>
      </c>
      <c r="AB129" s="848" t="s">
        <v>5316</v>
      </c>
    </row>
    <row r="130" spans="1:28" ht="15" customHeight="1" x14ac:dyDescent="0.3">
      <c r="A130" s="6234" t="s">
        <v>4099</v>
      </c>
      <c r="B130" s="6610"/>
      <c r="C130" s="207" t="s">
        <v>2545</v>
      </c>
      <c r="D130" s="3192" t="s">
        <v>5292</v>
      </c>
      <c r="E130" s="3348" t="s">
        <v>5293</v>
      </c>
      <c r="F130" s="3349" t="s">
        <v>5294</v>
      </c>
      <c r="G130" s="3023" t="s">
        <v>5295</v>
      </c>
      <c r="H130" s="117" t="s">
        <v>5296</v>
      </c>
      <c r="I130" s="3023" t="s">
        <v>5297</v>
      </c>
      <c r="J130" s="3035" t="s">
        <v>5298</v>
      </c>
      <c r="K130" s="3023" t="s">
        <v>5299</v>
      </c>
      <c r="L130" s="3035" t="s">
        <v>5300</v>
      </c>
      <c r="M130" s="138" t="s">
        <v>5301</v>
      </c>
      <c r="N130" s="3035" t="s">
        <v>5302</v>
      </c>
      <c r="O130" s="3023" t="s">
        <v>5303</v>
      </c>
      <c r="P130" s="3035" t="s">
        <v>5304</v>
      </c>
      <c r="Q130" s="3023" t="s">
        <v>5305</v>
      </c>
      <c r="R130" s="3035" t="s">
        <v>5306</v>
      </c>
      <c r="S130" s="3023" t="s">
        <v>5307</v>
      </c>
      <c r="T130" s="3035" t="s">
        <v>5308</v>
      </c>
      <c r="U130" s="3023" t="s">
        <v>5309</v>
      </c>
      <c r="V130" s="3035" t="s">
        <v>5310</v>
      </c>
      <c r="W130" s="118" t="s">
        <v>5311</v>
      </c>
      <c r="X130" s="3035" t="s">
        <v>5312</v>
      </c>
      <c r="Y130" s="118" t="s">
        <v>5313</v>
      </c>
      <c r="Z130" s="3035" t="s">
        <v>5314</v>
      </c>
      <c r="AA130" s="3350" t="s">
        <v>5315</v>
      </c>
      <c r="AB130" s="3351" t="s">
        <v>5316</v>
      </c>
    </row>
    <row r="131" spans="1:28" ht="15" customHeight="1" x14ac:dyDescent="0.3">
      <c r="A131" s="6234" t="s">
        <v>4100</v>
      </c>
      <c r="B131" s="6367" t="s">
        <v>2547</v>
      </c>
      <c r="C131" s="3198" t="s">
        <v>2541</v>
      </c>
      <c r="D131" s="3194" t="s">
        <v>5292</v>
      </c>
      <c r="E131" s="906" t="s">
        <v>5293</v>
      </c>
      <c r="F131" s="3341" t="s">
        <v>5294</v>
      </c>
      <c r="G131" s="3127" t="s">
        <v>5295</v>
      </c>
      <c r="H131" s="3134" t="s">
        <v>5296</v>
      </c>
      <c r="I131" s="3127" t="s">
        <v>5297</v>
      </c>
      <c r="J131" s="3128" t="s">
        <v>5298</v>
      </c>
      <c r="K131" s="3127" t="s">
        <v>5299</v>
      </c>
      <c r="L131" s="3128" t="s">
        <v>5300</v>
      </c>
      <c r="M131" s="3342" t="s">
        <v>5301</v>
      </c>
      <c r="N131" s="3128" t="s">
        <v>5302</v>
      </c>
      <c r="O131" s="3127" t="s">
        <v>5303</v>
      </c>
      <c r="P131" s="3128" t="s">
        <v>5304</v>
      </c>
      <c r="Q131" s="3127" t="s">
        <v>5305</v>
      </c>
      <c r="R131" s="3128" t="s">
        <v>5306</v>
      </c>
      <c r="S131" s="3127" t="s">
        <v>5307</v>
      </c>
      <c r="T131" s="3128" t="s">
        <v>5308</v>
      </c>
      <c r="U131" s="3127" t="s">
        <v>5309</v>
      </c>
      <c r="V131" s="3128" t="s">
        <v>5310</v>
      </c>
      <c r="W131" s="3245" t="s">
        <v>5311</v>
      </c>
      <c r="X131" s="3128" t="s">
        <v>5312</v>
      </c>
      <c r="Y131" s="3245" t="s">
        <v>5313</v>
      </c>
      <c r="Z131" s="3128" t="s">
        <v>5314</v>
      </c>
      <c r="AA131" s="3323" t="s">
        <v>5315</v>
      </c>
      <c r="AB131" s="3343" t="s">
        <v>5316</v>
      </c>
    </row>
    <row r="132" spans="1:28" ht="15" customHeight="1" x14ac:dyDescent="0.3">
      <c r="A132" s="6234" t="s">
        <v>4101</v>
      </c>
      <c r="B132" s="6349"/>
      <c r="C132" s="203" t="s">
        <v>2542</v>
      </c>
      <c r="D132" s="2101" t="s">
        <v>5292</v>
      </c>
      <c r="E132" s="3344" t="s">
        <v>5293</v>
      </c>
      <c r="F132" s="3345" t="s">
        <v>5294</v>
      </c>
      <c r="G132" s="616" t="s">
        <v>5295</v>
      </c>
      <c r="H132" s="3077" t="s">
        <v>5296</v>
      </c>
      <c r="I132" s="616" t="s">
        <v>5297</v>
      </c>
      <c r="J132" s="626" t="s">
        <v>5298</v>
      </c>
      <c r="K132" s="616" t="s">
        <v>5299</v>
      </c>
      <c r="L132" s="626" t="s">
        <v>5300</v>
      </c>
      <c r="M132" s="3346" t="s">
        <v>5301</v>
      </c>
      <c r="N132" s="626" t="s">
        <v>5302</v>
      </c>
      <c r="O132" s="616" t="s">
        <v>5303</v>
      </c>
      <c r="P132" s="626" t="s">
        <v>5304</v>
      </c>
      <c r="Q132" s="616" t="s">
        <v>5305</v>
      </c>
      <c r="R132" s="626" t="s">
        <v>5306</v>
      </c>
      <c r="S132" s="616" t="s">
        <v>5307</v>
      </c>
      <c r="T132" s="626" t="s">
        <v>5308</v>
      </c>
      <c r="U132" s="616" t="s">
        <v>5309</v>
      </c>
      <c r="V132" s="626" t="s">
        <v>5310</v>
      </c>
      <c r="W132" s="3240" t="s">
        <v>5311</v>
      </c>
      <c r="X132" s="626" t="s">
        <v>5312</v>
      </c>
      <c r="Y132" s="3240" t="s">
        <v>5313</v>
      </c>
      <c r="Z132" s="626" t="s">
        <v>5314</v>
      </c>
      <c r="AA132" s="3347" t="s">
        <v>5315</v>
      </c>
      <c r="AB132" s="848" t="s">
        <v>5316</v>
      </c>
    </row>
    <row r="133" spans="1:28" ht="15" customHeight="1" x14ac:dyDescent="0.3">
      <c r="A133" s="6234" t="s">
        <v>4102</v>
      </c>
      <c r="B133" s="6349"/>
      <c r="C133" s="3239" t="s">
        <v>2543</v>
      </c>
      <c r="D133" s="2101" t="s">
        <v>5292</v>
      </c>
      <c r="E133" s="3344" t="s">
        <v>5293</v>
      </c>
      <c r="F133" s="3345" t="s">
        <v>5294</v>
      </c>
      <c r="G133" s="616" t="s">
        <v>5295</v>
      </c>
      <c r="H133" s="3077" t="s">
        <v>5296</v>
      </c>
      <c r="I133" s="616" t="s">
        <v>5297</v>
      </c>
      <c r="J133" s="626" t="s">
        <v>5298</v>
      </c>
      <c r="K133" s="616" t="s">
        <v>5299</v>
      </c>
      <c r="L133" s="626" t="s">
        <v>5300</v>
      </c>
      <c r="M133" s="3346" t="s">
        <v>5301</v>
      </c>
      <c r="N133" s="626" t="s">
        <v>5302</v>
      </c>
      <c r="O133" s="616" t="s">
        <v>5303</v>
      </c>
      <c r="P133" s="626" t="s">
        <v>5304</v>
      </c>
      <c r="Q133" s="616" t="s">
        <v>5305</v>
      </c>
      <c r="R133" s="626" t="s">
        <v>5306</v>
      </c>
      <c r="S133" s="616" t="s">
        <v>5307</v>
      </c>
      <c r="T133" s="626" t="s">
        <v>5308</v>
      </c>
      <c r="U133" s="616" t="s">
        <v>5309</v>
      </c>
      <c r="V133" s="626" t="s">
        <v>5310</v>
      </c>
      <c r="W133" s="3240" t="s">
        <v>5311</v>
      </c>
      <c r="X133" s="626" t="s">
        <v>5312</v>
      </c>
      <c r="Y133" s="3240" t="s">
        <v>5313</v>
      </c>
      <c r="Z133" s="626" t="s">
        <v>5314</v>
      </c>
      <c r="AA133" s="3347" t="s">
        <v>5315</v>
      </c>
      <c r="AB133" s="848" t="s">
        <v>5316</v>
      </c>
    </row>
    <row r="134" spans="1:28" ht="15" customHeight="1" x14ac:dyDescent="0.3">
      <c r="A134" s="6234" t="s">
        <v>4103</v>
      </c>
      <c r="B134" s="6349"/>
      <c r="C134" s="3239" t="s">
        <v>2544</v>
      </c>
      <c r="D134" s="3190" t="s">
        <v>5292</v>
      </c>
      <c r="E134" s="908" t="s">
        <v>5293</v>
      </c>
      <c r="F134" s="786" t="s">
        <v>5294</v>
      </c>
      <c r="G134" s="616" t="s">
        <v>5295</v>
      </c>
      <c r="H134" s="3077" t="s">
        <v>5296</v>
      </c>
      <c r="I134" s="616" t="s">
        <v>5297</v>
      </c>
      <c r="J134" s="626" t="s">
        <v>5298</v>
      </c>
      <c r="K134" s="616" t="s">
        <v>5299</v>
      </c>
      <c r="L134" s="626" t="s">
        <v>5300</v>
      </c>
      <c r="M134" s="3346" t="s">
        <v>5301</v>
      </c>
      <c r="N134" s="626" t="s">
        <v>5302</v>
      </c>
      <c r="O134" s="616" t="s">
        <v>5303</v>
      </c>
      <c r="P134" s="626" t="s">
        <v>5304</v>
      </c>
      <c r="Q134" s="616" t="s">
        <v>5305</v>
      </c>
      <c r="R134" s="626" t="s">
        <v>5306</v>
      </c>
      <c r="S134" s="616" t="s">
        <v>5307</v>
      </c>
      <c r="T134" s="626" t="s">
        <v>5308</v>
      </c>
      <c r="U134" s="616" t="s">
        <v>5309</v>
      </c>
      <c r="V134" s="626" t="s">
        <v>5310</v>
      </c>
      <c r="W134" s="3240" t="s">
        <v>5311</v>
      </c>
      <c r="X134" s="626" t="s">
        <v>5312</v>
      </c>
      <c r="Y134" s="3240" t="s">
        <v>5313</v>
      </c>
      <c r="Z134" s="626" t="s">
        <v>5314</v>
      </c>
      <c r="AA134" s="3347" t="s">
        <v>5315</v>
      </c>
      <c r="AB134" s="848" t="s">
        <v>5316</v>
      </c>
    </row>
    <row r="135" spans="1:28" ht="15" customHeight="1" x14ac:dyDescent="0.3">
      <c r="A135" s="6234" t="s">
        <v>4104</v>
      </c>
      <c r="B135" s="6350"/>
      <c r="C135" s="207" t="s">
        <v>2545</v>
      </c>
      <c r="D135" s="3192" t="s">
        <v>5292</v>
      </c>
      <c r="E135" s="3348" t="s">
        <v>5293</v>
      </c>
      <c r="F135" s="3349" t="s">
        <v>5294</v>
      </c>
      <c r="G135" s="3023" t="s">
        <v>5295</v>
      </c>
      <c r="H135" s="117" t="s">
        <v>5296</v>
      </c>
      <c r="I135" s="3023" t="s">
        <v>5297</v>
      </c>
      <c r="J135" s="3035" t="s">
        <v>5298</v>
      </c>
      <c r="K135" s="3023" t="s">
        <v>5299</v>
      </c>
      <c r="L135" s="3035" t="s">
        <v>5300</v>
      </c>
      <c r="M135" s="138" t="s">
        <v>5301</v>
      </c>
      <c r="N135" s="3035" t="s">
        <v>5302</v>
      </c>
      <c r="O135" s="3023" t="s">
        <v>5303</v>
      </c>
      <c r="P135" s="3035" t="s">
        <v>5304</v>
      </c>
      <c r="Q135" s="3023" t="s">
        <v>5305</v>
      </c>
      <c r="R135" s="3035" t="s">
        <v>5306</v>
      </c>
      <c r="S135" s="3023" t="s">
        <v>5307</v>
      </c>
      <c r="T135" s="3035" t="s">
        <v>5308</v>
      </c>
      <c r="U135" s="3023" t="s">
        <v>5309</v>
      </c>
      <c r="V135" s="3035" t="s">
        <v>5310</v>
      </c>
      <c r="W135" s="118" t="s">
        <v>5311</v>
      </c>
      <c r="X135" s="3035" t="s">
        <v>5312</v>
      </c>
      <c r="Y135" s="118" t="s">
        <v>5313</v>
      </c>
      <c r="Z135" s="3035" t="s">
        <v>5314</v>
      </c>
      <c r="AA135" s="3350" t="s">
        <v>5315</v>
      </c>
      <c r="AB135" s="3351" t="s">
        <v>5316</v>
      </c>
    </row>
    <row r="136" spans="1:28" ht="15" customHeight="1" x14ac:dyDescent="0.3">
      <c r="A136" s="6234" t="s">
        <v>4105</v>
      </c>
      <c r="B136" s="6354" t="s">
        <v>2548</v>
      </c>
      <c r="C136" s="3198" t="s">
        <v>2541</v>
      </c>
      <c r="D136" s="3194" t="s">
        <v>5292</v>
      </c>
      <c r="E136" s="906" t="s">
        <v>5293</v>
      </c>
      <c r="F136" s="3341" t="s">
        <v>5294</v>
      </c>
      <c r="G136" s="3127" t="s">
        <v>5295</v>
      </c>
      <c r="H136" s="3134" t="s">
        <v>5296</v>
      </c>
      <c r="I136" s="3127" t="s">
        <v>5297</v>
      </c>
      <c r="J136" s="3128" t="s">
        <v>5298</v>
      </c>
      <c r="K136" s="3127" t="s">
        <v>5299</v>
      </c>
      <c r="L136" s="3128" t="s">
        <v>5300</v>
      </c>
      <c r="M136" s="3342" t="s">
        <v>5301</v>
      </c>
      <c r="N136" s="3128" t="s">
        <v>5302</v>
      </c>
      <c r="O136" s="3127" t="s">
        <v>5303</v>
      </c>
      <c r="P136" s="3128" t="s">
        <v>5304</v>
      </c>
      <c r="Q136" s="3127" t="s">
        <v>5305</v>
      </c>
      <c r="R136" s="3128" t="s">
        <v>5306</v>
      </c>
      <c r="S136" s="3127" t="s">
        <v>5307</v>
      </c>
      <c r="T136" s="3128" t="s">
        <v>5308</v>
      </c>
      <c r="U136" s="3127" t="s">
        <v>5309</v>
      </c>
      <c r="V136" s="3128" t="s">
        <v>5310</v>
      </c>
      <c r="W136" s="3245" t="s">
        <v>5311</v>
      </c>
      <c r="X136" s="3128" t="s">
        <v>5312</v>
      </c>
      <c r="Y136" s="3245" t="s">
        <v>5313</v>
      </c>
      <c r="Z136" s="3128" t="s">
        <v>5314</v>
      </c>
      <c r="AA136" s="3323" t="s">
        <v>5315</v>
      </c>
      <c r="AB136" s="3343" t="s">
        <v>5316</v>
      </c>
    </row>
    <row r="137" spans="1:28" ht="15" customHeight="1" x14ac:dyDescent="0.3">
      <c r="A137" s="6234" t="s">
        <v>4106</v>
      </c>
      <c r="B137" s="6609"/>
      <c r="C137" s="203" t="s">
        <v>2542</v>
      </c>
      <c r="D137" s="2101" t="s">
        <v>5292</v>
      </c>
      <c r="E137" s="3344" t="s">
        <v>5293</v>
      </c>
      <c r="F137" s="3345" t="s">
        <v>5294</v>
      </c>
      <c r="G137" s="616" t="s">
        <v>5295</v>
      </c>
      <c r="H137" s="3077" t="s">
        <v>5296</v>
      </c>
      <c r="I137" s="616" t="s">
        <v>5297</v>
      </c>
      <c r="J137" s="626" t="s">
        <v>5298</v>
      </c>
      <c r="K137" s="616" t="s">
        <v>5299</v>
      </c>
      <c r="L137" s="626" t="s">
        <v>5300</v>
      </c>
      <c r="M137" s="3346" t="s">
        <v>5301</v>
      </c>
      <c r="N137" s="626" t="s">
        <v>5302</v>
      </c>
      <c r="O137" s="616" t="s">
        <v>5303</v>
      </c>
      <c r="P137" s="626" t="s">
        <v>5304</v>
      </c>
      <c r="Q137" s="616" t="s">
        <v>5305</v>
      </c>
      <c r="R137" s="626" t="s">
        <v>5306</v>
      </c>
      <c r="S137" s="616" t="s">
        <v>5307</v>
      </c>
      <c r="T137" s="626" t="s">
        <v>5308</v>
      </c>
      <c r="U137" s="616" t="s">
        <v>5309</v>
      </c>
      <c r="V137" s="626" t="s">
        <v>5310</v>
      </c>
      <c r="W137" s="3240" t="s">
        <v>5311</v>
      </c>
      <c r="X137" s="626" t="s">
        <v>5312</v>
      </c>
      <c r="Y137" s="3240" t="s">
        <v>5313</v>
      </c>
      <c r="Z137" s="626" t="s">
        <v>5314</v>
      </c>
      <c r="AA137" s="3347" t="s">
        <v>5315</v>
      </c>
      <c r="AB137" s="848" t="s">
        <v>5316</v>
      </c>
    </row>
    <row r="138" spans="1:28" ht="15" customHeight="1" x14ac:dyDescent="0.3">
      <c r="A138" s="6234" t="s">
        <v>4107</v>
      </c>
      <c r="B138" s="6609"/>
      <c r="C138" s="3239" t="s">
        <v>2543</v>
      </c>
      <c r="D138" s="2101" t="s">
        <v>5292</v>
      </c>
      <c r="E138" s="3344" t="s">
        <v>5293</v>
      </c>
      <c r="F138" s="3345" t="s">
        <v>5294</v>
      </c>
      <c r="G138" s="616" t="s">
        <v>5295</v>
      </c>
      <c r="H138" s="3077" t="s">
        <v>5296</v>
      </c>
      <c r="I138" s="616" t="s">
        <v>5297</v>
      </c>
      <c r="J138" s="626" t="s">
        <v>5298</v>
      </c>
      <c r="K138" s="616" t="s">
        <v>5299</v>
      </c>
      <c r="L138" s="626" t="s">
        <v>5300</v>
      </c>
      <c r="M138" s="3346" t="s">
        <v>5301</v>
      </c>
      <c r="N138" s="626" t="s">
        <v>5302</v>
      </c>
      <c r="O138" s="616" t="s">
        <v>5303</v>
      </c>
      <c r="P138" s="626" t="s">
        <v>5304</v>
      </c>
      <c r="Q138" s="616" t="s">
        <v>5305</v>
      </c>
      <c r="R138" s="626" t="s">
        <v>5306</v>
      </c>
      <c r="S138" s="616" t="s">
        <v>5307</v>
      </c>
      <c r="T138" s="626" t="s">
        <v>5308</v>
      </c>
      <c r="U138" s="616" t="s">
        <v>5309</v>
      </c>
      <c r="V138" s="626" t="s">
        <v>5310</v>
      </c>
      <c r="W138" s="3240" t="s">
        <v>5311</v>
      </c>
      <c r="X138" s="626" t="s">
        <v>5312</v>
      </c>
      <c r="Y138" s="3240" t="s">
        <v>5313</v>
      </c>
      <c r="Z138" s="626" t="s">
        <v>5314</v>
      </c>
      <c r="AA138" s="3347" t="s">
        <v>5315</v>
      </c>
      <c r="AB138" s="848" t="s">
        <v>5316</v>
      </c>
    </row>
    <row r="139" spans="1:28" ht="15" customHeight="1" x14ac:dyDescent="0.3">
      <c r="A139" s="6234" t="s">
        <v>4108</v>
      </c>
      <c r="B139" s="6355"/>
      <c r="C139" s="3239" t="s">
        <v>2544</v>
      </c>
      <c r="D139" s="3190" t="s">
        <v>5292</v>
      </c>
      <c r="E139" s="908" t="s">
        <v>5293</v>
      </c>
      <c r="F139" s="786" t="s">
        <v>5294</v>
      </c>
      <c r="G139" s="616" t="s">
        <v>5295</v>
      </c>
      <c r="H139" s="3077" t="s">
        <v>5296</v>
      </c>
      <c r="I139" s="616" t="s">
        <v>5297</v>
      </c>
      <c r="J139" s="626" t="s">
        <v>5298</v>
      </c>
      <c r="K139" s="616" t="s">
        <v>5299</v>
      </c>
      <c r="L139" s="626" t="s">
        <v>5300</v>
      </c>
      <c r="M139" s="3346" t="s">
        <v>5301</v>
      </c>
      <c r="N139" s="626" t="s">
        <v>5302</v>
      </c>
      <c r="O139" s="616" t="s">
        <v>5303</v>
      </c>
      <c r="P139" s="626" t="s">
        <v>5304</v>
      </c>
      <c r="Q139" s="616" t="s">
        <v>5305</v>
      </c>
      <c r="R139" s="626" t="s">
        <v>5306</v>
      </c>
      <c r="S139" s="616" t="s">
        <v>5307</v>
      </c>
      <c r="T139" s="626" t="s">
        <v>5308</v>
      </c>
      <c r="U139" s="616" t="s">
        <v>5309</v>
      </c>
      <c r="V139" s="626" t="s">
        <v>5310</v>
      </c>
      <c r="W139" s="3240" t="s">
        <v>5311</v>
      </c>
      <c r="X139" s="626" t="s">
        <v>5312</v>
      </c>
      <c r="Y139" s="3240" t="s">
        <v>5313</v>
      </c>
      <c r="Z139" s="626" t="s">
        <v>5314</v>
      </c>
      <c r="AA139" s="3347" t="s">
        <v>5315</v>
      </c>
      <c r="AB139" s="848" t="s">
        <v>5316</v>
      </c>
    </row>
    <row r="140" spans="1:28" ht="15" customHeight="1" x14ac:dyDescent="0.3">
      <c r="A140" s="6234" t="s">
        <v>4109</v>
      </c>
      <c r="B140" s="6610"/>
      <c r="C140" s="207" t="s">
        <v>2545</v>
      </c>
      <c r="D140" s="3192" t="s">
        <v>5292</v>
      </c>
      <c r="E140" s="3348" t="s">
        <v>5293</v>
      </c>
      <c r="F140" s="3349" t="s">
        <v>5294</v>
      </c>
      <c r="G140" s="3023" t="s">
        <v>5295</v>
      </c>
      <c r="H140" s="117" t="s">
        <v>5296</v>
      </c>
      <c r="I140" s="3023" t="s">
        <v>5297</v>
      </c>
      <c r="J140" s="3035" t="s">
        <v>5298</v>
      </c>
      <c r="K140" s="3023" t="s">
        <v>5299</v>
      </c>
      <c r="L140" s="3035" t="s">
        <v>5300</v>
      </c>
      <c r="M140" s="138" t="s">
        <v>5301</v>
      </c>
      <c r="N140" s="3035" t="s">
        <v>5302</v>
      </c>
      <c r="O140" s="3023" t="s">
        <v>5303</v>
      </c>
      <c r="P140" s="3035" t="s">
        <v>5304</v>
      </c>
      <c r="Q140" s="3023" t="s">
        <v>5305</v>
      </c>
      <c r="R140" s="3035" t="s">
        <v>5306</v>
      </c>
      <c r="S140" s="3023" t="s">
        <v>5307</v>
      </c>
      <c r="T140" s="3035" t="s">
        <v>5308</v>
      </c>
      <c r="U140" s="3023" t="s">
        <v>5309</v>
      </c>
      <c r="V140" s="3035" t="s">
        <v>5310</v>
      </c>
      <c r="W140" s="118" t="s">
        <v>5311</v>
      </c>
      <c r="X140" s="3035" t="s">
        <v>5312</v>
      </c>
      <c r="Y140" s="118" t="s">
        <v>5313</v>
      </c>
      <c r="Z140" s="3035" t="s">
        <v>5314</v>
      </c>
      <c r="AA140" s="3350" t="s">
        <v>5315</v>
      </c>
      <c r="AB140" s="3351" t="s">
        <v>5316</v>
      </c>
    </row>
    <row r="141" spans="1:28" ht="15" customHeight="1" x14ac:dyDescent="0.3">
      <c r="A141" s="6234" t="s">
        <v>4110</v>
      </c>
      <c r="B141" s="6354" t="s">
        <v>2549</v>
      </c>
      <c r="C141" s="3198" t="s">
        <v>2541</v>
      </c>
      <c r="D141" s="3194" t="s">
        <v>5292</v>
      </c>
      <c r="E141" s="906" t="s">
        <v>5293</v>
      </c>
      <c r="F141" s="3341" t="s">
        <v>5294</v>
      </c>
      <c r="G141" s="3127" t="s">
        <v>5295</v>
      </c>
      <c r="H141" s="3134" t="s">
        <v>5296</v>
      </c>
      <c r="I141" s="3127" t="s">
        <v>5297</v>
      </c>
      <c r="J141" s="3128" t="s">
        <v>5298</v>
      </c>
      <c r="K141" s="3127" t="s">
        <v>5299</v>
      </c>
      <c r="L141" s="3128" t="s">
        <v>5300</v>
      </c>
      <c r="M141" s="3342" t="s">
        <v>5301</v>
      </c>
      <c r="N141" s="3128" t="s">
        <v>5302</v>
      </c>
      <c r="O141" s="3127" t="s">
        <v>5303</v>
      </c>
      <c r="P141" s="3128" t="s">
        <v>5304</v>
      </c>
      <c r="Q141" s="3127" t="s">
        <v>5305</v>
      </c>
      <c r="R141" s="3128" t="s">
        <v>5306</v>
      </c>
      <c r="S141" s="3127" t="s">
        <v>5307</v>
      </c>
      <c r="T141" s="3128" t="s">
        <v>5308</v>
      </c>
      <c r="U141" s="3127" t="s">
        <v>5309</v>
      </c>
      <c r="V141" s="3128" t="s">
        <v>5310</v>
      </c>
      <c r="W141" s="3245" t="s">
        <v>5311</v>
      </c>
      <c r="X141" s="3128" t="s">
        <v>5312</v>
      </c>
      <c r="Y141" s="3245" t="s">
        <v>5313</v>
      </c>
      <c r="Z141" s="3128" t="s">
        <v>5314</v>
      </c>
      <c r="AA141" s="3323" t="s">
        <v>5315</v>
      </c>
      <c r="AB141" s="3343" t="s">
        <v>5316</v>
      </c>
    </row>
    <row r="142" spans="1:28" ht="15" customHeight="1" x14ac:dyDescent="0.3">
      <c r="A142" s="6234" t="s">
        <v>4111</v>
      </c>
      <c r="B142" s="6609"/>
      <c r="C142" s="203" t="s">
        <v>2542</v>
      </c>
      <c r="D142" s="2101" t="s">
        <v>5292</v>
      </c>
      <c r="E142" s="3344" t="s">
        <v>5293</v>
      </c>
      <c r="F142" s="3345" t="s">
        <v>5294</v>
      </c>
      <c r="G142" s="616" t="s">
        <v>5295</v>
      </c>
      <c r="H142" s="3077" t="s">
        <v>5296</v>
      </c>
      <c r="I142" s="616" t="s">
        <v>5297</v>
      </c>
      <c r="J142" s="626" t="s">
        <v>5298</v>
      </c>
      <c r="K142" s="616" t="s">
        <v>5299</v>
      </c>
      <c r="L142" s="626" t="s">
        <v>5300</v>
      </c>
      <c r="M142" s="3346" t="s">
        <v>5301</v>
      </c>
      <c r="N142" s="626" t="s">
        <v>5302</v>
      </c>
      <c r="O142" s="616" t="s">
        <v>5303</v>
      </c>
      <c r="P142" s="626" t="s">
        <v>5304</v>
      </c>
      <c r="Q142" s="616" t="s">
        <v>5305</v>
      </c>
      <c r="R142" s="626" t="s">
        <v>5306</v>
      </c>
      <c r="S142" s="616" t="s">
        <v>5307</v>
      </c>
      <c r="T142" s="626" t="s">
        <v>5308</v>
      </c>
      <c r="U142" s="616" t="s">
        <v>5309</v>
      </c>
      <c r="V142" s="626" t="s">
        <v>5310</v>
      </c>
      <c r="W142" s="3240" t="s">
        <v>5311</v>
      </c>
      <c r="X142" s="626" t="s">
        <v>5312</v>
      </c>
      <c r="Y142" s="3240" t="s">
        <v>5313</v>
      </c>
      <c r="Z142" s="626" t="s">
        <v>5314</v>
      </c>
      <c r="AA142" s="3347" t="s">
        <v>5315</v>
      </c>
      <c r="AB142" s="848" t="s">
        <v>5316</v>
      </c>
    </row>
    <row r="143" spans="1:28" ht="15" customHeight="1" x14ac:dyDescent="0.3">
      <c r="A143" s="6234" t="s">
        <v>4112</v>
      </c>
      <c r="B143" s="6609"/>
      <c r="C143" s="3239" t="s">
        <v>2543</v>
      </c>
      <c r="D143" s="2101" t="s">
        <v>5292</v>
      </c>
      <c r="E143" s="3344" t="s">
        <v>5293</v>
      </c>
      <c r="F143" s="3345" t="s">
        <v>5294</v>
      </c>
      <c r="G143" s="616" t="s">
        <v>5295</v>
      </c>
      <c r="H143" s="3077" t="s">
        <v>5296</v>
      </c>
      <c r="I143" s="616" t="s">
        <v>5297</v>
      </c>
      <c r="J143" s="626" t="s">
        <v>5298</v>
      </c>
      <c r="K143" s="616" t="s">
        <v>5299</v>
      </c>
      <c r="L143" s="626" t="s">
        <v>5300</v>
      </c>
      <c r="M143" s="3346" t="s">
        <v>5301</v>
      </c>
      <c r="N143" s="626" t="s">
        <v>5302</v>
      </c>
      <c r="O143" s="616" t="s">
        <v>5303</v>
      </c>
      <c r="P143" s="626" t="s">
        <v>5304</v>
      </c>
      <c r="Q143" s="616" t="s">
        <v>5305</v>
      </c>
      <c r="R143" s="626" t="s">
        <v>5306</v>
      </c>
      <c r="S143" s="616" t="s">
        <v>5307</v>
      </c>
      <c r="T143" s="626" t="s">
        <v>5308</v>
      </c>
      <c r="U143" s="616" t="s">
        <v>5309</v>
      </c>
      <c r="V143" s="626" t="s">
        <v>5310</v>
      </c>
      <c r="W143" s="3240" t="s">
        <v>5311</v>
      </c>
      <c r="X143" s="626" t="s">
        <v>5312</v>
      </c>
      <c r="Y143" s="3240" t="s">
        <v>5313</v>
      </c>
      <c r="Z143" s="626" t="s">
        <v>5314</v>
      </c>
      <c r="AA143" s="3347" t="s">
        <v>5315</v>
      </c>
      <c r="AB143" s="848" t="s">
        <v>5316</v>
      </c>
    </row>
    <row r="144" spans="1:28" ht="15" customHeight="1" x14ac:dyDescent="0.3">
      <c r="A144" s="6234" t="s">
        <v>4113</v>
      </c>
      <c r="B144" s="6355"/>
      <c r="C144" s="3239" t="s">
        <v>2544</v>
      </c>
      <c r="D144" s="3190" t="s">
        <v>5292</v>
      </c>
      <c r="E144" s="908" t="s">
        <v>5293</v>
      </c>
      <c r="F144" s="786" t="s">
        <v>5294</v>
      </c>
      <c r="G144" s="616" t="s">
        <v>5295</v>
      </c>
      <c r="H144" s="3077" t="s">
        <v>5296</v>
      </c>
      <c r="I144" s="616" t="s">
        <v>5297</v>
      </c>
      <c r="J144" s="626" t="s">
        <v>5298</v>
      </c>
      <c r="K144" s="616" t="s">
        <v>5299</v>
      </c>
      <c r="L144" s="626" t="s">
        <v>5300</v>
      </c>
      <c r="M144" s="3346" t="s">
        <v>5301</v>
      </c>
      <c r="N144" s="626" t="s">
        <v>5302</v>
      </c>
      <c r="O144" s="616" t="s">
        <v>5303</v>
      </c>
      <c r="P144" s="626" t="s">
        <v>5304</v>
      </c>
      <c r="Q144" s="616" t="s">
        <v>5305</v>
      </c>
      <c r="R144" s="626" t="s">
        <v>5306</v>
      </c>
      <c r="S144" s="616" t="s">
        <v>5307</v>
      </c>
      <c r="T144" s="626" t="s">
        <v>5308</v>
      </c>
      <c r="U144" s="616" t="s">
        <v>5309</v>
      </c>
      <c r="V144" s="626" t="s">
        <v>5310</v>
      </c>
      <c r="W144" s="3240" t="s">
        <v>5311</v>
      </c>
      <c r="X144" s="626" t="s">
        <v>5312</v>
      </c>
      <c r="Y144" s="3240" t="s">
        <v>5313</v>
      </c>
      <c r="Z144" s="626" t="s">
        <v>5314</v>
      </c>
      <c r="AA144" s="3347" t="s">
        <v>5315</v>
      </c>
      <c r="AB144" s="848" t="s">
        <v>5316</v>
      </c>
    </row>
    <row r="145" spans="1:28" ht="15" customHeight="1" x14ac:dyDescent="0.3">
      <c r="A145" s="6234" t="s">
        <v>4114</v>
      </c>
      <c r="B145" s="6610"/>
      <c r="C145" s="207" t="s">
        <v>2545</v>
      </c>
      <c r="D145" s="3192" t="s">
        <v>5292</v>
      </c>
      <c r="E145" s="3348" t="s">
        <v>5293</v>
      </c>
      <c r="F145" s="3349" t="s">
        <v>5294</v>
      </c>
      <c r="G145" s="3023" t="s">
        <v>5295</v>
      </c>
      <c r="H145" s="117" t="s">
        <v>5296</v>
      </c>
      <c r="I145" s="3023" t="s">
        <v>5297</v>
      </c>
      <c r="J145" s="3035" t="s">
        <v>5298</v>
      </c>
      <c r="K145" s="3023" t="s">
        <v>5299</v>
      </c>
      <c r="L145" s="3035" t="s">
        <v>5300</v>
      </c>
      <c r="M145" s="138" t="s">
        <v>5301</v>
      </c>
      <c r="N145" s="3035" t="s">
        <v>5302</v>
      </c>
      <c r="O145" s="3023" t="s">
        <v>5303</v>
      </c>
      <c r="P145" s="3035" t="s">
        <v>5304</v>
      </c>
      <c r="Q145" s="3023" t="s">
        <v>5305</v>
      </c>
      <c r="R145" s="3035" t="s">
        <v>5306</v>
      </c>
      <c r="S145" s="3023" t="s">
        <v>5307</v>
      </c>
      <c r="T145" s="3035" t="s">
        <v>5308</v>
      </c>
      <c r="U145" s="3023" t="s">
        <v>5309</v>
      </c>
      <c r="V145" s="3035" t="s">
        <v>5310</v>
      </c>
      <c r="W145" s="118" t="s">
        <v>5311</v>
      </c>
      <c r="X145" s="3035" t="s">
        <v>5312</v>
      </c>
      <c r="Y145" s="118" t="s">
        <v>5313</v>
      </c>
      <c r="Z145" s="3035" t="s">
        <v>5314</v>
      </c>
      <c r="AA145" s="3350" t="s">
        <v>5315</v>
      </c>
      <c r="AB145" s="3351" t="s">
        <v>5316</v>
      </c>
    </row>
    <row r="146" spans="1:28" ht="15" customHeight="1" x14ac:dyDescent="0.3">
      <c r="A146" s="6234" t="s">
        <v>4115</v>
      </c>
      <c r="B146" s="6367" t="s">
        <v>2550</v>
      </c>
      <c r="C146" s="3198" t="s">
        <v>2541</v>
      </c>
      <c r="D146" s="3194" t="s">
        <v>5292</v>
      </c>
      <c r="E146" s="906" t="s">
        <v>5293</v>
      </c>
      <c r="F146" s="3341" t="s">
        <v>5294</v>
      </c>
      <c r="G146" s="3127" t="s">
        <v>5295</v>
      </c>
      <c r="H146" s="3134" t="s">
        <v>5296</v>
      </c>
      <c r="I146" s="3127" t="s">
        <v>5297</v>
      </c>
      <c r="J146" s="3128" t="s">
        <v>5298</v>
      </c>
      <c r="K146" s="3127" t="s">
        <v>5299</v>
      </c>
      <c r="L146" s="3128" t="s">
        <v>5300</v>
      </c>
      <c r="M146" s="3342" t="s">
        <v>5301</v>
      </c>
      <c r="N146" s="3128" t="s">
        <v>5302</v>
      </c>
      <c r="O146" s="3127" t="s">
        <v>5303</v>
      </c>
      <c r="P146" s="3128" t="s">
        <v>5304</v>
      </c>
      <c r="Q146" s="3127" t="s">
        <v>5305</v>
      </c>
      <c r="R146" s="3128" t="s">
        <v>5306</v>
      </c>
      <c r="S146" s="3127" t="s">
        <v>5307</v>
      </c>
      <c r="T146" s="3128" t="s">
        <v>5308</v>
      </c>
      <c r="U146" s="3127" t="s">
        <v>5309</v>
      </c>
      <c r="V146" s="3128" t="s">
        <v>5310</v>
      </c>
      <c r="W146" s="3245" t="s">
        <v>5311</v>
      </c>
      <c r="X146" s="3128" t="s">
        <v>5312</v>
      </c>
      <c r="Y146" s="3245" t="s">
        <v>5313</v>
      </c>
      <c r="Z146" s="3128" t="s">
        <v>5314</v>
      </c>
      <c r="AA146" s="3323" t="s">
        <v>5315</v>
      </c>
      <c r="AB146" s="3343" t="s">
        <v>5316</v>
      </c>
    </row>
    <row r="147" spans="1:28" ht="15" customHeight="1" x14ac:dyDescent="0.3">
      <c r="A147" s="6234" t="s">
        <v>4116</v>
      </c>
      <c r="B147" s="6349"/>
      <c r="C147" s="203" t="s">
        <v>2542</v>
      </c>
      <c r="D147" s="2101" t="s">
        <v>5292</v>
      </c>
      <c r="E147" s="3344" t="s">
        <v>5293</v>
      </c>
      <c r="F147" s="3345" t="s">
        <v>5294</v>
      </c>
      <c r="G147" s="616" t="s">
        <v>5295</v>
      </c>
      <c r="H147" s="3077" t="s">
        <v>5296</v>
      </c>
      <c r="I147" s="616" t="s">
        <v>5297</v>
      </c>
      <c r="J147" s="626" t="s">
        <v>5298</v>
      </c>
      <c r="K147" s="616" t="s">
        <v>5299</v>
      </c>
      <c r="L147" s="626" t="s">
        <v>5300</v>
      </c>
      <c r="M147" s="3346" t="s">
        <v>5301</v>
      </c>
      <c r="N147" s="626" t="s">
        <v>5302</v>
      </c>
      <c r="O147" s="616" t="s">
        <v>5303</v>
      </c>
      <c r="P147" s="626" t="s">
        <v>5304</v>
      </c>
      <c r="Q147" s="616" t="s">
        <v>5305</v>
      </c>
      <c r="R147" s="626" t="s">
        <v>5306</v>
      </c>
      <c r="S147" s="616" t="s">
        <v>5307</v>
      </c>
      <c r="T147" s="626" t="s">
        <v>5308</v>
      </c>
      <c r="U147" s="616" t="s">
        <v>5309</v>
      </c>
      <c r="V147" s="626" t="s">
        <v>5310</v>
      </c>
      <c r="W147" s="3240" t="s">
        <v>5311</v>
      </c>
      <c r="X147" s="626" t="s">
        <v>5312</v>
      </c>
      <c r="Y147" s="3240" t="s">
        <v>5313</v>
      </c>
      <c r="Z147" s="626" t="s">
        <v>5314</v>
      </c>
      <c r="AA147" s="3347" t="s">
        <v>5315</v>
      </c>
      <c r="AB147" s="848" t="s">
        <v>5316</v>
      </c>
    </row>
    <row r="148" spans="1:28" ht="15" customHeight="1" x14ac:dyDescent="0.3">
      <c r="A148" s="6234" t="s">
        <v>4117</v>
      </c>
      <c r="B148" s="6349"/>
      <c r="C148" s="3239" t="s">
        <v>2543</v>
      </c>
      <c r="D148" s="2101" t="s">
        <v>5292</v>
      </c>
      <c r="E148" s="3344" t="s">
        <v>5293</v>
      </c>
      <c r="F148" s="3345" t="s">
        <v>5294</v>
      </c>
      <c r="G148" s="616" t="s">
        <v>5295</v>
      </c>
      <c r="H148" s="3077" t="s">
        <v>5296</v>
      </c>
      <c r="I148" s="616" t="s">
        <v>5297</v>
      </c>
      <c r="J148" s="626" t="s">
        <v>5298</v>
      </c>
      <c r="K148" s="616" t="s">
        <v>5299</v>
      </c>
      <c r="L148" s="626" t="s">
        <v>5300</v>
      </c>
      <c r="M148" s="3346" t="s">
        <v>5301</v>
      </c>
      <c r="N148" s="626" t="s">
        <v>5302</v>
      </c>
      <c r="O148" s="616" t="s">
        <v>5303</v>
      </c>
      <c r="P148" s="626" t="s">
        <v>5304</v>
      </c>
      <c r="Q148" s="616" t="s">
        <v>5305</v>
      </c>
      <c r="R148" s="626" t="s">
        <v>5306</v>
      </c>
      <c r="S148" s="616" t="s">
        <v>5307</v>
      </c>
      <c r="T148" s="626" t="s">
        <v>5308</v>
      </c>
      <c r="U148" s="616" t="s">
        <v>5309</v>
      </c>
      <c r="V148" s="626" t="s">
        <v>5310</v>
      </c>
      <c r="W148" s="3240" t="s">
        <v>5311</v>
      </c>
      <c r="X148" s="626" t="s">
        <v>5312</v>
      </c>
      <c r="Y148" s="3240" t="s">
        <v>5313</v>
      </c>
      <c r="Z148" s="626" t="s">
        <v>5314</v>
      </c>
      <c r="AA148" s="3347" t="s">
        <v>5315</v>
      </c>
      <c r="AB148" s="848" t="s">
        <v>5316</v>
      </c>
    </row>
    <row r="149" spans="1:28" ht="15" customHeight="1" x14ac:dyDescent="0.3">
      <c r="A149" s="6234" t="s">
        <v>4118</v>
      </c>
      <c r="B149" s="6349"/>
      <c r="C149" s="3239" t="s">
        <v>2544</v>
      </c>
      <c r="D149" s="3190" t="s">
        <v>5292</v>
      </c>
      <c r="E149" s="908" t="s">
        <v>5293</v>
      </c>
      <c r="F149" s="786" t="s">
        <v>5294</v>
      </c>
      <c r="G149" s="616" t="s">
        <v>5295</v>
      </c>
      <c r="H149" s="3077" t="s">
        <v>5296</v>
      </c>
      <c r="I149" s="616" t="s">
        <v>5297</v>
      </c>
      <c r="J149" s="626" t="s">
        <v>5298</v>
      </c>
      <c r="K149" s="616" t="s">
        <v>5299</v>
      </c>
      <c r="L149" s="626" t="s">
        <v>5300</v>
      </c>
      <c r="M149" s="3346" t="s">
        <v>5301</v>
      </c>
      <c r="N149" s="626" t="s">
        <v>5302</v>
      </c>
      <c r="O149" s="616" t="s">
        <v>5303</v>
      </c>
      <c r="P149" s="626" t="s">
        <v>5304</v>
      </c>
      <c r="Q149" s="616" t="s">
        <v>5305</v>
      </c>
      <c r="R149" s="626" t="s">
        <v>5306</v>
      </c>
      <c r="S149" s="616" t="s">
        <v>5307</v>
      </c>
      <c r="T149" s="626" t="s">
        <v>5308</v>
      </c>
      <c r="U149" s="616" t="s">
        <v>5309</v>
      </c>
      <c r="V149" s="626" t="s">
        <v>5310</v>
      </c>
      <c r="W149" s="3240" t="s">
        <v>5311</v>
      </c>
      <c r="X149" s="626" t="s">
        <v>5312</v>
      </c>
      <c r="Y149" s="3240" t="s">
        <v>5313</v>
      </c>
      <c r="Z149" s="626" t="s">
        <v>5314</v>
      </c>
      <c r="AA149" s="3347" t="s">
        <v>5315</v>
      </c>
      <c r="AB149" s="848" t="s">
        <v>5316</v>
      </c>
    </row>
    <row r="150" spans="1:28" ht="15" customHeight="1" x14ac:dyDescent="0.3">
      <c r="A150" s="6234" t="s">
        <v>4119</v>
      </c>
      <c r="B150" s="6349"/>
      <c r="C150" s="207" t="s">
        <v>2545</v>
      </c>
      <c r="D150" s="3308" t="s">
        <v>5292</v>
      </c>
      <c r="E150" s="3352" t="s">
        <v>5293</v>
      </c>
      <c r="F150" s="3353" t="s">
        <v>5294</v>
      </c>
      <c r="G150" s="90" t="s">
        <v>5295</v>
      </c>
      <c r="H150" s="91" t="s">
        <v>5296</v>
      </c>
      <c r="I150" s="90" t="s">
        <v>5297</v>
      </c>
      <c r="J150" s="92" t="s">
        <v>5298</v>
      </c>
      <c r="K150" s="90" t="s">
        <v>5299</v>
      </c>
      <c r="L150" s="92" t="s">
        <v>5300</v>
      </c>
      <c r="M150" s="1967" t="s">
        <v>5301</v>
      </c>
      <c r="N150" s="92" t="s">
        <v>5302</v>
      </c>
      <c r="O150" s="90" t="s">
        <v>5303</v>
      </c>
      <c r="P150" s="92" t="s">
        <v>5304</v>
      </c>
      <c r="Q150" s="90" t="s">
        <v>5305</v>
      </c>
      <c r="R150" s="92" t="s">
        <v>5306</v>
      </c>
      <c r="S150" s="90" t="s">
        <v>5307</v>
      </c>
      <c r="T150" s="92" t="s">
        <v>5308</v>
      </c>
      <c r="U150" s="90" t="s">
        <v>5309</v>
      </c>
      <c r="V150" s="92" t="s">
        <v>5310</v>
      </c>
      <c r="W150" s="93" t="s">
        <v>5311</v>
      </c>
      <c r="X150" s="92" t="s">
        <v>5312</v>
      </c>
      <c r="Y150" s="93" t="s">
        <v>5313</v>
      </c>
      <c r="Z150" s="92" t="s">
        <v>5314</v>
      </c>
      <c r="AA150" s="3354" t="s">
        <v>5315</v>
      </c>
      <c r="AB150" s="3355" t="s">
        <v>5316</v>
      </c>
    </row>
    <row r="151" spans="1:28" ht="15" customHeight="1" x14ac:dyDescent="0.3">
      <c r="A151" s="6245"/>
      <c r="B151" s="6358" t="s">
        <v>2551</v>
      </c>
      <c r="C151" s="6335"/>
      <c r="D151" s="5656">
        <v>0</v>
      </c>
      <c r="E151" s="5657">
        <v>0</v>
      </c>
      <c r="F151" s="5658">
        <v>0</v>
      </c>
      <c r="G151" s="5656">
        <v>0</v>
      </c>
      <c r="H151" s="5659">
        <v>0</v>
      </c>
      <c r="I151" s="5656">
        <v>0</v>
      </c>
      <c r="J151" s="5659">
        <v>0</v>
      </c>
      <c r="K151" s="5656">
        <v>0</v>
      </c>
      <c r="L151" s="5659">
        <v>0</v>
      </c>
      <c r="M151" s="5656">
        <v>0</v>
      </c>
      <c r="N151" s="5659">
        <v>0</v>
      </c>
      <c r="O151" s="5656">
        <v>0</v>
      </c>
      <c r="P151" s="5659">
        <v>0</v>
      </c>
      <c r="Q151" s="5656">
        <v>0</v>
      </c>
      <c r="R151" s="5659">
        <v>0</v>
      </c>
      <c r="S151" s="5656">
        <v>0</v>
      </c>
      <c r="T151" s="5659">
        <v>0</v>
      </c>
      <c r="U151" s="5656">
        <v>0</v>
      </c>
      <c r="V151" s="5659">
        <v>0</v>
      </c>
      <c r="W151" s="5656">
        <v>0</v>
      </c>
      <c r="X151" s="5659">
        <v>0</v>
      </c>
      <c r="Y151" s="5656">
        <v>0</v>
      </c>
      <c r="Z151" s="5659">
        <v>0</v>
      </c>
      <c r="AA151" s="5660">
        <v>0</v>
      </c>
      <c r="AB151" s="5661">
        <v>0</v>
      </c>
    </row>
    <row r="152" spans="1:28" ht="15" customHeight="1" x14ac:dyDescent="0.3">
      <c r="A152" s="6234" t="s">
        <v>4120</v>
      </c>
      <c r="B152" s="6606" t="s">
        <v>2552</v>
      </c>
      <c r="C152" s="5463" t="s">
        <v>2541</v>
      </c>
      <c r="D152" s="579" t="s">
        <v>5292</v>
      </c>
      <c r="E152" s="5653" t="s">
        <v>5293</v>
      </c>
      <c r="F152" s="5654" t="s">
        <v>5294</v>
      </c>
      <c r="G152" s="586" t="s">
        <v>5295</v>
      </c>
      <c r="H152" s="4424" t="s">
        <v>5296</v>
      </c>
      <c r="I152" s="586" t="s">
        <v>5297</v>
      </c>
      <c r="J152" s="5047" t="s">
        <v>5298</v>
      </c>
      <c r="K152" s="586" t="s">
        <v>5299</v>
      </c>
      <c r="L152" s="5047" t="s">
        <v>5300</v>
      </c>
      <c r="M152" s="135" t="s">
        <v>5301</v>
      </c>
      <c r="N152" s="5047" t="s">
        <v>5302</v>
      </c>
      <c r="O152" s="586" t="s">
        <v>5303</v>
      </c>
      <c r="P152" s="5047" t="s">
        <v>5304</v>
      </c>
      <c r="Q152" s="586" t="s">
        <v>5305</v>
      </c>
      <c r="R152" s="5047" t="s">
        <v>5306</v>
      </c>
      <c r="S152" s="586" t="s">
        <v>5307</v>
      </c>
      <c r="T152" s="5047" t="s">
        <v>5308</v>
      </c>
      <c r="U152" s="586" t="s">
        <v>5309</v>
      </c>
      <c r="V152" s="5047" t="s">
        <v>5310</v>
      </c>
      <c r="W152" s="113" t="s">
        <v>5311</v>
      </c>
      <c r="X152" s="5047" t="s">
        <v>5312</v>
      </c>
      <c r="Y152" s="113" t="s">
        <v>5313</v>
      </c>
      <c r="Z152" s="5047" t="s">
        <v>5314</v>
      </c>
      <c r="AA152" s="3361" t="s">
        <v>5315</v>
      </c>
      <c r="AB152" s="5655" t="s">
        <v>5316</v>
      </c>
    </row>
    <row r="153" spans="1:28" ht="15" customHeight="1" x14ac:dyDescent="0.3">
      <c r="A153" s="6234" t="s">
        <v>4121</v>
      </c>
      <c r="B153" s="6606"/>
      <c r="C153" s="203" t="s">
        <v>2542</v>
      </c>
      <c r="D153" s="2101" t="s">
        <v>5292</v>
      </c>
      <c r="E153" s="3344" t="s">
        <v>5293</v>
      </c>
      <c r="F153" s="3345" t="s">
        <v>5294</v>
      </c>
      <c r="G153" s="106" t="s">
        <v>5295</v>
      </c>
      <c r="H153" s="105" t="s">
        <v>5296</v>
      </c>
      <c r="I153" s="106" t="s">
        <v>5297</v>
      </c>
      <c r="J153" s="587" t="s">
        <v>5298</v>
      </c>
      <c r="K153" s="106" t="s">
        <v>5299</v>
      </c>
      <c r="L153" s="587" t="s">
        <v>5300</v>
      </c>
      <c r="M153" s="135" t="s">
        <v>5301</v>
      </c>
      <c r="N153" s="587" t="s">
        <v>5302</v>
      </c>
      <c r="O153" s="106" t="s">
        <v>5303</v>
      </c>
      <c r="P153" s="587" t="s">
        <v>5304</v>
      </c>
      <c r="Q153" s="106" t="s">
        <v>5305</v>
      </c>
      <c r="R153" s="587" t="s">
        <v>5306</v>
      </c>
      <c r="S153" s="106" t="s">
        <v>5307</v>
      </c>
      <c r="T153" s="587" t="s">
        <v>5308</v>
      </c>
      <c r="U153" s="106" t="s">
        <v>5309</v>
      </c>
      <c r="V153" s="587" t="s">
        <v>5310</v>
      </c>
      <c r="W153" s="113" t="s">
        <v>5311</v>
      </c>
      <c r="X153" s="587" t="s">
        <v>5312</v>
      </c>
      <c r="Y153" s="113" t="s">
        <v>5313</v>
      </c>
      <c r="Z153" s="587" t="s">
        <v>5314</v>
      </c>
      <c r="AA153" s="3361" t="s">
        <v>5315</v>
      </c>
      <c r="AB153" s="1485" t="s">
        <v>5316</v>
      </c>
    </row>
    <row r="154" spans="1:28" ht="15" customHeight="1" x14ac:dyDescent="0.3">
      <c r="A154" s="6234" t="s">
        <v>4122</v>
      </c>
      <c r="B154" s="6606"/>
      <c r="C154" s="3239" t="s">
        <v>2543</v>
      </c>
      <c r="D154" s="2101" t="s">
        <v>5292</v>
      </c>
      <c r="E154" s="3344" t="s">
        <v>5293</v>
      </c>
      <c r="F154" s="3345" t="s">
        <v>5294</v>
      </c>
      <c r="G154" s="106" t="s">
        <v>5295</v>
      </c>
      <c r="H154" s="105" t="s">
        <v>5296</v>
      </c>
      <c r="I154" s="106" t="s">
        <v>5297</v>
      </c>
      <c r="J154" s="587" t="s">
        <v>5298</v>
      </c>
      <c r="K154" s="106" t="s">
        <v>5299</v>
      </c>
      <c r="L154" s="587" t="s">
        <v>5300</v>
      </c>
      <c r="M154" s="135" t="s">
        <v>5301</v>
      </c>
      <c r="N154" s="587" t="s">
        <v>5302</v>
      </c>
      <c r="O154" s="106" t="s">
        <v>5303</v>
      </c>
      <c r="P154" s="587" t="s">
        <v>5304</v>
      </c>
      <c r="Q154" s="106" t="s">
        <v>5305</v>
      </c>
      <c r="R154" s="587" t="s">
        <v>5306</v>
      </c>
      <c r="S154" s="106" t="s">
        <v>5307</v>
      </c>
      <c r="T154" s="587" t="s">
        <v>5308</v>
      </c>
      <c r="U154" s="106" t="s">
        <v>5309</v>
      </c>
      <c r="V154" s="587" t="s">
        <v>5310</v>
      </c>
      <c r="W154" s="113" t="s">
        <v>5311</v>
      </c>
      <c r="X154" s="587" t="s">
        <v>5312</v>
      </c>
      <c r="Y154" s="113" t="s">
        <v>5313</v>
      </c>
      <c r="Z154" s="587" t="s">
        <v>5314</v>
      </c>
      <c r="AA154" s="3361" t="s">
        <v>5315</v>
      </c>
      <c r="AB154" s="1485" t="s">
        <v>5316</v>
      </c>
    </row>
    <row r="155" spans="1:28" ht="15" customHeight="1" x14ac:dyDescent="0.3">
      <c r="A155" s="6234" t="s">
        <v>4123</v>
      </c>
      <c r="B155" s="6606"/>
      <c r="C155" s="3239" t="s">
        <v>2544</v>
      </c>
      <c r="D155" s="2101" t="s">
        <v>5292</v>
      </c>
      <c r="E155" s="3344" t="s">
        <v>5293</v>
      </c>
      <c r="F155" s="3345" t="s">
        <v>5294</v>
      </c>
      <c r="G155" s="106" t="s">
        <v>5295</v>
      </c>
      <c r="H155" s="105" t="s">
        <v>5296</v>
      </c>
      <c r="I155" s="106" t="s">
        <v>5297</v>
      </c>
      <c r="J155" s="587" t="s">
        <v>5298</v>
      </c>
      <c r="K155" s="106" t="s">
        <v>5299</v>
      </c>
      <c r="L155" s="587" t="s">
        <v>5300</v>
      </c>
      <c r="M155" s="135" t="s">
        <v>5301</v>
      </c>
      <c r="N155" s="587" t="s">
        <v>5302</v>
      </c>
      <c r="O155" s="106" t="s">
        <v>5303</v>
      </c>
      <c r="P155" s="587" t="s">
        <v>5304</v>
      </c>
      <c r="Q155" s="106" t="s">
        <v>5305</v>
      </c>
      <c r="R155" s="587" t="s">
        <v>5306</v>
      </c>
      <c r="S155" s="106" t="s">
        <v>5307</v>
      </c>
      <c r="T155" s="587" t="s">
        <v>5308</v>
      </c>
      <c r="U155" s="106" t="s">
        <v>5309</v>
      </c>
      <c r="V155" s="587" t="s">
        <v>5310</v>
      </c>
      <c r="W155" s="113" t="s">
        <v>5311</v>
      </c>
      <c r="X155" s="587" t="s">
        <v>5312</v>
      </c>
      <c r="Y155" s="113" t="s">
        <v>5313</v>
      </c>
      <c r="Z155" s="587" t="s">
        <v>5314</v>
      </c>
      <c r="AA155" s="3361" t="s">
        <v>5315</v>
      </c>
      <c r="AB155" s="1485" t="s">
        <v>5316</v>
      </c>
    </row>
    <row r="156" spans="1:28" ht="15" customHeight="1" x14ac:dyDescent="0.3">
      <c r="A156" s="6234" t="s">
        <v>4124</v>
      </c>
      <c r="B156" s="6606"/>
      <c r="C156" s="207" t="s">
        <v>2545</v>
      </c>
      <c r="D156" s="3362" t="s">
        <v>5292</v>
      </c>
      <c r="E156" s="3363" t="s">
        <v>5293</v>
      </c>
      <c r="F156" s="3364" t="s">
        <v>5294</v>
      </c>
      <c r="G156" s="2403" t="s">
        <v>5295</v>
      </c>
      <c r="H156" s="870" t="s">
        <v>5296</v>
      </c>
      <c r="I156" s="2403" t="s">
        <v>5297</v>
      </c>
      <c r="J156" s="1382" t="s">
        <v>5298</v>
      </c>
      <c r="K156" s="2403" t="s">
        <v>5299</v>
      </c>
      <c r="L156" s="1382" t="s">
        <v>5300</v>
      </c>
      <c r="M156" s="2399" t="s">
        <v>5301</v>
      </c>
      <c r="N156" s="1382" t="s">
        <v>5302</v>
      </c>
      <c r="O156" s="2403" t="s">
        <v>5303</v>
      </c>
      <c r="P156" s="1382" t="s">
        <v>5304</v>
      </c>
      <c r="Q156" s="2403" t="s">
        <v>5305</v>
      </c>
      <c r="R156" s="1382" t="s">
        <v>5306</v>
      </c>
      <c r="S156" s="2403" t="s">
        <v>5307</v>
      </c>
      <c r="T156" s="1382" t="s">
        <v>5308</v>
      </c>
      <c r="U156" s="2403" t="s">
        <v>5309</v>
      </c>
      <c r="V156" s="1382" t="s">
        <v>5310</v>
      </c>
      <c r="W156" s="3365" t="s">
        <v>5311</v>
      </c>
      <c r="X156" s="1382" t="s">
        <v>5312</v>
      </c>
      <c r="Y156" s="3365" t="s">
        <v>5313</v>
      </c>
      <c r="Z156" s="1382" t="s">
        <v>5314</v>
      </c>
      <c r="AA156" s="3366" t="s">
        <v>5315</v>
      </c>
      <c r="AB156" s="3367" t="s">
        <v>5316</v>
      </c>
    </row>
    <row r="157" spans="1:28" ht="15" customHeight="1" x14ac:dyDescent="0.3">
      <c r="A157" s="6234" t="s">
        <v>4125</v>
      </c>
      <c r="B157" s="6607" t="s">
        <v>2553</v>
      </c>
      <c r="C157" s="3198" t="s">
        <v>2541</v>
      </c>
      <c r="D157" s="3194" t="s">
        <v>5292</v>
      </c>
      <c r="E157" s="906" t="s">
        <v>5293</v>
      </c>
      <c r="F157" s="3341" t="s">
        <v>5294</v>
      </c>
      <c r="G157" s="3127" t="s">
        <v>5295</v>
      </c>
      <c r="H157" s="3134" t="s">
        <v>5296</v>
      </c>
      <c r="I157" s="3127" t="s">
        <v>5297</v>
      </c>
      <c r="J157" s="3128" t="s">
        <v>5298</v>
      </c>
      <c r="K157" s="3127" t="s">
        <v>5299</v>
      </c>
      <c r="L157" s="3128" t="s">
        <v>5300</v>
      </c>
      <c r="M157" s="3342" t="s">
        <v>5301</v>
      </c>
      <c r="N157" s="3128" t="s">
        <v>5302</v>
      </c>
      <c r="O157" s="3127" t="s">
        <v>5303</v>
      </c>
      <c r="P157" s="3128" t="s">
        <v>5304</v>
      </c>
      <c r="Q157" s="3127" t="s">
        <v>5305</v>
      </c>
      <c r="R157" s="3128" t="s">
        <v>5306</v>
      </c>
      <c r="S157" s="3127" t="s">
        <v>5307</v>
      </c>
      <c r="T157" s="3128" t="s">
        <v>5308</v>
      </c>
      <c r="U157" s="3127" t="s">
        <v>5309</v>
      </c>
      <c r="V157" s="3128" t="s">
        <v>5310</v>
      </c>
      <c r="W157" s="3245" t="s">
        <v>5311</v>
      </c>
      <c r="X157" s="3128" t="s">
        <v>5312</v>
      </c>
      <c r="Y157" s="3245" t="s">
        <v>5313</v>
      </c>
      <c r="Z157" s="3128" t="s">
        <v>5314</v>
      </c>
      <c r="AA157" s="3323" t="s">
        <v>5315</v>
      </c>
      <c r="AB157" s="3343" t="s">
        <v>5316</v>
      </c>
    </row>
    <row r="158" spans="1:28" ht="15" customHeight="1" x14ac:dyDescent="0.3">
      <c r="A158" s="6234" t="s">
        <v>4126</v>
      </c>
      <c r="B158" s="6606"/>
      <c r="C158" s="203" t="s">
        <v>2542</v>
      </c>
      <c r="D158" s="2101" t="s">
        <v>5292</v>
      </c>
      <c r="E158" s="3344" t="s">
        <v>5293</v>
      </c>
      <c r="F158" s="3345" t="s">
        <v>5294</v>
      </c>
      <c r="G158" s="106" t="s">
        <v>5295</v>
      </c>
      <c r="H158" s="105" t="s">
        <v>5296</v>
      </c>
      <c r="I158" s="106" t="s">
        <v>5297</v>
      </c>
      <c r="J158" s="587" t="s">
        <v>5298</v>
      </c>
      <c r="K158" s="106" t="s">
        <v>5299</v>
      </c>
      <c r="L158" s="587" t="s">
        <v>5300</v>
      </c>
      <c r="M158" s="135" t="s">
        <v>5301</v>
      </c>
      <c r="N158" s="587" t="s">
        <v>5302</v>
      </c>
      <c r="O158" s="106" t="s">
        <v>5303</v>
      </c>
      <c r="P158" s="587" t="s">
        <v>5304</v>
      </c>
      <c r="Q158" s="106" t="s">
        <v>5305</v>
      </c>
      <c r="R158" s="587" t="s">
        <v>5306</v>
      </c>
      <c r="S158" s="106" t="s">
        <v>5307</v>
      </c>
      <c r="T158" s="587" t="s">
        <v>5308</v>
      </c>
      <c r="U158" s="106" t="s">
        <v>5309</v>
      </c>
      <c r="V158" s="587" t="s">
        <v>5310</v>
      </c>
      <c r="W158" s="113" t="s">
        <v>5311</v>
      </c>
      <c r="X158" s="587" t="s">
        <v>5312</v>
      </c>
      <c r="Y158" s="113" t="s">
        <v>5313</v>
      </c>
      <c r="Z158" s="587" t="s">
        <v>5314</v>
      </c>
      <c r="AA158" s="3361" t="s">
        <v>5315</v>
      </c>
      <c r="AB158" s="1485" t="s">
        <v>5316</v>
      </c>
    </row>
    <row r="159" spans="1:28" ht="15" customHeight="1" x14ac:dyDescent="0.3">
      <c r="A159" s="6234" t="s">
        <v>4127</v>
      </c>
      <c r="B159" s="6606"/>
      <c r="C159" s="3239" t="s">
        <v>2543</v>
      </c>
      <c r="D159" s="2101" t="s">
        <v>5292</v>
      </c>
      <c r="E159" s="3344" t="s">
        <v>5293</v>
      </c>
      <c r="F159" s="3345" t="s">
        <v>5294</v>
      </c>
      <c r="G159" s="106" t="s">
        <v>5295</v>
      </c>
      <c r="H159" s="105" t="s">
        <v>5296</v>
      </c>
      <c r="I159" s="106" t="s">
        <v>5297</v>
      </c>
      <c r="J159" s="587" t="s">
        <v>5298</v>
      </c>
      <c r="K159" s="106" t="s">
        <v>5299</v>
      </c>
      <c r="L159" s="587" t="s">
        <v>5300</v>
      </c>
      <c r="M159" s="135" t="s">
        <v>5301</v>
      </c>
      <c r="N159" s="587" t="s">
        <v>5302</v>
      </c>
      <c r="O159" s="106" t="s">
        <v>5303</v>
      </c>
      <c r="P159" s="587" t="s">
        <v>5304</v>
      </c>
      <c r="Q159" s="106" t="s">
        <v>5305</v>
      </c>
      <c r="R159" s="587" t="s">
        <v>5306</v>
      </c>
      <c r="S159" s="106" t="s">
        <v>5307</v>
      </c>
      <c r="T159" s="587" t="s">
        <v>5308</v>
      </c>
      <c r="U159" s="106" t="s">
        <v>5309</v>
      </c>
      <c r="V159" s="587" t="s">
        <v>5310</v>
      </c>
      <c r="W159" s="113" t="s">
        <v>5311</v>
      </c>
      <c r="X159" s="587" t="s">
        <v>5312</v>
      </c>
      <c r="Y159" s="113" t="s">
        <v>5313</v>
      </c>
      <c r="Z159" s="587" t="s">
        <v>5314</v>
      </c>
      <c r="AA159" s="3361" t="s">
        <v>5315</v>
      </c>
      <c r="AB159" s="1485" t="s">
        <v>5316</v>
      </c>
    </row>
    <row r="160" spans="1:28" ht="15" customHeight="1" x14ac:dyDescent="0.3">
      <c r="A160" s="6234" t="s">
        <v>4128</v>
      </c>
      <c r="B160" s="6606"/>
      <c r="C160" s="3239" t="s">
        <v>2544</v>
      </c>
      <c r="D160" s="2101" t="s">
        <v>5292</v>
      </c>
      <c r="E160" s="3344" t="s">
        <v>5293</v>
      </c>
      <c r="F160" s="3345" t="s">
        <v>5294</v>
      </c>
      <c r="G160" s="106" t="s">
        <v>5295</v>
      </c>
      <c r="H160" s="105" t="s">
        <v>5296</v>
      </c>
      <c r="I160" s="106" t="s">
        <v>5297</v>
      </c>
      <c r="J160" s="587" t="s">
        <v>5298</v>
      </c>
      <c r="K160" s="106" t="s">
        <v>5299</v>
      </c>
      <c r="L160" s="587" t="s">
        <v>5300</v>
      </c>
      <c r="M160" s="135" t="s">
        <v>5301</v>
      </c>
      <c r="N160" s="587" t="s">
        <v>5302</v>
      </c>
      <c r="O160" s="106" t="s">
        <v>5303</v>
      </c>
      <c r="P160" s="587" t="s">
        <v>5304</v>
      </c>
      <c r="Q160" s="106" t="s">
        <v>5305</v>
      </c>
      <c r="R160" s="587" t="s">
        <v>5306</v>
      </c>
      <c r="S160" s="106" t="s">
        <v>5307</v>
      </c>
      <c r="T160" s="587" t="s">
        <v>5308</v>
      </c>
      <c r="U160" s="106" t="s">
        <v>5309</v>
      </c>
      <c r="V160" s="587" t="s">
        <v>5310</v>
      </c>
      <c r="W160" s="113" t="s">
        <v>5311</v>
      </c>
      <c r="X160" s="587" t="s">
        <v>5312</v>
      </c>
      <c r="Y160" s="113" t="s">
        <v>5313</v>
      </c>
      <c r="Z160" s="587" t="s">
        <v>5314</v>
      </c>
      <c r="AA160" s="3361" t="s">
        <v>5315</v>
      </c>
      <c r="AB160" s="1485" t="s">
        <v>5316</v>
      </c>
    </row>
    <row r="161" spans="1:40" ht="15" customHeight="1" x14ac:dyDescent="0.3">
      <c r="A161" s="6234" t="s">
        <v>4129</v>
      </c>
      <c r="B161" s="6608"/>
      <c r="C161" s="207" t="s">
        <v>2545</v>
      </c>
      <c r="D161" s="2398" t="s">
        <v>5292</v>
      </c>
      <c r="E161" s="2396" t="s">
        <v>5293</v>
      </c>
      <c r="F161" s="3368" t="s">
        <v>5294</v>
      </c>
      <c r="G161" s="2410" t="s">
        <v>5295</v>
      </c>
      <c r="H161" s="3369" t="s">
        <v>5296</v>
      </c>
      <c r="I161" s="2410" t="s">
        <v>5297</v>
      </c>
      <c r="J161" s="2924" t="s">
        <v>5298</v>
      </c>
      <c r="K161" s="2410" t="s">
        <v>5299</v>
      </c>
      <c r="L161" s="2924" t="s">
        <v>5300</v>
      </c>
      <c r="M161" s="2863" t="s">
        <v>5301</v>
      </c>
      <c r="N161" s="2924" t="s">
        <v>5302</v>
      </c>
      <c r="O161" s="2410" t="s">
        <v>5303</v>
      </c>
      <c r="P161" s="2924" t="s">
        <v>5304</v>
      </c>
      <c r="Q161" s="2410" t="s">
        <v>5305</v>
      </c>
      <c r="R161" s="2924" t="s">
        <v>5306</v>
      </c>
      <c r="S161" s="2410" t="s">
        <v>5307</v>
      </c>
      <c r="T161" s="2924" t="s">
        <v>5308</v>
      </c>
      <c r="U161" s="2410" t="s">
        <v>5309</v>
      </c>
      <c r="V161" s="2924" t="s">
        <v>5310</v>
      </c>
      <c r="W161" s="3370" t="s">
        <v>5311</v>
      </c>
      <c r="X161" s="2924" t="s">
        <v>5312</v>
      </c>
      <c r="Y161" s="3370" t="s">
        <v>5313</v>
      </c>
      <c r="Z161" s="2924" t="s">
        <v>5314</v>
      </c>
      <c r="AA161" s="3371" t="s">
        <v>5315</v>
      </c>
      <c r="AB161" s="3171" t="s">
        <v>5316</v>
      </c>
    </row>
    <row r="162" spans="1:40" x14ac:dyDescent="0.3">
      <c r="A162" s="6245"/>
      <c r="B162" s="6326" t="s">
        <v>2551</v>
      </c>
      <c r="C162" s="6462"/>
      <c r="D162" s="3356">
        <v>0</v>
      </c>
      <c r="E162" s="3357">
        <v>0</v>
      </c>
      <c r="F162" s="3358">
        <v>0</v>
      </c>
      <c r="G162" s="3356">
        <v>0</v>
      </c>
      <c r="H162" s="3359">
        <v>0</v>
      </c>
      <c r="I162" s="3356">
        <v>0</v>
      </c>
      <c r="J162" s="3359">
        <v>0</v>
      </c>
      <c r="K162" s="3356">
        <v>0</v>
      </c>
      <c r="L162" s="3359">
        <v>0</v>
      </c>
      <c r="M162" s="3356">
        <v>0</v>
      </c>
      <c r="N162" s="3359">
        <v>0</v>
      </c>
      <c r="O162" s="3356">
        <v>0</v>
      </c>
      <c r="P162" s="3359">
        <v>0</v>
      </c>
      <c r="Q162" s="3356">
        <v>0</v>
      </c>
      <c r="R162" s="3359">
        <v>0</v>
      </c>
      <c r="S162" s="3356">
        <v>0</v>
      </c>
      <c r="T162" s="3359">
        <v>0</v>
      </c>
      <c r="U162" s="3356">
        <v>0</v>
      </c>
      <c r="V162" s="3359">
        <v>0</v>
      </c>
      <c r="W162" s="3356">
        <v>0</v>
      </c>
      <c r="X162" s="3359">
        <v>0</v>
      </c>
      <c r="Y162" s="3356">
        <v>0</v>
      </c>
      <c r="Z162" s="3359">
        <v>0</v>
      </c>
      <c r="AA162" s="3372">
        <v>0</v>
      </c>
      <c r="AB162" s="3360">
        <v>0</v>
      </c>
    </row>
    <row r="163" spans="1:40" ht="18" customHeight="1" x14ac:dyDescent="0.3">
      <c r="B163" s="2763" t="s">
        <v>2554</v>
      </c>
      <c r="C163" s="3373"/>
      <c r="D163" s="3373"/>
      <c r="E163" s="3373"/>
      <c r="F163" s="112"/>
      <c r="G163" s="3374"/>
      <c r="H163" s="3374"/>
      <c r="I163" s="3374"/>
      <c r="J163" s="3374"/>
      <c r="K163" s="3374"/>
      <c r="L163" s="3374"/>
      <c r="M163" s="3374"/>
      <c r="N163" s="3374"/>
      <c r="O163" s="3374"/>
      <c r="P163" s="3374"/>
      <c r="Q163" s="3374"/>
      <c r="R163" s="3374"/>
      <c r="S163" s="3374"/>
      <c r="T163" s="3374"/>
      <c r="U163" s="3374"/>
      <c r="V163" s="3374"/>
      <c r="W163" s="3374"/>
      <c r="X163" s="3374"/>
      <c r="Y163" s="3374"/>
      <c r="Z163" s="3374"/>
      <c r="AA163" s="920"/>
      <c r="AB163" s="920"/>
      <c r="AC163" s="3199"/>
      <c r="AD163" s="3199"/>
      <c r="AE163" s="3199"/>
      <c r="AF163" s="3199"/>
      <c r="AG163" s="3199"/>
      <c r="AH163" s="3199"/>
      <c r="AI163" s="3199"/>
      <c r="AJ163" s="3199"/>
      <c r="AK163" s="3199"/>
      <c r="AL163" s="3199"/>
      <c r="AM163" s="3199"/>
      <c r="AN163" s="3199"/>
    </row>
    <row r="164" spans="1:40" ht="15" customHeight="1" x14ac:dyDescent="0.3">
      <c r="A164" s="6236"/>
      <c r="B164" s="6341" t="s">
        <v>2478</v>
      </c>
      <c r="C164" s="6342"/>
      <c r="D164" s="6340" t="s">
        <v>24</v>
      </c>
      <c r="E164" s="6341"/>
      <c r="F164" s="6342"/>
      <c r="G164" s="6326" t="s">
        <v>30</v>
      </c>
      <c r="H164" s="6345"/>
      <c r="I164" s="6345"/>
      <c r="J164" s="6345"/>
      <c r="K164" s="6345"/>
      <c r="L164" s="6345"/>
      <c r="M164" s="6345"/>
      <c r="N164" s="6345"/>
      <c r="O164" s="6345"/>
      <c r="P164" s="6345"/>
      <c r="Q164" s="6345"/>
      <c r="R164" s="6345"/>
      <c r="S164" s="6345"/>
      <c r="T164" s="6345"/>
      <c r="U164" s="6345"/>
      <c r="V164" s="6345"/>
      <c r="W164" s="6345"/>
      <c r="X164" s="6345"/>
      <c r="Y164" s="6345"/>
      <c r="Z164" s="6345"/>
      <c r="AA164" s="6345"/>
      <c r="AB164" s="6345"/>
      <c r="AC164" s="6345"/>
      <c r="AD164" s="6345"/>
      <c r="AE164" s="6345"/>
      <c r="AF164" s="6345"/>
      <c r="AG164" s="6345"/>
      <c r="AH164" s="6345"/>
      <c r="AI164" s="6345"/>
      <c r="AJ164" s="6345"/>
      <c r="AK164" s="6345"/>
      <c r="AL164" s="6345"/>
      <c r="AM164" s="6345"/>
      <c r="AN164" s="6462"/>
    </row>
    <row r="165" spans="1:40" ht="15" customHeight="1" x14ac:dyDescent="0.3">
      <c r="A165" s="6236"/>
      <c r="B165" s="6344"/>
      <c r="C165" s="6324"/>
      <c r="D165" s="6459"/>
      <c r="E165" s="6383"/>
      <c r="F165" s="6460"/>
      <c r="G165" s="6326" t="s">
        <v>36</v>
      </c>
      <c r="H165" s="6462"/>
      <c r="I165" s="6326" t="s">
        <v>37</v>
      </c>
      <c r="J165" s="6462"/>
      <c r="K165" s="6326" t="s">
        <v>38</v>
      </c>
      <c r="L165" s="6462"/>
      <c r="M165" s="6463" t="s">
        <v>4</v>
      </c>
      <c r="N165" s="6605"/>
      <c r="O165" s="6605" t="s">
        <v>5</v>
      </c>
      <c r="P165" s="6464"/>
      <c r="Q165" s="6326" t="s">
        <v>6</v>
      </c>
      <c r="R165" s="6462"/>
      <c r="S165" s="6345" t="s">
        <v>7</v>
      </c>
      <c r="T165" s="6462"/>
      <c r="U165" s="6345" t="s">
        <v>8</v>
      </c>
      <c r="V165" s="6462"/>
      <c r="W165" s="6326" t="s">
        <v>9</v>
      </c>
      <c r="X165" s="6462"/>
      <c r="Y165" s="6345" t="s">
        <v>10</v>
      </c>
      <c r="Z165" s="6462"/>
      <c r="AA165" s="6600" t="s">
        <v>11</v>
      </c>
      <c r="AB165" s="6601"/>
      <c r="AC165" s="6600" t="s">
        <v>18</v>
      </c>
      <c r="AD165" s="6601"/>
      <c r="AE165" s="6600" t="s">
        <v>19</v>
      </c>
      <c r="AF165" s="6601"/>
      <c r="AG165" s="6600" t="s">
        <v>20</v>
      </c>
      <c r="AH165" s="6601"/>
      <c r="AI165" s="6600" t="s">
        <v>70</v>
      </c>
      <c r="AJ165" s="6601"/>
      <c r="AK165" s="6600" t="s">
        <v>71</v>
      </c>
      <c r="AL165" s="6601"/>
      <c r="AM165" s="6602" t="s">
        <v>32</v>
      </c>
      <c r="AN165" s="6601"/>
    </row>
    <row r="166" spans="1:40" ht="15" customHeight="1" x14ac:dyDescent="0.3">
      <c r="A166" s="6236"/>
      <c r="B166" s="6383"/>
      <c r="C166" s="6460"/>
      <c r="D166" s="3224" t="s">
        <v>26</v>
      </c>
      <c r="E166" s="3375" t="s">
        <v>22</v>
      </c>
      <c r="F166" s="1713" t="s">
        <v>27</v>
      </c>
      <c r="G166" s="1931" t="s">
        <v>22</v>
      </c>
      <c r="H166" s="1713" t="s">
        <v>27</v>
      </c>
      <c r="I166" s="1931" t="s">
        <v>22</v>
      </c>
      <c r="J166" s="1713" t="s">
        <v>27</v>
      </c>
      <c r="K166" s="1931" t="s">
        <v>22</v>
      </c>
      <c r="L166" s="1713" t="s">
        <v>27</v>
      </c>
      <c r="M166" s="3153" t="s">
        <v>22</v>
      </c>
      <c r="N166" s="3376" t="s">
        <v>27</v>
      </c>
      <c r="O166" s="3225" t="s">
        <v>22</v>
      </c>
      <c r="P166" s="3304" t="s">
        <v>27</v>
      </c>
      <c r="Q166" s="3225" t="s">
        <v>22</v>
      </c>
      <c r="R166" s="3304" t="s">
        <v>27</v>
      </c>
      <c r="S166" s="3160" t="s">
        <v>22</v>
      </c>
      <c r="T166" s="3338" t="s">
        <v>27</v>
      </c>
      <c r="U166" s="3160" t="s">
        <v>22</v>
      </c>
      <c r="V166" s="3338" t="s">
        <v>27</v>
      </c>
      <c r="W166" s="3153" t="s">
        <v>22</v>
      </c>
      <c r="X166" s="3338" t="s">
        <v>27</v>
      </c>
      <c r="Y166" s="3160" t="s">
        <v>22</v>
      </c>
      <c r="Z166" s="3338" t="s">
        <v>27</v>
      </c>
      <c r="AA166" s="3339" t="s">
        <v>22</v>
      </c>
      <c r="AB166" s="3340" t="s">
        <v>27</v>
      </c>
      <c r="AC166" s="3339" t="s">
        <v>22</v>
      </c>
      <c r="AD166" s="3340" t="s">
        <v>27</v>
      </c>
      <c r="AE166" s="3339" t="s">
        <v>22</v>
      </c>
      <c r="AF166" s="3340" t="s">
        <v>27</v>
      </c>
      <c r="AG166" s="3339" t="s">
        <v>22</v>
      </c>
      <c r="AH166" s="3340" t="s">
        <v>27</v>
      </c>
      <c r="AI166" s="3339" t="s">
        <v>22</v>
      </c>
      <c r="AJ166" s="3340" t="s">
        <v>27</v>
      </c>
      <c r="AK166" s="3339" t="s">
        <v>22</v>
      </c>
      <c r="AL166" s="3340" t="s">
        <v>27</v>
      </c>
      <c r="AM166" s="3377" t="s">
        <v>22</v>
      </c>
      <c r="AN166" s="3340" t="s">
        <v>27</v>
      </c>
    </row>
    <row r="167" spans="1:40" ht="15" customHeight="1" x14ac:dyDescent="0.3">
      <c r="A167" s="6240" t="s">
        <v>4130</v>
      </c>
      <c r="B167" s="6603" t="s">
        <v>2555</v>
      </c>
      <c r="C167" s="3378" t="s">
        <v>2556</v>
      </c>
      <c r="D167" s="3194" t="s">
        <v>5292</v>
      </c>
      <c r="E167" s="906" t="s">
        <v>5293</v>
      </c>
      <c r="F167" s="3195" t="s">
        <v>5294</v>
      </c>
      <c r="G167" s="3127" t="s">
        <v>5295</v>
      </c>
      <c r="H167" s="3128" t="s">
        <v>5296</v>
      </c>
      <c r="I167" s="3127" t="s">
        <v>5297</v>
      </c>
      <c r="J167" s="3128" t="s">
        <v>5298</v>
      </c>
      <c r="K167" s="3127" t="s">
        <v>5299</v>
      </c>
      <c r="L167" s="3128" t="s">
        <v>5300</v>
      </c>
      <c r="M167" s="3127" t="s">
        <v>5301</v>
      </c>
      <c r="N167" s="320" t="s">
        <v>5302</v>
      </c>
      <c r="O167" s="320" t="s">
        <v>5303</v>
      </c>
      <c r="P167" s="3128" t="s">
        <v>5304</v>
      </c>
      <c r="Q167" s="3127" t="s">
        <v>5305</v>
      </c>
      <c r="R167" s="3128" t="s">
        <v>5306</v>
      </c>
      <c r="S167" s="3260" t="s">
        <v>5307</v>
      </c>
      <c r="T167" s="3128" t="s">
        <v>5308</v>
      </c>
      <c r="U167" s="3260" t="s">
        <v>5309</v>
      </c>
      <c r="V167" s="3128" t="s">
        <v>5310</v>
      </c>
      <c r="W167" s="3127" t="s">
        <v>5311</v>
      </c>
      <c r="X167" s="3128" t="s">
        <v>5312</v>
      </c>
      <c r="Y167" s="3260" t="s">
        <v>5313</v>
      </c>
      <c r="Z167" s="3128" t="s">
        <v>5314</v>
      </c>
      <c r="AA167" s="3379" t="s">
        <v>5315</v>
      </c>
      <c r="AB167" s="3343" t="s">
        <v>5316</v>
      </c>
      <c r="AC167" s="3379" t="s">
        <v>5317</v>
      </c>
      <c r="AD167" s="3343" t="s">
        <v>5318</v>
      </c>
      <c r="AE167" s="3379" t="s">
        <v>5319</v>
      </c>
      <c r="AF167" s="3343" t="s">
        <v>5320</v>
      </c>
      <c r="AG167" s="3379" t="s">
        <v>5321</v>
      </c>
      <c r="AH167" s="3343" t="s">
        <v>5322</v>
      </c>
      <c r="AI167" s="3379" t="s">
        <v>5323</v>
      </c>
      <c r="AJ167" s="3343" t="s">
        <v>5324</v>
      </c>
      <c r="AK167" s="3379" t="s">
        <v>5325</v>
      </c>
      <c r="AL167" s="3343" t="s">
        <v>5326</v>
      </c>
      <c r="AM167" s="3380" t="s">
        <v>5327</v>
      </c>
      <c r="AN167" s="3343" t="s">
        <v>5328</v>
      </c>
    </row>
    <row r="168" spans="1:40" ht="15" customHeight="1" x14ac:dyDescent="0.3">
      <c r="A168" s="6240" t="s">
        <v>4131</v>
      </c>
      <c r="B168" s="6576"/>
      <c r="C168" s="3381" t="s">
        <v>2557</v>
      </c>
      <c r="D168" s="2101" t="s">
        <v>5292</v>
      </c>
      <c r="E168" s="3344" t="s">
        <v>5293</v>
      </c>
      <c r="F168" s="143" t="s">
        <v>5294</v>
      </c>
      <c r="G168" s="616" t="s">
        <v>5295</v>
      </c>
      <c r="H168" s="626" t="s">
        <v>5296</v>
      </c>
      <c r="I168" s="616" t="s">
        <v>5297</v>
      </c>
      <c r="J168" s="626" t="s">
        <v>5298</v>
      </c>
      <c r="K168" s="616" t="s">
        <v>5299</v>
      </c>
      <c r="L168" s="626" t="s">
        <v>5300</v>
      </c>
      <c r="M168" s="616" t="s">
        <v>5301</v>
      </c>
      <c r="N168" s="617" t="s">
        <v>5302</v>
      </c>
      <c r="O168" s="617" t="s">
        <v>5303</v>
      </c>
      <c r="P168" s="626" t="s">
        <v>5304</v>
      </c>
      <c r="Q168" s="616" t="s">
        <v>5305</v>
      </c>
      <c r="R168" s="626" t="s">
        <v>5306</v>
      </c>
      <c r="S168" s="3143" t="s">
        <v>5307</v>
      </c>
      <c r="T168" s="626" t="s">
        <v>5308</v>
      </c>
      <c r="U168" s="3143" t="s">
        <v>5309</v>
      </c>
      <c r="V168" s="626" t="s">
        <v>5310</v>
      </c>
      <c r="W168" s="616" t="s">
        <v>5311</v>
      </c>
      <c r="X168" s="626" t="s">
        <v>5312</v>
      </c>
      <c r="Y168" s="3143" t="s">
        <v>5313</v>
      </c>
      <c r="Z168" s="626" t="s">
        <v>5314</v>
      </c>
      <c r="AA168" s="846" t="s">
        <v>5315</v>
      </c>
      <c r="AB168" s="848" t="s">
        <v>5316</v>
      </c>
      <c r="AC168" s="846" t="s">
        <v>5317</v>
      </c>
      <c r="AD168" s="848" t="s">
        <v>5318</v>
      </c>
      <c r="AE168" s="846" t="s">
        <v>5319</v>
      </c>
      <c r="AF168" s="848" t="s">
        <v>5320</v>
      </c>
      <c r="AG168" s="846" t="s">
        <v>5321</v>
      </c>
      <c r="AH168" s="848" t="s">
        <v>5322</v>
      </c>
      <c r="AI168" s="846" t="s">
        <v>5323</v>
      </c>
      <c r="AJ168" s="848" t="s">
        <v>5324</v>
      </c>
      <c r="AK168" s="846" t="s">
        <v>5325</v>
      </c>
      <c r="AL168" s="848" t="s">
        <v>5326</v>
      </c>
      <c r="AM168" s="3166" t="s">
        <v>5327</v>
      </c>
      <c r="AN168" s="848" t="s">
        <v>5328</v>
      </c>
    </row>
    <row r="169" spans="1:40" ht="15" customHeight="1" x14ac:dyDescent="0.3">
      <c r="A169" s="6240" t="s">
        <v>4132</v>
      </c>
      <c r="B169" s="6604"/>
      <c r="C169" s="2995" t="s">
        <v>2558</v>
      </c>
      <c r="D169" s="2398" t="s">
        <v>5292</v>
      </c>
      <c r="E169" s="2396" t="s">
        <v>5293</v>
      </c>
      <c r="F169" s="3383" t="s">
        <v>5294</v>
      </c>
      <c r="G169" s="3023" t="s">
        <v>5295</v>
      </c>
      <c r="H169" s="3035" t="s">
        <v>5296</v>
      </c>
      <c r="I169" s="3023" t="s">
        <v>5297</v>
      </c>
      <c r="J169" s="3035" t="s">
        <v>5298</v>
      </c>
      <c r="K169" s="3023" t="s">
        <v>5299</v>
      </c>
      <c r="L169" s="3035" t="s">
        <v>5300</v>
      </c>
      <c r="M169" s="3023" t="s">
        <v>5301</v>
      </c>
      <c r="N169" s="3020" t="s">
        <v>5302</v>
      </c>
      <c r="O169" s="3020" t="s">
        <v>5303</v>
      </c>
      <c r="P169" s="3035" t="s">
        <v>5304</v>
      </c>
      <c r="Q169" s="3023" t="s">
        <v>5305</v>
      </c>
      <c r="R169" s="3035" t="s">
        <v>5306</v>
      </c>
      <c r="S169" s="121" t="s">
        <v>5307</v>
      </c>
      <c r="T169" s="3035" t="s">
        <v>5308</v>
      </c>
      <c r="U169" s="121" t="s">
        <v>5309</v>
      </c>
      <c r="V169" s="3035" t="s">
        <v>5310</v>
      </c>
      <c r="W169" s="3023" t="s">
        <v>5311</v>
      </c>
      <c r="X169" s="3035" t="s">
        <v>5312</v>
      </c>
      <c r="Y169" s="121" t="s">
        <v>5313</v>
      </c>
      <c r="Z169" s="3035" t="s">
        <v>5314</v>
      </c>
      <c r="AA169" s="3384" t="s">
        <v>5315</v>
      </c>
      <c r="AB169" s="3351" t="s">
        <v>5316</v>
      </c>
      <c r="AC169" s="3384" t="s">
        <v>5317</v>
      </c>
      <c r="AD169" s="3351" t="s">
        <v>5318</v>
      </c>
      <c r="AE169" s="3384" t="s">
        <v>5319</v>
      </c>
      <c r="AF169" s="3351" t="s">
        <v>5320</v>
      </c>
      <c r="AG169" s="3384" t="s">
        <v>5321</v>
      </c>
      <c r="AH169" s="3351" t="s">
        <v>5322</v>
      </c>
      <c r="AI169" s="3384" t="s">
        <v>5323</v>
      </c>
      <c r="AJ169" s="3351" t="s">
        <v>5324</v>
      </c>
      <c r="AK169" s="3384" t="s">
        <v>5325</v>
      </c>
      <c r="AL169" s="3351" t="s">
        <v>5326</v>
      </c>
      <c r="AM169" s="3385" t="s">
        <v>5327</v>
      </c>
      <c r="AN169" s="3351" t="s">
        <v>5328</v>
      </c>
    </row>
    <row r="170" spans="1:40" ht="15" customHeight="1" x14ac:dyDescent="0.3">
      <c r="A170" s="6240" t="s">
        <v>4133</v>
      </c>
      <c r="B170" s="6603" t="s">
        <v>2559</v>
      </c>
      <c r="C170" s="3378" t="s">
        <v>2556</v>
      </c>
      <c r="D170" s="3194" t="s">
        <v>5292</v>
      </c>
      <c r="E170" s="906" t="s">
        <v>5293</v>
      </c>
      <c r="F170" s="3195" t="s">
        <v>5294</v>
      </c>
      <c r="G170" s="3127" t="s">
        <v>5295</v>
      </c>
      <c r="H170" s="3128" t="s">
        <v>5296</v>
      </c>
      <c r="I170" s="3127" t="s">
        <v>5297</v>
      </c>
      <c r="J170" s="3128" t="s">
        <v>5298</v>
      </c>
      <c r="K170" s="3127" t="s">
        <v>5299</v>
      </c>
      <c r="L170" s="3128" t="s">
        <v>5300</v>
      </c>
      <c r="M170" s="3127" t="s">
        <v>5301</v>
      </c>
      <c r="N170" s="320" t="s">
        <v>5302</v>
      </c>
      <c r="O170" s="320" t="s">
        <v>5303</v>
      </c>
      <c r="P170" s="3128" t="s">
        <v>5304</v>
      </c>
      <c r="Q170" s="3127" t="s">
        <v>5305</v>
      </c>
      <c r="R170" s="3128" t="s">
        <v>5306</v>
      </c>
      <c r="S170" s="3260" t="s">
        <v>5307</v>
      </c>
      <c r="T170" s="3128" t="s">
        <v>5308</v>
      </c>
      <c r="U170" s="3260" t="s">
        <v>5309</v>
      </c>
      <c r="V170" s="3128" t="s">
        <v>5310</v>
      </c>
      <c r="W170" s="3127" t="s">
        <v>5311</v>
      </c>
      <c r="X170" s="3128" t="s">
        <v>5312</v>
      </c>
      <c r="Y170" s="3260" t="s">
        <v>5313</v>
      </c>
      <c r="Z170" s="3128" t="s">
        <v>5314</v>
      </c>
      <c r="AA170" s="3379" t="s">
        <v>5315</v>
      </c>
      <c r="AB170" s="3343" t="s">
        <v>5316</v>
      </c>
      <c r="AC170" s="3379" t="s">
        <v>5317</v>
      </c>
      <c r="AD170" s="3343" t="s">
        <v>5318</v>
      </c>
      <c r="AE170" s="3379" t="s">
        <v>5319</v>
      </c>
      <c r="AF170" s="3343" t="s">
        <v>5320</v>
      </c>
      <c r="AG170" s="3379" t="s">
        <v>5321</v>
      </c>
      <c r="AH170" s="3343" t="s">
        <v>5322</v>
      </c>
      <c r="AI170" s="3379" t="s">
        <v>5323</v>
      </c>
      <c r="AJ170" s="3343" t="s">
        <v>5324</v>
      </c>
      <c r="AK170" s="3379" t="s">
        <v>5325</v>
      </c>
      <c r="AL170" s="3343" t="s">
        <v>5326</v>
      </c>
      <c r="AM170" s="3380" t="s">
        <v>5327</v>
      </c>
      <c r="AN170" s="3343" t="s">
        <v>5328</v>
      </c>
    </row>
    <row r="171" spans="1:40" ht="15" customHeight="1" x14ac:dyDescent="0.3">
      <c r="A171" s="6240" t="s">
        <v>4134</v>
      </c>
      <c r="B171" s="6576"/>
      <c r="C171" s="3381" t="s">
        <v>2557</v>
      </c>
      <c r="D171" s="2101" t="s">
        <v>5292</v>
      </c>
      <c r="E171" s="3344" t="s">
        <v>5293</v>
      </c>
      <c r="F171" s="143" t="s">
        <v>5294</v>
      </c>
      <c r="G171" s="616" t="s">
        <v>5295</v>
      </c>
      <c r="H171" s="626" t="s">
        <v>5296</v>
      </c>
      <c r="I171" s="616" t="s">
        <v>5297</v>
      </c>
      <c r="J171" s="626" t="s">
        <v>5298</v>
      </c>
      <c r="K171" s="616" t="s">
        <v>5299</v>
      </c>
      <c r="L171" s="626" t="s">
        <v>5300</v>
      </c>
      <c r="M171" s="616" t="s">
        <v>5301</v>
      </c>
      <c r="N171" s="617" t="s">
        <v>5302</v>
      </c>
      <c r="O171" s="617" t="s">
        <v>5303</v>
      </c>
      <c r="P171" s="626" t="s">
        <v>5304</v>
      </c>
      <c r="Q171" s="616" t="s">
        <v>5305</v>
      </c>
      <c r="R171" s="626" t="s">
        <v>5306</v>
      </c>
      <c r="S171" s="3143" t="s">
        <v>5307</v>
      </c>
      <c r="T171" s="626" t="s">
        <v>5308</v>
      </c>
      <c r="U171" s="3143" t="s">
        <v>5309</v>
      </c>
      <c r="V171" s="626" t="s">
        <v>5310</v>
      </c>
      <c r="W171" s="616" t="s">
        <v>5311</v>
      </c>
      <c r="X171" s="626" t="s">
        <v>5312</v>
      </c>
      <c r="Y171" s="3143" t="s">
        <v>5313</v>
      </c>
      <c r="Z171" s="626" t="s">
        <v>5314</v>
      </c>
      <c r="AA171" s="846" t="s">
        <v>5315</v>
      </c>
      <c r="AB171" s="848" t="s">
        <v>5316</v>
      </c>
      <c r="AC171" s="846" t="s">
        <v>5317</v>
      </c>
      <c r="AD171" s="848" t="s">
        <v>5318</v>
      </c>
      <c r="AE171" s="846" t="s">
        <v>5319</v>
      </c>
      <c r="AF171" s="848" t="s">
        <v>5320</v>
      </c>
      <c r="AG171" s="846" t="s">
        <v>5321</v>
      </c>
      <c r="AH171" s="848" t="s">
        <v>5322</v>
      </c>
      <c r="AI171" s="846" t="s">
        <v>5323</v>
      </c>
      <c r="AJ171" s="848" t="s">
        <v>5324</v>
      </c>
      <c r="AK171" s="846" t="s">
        <v>5325</v>
      </c>
      <c r="AL171" s="848" t="s">
        <v>5326</v>
      </c>
      <c r="AM171" s="3166" t="s">
        <v>5327</v>
      </c>
      <c r="AN171" s="848" t="s">
        <v>5328</v>
      </c>
    </row>
    <row r="172" spans="1:40" ht="15" customHeight="1" x14ac:dyDescent="0.3">
      <c r="A172" s="6240" t="s">
        <v>4135</v>
      </c>
      <c r="B172" s="6604"/>
      <c r="C172" s="2995" t="s">
        <v>2558</v>
      </c>
      <c r="D172" s="2398" t="s">
        <v>5292</v>
      </c>
      <c r="E172" s="2396" t="s">
        <v>5293</v>
      </c>
      <c r="F172" s="3383" t="s">
        <v>5294</v>
      </c>
      <c r="G172" s="3023" t="s">
        <v>5295</v>
      </c>
      <c r="H172" s="3035" t="s">
        <v>5296</v>
      </c>
      <c r="I172" s="3023" t="s">
        <v>5297</v>
      </c>
      <c r="J172" s="3035" t="s">
        <v>5298</v>
      </c>
      <c r="K172" s="3023" t="s">
        <v>5299</v>
      </c>
      <c r="L172" s="3035" t="s">
        <v>5300</v>
      </c>
      <c r="M172" s="3023" t="s">
        <v>5301</v>
      </c>
      <c r="N172" s="3020" t="s">
        <v>5302</v>
      </c>
      <c r="O172" s="3020" t="s">
        <v>5303</v>
      </c>
      <c r="P172" s="3035" t="s">
        <v>5304</v>
      </c>
      <c r="Q172" s="3023" t="s">
        <v>5305</v>
      </c>
      <c r="R172" s="3035" t="s">
        <v>5306</v>
      </c>
      <c r="S172" s="121" t="s">
        <v>5307</v>
      </c>
      <c r="T172" s="3035" t="s">
        <v>5308</v>
      </c>
      <c r="U172" s="121" t="s">
        <v>5309</v>
      </c>
      <c r="V172" s="3035" t="s">
        <v>5310</v>
      </c>
      <c r="W172" s="3023" t="s">
        <v>5311</v>
      </c>
      <c r="X172" s="3035" t="s">
        <v>5312</v>
      </c>
      <c r="Y172" s="121" t="s">
        <v>5313</v>
      </c>
      <c r="Z172" s="3035" t="s">
        <v>5314</v>
      </c>
      <c r="AA172" s="3384" t="s">
        <v>5315</v>
      </c>
      <c r="AB172" s="3351" t="s">
        <v>5316</v>
      </c>
      <c r="AC172" s="3384" t="s">
        <v>5317</v>
      </c>
      <c r="AD172" s="3351" t="s">
        <v>5318</v>
      </c>
      <c r="AE172" s="3384" t="s">
        <v>5319</v>
      </c>
      <c r="AF172" s="3351" t="s">
        <v>5320</v>
      </c>
      <c r="AG172" s="3384" t="s">
        <v>5321</v>
      </c>
      <c r="AH172" s="3351" t="s">
        <v>5322</v>
      </c>
      <c r="AI172" s="3384" t="s">
        <v>5323</v>
      </c>
      <c r="AJ172" s="3351" t="s">
        <v>5324</v>
      </c>
      <c r="AK172" s="3384" t="s">
        <v>5325</v>
      </c>
      <c r="AL172" s="3351" t="s">
        <v>5326</v>
      </c>
      <c r="AM172" s="3385" t="s">
        <v>5327</v>
      </c>
      <c r="AN172" s="3351" t="s">
        <v>5328</v>
      </c>
    </row>
    <row r="173" spans="1:40" ht="18" customHeight="1" x14ac:dyDescent="0.3">
      <c r="B173" s="2763" t="s">
        <v>2560</v>
      </c>
      <c r="C173" s="2909"/>
      <c r="D173" s="2909"/>
      <c r="E173" s="2909"/>
      <c r="F173" s="1681"/>
      <c r="G173" s="1681"/>
      <c r="H173" s="1681"/>
      <c r="I173" s="1681"/>
      <c r="J173" s="1681"/>
      <c r="K173" s="1681"/>
      <c r="L173" s="1681"/>
      <c r="M173" s="1681"/>
      <c r="N173" s="2388"/>
      <c r="O173" s="920"/>
      <c r="P173" s="920"/>
    </row>
    <row r="174" spans="1:40" ht="15" customHeight="1" x14ac:dyDescent="0.3">
      <c r="B174" s="6323" t="s">
        <v>58</v>
      </c>
      <c r="C174" s="6323" t="s">
        <v>2452</v>
      </c>
      <c r="D174" s="6340" t="s">
        <v>24</v>
      </c>
      <c r="E174" s="6341"/>
      <c r="F174" s="6342"/>
      <c r="G174" s="6326" t="s">
        <v>30</v>
      </c>
      <c r="H174" s="6345"/>
      <c r="I174" s="6345"/>
      <c r="J174" s="6345"/>
      <c r="K174" s="6345"/>
      <c r="L174" s="6345"/>
      <c r="M174" s="6345"/>
      <c r="N174" s="6345"/>
      <c r="O174" s="6345"/>
      <c r="P174" s="6462"/>
    </row>
    <row r="175" spans="1:40" ht="15" customHeight="1" x14ac:dyDescent="0.3">
      <c r="B175" s="6373"/>
      <c r="C175" s="6373"/>
      <c r="D175" s="6459"/>
      <c r="E175" s="6383"/>
      <c r="F175" s="6460"/>
      <c r="G175" s="6326" t="s">
        <v>19</v>
      </c>
      <c r="H175" s="6462"/>
      <c r="I175" s="6326" t="s">
        <v>20</v>
      </c>
      <c r="J175" s="6462"/>
      <c r="K175" s="6326" t="s">
        <v>70</v>
      </c>
      <c r="L175" s="6462"/>
      <c r="M175" s="6326" t="s">
        <v>71</v>
      </c>
      <c r="N175" s="6462"/>
      <c r="O175" s="6326" t="s">
        <v>32</v>
      </c>
      <c r="P175" s="6462"/>
    </row>
    <row r="176" spans="1:40" ht="15" customHeight="1" x14ac:dyDescent="0.3">
      <c r="B176" s="6362"/>
      <c r="C176" s="6362"/>
      <c r="D176" s="3224" t="s">
        <v>26</v>
      </c>
      <c r="E176" s="3375" t="s">
        <v>22</v>
      </c>
      <c r="F176" s="1713" t="s">
        <v>27</v>
      </c>
      <c r="G176" s="1931" t="s">
        <v>22</v>
      </c>
      <c r="H176" s="1713" t="s">
        <v>27</v>
      </c>
      <c r="I176" s="1931" t="s">
        <v>22</v>
      </c>
      <c r="J176" s="1713" t="s">
        <v>27</v>
      </c>
      <c r="K176" s="1931" t="s">
        <v>22</v>
      </c>
      <c r="L176" s="1713" t="s">
        <v>27</v>
      </c>
      <c r="M176" s="1931" t="s">
        <v>22</v>
      </c>
      <c r="N176" s="1713" t="s">
        <v>27</v>
      </c>
      <c r="O176" s="1931" t="s">
        <v>22</v>
      </c>
      <c r="P176" s="1713" t="s">
        <v>27</v>
      </c>
    </row>
    <row r="177" spans="1:18" ht="15" customHeight="1" x14ac:dyDescent="0.3">
      <c r="A177" s="6234" t="s">
        <v>4136</v>
      </c>
      <c r="B177" s="6367" t="s">
        <v>2561</v>
      </c>
      <c r="C177" s="3378" t="s">
        <v>2562</v>
      </c>
      <c r="D177" s="3194" t="s">
        <v>5292</v>
      </c>
      <c r="E177" s="906" t="s">
        <v>5293</v>
      </c>
      <c r="F177" s="3195" t="s">
        <v>5294</v>
      </c>
      <c r="G177" s="3127" t="s">
        <v>5295</v>
      </c>
      <c r="H177" s="3246" t="s">
        <v>5296</v>
      </c>
      <c r="I177" s="3127" t="s">
        <v>5297</v>
      </c>
      <c r="J177" s="3128" t="s">
        <v>5298</v>
      </c>
      <c r="K177" s="3260" t="s">
        <v>5299</v>
      </c>
      <c r="L177" s="3246" t="s">
        <v>5300</v>
      </c>
      <c r="M177" s="3127" t="s">
        <v>5301</v>
      </c>
      <c r="N177" s="3128" t="s">
        <v>5302</v>
      </c>
      <c r="O177" s="3127" t="s">
        <v>5303</v>
      </c>
      <c r="P177" s="3128" t="s">
        <v>5304</v>
      </c>
    </row>
    <row r="178" spans="1:18" ht="15" customHeight="1" x14ac:dyDescent="0.3">
      <c r="A178" s="6234" t="s">
        <v>4137</v>
      </c>
      <c r="B178" s="6349"/>
      <c r="C178" s="3046" t="s">
        <v>2563</v>
      </c>
      <c r="D178" s="3362" t="s">
        <v>5292</v>
      </c>
      <c r="E178" s="3363" t="s">
        <v>5293</v>
      </c>
      <c r="F178" s="1677" t="s">
        <v>5294</v>
      </c>
      <c r="G178" s="2403" t="s">
        <v>5295</v>
      </c>
      <c r="H178" s="1468" t="s">
        <v>5296</v>
      </c>
      <c r="I178" s="2403" t="s">
        <v>5297</v>
      </c>
      <c r="J178" s="1382" t="s">
        <v>5298</v>
      </c>
      <c r="K178" s="125" t="s">
        <v>5299</v>
      </c>
      <c r="L178" s="1468" t="s">
        <v>5300</v>
      </c>
      <c r="M178" s="2403" t="s">
        <v>5301</v>
      </c>
      <c r="N178" s="1382" t="s">
        <v>5302</v>
      </c>
      <c r="O178" s="2403" t="s">
        <v>5303</v>
      </c>
      <c r="P178" s="1382" t="s">
        <v>5304</v>
      </c>
    </row>
    <row r="179" spans="1:18" ht="15" customHeight="1" x14ac:dyDescent="0.3">
      <c r="A179" s="6234" t="s">
        <v>4138</v>
      </c>
      <c r="B179" s="6350"/>
      <c r="C179" s="900" t="s">
        <v>2564</v>
      </c>
      <c r="D179" s="3386" t="s">
        <v>5292</v>
      </c>
      <c r="E179" s="3352" t="s">
        <v>5293</v>
      </c>
      <c r="F179" s="3310" t="s">
        <v>5294</v>
      </c>
      <c r="G179" s="90" t="s">
        <v>5295</v>
      </c>
      <c r="H179" s="128" t="s">
        <v>5296</v>
      </c>
      <c r="I179" s="90" t="s">
        <v>5297</v>
      </c>
      <c r="J179" s="92" t="s">
        <v>5298</v>
      </c>
      <c r="K179" s="129" t="s">
        <v>5299</v>
      </c>
      <c r="L179" s="128" t="s">
        <v>5300</v>
      </c>
      <c r="M179" s="90" t="s">
        <v>5301</v>
      </c>
      <c r="N179" s="92" t="s">
        <v>5302</v>
      </c>
      <c r="O179" s="90" t="s">
        <v>5303</v>
      </c>
      <c r="P179" s="92" t="s">
        <v>5304</v>
      </c>
    </row>
    <row r="180" spans="1:18" ht="15" customHeight="1" x14ac:dyDescent="0.3">
      <c r="A180" s="6234" t="s">
        <v>4139</v>
      </c>
      <c r="B180" s="6367" t="s">
        <v>2565</v>
      </c>
      <c r="C180" s="3378" t="s">
        <v>2562</v>
      </c>
      <c r="D180" s="3194" t="s">
        <v>5292</v>
      </c>
      <c r="E180" s="906" t="s">
        <v>5293</v>
      </c>
      <c r="F180" s="3195" t="s">
        <v>5294</v>
      </c>
      <c r="G180" s="3127" t="s">
        <v>5295</v>
      </c>
      <c r="H180" s="3128" t="s">
        <v>5296</v>
      </c>
      <c r="I180" s="3127" t="s">
        <v>5297</v>
      </c>
      <c r="J180" s="3246" t="s">
        <v>5298</v>
      </c>
      <c r="K180" s="3127" t="s">
        <v>5299</v>
      </c>
      <c r="L180" s="3128" t="s">
        <v>5300</v>
      </c>
      <c r="M180" s="3260" t="s">
        <v>5301</v>
      </c>
      <c r="N180" s="3246" t="s">
        <v>5302</v>
      </c>
      <c r="O180" s="3127" t="s">
        <v>5303</v>
      </c>
      <c r="P180" s="3128" t="s">
        <v>5304</v>
      </c>
    </row>
    <row r="181" spans="1:18" ht="15" customHeight="1" x14ac:dyDescent="0.3">
      <c r="A181" s="6234" t="s">
        <v>4140</v>
      </c>
      <c r="B181" s="6349"/>
      <c r="C181" s="3046" t="s">
        <v>2563</v>
      </c>
      <c r="D181" s="3190" t="s">
        <v>5292</v>
      </c>
      <c r="E181" s="908" t="s">
        <v>5293</v>
      </c>
      <c r="F181" s="3191" t="s">
        <v>5294</v>
      </c>
      <c r="G181" s="2403" t="s">
        <v>5295</v>
      </c>
      <c r="H181" s="1382" t="s">
        <v>5296</v>
      </c>
      <c r="I181" s="616" t="s">
        <v>5297</v>
      </c>
      <c r="J181" s="791" t="s">
        <v>5298</v>
      </c>
      <c r="K181" s="616" t="s">
        <v>5299</v>
      </c>
      <c r="L181" s="626" t="s">
        <v>5300</v>
      </c>
      <c r="M181" s="3143" t="s">
        <v>5301</v>
      </c>
      <c r="N181" s="791" t="s">
        <v>5302</v>
      </c>
      <c r="O181" s="616" t="s">
        <v>5303</v>
      </c>
      <c r="P181" s="626" t="s">
        <v>5304</v>
      </c>
    </row>
    <row r="182" spans="1:18" ht="15" customHeight="1" x14ac:dyDescent="0.3">
      <c r="A182" s="6234" t="s">
        <v>4141</v>
      </c>
      <c r="B182" s="6350"/>
      <c r="C182" s="900" t="s">
        <v>2564</v>
      </c>
      <c r="D182" s="3192" t="s">
        <v>5292</v>
      </c>
      <c r="E182" s="3348" t="s">
        <v>5293</v>
      </c>
      <c r="F182" s="773" t="s">
        <v>5294</v>
      </c>
      <c r="G182" s="3023" t="s">
        <v>5295</v>
      </c>
      <c r="H182" s="3035" t="s">
        <v>5296</v>
      </c>
      <c r="I182" s="3023" t="s">
        <v>5297</v>
      </c>
      <c r="J182" s="3244" t="s">
        <v>5298</v>
      </c>
      <c r="K182" s="3023" t="s">
        <v>5299</v>
      </c>
      <c r="L182" s="3035" t="s">
        <v>5300</v>
      </c>
      <c r="M182" s="121" t="s">
        <v>5301</v>
      </c>
      <c r="N182" s="3244" t="s">
        <v>5302</v>
      </c>
      <c r="O182" s="3023" t="s">
        <v>5303</v>
      </c>
      <c r="P182" s="3035" t="s">
        <v>5304</v>
      </c>
    </row>
    <row r="183" spans="1:18" ht="18" customHeight="1" x14ac:dyDescent="0.3">
      <c r="B183" s="6599" t="s">
        <v>2566</v>
      </c>
      <c r="C183" s="6599"/>
      <c r="D183" s="6599"/>
      <c r="E183" s="6599"/>
      <c r="F183" s="6599"/>
      <c r="G183" s="6599"/>
      <c r="H183" s="6599"/>
      <c r="I183" s="6599"/>
      <c r="J183" s="6599"/>
      <c r="K183" s="6599"/>
      <c r="L183" s="6599"/>
      <c r="M183" s="6599"/>
      <c r="N183" s="6599"/>
      <c r="O183" s="6599"/>
      <c r="P183" s="6599"/>
      <c r="Q183" s="920"/>
      <c r="R183" s="920"/>
    </row>
    <row r="184" spans="1:18" ht="15" customHeight="1" x14ac:dyDescent="0.3">
      <c r="B184" s="6340" t="s">
        <v>2567</v>
      </c>
      <c r="C184" s="6342"/>
      <c r="D184" s="6340" t="s">
        <v>24</v>
      </c>
      <c r="E184" s="6341"/>
      <c r="F184" s="6342"/>
      <c r="G184" s="6326" t="s">
        <v>30</v>
      </c>
      <c r="H184" s="6345"/>
      <c r="I184" s="6345"/>
      <c r="J184" s="6345"/>
      <c r="K184" s="6345"/>
      <c r="L184" s="6345"/>
      <c r="M184" s="6345"/>
      <c r="N184" s="6345"/>
      <c r="O184" s="6345"/>
      <c r="P184" s="6345"/>
      <c r="Q184" s="6345"/>
      <c r="R184" s="6462"/>
    </row>
    <row r="185" spans="1:18" ht="15" customHeight="1" x14ac:dyDescent="0.3">
      <c r="B185" s="6590"/>
      <c r="C185" s="6324"/>
      <c r="D185" s="6459"/>
      <c r="E185" s="6383"/>
      <c r="F185" s="6460"/>
      <c r="G185" s="6326" t="s">
        <v>20</v>
      </c>
      <c r="H185" s="6462"/>
      <c r="I185" s="6326" t="s">
        <v>70</v>
      </c>
      <c r="J185" s="6462"/>
      <c r="K185" s="6326" t="s">
        <v>71</v>
      </c>
      <c r="L185" s="6462"/>
      <c r="M185" s="6326" t="s">
        <v>3722</v>
      </c>
      <c r="N185" s="6462"/>
      <c r="O185" s="6326" t="s">
        <v>3723</v>
      </c>
      <c r="P185" s="6462"/>
      <c r="Q185" s="6326" t="s">
        <v>2568</v>
      </c>
      <c r="R185" s="6462"/>
    </row>
    <row r="186" spans="1:18" ht="15" customHeight="1" x14ac:dyDescent="0.3">
      <c r="B186" s="6459"/>
      <c r="C186" s="6460"/>
      <c r="D186" s="3224" t="s">
        <v>26</v>
      </c>
      <c r="E186" s="3375" t="s">
        <v>22</v>
      </c>
      <c r="F186" s="1713" t="s">
        <v>27</v>
      </c>
      <c r="G186" s="1931" t="s">
        <v>22</v>
      </c>
      <c r="H186" s="1713" t="s">
        <v>27</v>
      </c>
      <c r="I186" s="1931" t="s">
        <v>22</v>
      </c>
      <c r="J186" s="1713" t="s">
        <v>27</v>
      </c>
      <c r="K186" s="1931" t="s">
        <v>22</v>
      </c>
      <c r="L186" s="2991" t="s">
        <v>27</v>
      </c>
      <c r="M186" s="1931" t="s">
        <v>22</v>
      </c>
      <c r="N186" s="1713" t="s">
        <v>27</v>
      </c>
      <c r="O186" s="1931" t="s">
        <v>22</v>
      </c>
      <c r="P186" s="1713" t="s">
        <v>27</v>
      </c>
      <c r="Q186" s="1931" t="s">
        <v>22</v>
      </c>
      <c r="R186" s="2991" t="s">
        <v>27</v>
      </c>
    </row>
    <row r="187" spans="1:18" ht="15" customHeight="1" x14ac:dyDescent="0.3">
      <c r="A187" s="6234" t="s">
        <v>4142</v>
      </c>
      <c r="B187" s="6584" t="s">
        <v>2569</v>
      </c>
      <c r="C187" s="6585"/>
      <c r="D187" s="3194" t="s">
        <v>5292</v>
      </c>
      <c r="E187" s="906" t="s">
        <v>5293</v>
      </c>
      <c r="F187" s="3195" t="s">
        <v>5294</v>
      </c>
      <c r="G187" s="3127" t="s">
        <v>5295</v>
      </c>
      <c r="H187" s="3246" t="s">
        <v>5296</v>
      </c>
      <c r="I187" s="3127" t="s">
        <v>5297</v>
      </c>
      <c r="J187" s="3128" t="s">
        <v>5298</v>
      </c>
      <c r="K187" s="3260" t="s">
        <v>5299</v>
      </c>
      <c r="L187" s="3128" t="s">
        <v>5300</v>
      </c>
      <c r="M187" s="3260" t="s">
        <v>5301</v>
      </c>
      <c r="N187" s="3246" t="s">
        <v>5302</v>
      </c>
      <c r="O187" s="3127" t="s">
        <v>5303</v>
      </c>
      <c r="P187" s="3128" t="s">
        <v>5304</v>
      </c>
      <c r="Q187" s="3260" t="s">
        <v>5305</v>
      </c>
      <c r="R187" s="3128" t="s">
        <v>5306</v>
      </c>
    </row>
    <row r="188" spans="1:18" ht="15" customHeight="1" x14ac:dyDescent="0.3">
      <c r="A188" s="6234" t="s">
        <v>4143</v>
      </c>
      <c r="B188" s="6586" t="s">
        <v>2570</v>
      </c>
      <c r="C188" s="6587"/>
      <c r="D188" s="3190" t="s">
        <v>5292</v>
      </c>
      <c r="E188" s="908" t="s">
        <v>5293</v>
      </c>
      <c r="F188" s="1677" t="s">
        <v>5294</v>
      </c>
      <c r="G188" s="2403" t="s">
        <v>5295</v>
      </c>
      <c r="H188" s="1468" t="s">
        <v>5296</v>
      </c>
      <c r="I188" s="2403" t="s">
        <v>5297</v>
      </c>
      <c r="J188" s="1382" t="s">
        <v>5298</v>
      </c>
      <c r="K188" s="125" t="s">
        <v>5299</v>
      </c>
      <c r="L188" s="1382" t="s">
        <v>5300</v>
      </c>
      <c r="M188" s="125" t="s">
        <v>5301</v>
      </c>
      <c r="N188" s="1468" t="s">
        <v>5302</v>
      </c>
      <c r="O188" s="2403" t="s">
        <v>5303</v>
      </c>
      <c r="P188" s="1382" t="s">
        <v>5304</v>
      </c>
      <c r="Q188" s="125" t="s">
        <v>5305</v>
      </c>
      <c r="R188" s="1382" t="s">
        <v>5306</v>
      </c>
    </row>
    <row r="189" spans="1:18" ht="15" customHeight="1" x14ac:dyDescent="0.3">
      <c r="A189" s="6234" t="s">
        <v>4144</v>
      </c>
      <c r="B189" s="6588" t="s">
        <v>2571</v>
      </c>
      <c r="C189" s="6589"/>
      <c r="D189" s="3387" t="s">
        <v>5292</v>
      </c>
      <c r="E189" s="908" t="s">
        <v>5293</v>
      </c>
      <c r="F189" s="3191" t="s">
        <v>5294</v>
      </c>
      <c r="G189" s="616" t="s">
        <v>5295</v>
      </c>
      <c r="H189" s="791" t="s">
        <v>5296</v>
      </c>
      <c r="I189" s="616" t="s">
        <v>5297</v>
      </c>
      <c r="J189" s="626" t="s">
        <v>5298</v>
      </c>
      <c r="K189" s="3143" t="s">
        <v>5299</v>
      </c>
      <c r="L189" s="626" t="s">
        <v>5300</v>
      </c>
      <c r="M189" s="3143" t="s">
        <v>5301</v>
      </c>
      <c r="N189" s="791" t="s">
        <v>5302</v>
      </c>
      <c r="O189" s="616" t="s">
        <v>5303</v>
      </c>
      <c r="P189" s="626" t="s">
        <v>5304</v>
      </c>
      <c r="Q189" s="3143" t="s">
        <v>5305</v>
      </c>
      <c r="R189" s="626" t="s">
        <v>5306</v>
      </c>
    </row>
    <row r="190" spans="1:18" ht="15" customHeight="1" x14ac:dyDescent="0.3">
      <c r="A190" s="6245"/>
      <c r="B190" s="6326" t="s">
        <v>24</v>
      </c>
      <c r="C190" s="6462"/>
      <c r="D190" s="3181">
        <f t="shared" ref="D190:R190" si="24">SUM(D187:D189)</f>
        <v>0</v>
      </c>
      <c r="E190" s="3388">
        <f t="shared" si="24"/>
        <v>0</v>
      </c>
      <c r="F190" s="3305">
        <f t="shared" si="24"/>
        <v>0</v>
      </c>
      <c r="G190" s="3181">
        <f t="shared" si="24"/>
        <v>0</v>
      </c>
      <c r="H190" s="3305">
        <f t="shared" si="24"/>
        <v>0</v>
      </c>
      <c r="I190" s="3181">
        <f t="shared" si="24"/>
        <v>0</v>
      </c>
      <c r="J190" s="3305">
        <f t="shared" si="24"/>
        <v>0</v>
      </c>
      <c r="K190" s="3181">
        <f t="shared" si="24"/>
        <v>0</v>
      </c>
      <c r="L190" s="3305">
        <f t="shared" si="24"/>
        <v>0</v>
      </c>
      <c r="M190" s="3181">
        <f t="shared" si="24"/>
        <v>0</v>
      </c>
      <c r="N190" s="3305">
        <f t="shared" si="24"/>
        <v>0</v>
      </c>
      <c r="O190" s="3181">
        <f t="shared" si="24"/>
        <v>0</v>
      </c>
      <c r="P190" s="3305">
        <f t="shared" si="24"/>
        <v>0</v>
      </c>
      <c r="Q190" s="3181">
        <f t="shared" si="24"/>
        <v>0</v>
      </c>
      <c r="R190" s="3189">
        <f t="shared" si="24"/>
        <v>0</v>
      </c>
    </row>
    <row r="191" spans="1:18" ht="15" customHeight="1" x14ac:dyDescent="0.3">
      <c r="B191" s="599" t="s">
        <v>2572</v>
      </c>
    </row>
    <row r="192" spans="1:18" ht="18" customHeight="1" x14ac:dyDescent="0.3">
      <c r="B192" s="122" t="s">
        <v>2573</v>
      </c>
      <c r="C192" s="3389"/>
      <c r="D192" s="3389"/>
      <c r="E192" s="3389"/>
      <c r="F192" s="3389"/>
      <c r="G192" s="920"/>
      <c r="H192" s="920"/>
      <c r="I192" s="920"/>
      <c r="J192" s="920"/>
      <c r="K192" s="920"/>
      <c r="L192" s="920"/>
      <c r="M192" s="920"/>
      <c r="N192" s="920"/>
      <c r="O192" s="920"/>
      <c r="P192" s="920"/>
      <c r="Q192" s="920"/>
      <c r="R192" s="920"/>
    </row>
    <row r="193" spans="1:95" ht="15" customHeight="1" x14ac:dyDescent="0.3">
      <c r="B193" s="6340" t="s">
        <v>2574</v>
      </c>
      <c r="C193" s="6342"/>
      <c r="D193" s="6591" t="s">
        <v>2526</v>
      </c>
      <c r="E193" s="6592"/>
      <c r="F193" s="6593"/>
      <c r="G193" s="6330" t="s">
        <v>30</v>
      </c>
      <c r="H193" s="6328"/>
      <c r="I193" s="6328"/>
      <c r="J193" s="6328"/>
      <c r="K193" s="6328"/>
      <c r="L193" s="6328"/>
      <c r="M193" s="6328"/>
      <c r="N193" s="6328"/>
      <c r="O193" s="6328"/>
      <c r="P193" s="6328"/>
      <c r="Q193" s="6328"/>
      <c r="R193" s="6328"/>
      <c r="S193" s="6328"/>
      <c r="T193" s="6328"/>
      <c r="U193" s="6328"/>
      <c r="V193" s="6571"/>
    </row>
    <row r="194" spans="1:95" ht="15" customHeight="1" x14ac:dyDescent="0.3">
      <c r="B194" s="6590"/>
      <c r="C194" s="6324"/>
      <c r="D194" s="6594"/>
      <c r="E194" s="6595"/>
      <c r="F194" s="6596"/>
      <c r="G194" s="6463" t="s">
        <v>36</v>
      </c>
      <c r="H194" s="6464"/>
      <c r="I194" s="6465" t="s">
        <v>37</v>
      </c>
      <c r="J194" s="6464"/>
      <c r="K194" s="6463" t="s">
        <v>38</v>
      </c>
      <c r="L194" s="6464"/>
      <c r="M194" s="6465" t="s">
        <v>4</v>
      </c>
      <c r="N194" s="6464"/>
      <c r="O194" s="6465" t="s">
        <v>5</v>
      </c>
      <c r="P194" s="6464"/>
      <c r="Q194" s="6465" t="s">
        <v>399</v>
      </c>
      <c r="R194" s="6464"/>
      <c r="S194" s="6465" t="s">
        <v>3528</v>
      </c>
      <c r="T194" s="6464"/>
      <c r="U194" s="6597" t="s">
        <v>2575</v>
      </c>
      <c r="V194" s="6598"/>
    </row>
    <row r="195" spans="1:95" ht="15" customHeight="1" x14ac:dyDescent="0.3">
      <c r="B195" s="6459"/>
      <c r="C195" s="6460"/>
      <c r="D195" s="4642" t="s">
        <v>26</v>
      </c>
      <c r="E195" s="4213" t="s">
        <v>22</v>
      </c>
      <c r="F195" s="3226" t="s">
        <v>27</v>
      </c>
      <c r="G195" s="3153" t="s">
        <v>22</v>
      </c>
      <c r="H195" s="3304" t="s">
        <v>27</v>
      </c>
      <c r="I195" s="3160" t="s">
        <v>22</v>
      </c>
      <c r="J195" s="3304" t="s">
        <v>27</v>
      </c>
      <c r="K195" s="3153" t="s">
        <v>22</v>
      </c>
      <c r="L195" s="3304" t="s">
        <v>27</v>
      </c>
      <c r="M195" s="3160" t="s">
        <v>22</v>
      </c>
      <c r="N195" s="3304" t="s">
        <v>27</v>
      </c>
      <c r="O195" s="3160" t="s">
        <v>22</v>
      </c>
      <c r="P195" s="3304" t="s">
        <v>27</v>
      </c>
      <c r="Q195" s="3160" t="s">
        <v>22</v>
      </c>
      <c r="R195" s="3304" t="s">
        <v>27</v>
      </c>
      <c r="S195" s="3160" t="s">
        <v>22</v>
      </c>
      <c r="T195" s="3304" t="s">
        <v>27</v>
      </c>
      <c r="U195" s="3160" t="s">
        <v>22</v>
      </c>
      <c r="V195" s="3304" t="s">
        <v>27</v>
      </c>
    </row>
    <row r="196" spans="1:95" ht="15" customHeight="1" x14ac:dyDescent="0.3">
      <c r="A196" s="6234" t="s">
        <v>4145</v>
      </c>
      <c r="B196" s="6573" t="s">
        <v>2576</v>
      </c>
      <c r="C196" s="6574"/>
      <c r="D196" s="145" t="s">
        <v>5292</v>
      </c>
      <c r="E196" s="946" t="s">
        <v>5293</v>
      </c>
      <c r="F196" s="245" t="s">
        <v>5294</v>
      </c>
      <c r="G196" s="106" t="s">
        <v>5295</v>
      </c>
      <c r="H196" s="587" t="s">
        <v>5296</v>
      </c>
      <c r="I196" s="588" t="s">
        <v>5297</v>
      </c>
      <c r="J196" s="587" t="s">
        <v>5298</v>
      </c>
      <c r="K196" s="106" t="s">
        <v>5299</v>
      </c>
      <c r="L196" s="587" t="s">
        <v>5300</v>
      </c>
      <c r="M196" s="588" t="s">
        <v>5301</v>
      </c>
      <c r="N196" s="587" t="s">
        <v>5302</v>
      </c>
      <c r="O196" s="588" t="s">
        <v>5303</v>
      </c>
      <c r="P196" s="587" t="s">
        <v>5304</v>
      </c>
      <c r="Q196" s="588" t="s">
        <v>5305</v>
      </c>
      <c r="R196" s="587" t="s">
        <v>5306</v>
      </c>
      <c r="S196" s="588" t="s">
        <v>5307</v>
      </c>
      <c r="T196" s="587" t="s">
        <v>5308</v>
      </c>
      <c r="U196" s="588" t="s">
        <v>5309</v>
      </c>
      <c r="V196" s="587" t="s">
        <v>5310</v>
      </c>
    </row>
    <row r="197" spans="1:95" ht="15" customHeight="1" x14ac:dyDescent="0.3">
      <c r="A197" s="6234" t="s">
        <v>4146</v>
      </c>
      <c r="B197" s="6575" t="s">
        <v>2577</v>
      </c>
      <c r="C197" s="6576"/>
      <c r="D197" s="87" t="s">
        <v>5292</v>
      </c>
      <c r="E197" s="4321" t="s">
        <v>5293</v>
      </c>
      <c r="F197" s="2577" t="s">
        <v>5294</v>
      </c>
      <c r="G197" s="90" t="s">
        <v>5295</v>
      </c>
      <c r="H197" s="92" t="s">
        <v>5296</v>
      </c>
      <c r="I197" s="129" t="s">
        <v>5297</v>
      </c>
      <c r="J197" s="92" t="s">
        <v>5298</v>
      </c>
      <c r="K197" s="90" t="s">
        <v>5299</v>
      </c>
      <c r="L197" s="92" t="s">
        <v>5300</v>
      </c>
      <c r="M197" s="129" t="s">
        <v>5301</v>
      </c>
      <c r="N197" s="92" t="s">
        <v>5302</v>
      </c>
      <c r="O197" s="129" t="s">
        <v>5303</v>
      </c>
      <c r="P197" s="92" t="s">
        <v>5304</v>
      </c>
      <c r="Q197" s="129" t="s">
        <v>5305</v>
      </c>
      <c r="R197" s="92" t="s">
        <v>5306</v>
      </c>
      <c r="S197" s="129" t="s">
        <v>5307</v>
      </c>
      <c r="T197" s="92" t="s">
        <v>5308</v>
      </c>
      <c r="U197" s="129" t="s">
        <v>5309</v>
      </c>
      <c r="V197" s="92" t="s">
        <v>5310</v>
      </c>
    </row>
    <row r="198" spans="1:95" ht="15" customHeight="1" x14ac:dyDescent="0.3">
      <c r="A198" s="6235"/>
      <c r="B198" s="6577" t="s">
        <v>2578</v>
      </c>
      <c r="C198" s="6578"/>
      <c r="D198" s="4641">
        <f>SUM(E198+F198)</f>
        <v>0</v>
      </c>
      <c r="E198" s="4322">
        <f t="shared" ref="E196:F198" si="25">SUM(G198+I198+K198+M198+O198+Q198+S198+U198)</f>
        <v>0</v>
      </c>
      <c r="F198" s="4320">
        <f t="shared" si="25"/>
        <v>0</v>
      </c>
      <c r="G198" s="4180">
        <f t="shared" ref="G198:V198" si="26">SUM(G196:G197)</f>
        <v>0</v>
      </c>
      <c r="H198" s="4181">
        <f t="shared" si="26"/>
        <v>0</v>
      </c>
      <c r="I198" s="4141">
        <f t="shared" si="26"/>
        <v>0</v>
      </c>
      <c r="J198" s="4181">
        <f t="shared" si="26"/>
        <v>0</v>
      </c>
      <c r="K198" s="4180">
        <f t="shared" si="26"/>
        <v>0</v>
      </c>
      <c r="L198" s="4181">
        <f t="shared" si="26"/>
        <v>0</v>
      </c>
      <c r="M198" s="4141">
        <f t="shared" si="26"/>
        <v>0</v>
      </c>
      <c r="N198" s="4181">
        <f t="shared" si="26"/>
        <v>0</v>
      </c>
      <c r="O198" s="4141">
        <f t="shared" si="26"/>
        <v>0</v>
      </c>
      <c r="P198" s="4181">
        <f t="shared" si="26"/>
        <v>0</v>
      </c>
      <c r="Q198" s="4141">
        <f t="shared" si="26"/>
        <v>0</v>
      </c>
      <c r="R198" s="4181">
        <f t="shared" si="26"/>
        <v>0</v>
      </c>
      <c r="S198" s="4141">
        <f t="shared" si="26"/>
        <v>0</v>
      </c>
      <c r="T198" s="4181">
        <f t="shared" si="26"/>
        <v>0</v>
      </c>
      <c r="U198" s="4141">
        <f t="shared" si="26"/>
        <v>0</v>
      </c>
      <c r="V198" s="4181">
        <f t="shared" si="26"/>
        <v>0</v>
      </c>
    </row>
    <row r="199" spans="1:95" ht="18" customHeight="1" x14ac:dyDescent="0.3">
      <c r="B199" s="122" t="s">
        <v>2579</v>
      </c>
      <c r="C199" s="1052"/>
      <c r="D199" s="1052"/>
      <c r="E199" s="1052"/>
      <c r="F199" s="1052"/>
      <c r="G199" s="1052"/>
      <c r="H199" s="1052"/>
      <c r="I199" s="1052"/>
      <c r="J199" s="920"/>
      <c r="K199" s="920"/>
      <c r="L199" s="920"/>
      <c r="M199" s="920"/>
      <c r="N199" s="920"/>
      <c r="O199" s="920"/>
      <c r="P199" s="920"/>
      <c r="Q199" s="920"/>
      <c r="R199" s="920"/>
      <c r="S199" s="599"/>
      <c r="T199" s="599"/>
      <c r="U199" s="599"/>
      <c r="V199" s="599"/>
      <c r="W199" s="599"/>
      <c r="X199" s="599"/>
      <c r="Y199" s="599"/>
      <c r="Z199" s="599"/>
      <c r="AA199" s="3199"/>
      <c r="AB199" s="3199"/>
      <c r="AC199" s="3199"/>
      <c r="AD199" s="3199"/>
      <c r="AE199" s="3199"/>
      <c r="AF199" s="3199"/>
      <c r="AG199" s="3199"/>
      <c r="AH199" s="3199"/>
      <c r="AI199" s="3199"/>
      <c r="AJ199" s="3199"/>
    </row>
    <row r="200" spans="1:95" ht="15" customHeight="1" x14ac:dyDescent="0.3">
      <c r="B200" s="6502" t="s">
        <v>2580</v>
      </c>
      <c r="C200" s="6503"/>
      <c r="D200" s="6579" t="s">
        <v>24</v>
      </c>
      <c r="E200" s="6539"/>
      <c r="F200" s="6540"/>
      <c r="G200" s="6581" t="s">
        <v>30</v>
      </c>
      <c r="H200" s="6581"/>
      <c r="I200" s="6581"/>
      <c r="J200" s="6581"/>
      <c r="K200" s="6581"/>
      <c r="L200" s="6581"/>
      <c r="M200" s="6581"/>
      <c r="N200" s="6581"/>
      <c r="O200" s="6581"/>
      <c r="P200" s="6581"/>
      <c r="Q200" s="6581"/>
      <c r="R200" s="6581"/>
      <c r="S200" s="6581"/>
      <c r="T200" s="6581"/>
      <c r="U200" s="6581"/>
      <c r="V200" s="6581"/>
      <c r="W200" s="6581"/>
      <c r="X200" s="6581"/>
      <c r="Y200" s="6581"/>
      <c r="Z200" s="6581"/>
      <c r="AA200" s="6581"/>
      <c r="AB200" s="6581"/>
      <c r="AC200" s="6581"/>
      <c r="AD200" s="6582"/>
      <c r="AE200" s="6560" t="s">
        <v>49</v>
      </c>
      <c r="AF200" s="6561"/>
      <c r="AG200" s="6563" t="s">
        <v>45</v>
      </c>
      <c r="AH200" s="6561"/>
      <c r="AI200" s="6565" t="s">
        <v>2</v>
      </c>
      <c r="AJ200" s="6568" t="s">
        <v>3</v>
      </c>
    </row>
    <row r="201" spans="1:95" ht="15" customHeight="1" x14ac:dyDescent="0.3">
      <c r="B201" s="6504"/>
      <c r="C201" s="6505"/>
      <c r="D201" s="6580"/>
      <c r="E201" s="6542"/>
      <c r="F201" s="6543"/>
      <c r="G201" s="6330" t="s">
        <v>2581</v>
      </c>
      <c r="H201" s="6571"/>
      <c r="I201" s="6506" t="s">
        <v>683</v>
      </c>
      <c r="J201" s="6507"/>
      <c r="K201" s="6506" t="s">
        <v>684</v>
      </c>
      <c r="L201" s="6507"/>
      <c r="M201" s="6506" t="s">
        <v>2582</v>
      </c>
      <c r="N201" s="6507"/>
      <c r="O201" s="6506" t="s">
        <v>686</v>
      </c>
      <c r="P201" s="6507"/>
      <c r="Q201" s="6506" t="s">
        <v>687</v>
      </c>
      <c r="R201" s="6507"/>
      <c r="S201" s="6506" t="s">
        <v>688</v>
      </c>
      <c r="T201" s="6507"/>
      <c r="U201" s="6583" t="s">
        <v>689</v>
      </c>
      <c r="V201" s="6583"/>
      <c r="W201" s="6583" t="s">
        <v>2583</v>
      </c>
      <c r="X201" s="6583"/>
      <c r="Y201" s="6583" t="s">
        <v>2584</v>
      </c>
      <c r="Z201" s="6583"/>
      <c r="AA201" s="6465" t="s">
        <v>554</v>
      </c>
      <c r="AB201" s="6464"/>
      <c r="AC201" s="6465" t="s">
        <v>568</v>
      </c>
      <c r="AD201" s="6572"/>
      <c r="AE201" s="6550"/>
      <c r="AF201" s="6562"/>
      <c r="AG201" s="6564"/>
      <c r="AH201" s="6562"/>
      <c r="AI201" s="6566"/>
      <c r="AJ201" s="6569"/>
    </row>
    <row r="202" spans="1:95" ht="15" customHeight="1" x14ac:dyDescent="0.3">
      <c r="B202" s="6506"/>
      <c r="C202" s="6507"/>
      <c r="D202" s="4643" t="s">
        <v>2585</v>
      </c>
      <c r="E202" s="3390" t="s">
        <v>22</v>
      </c>
      <c r="F202" s="3391" t="s">
        <v>27</v>
      </c>
      <c r="G202" s="3392" t="s">
        <v>22</v>
      </c>
      <c r="H202" s="3393" t="s">
        <v>27</v>
      </c>
      <c r="I202" s="3392" t="s">
        <v>22</v>
      </c>
      <c r="J202" s="3393" t="s">
        <v>27</v>
      </c>
      <c r="K202" s="3392" t="s">
        <v>22</v>
      </c>
      <c r="L202" s="3393" t="s">
        <v>27</v>
      </c>
      <c r="M202" s="3392" t="s">
        <v>22</v>
      </c>
      <c r="N202" s="3393" t="s">
        <v>27</v>
      </c>
      <c r="O202" s="3392" t="s">
        <v>22</v>
      </c>
      <c r="P202" s="3393" t="s">
        <v>27</v>
      </c>
      <c r="Q202" s="3392" t="s">
        <v>22</v>
      </c>
      <c r="R202" s="3393" t="s">
        <v>27</v>
      </c>
      <c r="S202" s="3392" t="s">
        <v>22</v>
      </c>
      <c r="T202" s="3393" t="s">
        <v>27</v>
      </c>
      <c r="U202" s="3392" t="s">
        <v>22</v>
      </c>
      <c r="V202" s="3393" t="s">
        <v>27</v>
      </c>
      <c r="W202" s="3392" t="s">
        <v>22</v>
      </c>
      <c r="X202" s="3393" t="s">
        <v>27</v>
      </c>
      <c r="Y202" s="3392" t="s">
        <v>22</v>
      </c>
      <c r="Z202" s="3393" t="s">
        <v>27</v>
      </c>
      <c r="AA202" s="3392" t="s">
        <v>22</v>
      </c>
      <c r="AB202" s="3393" t="s">
        <v>27</v>
      </c>
      <c r="AC202" s="3392" t="s">
        <v>22</v>
      </c>
      <c r="AD202" s="3394" t="s">
        <v>27</v>
      </c>
      <c r="AE202" s="3395" t="s">
        <v>22</v>
      </c>
      <c r="AF202" s="3393" t="s">
        <v>27</v>
      </c>
      <c r="AG202" s="3395" t="s">
        <v>22</v>
      </c>
      <c r="AH202" s="3393" t="s">
        <v>27</v>
      </c>
      <c r="AI202" s="6567"/>
      <c r="AJ202" s="6570" t="s">
        <v>27</v>
      </c>
    </row>
    <row r="203" spans="1:95" ht="15" customHeight="1" x14ac:dyDescent="0.3">
      <c r="A203" s="6234" t="s">
        <v>4147</v>
      </c>
      <c r="B203" s="6531" t="s">
        <v>2586</v>
      </c>
      <c r="C203" s="3396" t="s">
        <v>2534</v>
      </c>
      <c r="D203" s="4644" t="s">
        <v>5292</v>
      </c>
      <c r="E203" s="3397" t="s">
        <v>5293</v>
      </c>
      <c r="F203" s="3398" t="s">
        <v>5294</v>
      </c>
      <c r="G203" s="3399" t="s">
        <v>5295</v>
      </c>
      <c r="H203" s="3400" t="s">
        <v>5296</v>
      </c>
      <c r="I203" s="3399" t="s">
        <v>5297</v>
      </c>
      <c r="J203" s="3400" t="s">
        <v>5298</v>
      </c>
      <c r="K203" s="3399" t="s">
        <v>5299</v>
      </c>
      <c r="L203" s="3400" t="s">
        <v>5300</v>
      </c>
      <c r="M203" s="3399" t="s">
        <v>5301</v>
      </c>
      <c r="N203" s="3400" t="s">
        <v>5302</v>
      </c>
      <c r="O203" s="3399" t="s">
        <v>5303</v>
      </c>
      <c r="P203" s="3400" t="s">
        <v>5304</v>
      </c>
      <c r="Q203" s="3399" t="s">
        <v>5305</v>
      </c>
      <c r="R203" s="3401" t="s">
        <v>5306</v>
      </c>
      <c r="S203" s="3399" t="s">
        <v>5307</v>
      </c>
      <c r="T203" s="3401" t="s">
        <v>5308</v>
      </c>
      <c r="U203" s="3399" t="s">
        <v>5309</v>
      </c>
      <c r="V203" s="3400" t="s">
        <v>5310</v>
      </c>
      <c r="W203" s="3399" t="s">
        <v>5311</v>
      </c>
      <c r="X203" s="3400" t="s">
        <v>5312</v>
      </c>
      <c r="Y203" s="3399" t="s">
        <v>5313</v>
      </c>
      <c r="Z203" s="3401" t="s">
        <v>5314</v>
      </c>
      <c r="AA203" s="3399" t="s">
        <v>5315</v>
      </c>
      <c r="AB203" s="3401" t="s">
        <v>5316</v>
      </c>
      <c r="AC203" s="3399" t="s">
        <v>5317</v>
      </c>
      <c r="AD203" s="3402" t="s">
        <v>5318</v>
      </c>
      <c r="AE203" s="3400" t="s">
        <v>5319</v>
      </c>
      <c r="AF203" s="3401" t="s">
        <v>5320</v>
      </c>
      <c r="AG203" s="3400" t="s">
        <v>5321</v>
      </c>
      <c r="AH203" s="3401" t="s">
        <v>5322</v>
      </c>
      <c r="AI203" s="3403" t="s">
        <v>5323</v>
      </c>
      <c r="AJ203" s="3401" t="s">
        <v>5324</v>
      </c>
      <c r="AK203" s="1687" t="str">
        <f>$CB203&amp;CC203&amp;CD203&amp;CF203&amp;CG203&amp;CE203</f>
        <v xml:space="preserve">* El Número de Niños, Niñas, Adolescentes y Jóvenes SENAME Hombres no puede superar el Total Hombres. * El Número de Niños, Niñas, Adolescentes y Jóvenes SENAME Mujeres no puede superar el Total Mujeres * El Número de Niños, Niñas, Adolescentes y Jóvenes Mejor Niñez Hombres no puede superar el Total Hombres. * El Número de Pueblos Originarios no puede superar el Total. * El Número de Migrantes no puede superar el Total. * El Número de Niños, Niñas, Adolescentes y Jóvenes Mejor Niñez Mujeres no puede superar el Total Mujeres. </v>
      </c>
      <c r="CB203" s="2784" t="str">
        <f>IF(AND($E203&lt;&gt;0,AE203=""),"* No olvide ingresar la columna "&amp;AE$200&amp;""&amp;"  Hombres (Digite CERO si no tiene).  ",IF(AE203&gt;$E203,"* El Número de Niños, Niñas, Adolescentes y Jóvenes SENAME Hombres no puede superar el Total Hombres. ",""))</f>
        <v xml:space="preserve">* El Número de Niños, Niñas, Adolescentes y Jóvenes SENAME Hombres no puede superar el Total Hombres. </v>
      </c>
      <c r="CC203" s="2784" t="str">
        <f>IF(AND($F203&lt;&gt;0,AF203=""),"* No olvide ingresar la columna Niños, Niñas, Adolescentes y Jóvenes SENAME  Mujeres (Digite CERO si no tiene).  ",IF(AF203&gt;$F203,"* El Número de Niños, Niñas, Adolescentes y Jóvenes SENAME Mujeres no puede superar el Total Mujeres ",""))</f>
        <v xml:space="preserve">* El Número de Niños, Niñas, Adolescentes y Jóvenes SENAME Mujeres no puede superar el Total Mujeres </v>
      </c>
      <c r="CD203" s="2784" t="str">
        <f>IF(AND($E203&lt;&gt;0,AG203=""),"* No olvide ingresar la columna "&amp;AG$200&amp;""&amp;" Hombres (Digite CERO si no tiene).  ",IF(AG203&gt;$E203,"* El Número de Niños, Niñas, Adolescentes y Jóvenes Mejor Niñez Hombres no puede superar el Total Hombres. ",""))</f>
        <v xml:space="preserve">* El Número de Niños, Niñas, Adolescentes y Jóvenes Mejor Niñez Hombres no puede superar el Total Hombres. </v>
      </c>
      <c r="CE203" s="2784" t="str">
        <f>IF(AND($F203&lt;&gt;0,AH203=""),"* No olvide ingresar la columna Niños, Niñas, Adolescentes y Jóvenes Mejor niñez Mujeres (Digite CERO si no tiene).  ",IF(AH203&gt;$F203,"* El Número de Niños, Niñas, Adolescentes y Jóvenes Mejor Niñez Mujeres no puede superar el Total Mujeres. ",""))</f>
        <v xml:space="preserve">* El Número de Niños, Niñas, Adolescentes y Jóvenes Mejor Niñez Mujeres no puede superar el Total Mujeres. </v>
      </c>
      <c r="CF203" s="2784" t="str">
        <f>IF(AND($D203&lt;&gt;0,AI203=""),"* No olvide ingresar la columna "&amp;AI$200&amp;""&amp;" (Digite CERO si no tiene).  ",IF(AI203&gt;$D203,"* El Número de Pueblos Originarios no puede superar el Total. ",""))</f>
        <v xml:space="preserve">* El Número de Pueblos Originarios no puede superar el Total. </v>
      </c>
      <c r="CG203" s="2784" t="str">
        <f>IF(AND($D203&lt;&gt;0,AJ203=""),"* No olvide ingresar la columna "&amp;AJ$200&amp;""&amp;" (Digite CERO si no tiene).  ",IF(AJ203&gt;$D203,"* El Número de Migrantes no puede superar el Total. ",""))</f>
        <v xml:space="preserve">* El Número de Migrantes no puede superar el Total. </v>
      </c>
      <c r="CL203" s="1725">
        <f>IF(AND($E203&lt;&gt;0,AE203=""),1,IF(AE203&gt;$E203,1,0))</f>
        <v>1</v>
      </c>
      <c r="CM203" s="1725">
        <f>IF(AND($F203&lt;&gt;0,AF203=""),1,IF(AF203&gt;$F203,1,0))</f>
        <v>1</v>
      </c>
      <c r="CN203" s="1725">
        <f>IF(AND($E203&lt;&gt;0,AG203=""),1,IF(AG203&gt;$E203,1,0))</f>
        <v>1</v>
      </c>
      <c r="CO203" s="1725">
        <f>IF(AND($F203&lt;&gt;0,AH203=""),1,IF(AH203&gt;$F203,1,0))</f>
        <v>1</v>
      </c>
      <c r="CP203" s="1725">
        <f>IF(AND($D203&lt;&gt;0,AI203=""),1,IF(AI203&gt;$D203,1,0))</f>
        <v>1</v>
      </c>
      <c r="CQ203" s="1725">
        <f>IF(AND($D203&lt;&gt;0,AJ203=""),1,IF(AJ203&gt;$D203,1,0))</f>
        <v>1</v>
      </c>
    </row>
    <row r="204" spans="1:95" ht="15" customHeight="1" x14ac:dyDescent="0.3">
      <c r="A204" s="6234" t="s">
        <v>4148</v>
      </c>
      <c r="B204" s="6532"/>
      <c r="C204" s="3404" t="s">
        <v>2587</v>
      </c>
      <c r="D204" s="4645" t="s">
        <v>5292</v>
      </c>
      <c r="E204" s="3405" t="s">
        <v>5293</v>
      </c>
      <c r="F204" s="3406" t="s">
        <v>5294</v>
      </c>
      <c r="G204" s="3407" t="s">
        <v>5295</v>
      </c>
      <c r="H204" s="3408" t="s">
        <v>5296</v>
      </c>
      <c r="I204" s="3407" t="s">
        <v>5297</v>
      </c>
      <c r="J204" s="3408" t="s">
        <v>5298</v>
      </c>
      <c r="K204" s="3407" t="s">
        <v>5299</v>
      </c>
      <c r="L204" s="3408" t="s">
        <v>5300</v>
      </c>
      <c r="M204" s="3407" t="s">
        <v>5301</v>
      </c>
      <c r="N204" s="3408" t="s">
        <v>5302</v>
      </c>
      <c r="O204" s="3407" t="s">
        <v>5303</v>
      </c>
      <c r="P204" s="3408" t="s">
        <v>5304</v>
      </c>
      <c r="Q204" s="3407" t="s">
        <v>5305</v>
      </c>
      <c r="R204" s="3409" t="s">
        <v>5306</v>
      </c>
      <c r="S204" s="3407" t="s">
        <v>5307</v>
      </c>
      <c r="T204" s="3409" t="s">
        <v>5308</v>
      </c>
      <c r="U204" s="3407" t="s">
        <v>5309</v>
      </c>
      <c r="V204" s="3408" t="s">
        <v>5310</v>
      </c>
      <c r="W204" s="3407" t="s">
        <v>5311</v>
      </c>
      <c r="X204" s="3408" t="s">
        <v>5312</v>
      </c>
      <c r="Y204" s="3407" t="s">
        <v>5313</v>
      </c>
      <c r="Z204" s="3409" t="s">
        <v>5314</v>
      </c>
      <c r="AA204" s="3407" t="s">
        <v>5315</v>
      </c>
      <c r="AB204" s="3409" t="s">
        <v>5316</v>
      </c>
      <c r="AC204" s="3407" t="s">
        <v>5317</v>
      </c>
      <c r="AD204" s="3410" t="s">
        <v>5318</v>
      </c>
      <c r="AE204" s="3411" t="s">
        <v>5319</v>
      </c>
      <c r="AF204" s="3409" t="s">
        <v>5320</v>
      </c>
      <c r="AG204" s="3411" t="s">
        <v>5321</v>
      </c>
      <c r="AH204" s="3409" t="s">
        <v>5322</v>
      </c>
      <c r="AI204" s="3412" t="s">
        <v>5323</v>
      </c>
      <c r="AJ204" s="3409" t="s">
        <v>5324</v>
      </c>
      <c r="AK204" s="1687" t="str">
        <f>$CB204&amp;CC204&amp;CD204&amp;CF204&amp;CG204&amp;CE204</f>
        <v xml:space="preserve">* El Número de Niños, Niñas, Adolescentes y Jóvenes SENAME Hombres no puede superar el Total Hombres. * El Número de Niños, Niñas, Adolescentes y Jóvenes SENAME Mujeres no puede superar el Total Mujeres * El Número de Niños, Niñas, Adolescentes y Jóvenes Mejor Niñez Hombres no puede superar el Total Hombres. * El Número de Pueblos Originarios no puede superar el Total. * El Número de Migrantes no puede superar el Total. * El Número de Niños, Niñas, Adolescentes y Jóvenes Mejor Niñez Mujeres no puede superar el Total Mujeres. </v>
      </c>
      <c r="CB204" s="2784" t="str">
        <f>IF(AND($E204&lt;&gt;0,AE204=""),"* No olvide ingresar la columna "&amp;AE$200&amp;""&amp;"  Hombres (Digite CERO si no tiene).  ",IF(AE204&gt;$E204,"* El Número de Niños, Niñas, Adolescentes y Jóvenes SENAME Hombres no puede superar el Total Hombres. ",""))</f>
        <v xml:space="preserve">* El Número de Niños, Niñas, Adolescentes y Jóvenes SENAME Hombres no puede superar el Total Hombres. </v>
      </c>
      <c r="CC204" s="2784" t="str">
        <f>IF(AND($F204&lt;&gt;0,AF204=""),"* No olvide ingresar la columna Niños, Niñas, Adolescentes y Jóvenes SENAME  Mujeres (Digite CERO si no tiene).  ",IF(AF204&gt;$F204,"* El Número de Niños, Niñas, Adolescentes y Jóvenes SENAME Mujeres no puede superar el Total Mujeres ",""))</f>
        <v xml:space="preserve">* El Número de Niños, Niñas, Adolescentes y Jóvenes SENAME Mujeres no puede superar el Total Mujeres </v>
      </c>
      <c r="CD204" s="2784" t="str">
        <f>IF(AND($E204&lt;&gt;0,AG204=""),"* No olvide ingresar la columna "&amp;AG$200&amp;""&amp;" Hombres (Digite CERO si no tiene).  ",IF(AG204&gt;$E204,"* El Número de Niños, Niñas, Adolescentes y Jóvenes Mejor Niñez Hombres no puede superar el Total Hombres. ",""))</f>
        <v xml:space="preserve">* El Número de Niños, Niñas, Adolescentes y Jóvenes Mejor Niñez Hombres no puede superar el Total Hombres. </v>
      </c>
      <c r="CE204" s="2784" t="str">
        <f>IF(AND($F204&lt;&gt;0,AH204=""),"* No olvide ingresar la columna Niños, Niñas, Adolescentes y Jóvenes Mejor niñez Mujeres (Digite CERO si no tiene).  ",IF(AH204&gt;$F204,"* El Número de Niños, Niñas, Adolescentes y Jóvenes Mejor Niñez Mujeres no puede superar el Total Mujeres. ",""))</f>
        <v xml:space="preserve">* El Número de Niños, Niñas, Adolescentes y Jóvenes Mejor Niñez Mujeres no puede superar el Total Mujeres. </v>
      </c>
      <c r="CF204" s="2784" t="str">
        <f>IF(AND($D204&lt;&gt;0,AI204=""),"* No olvide ingresar la columna "&amp;AI$200&amp;""&amp;" (Digite CERO si no tiene).  ",IF(AI204&gt;$D204,"* El Número de Pueblos Originarios no puede superar el Total. ",""))</f>
        <v xml:space="preserve">* El Número de Pueblos Originarios no puede superar el Total. </v>
      </c>
      <c r="CG204" s="2784" t="str">
        <f>IF(AND($D204&lt;&gt;0,AJ204=""),"* No olvide ingresar la columna "&amp;AJ$200&amp;""&amp;" (Digite CERO si no tiene).  ",IF(AJ204&gt;$D204,"* El Número de Migrantes no puede superar el Total. ",""))</f>
        <v xml:space="preserve">* El Número de Migrantes no puede superar el Total. </v>
      </c>
      <c r="CL204" s="1725">
        <f>IF(AND($E204&lt;&gt;0,AE204=""),1,IF(AE204&gt;$E204,1,0))</f>
        <v>1</v>
      </c>
      <c r="CM204" s="1725">
        <f>IF(AND($F204&lt;&gt;0,AF204=""),1,IF(AF204&gt;$F204,1,0))</f>
        <v>1</v>
      </c>
      <c r="CN204" s="1725">
        <f>IF(AND($E204&lt;&gt;0,AG204=""),1,IF(AG204&gt;$E204,1,0))</f>
        <v>1</v>
      </c>
      <c r="CO204" s="1725">
        <f>IF(AND($F204&lt;&gt;0,AH204=""),1,IF(AH204&gt;$F204,1,0))</f>
        <v>1</v>
      </c>
      <c r="CP204" s="1725">
        <f>IF(AND($D204&lt;&gt;0,AI204=""),1,IF(AI204&gt;$D204,1,0))</f>
        <v>1</v>
      </c>
      <c r="CQ204" s="1725">
        <f>IF(AND($D204&lt;&gt;0,AJ204=""),1,IF(AJ204&gt;$D204,1,0))</f>
        <v>1</v>
      </c>
    </row>
    <row r="205" spans="1:95" ht="15" customHeight="1" x14ac:dyDescent="0.3">
      <c r="A205" s="6245"/>
      <c r="B205" s="6533" t="s">
        <v>24</v>
      </c>
      <c r="C205" s="6534"/>
      <c r="D205" s="4646" t="e">
        <f>SUM(E205+F205)</f>
        <v>#VALUE!</v>
      </c>
      <c r="E205" s="3414" t="e">
        <f t="shared" ref="E205:AJ205" si="27">SUM(E203+E204)</f>
        <v>#VALUE!</v>
      </c>
      <c r="F205" s="3415" t="e">
        <f t="shared" si="27"/>
        <v>#VALUE!</v>
      </c>
      <c r="G205" s="3416" t="e">
        <f t="shared" si="27"/>
        <v>#VALUE!</v>
      </c>
      <c r="H205" s="3417" t="e">
        <f t="shared" si="27"/>
        <v>#VALUE!</v>
      </c>
      <c r="I205" s="3416" t="e">
        <f t="shared" si="27"/>
        <v>#VALUE!</v>
      </c>
      <c r="J205" s="3417" t="e">
        <f t="shared" si="27"/>
        <v>#VALUE!</v>
      </c>
      <c r="K205" s="3416" t="e">
        <f t="shared" si="27"/>
        <v>#VALUE!</v>
      </c>
      <c r="L205" s="3417" t="e">
        <f t="shared" si="27"/>
        <v>#VALUE!</v>
      </c>
      <c r="M205" s="3416" t="e">
        <f t="shared" si="27"/>
        <v>#VALUE!</v>
      </c>
      <c r="N205" s="3417" t="e">
        <f t="shared" si="27"/>
        <v>#VALUE!</v>
      </c>
      <c r="O205" s="3416" t="e">
        <f t="shared" si="27"/>
        <v>#VALUE!</v>
      </c>
      <c r="P205" s="3417" t="e">
        <f t="shared" si="27"/>
        <v>#VALUE!</v>
      </c>
      <c r="Q205" s="3416" t="e">
        <f t="shared" si="27"/>
        <v>#VALUE!</v>
      </c>
      <c r="R205" s="3417" t="e">
        <f t="shared" si="27"/>
        <v>#VALUE!</v>
      </c>
      <c r="S205" s="3416" t="e">
        <f t="shared" si="27"/>
        <v>#VALUE!</v>
      </c>
      <c r="T205" s="3417" t="e">
        <f t="shared" si="27"/>
        <v>#VALUE!</v>
      </c>
      <c r="U205" s="3416" t="e">
        <f t="shared" si="27"/>
        <v>#VALUE!</v>
      </c>
      <c r="V205" s="3417" t="e">
        <f t="shared" si="27"/>
        <v>#VALUE!</v>
      </c>
      <c r="W205" s="3416" t="e">
        <f t="shared" si="27"/>
        <v>#VALUE!</v>
      </c>
      <c r="X205" s="3417" t="e">
        <f t="shared" si="27"/>
        <v>#VALUE!</v>
      </c>
      <c r="Y205" s="3416" t="e">
        <f t="shared" si="27"/>
        <v>#VALUE!</v>
      </c>
      <c r="Z205" s="3417" t="e">
        <f t="shared" si="27"/>
        <v>#VALUE!</v>
      </c>
      <c r="AA205" s="3416" t="e">
        <f t="shared" si="27"/>
        <v>#VALUE!</v>
      </c>
      <c r="AB205" s="3417" t="e">
        <f t="shared" si="27"/>
        <v>#VALUE!</v>
      </c>
      <c r="AC205" s="3416" t="e">
        <f t="shared" si="27"/>
        <v>#VALUE!</v>
      </c>
      <c r="AD205" s="3418" t="e">
        <f t="shared" si="27"/>
        <v>#VALUE!</v>
      </c>
      <c r="AE205" s="3414" t="e">
        <f t="shared" si="27"/>
        <v>#VALUE!</v>
      </c>
      <c r="AF205" s="3417" t="e">
        <f t="shared" si="27"/>
        <v>#VALUE!</v>
      </c>
      <c r="AG205" s="3414" t="e">
        <f t="shared" si="27"/>
        <v>#VALUE!</v>
      </c>
      <c r="AH205" s="3417" t="e">
        <f t="shared" si="27"/>
        <v>#VALUE!</v>
      </c>
      <c r="AI205" s="3413" t="e">
        <f t="shared" si="27"/>
        <v>#VALUE!</v>
      </c>
      <c r="AJ205" s="3415" t="e">
        <f t="shared" si="27"/>
        <v>#VALUE!</v>
      </c>
    </row>
    <row r="206" spans="1:95" ht="18" customHeight="1" x14ac:dyDescent="0.3">
      <c r="B206" s="122" t="s">
        <v>2588</v>
      </c>
      <c r="C206" s="1052"/>
      <c r="D206" s="1052"/>
      <c r="E206" s="1052"/>
      <c r="F206" s="1052"/>
      <c r="G206" s="1052"/>
      <c r="H206" s="599"/>
      <c r="I206" s="599"/>
      <c r="J206" s="3374"/>
      <c r="K206" s="3374"/>
      <c r="L206" s="3374"/>
      <c r="M206" s="3374"/>
      <c r="N206" s="3374"/>
      <c r="O206" s="3374"/>
      <c r="P206" s="3374"/>
      <c r="Q206" s="3374"/>
      <c r="R206" s="3374"/>
      <c r="S206" s="599"/>
      <c r="T206" s="599"/>
      <c r="U206" s="599"/>
      <c r="V206" s="599"/>
      <c r="W206" s="599"/>
      <c r="X206" s="599"/>
    </row>
    <row r="207" spans="1:95" ht="15" customHeight="1" x14ac:dyDescent="0.3">
      <c r="B207" s="6502" t="s">
        <v>2589</v>
      </c>
      <c r="C207" s="6535"/>
      <c r="D207" s="6538" t="s">
        <v>24</v>
      </c>
      <c r="E207" s="6539"/>
      <c r="F207" s="6540"/>
      <c r="G207" s="6544" t="s">
        <v>30</v>
      </c>
      <c r="H207" s="6545"/>
      <c r="I207" s="6545"/>
      <c r="J207" s="6545"/>
      <c r="K207" s="6545"/>
      <c r="L207" s="6545"/>
      <c r="M207" s="6545"/>
      <c r="N207" s="6545"/>
      <c r="O207" s="6545"/>
      <c r="P207" s="6546"/>
      <c r="Q207" s="6547" t="s">
        <v>2590</v>
      </c>
      <c r="R207" s="6546"/>
      <c r="S207" s="6546"/>
      <c r="T207" s="6548" t="s">
        <v>2</v>
      </c>
      <c r="U207" s="6551" t="s">
        <v>3</v>
      </c>
    </row>
    <row r="208" spans="1:95" ht="15" customHeight="1" x14ac:dyDescent="0.3">
      <c r="B208" s="6504"/>
      <c r="C208" s="6505"/>
      <c r="D208" s="6541"/>
      <c r="E208" s="6542"/>
      <c r="F208" s="6543"/>
      <c r="G208" s="6461" t="s">
        <v>2453</v>
      </c>
      <c r="H208" s="6461"/>
      <c r="I208" s="6461" t="s">
        <v>2454</v>
      </c>
      <c r="J208" s="6461"/>
      <c r="K208" s="6461" t="s">
        <v>2539</v>
      </c>
      <c r="L208" s="6461"/>
      <c r="M208" s="6461" t="s">
        <v>2591</v>
      </c>
      <c r="N208" s="6461"/>
      <c r="O208" s="6461" t="s">
        <v>3724</v>
      </c>
      <c r="P208" s="6557"/>
      <c r="Q208" s="6558" t="s">
        <v>2592</v>
      </c>
      <c r="R208" s="6554" t="s">
        <v>2593</v>
      </c>
      <c r="S208" s="6556" t="s">
        <v>2594</v>
      </c>
      <c r="T208" s="6549"/>
      <c r="U208" s="6552"/>
    </row>
    <row r="209" spans="1:94" ht="18.75" customHeight="1" x14ac:dyDescent="0.3">
      <c r="B209" s="6536"/>
      <c r="C209" s="6537"/>
      <c r="D209" s="4655" t="s">
        <v>2585</v>
      </c>
      <c r="E209" s="3390" t="s">
        <v>22</v>
      </c>
      <c r="F209" s="3391" t="s">
        <v>27</v>
      </c>
      <c r="G209" s="3392" t="s">
        <v>22</v>
      </c>
      <c r="H209" s="3393" t="s">
        <v>27</v>
      </c>
      <c r="I209" s="3392" t="s">
        <v>22</v>
      </c>
      <c r="J209" s="3393" t="s">
        <v>27</v>
      </c>
      <c r="K209" s="3392" t="s">
        <v>22</v>
      </c>
      <c r="L209" s="3393" t="s">
        <v>27</v>
      </c>
      <c r="M209" s="3392" t="s">
        <v>22</v>
      </c>
      <c r="N209" s="3393" t="s">
        <v>27</v>
      </c>
      <c r="O209" s="3392" t="s">
        <v>22</v>
      </c>
      <c r="P209" s="4305" t="s">
        <v>27</v>
      </c>
      <c r="Q209" s="6559"/>
      <c r="R209" s="6555"/>
      <c r="S209" s="6536"/>
      <c r="T209" s="6550"/>
      <c r="U209" s="6553" t="s">
        <v>27</v>
      </c>
    </row>
    <row r="210" spans="1:94" ht="21.75" customHeight="1" x14ac:dyDescent="0.3">
      <c r="A210" s="6234" t="s">
        <v>4149</v>
      </c>
      <c r="B210" s="6521" t="s">
        <v>2595</v>
      </c>
      <c r="C210" s="6522"/>
      <c r="D210" s="4656" t="s">
        <v>5292</v>
      </c>
      <c r="E210" s="4649" t="s">
        <v>5293</v>
      </c>
      <c r="F210" s="4650" t="s">
        <v>5294</v>
      </c>
      <c r="G210" s="3399" t="s">
        <v>5295</v>
      </c>
      <c r="H210" s="3401" t="s">
        <v>5296</v>
      </c>
      <c r="I210" s="3399" t="s">
        <v>5297</v>
      </c>
      <c r="J210" s="3401" t="s">
        <v>5298</v>
      </c>
      <c r="K210" s="3399" t="s">
        <v>5299</v>
      </c>
      <c r="L210" s="3401" t="s">
        <v>5300</v>
      </c>
      <c r="M210" s="3399" t="s">
        <v>5301</v>
      </c>
      <c r="N210" s="3401" t="s">
        <v>5302</v>
      </c>
      <c r="O210" s="3399" t="s">
        <v>5303</v>
      </c>
      <c r="P210" s="4306" t="s">
        <v>5304</v>
      </c>
      <c r="Q210" s="4309" t="s">
        <v>5305</v>
      </c>
      <c r="R210" s="3419" t="s">
        <v>5306</v>
      </c>
      <c r="S210" s="4313" t="s">
        <v>5307</v>
      </c>
      <c r="T210" s="4309" t="s">
        <v>5308</v>
      </c>
      <c r="U210" s="4310" t="s">
        <v>5309</v>
      </c>
      <c r="V210" s="3235" t="str">
        <f>$CB210&amp;CC210</f>
        <v xml:space="preserve">* El Número de Pueblos Originarios no puede superar el Total. * El Número de Migrantes no puede superar el Total. </v>
      </c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3236"/>
      <c r="BB210" s="3236"/>
      <c r="BC210" s="3236"/>
      <c r="BD210" s="3236"/>
      <c r="BE210" s="3236"/>
      <c r="BF210" s="3236"/>
      <c r="BG210" s="3236"/>
      <c r="BH210" s="3236"/>
      <c r="BI210" s="3236"/>
      <c r="BJ210" s="3236"/>
      <c r="BK210" s="3236"/>
      <c r="BL210" s="3236"/>
      <c r="BM210" s="3236"/>
      <c r="BN210" s="3236"/>
      <c r="BO210" s="3236"/>
      <c r="BP210" s="3236"/>
      <c r="BQ210" s="3236"/>
      <c r="BR210" s="3236"/>
      <c r="BS210" s="3236"/>
      <c r="BT210" s="3236"/>
      <c r="BU210" s="3236"/>
      <c r="BV210" s="3236"/>
      <c r="BW210" s="3236"/>
      <c r="BX210" s="3236"/>
      <c r="BY210" s="3236"/>
      <c r="BZ210" s="3236"/>
      <c r="CA210" s="3236"/>
      <c r="CB210" s="3237" t="str">
        <f>IF(AND($D210&lt;&gt;0,T210=""),"* No olvide ingresar la columna "&amp;T$207&amp;""&amp;" (Digite CERO si no tiene). ",IF(T210&gt;$D210,"* El Número de Pueblos Originarios no puede superar el Total. ",""))</f>
        <v xml:space="preserve">* El Número de Pueblos Originarios no puede superar el Total. </v>
      </c>
      <c r="CC210" s="3237" t="str">
        <f>IF(AND($D210&lt;&gt;0,U210=""),"* No olvide ingresar la columna "&amp;U$207&amp;""&amp;" (Digite CERO si no tiene). ",IF(U210&gt;$D210,"* El Número de Migrantes no puede superar el Total. ",""))</f>
        <v xml:space="preserve">* El Número de Migrantes no puede superar el Total. </v>
      </c>
      <c r="CE210" s="3236"/>
      <c r="CF210" s="3236"/>
      <c r="CG210" s="3238"/>
      <c r="CH210" s="3238"/>
      <c r="CI210" s="3238"/>
      <c r="CJ210" s="3238"/>
      <c r="CK210" s="3238"/>
      <c r="CL210" s="1724">
        <f>IF(AND($D210&lt;&gt;0,T210=""),1,IF(T210&gt;$D210,1,0))</f>
        <v>1</v>
      </c>
      <c r="CM210" s="1724">
        <f>IF(AND($D210&lt;&gt;0,U210=""),1,IF(U210&gt;$D210,1,0))</f>
        <v>1</v>
      </c>
    </row>
    <row r="211" spans="1:94" ht="15" customHeight="1" x14ac:dyDescent="0.3">
      <c r="A211" s="6241" t="s">
        <v>4150</v>
      </c>
      <c r="B211" s="6523" t="s">
        <v>2596</v>
      </c>
      <c r="C211" s="6524"/>
      <c r="D211" s="4657" t="s">
        <v>5292</v>
      </c>
      <c r="E211" s="4651" t="s">
        <v>5293</v>
      </c>
      <c r="F211" s="4652" t="s">
        <v>5294</v>
      </c>
      <c r="G211" s="3420" t="s">
        <v>5295</v>
      </c>
      <c r="H211" s="3421" t="s">
        <v>5296</v>
      </c>
      <c r="I211" s="3420" t="s">
        <v>5297</v>
      </c>
      <c r="J211" s="3421" t="s">
        <v>5298</v>
      </c>
      <c r="K211" s="3420" t="s">
        <v>5299</v>
      </c>
      <c r="L211" s="3421" t="s">
        <v>5300</v>
      </c>
      <c r="M211" s="3420" t="s">
        <v>5301</v>
      </c>
      <c r="N211" s="3421" t="s">
        <v>5302</v>
      </c>
      <c r="O211" s="3420" t="s">
        <v>5303</v>
      </c>
      <c r="P211" s="4307" t="s">
        <v>5304</v>
      </c>
      <c r="Q211" s="4311" t="s">
        <v>5305</v>
      </c>
      <c r="R211" s="3422" t="s">
        <v>5306</v>
      </c>
      <c r="S211" s="4314" t="s">
        <v>5307</v>
      </c>
      <c r="T211" s="4311" t="s">
        <v>5308</v>
      </c>
      <c r="U211" s="3423" t="s">
        <v>5309</v>
      </c>
      <c r="V211" s="3235" t="str">
        <f t="shared" ref="V211:V212" si="28">$CB211&amp;CC211</f>
        <v xml:space="preserve">* El Número de Pueblos Originarios no puede superar el Total. * El Número de Migrantes no puede superar el Total. </v>
      </c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3236"/>
      <c r="BB211" s="3236"/>
      <c r="BC211" s="3236"/>
      <c r="BD211" s="3236"/>
      <c r="BE211" s="3236"/>
      <c r="BF211" s="3236"/>
      <c r="BG211" s="3236"/>
      <c r="BH211" s="3236"/>
      <c r="BI211" s="3236"/>
      <c r="BJ211" s="3236"/>
      <c r="BK211" s="3236"/>
      <c r="BL211" s="3236"/>
      <c r="BM211" s="3236"/>
      <c r="BN211" s="3236"/>
      <c r="BO211" s="3236"/>
      <c r="BP211" s="3236"/>
      <c r="BQ211" s="3236"/>
      <c r="BR211" s="3236"/>
      <c r="BS211" s="3236"/>
      <c r="BT211" s="3236"/>
      <c r="BU211" s="3236"/>
      <c r="BV211" s="3236"/>
      <c r="BW211" s="3236"/>
      <c r="BX211" s="3236"/>
      <c r="BY211" s="3236"/>
      <c r="BZ211" s="3236"/>
      <c r="CA211" s="3236"/>
      <c r="CB211" s="3237" t="str">
        <f t="shared" ref="CB211:CB212" si="29">IF(AND($D211&lt;&gt;0,T211=""),"* No olvide ingresar la columna "&amp;T$207&amp;""&amp;" (Digite CERO si no tiene). ",IF(T211&gt;$D211,"* El Número de Pueblos Originarios no puede superar el Total. ",""))</f>
        <v xml:space="preserve">* El Número de Pueblos Originarios no puede superar el Total. </v>
      </c>
      <c r="CC211" s="3237" t="str">
        <f t="shared" ref="CC211:CC212" si="30">IF(AND($D211&lt;&gt;0,U211=""),"* No olvide ingresar la columna "&amp;U$207&amp;""&amp;" (Digite CERO si no tiene). ",IF(U211&gt;$D211,"* El Número de Migrantes no puede superar el Total. ",""))</f>
        <v xml:space="preserve">* El Número de Migrantes no puede superar el Total. </v>
      </c>
      <c r="CE211" s="3236"/>
      <c r="CF211" s="3236"/>
      <c r="CG211" s="3238"/>
      <c r="CH211" s="3238"/>
      <c r="CI211" s="3238"/>
      <c r="CJ211" s="3238"/>
      <c r="CK211" s="3238"/>
      <c r="CL211" s="1724">
        <f t="shared" ref="CL211:CM212" si="31">IF(AND($D211&lt;&gt;0,T211=""),1,IF(T211&gt;$D211,1,0))</f>
        <v>1</v>
      </c>
      <c r="CM211" s="1724">
        <f t="shared" si="31"/>
        <v>1</v>
      </c>
    </row>
    <row r="212" spans="1:94" ht="15" customHeight="1" x14ac:dyDescent="0.3">
      <c r="A212" s="6241" t="s">
        <v>4151</v>
      </c>
      <c r="B212" s="6525" t="s">
        <v>2597</v>
      </c>
      <c r="C212" s="6526"/>
      <c r="D212" s="4658" t="s">
        <v>5292</v>
      </c>
      <c r="E212" s="4653" t="s">
        <v>5293</v>
      </c>
      <c r="F212" s="4654" t="s">
        <v>5294</v>
      </c>
      <c r="G212" s="3407" t="s">
        <v>5295</v>
      </c>
      <c r="H212" s="3409" t="s">
        <v>5296</v>
      </c>
      <c r="I212" s="3407" t="s">
        <v>5297</v>
      </c>
      <c r="J212" s="3409" t="s">
        <v>5298</v>
      </c>
      <c r="K212" s="3407" t="s">
        <v>5299</v>
      </c>
      <c r="L212" s="3409" t="s">
        <v>5300</v>
      </c>
      <c r="M212" s="3407" t="s">
        <v>5301</v>
      </c>
      <c r="N212" s="3409" t="s">
        <v>5302</v>
      </c>
      <c r="O212" s="3407" t="s">
        <v>5303</v>
      </c>
      <c r="P212" s="4308" t="s">
        <v>5304</v>
      </c>
      <c r="Q212" s="4312" t="s">
        <v>5305</v>
      </c>
      <c r="R212" s="3424" t="s">
        <v>5306</v>
      </c>
      <c r="S212" s="4315" t="s">
        <v>5307</v>
      </c>
      <c r="T212" s="4312" t="s">
        <v>5308</v>
      </c>
      <c r="U212" s="3425" t="s">
        <v>5309</v>
      </c>
      <c r="V212" s="3235" t="str">
        <f t="shared" si="28"/>
        <v xml:space="preserve">* El Número de Pueblos Originarios no puede superar el Total. * El Número de Migrantes no puede superar el Total. </v>
      </c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3236"/>
      <c r="BB212" s="3236"/>
      <c r="BC212" s="3236"/>
      <c r="BD212" s="3236"/>
      <c r="BE212" s="3236"/>
      <c r="BF212" s="3236"/>
      <c r="BG212" s="3236"/>
      <c r="BH212" s="3236"/>
      <c r="BI212" s="3236"/>
      <c r="BJ212" s="3236"/>
      <c r="BK212" s="3236"/>
      <c r="BL212" s="3236"/>
      <c r="BM212" s="3236"/>
      <c r="BN212" s="3236"/>
      <c r="BO212" s="3236"/>
      <c r="BP212" s="3236"/>
      <c r="BQ212" s="3236"/>
      <c r="BR212" s="3236"/>
      <c r="BS212" s="3236"/>
      <c r="BT212" s="3236"/>
      <c r="BU212" s="3236"/>
      <c r="BV212" s="3236"/>
      <c r="BW212" s="3236"/>
      <c r="BX212" s="3236"/>
      <c r="BY212" s="3236"/>
      <c r="BZ212" s="3236"/>
      <c r="CA212" s="3236"/>
      <c r="CB212" s="3237" t="str">
        <f t="shared" si="29"/>
        <v xml:space="preserve">* El Número de Pueblos Originarios no puede superar el Total. </v>
      </c>
      <c r="CC212" s="3237" t="str">
        <f t="shared" si="30"/>
        <v xml:space="preserve">* El Número de Migrantes no puede superar el Total. </v>
      </c>
      <c r="CE212" s="3236"/>
      <c r="CF212" s="3236"/>
      <c r="CG212" s="3238"/>
      <c r="CH212" s="3238"/>
      <c r="CI212" s="3238"/>
      <c r="CJ212" s="3238"/>
      <c r="CK212" s="3238"/>
      <c r="CL212" s="1724">
        <f t="shared" si="31"/>
        <v>1</v>
      </c>
      <c r="CM212" s="1724">
        <f>IF(AND($D212&lt;&gt;0,U212=""),1,IF(U212&gt;$D212,1,0))</f>
        <v>1</v>
      </c>
    </row>
    <row r="213" spans="1:94" ht="18" customHeight="1" x14ac:dyDescent="0.3">
      <c r="B213" s="122" t="s">
        <v>2598</v>
      </c>
      <c r="C213" s="1052"/>
      <c r="D213" s="1052"/>
      <c r="E213" s="599"/>
      <c r="F213" s="599"/>
      <c r="G213" s="599"/>
    </row>
    <row r="214" spans="1:94" ht="15" customHeight="1" x14ac:dyDescent="0.3">
      <c r="B214" s="6502" t="s">
        <v>2589</v>
      </c>
      <c r="C214" s="6503"/>
      <c r="D214" s="6326" t="s">
        <v>2599</v>
      </c>
      <c r="E214" s="6346"/>
      <c r="F214" s="6527" t="s">
        <v>2</v>
      </c>
      <c r="G214" s="6529" t="s">
        <v>3</v>
      </c>
    </row>
    <row r="215" spans="1:94" ht="15" customHeight="1" x14ac:dyDescent="0.3">
      <c r="B215" s="6506"/>
      <c r="C215" s="6507"/>
      <c r="D215" s="3392" t="s">
        <v>22</v>
      </c>
      <c r="E215" s="3394" t="s">
        <v>27</v>
      </c>
      <c r="F215" s="6528"/>
      <c r="G215" s="6530"/>
    </row>
    <row r="216" spans="1:94" ht="15" customHeight="1" x14ac:dyDescent="0.3">
      <c r="A216" s="6235"/>
      <c r="B216" s="6512" t="s">
        <v>24</v>
      </c>
      <c r="C216" s="6513"/>
      <c r="D216" s="4740">
        <f>SUM(D217:D219)</f>
        <v>0</v>
      </c>
      <c r="E216" s="4739">
        <f>SUM(E217:E219)</f>
        <v>0</v>
      </c>
      <c r="F216" s="5749">
        <f>SUM(F217:F219)</f>
        <v>0</v>
      </c>
      <c r="G216" s="5753">
        <f>SUM(G217:G219)</f>
        <v>0</v>
      </c>
    </row>
    <row r="217" spans="1:94" ht="15" customHeight="1" x14ac:dyDescent="0.3">
      <c r="A217" s="6240" t="s">
        <v>4152</v>
      </c>
      <c r="B217" s="6510" t="s">
        <v>2600</v>
      </c>
      <c r="C217" s="6511"/>
      <c r="D217" s="3399" t="s">
        <v>5292</v>
      </c>
      <c r="E217" s="3402" t="s">
        <v>5293</v>
      </c>
      <c r="F217" s="5750" t="s">
        <v>5294</v>
      </c>
      <c r="G217" s="5754" t="s">
        <v>5295</v>
      </c>
      <c r="H217" s="3235" t="e">
        <f>CB217&amp;CC217&amp;CD217&amp;CE217</f>
        <v>#VALUE!</v>
      </c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3236"/>
      <c r="AN217" s="3236"/>
      <c r="AO217" s="3236"/>
      <c r="AP217" s="3236"/>
      <c r="AQ217" s="3236"/>
      <c r="AR217" s="3236"/>
      <c r="AS217" s="3236"/>
      <c r="AT217" s="3236"/>
      <c r="AU217" s="3236"/>
      <c r="AV217" s="3236"/>
      <c r="AW217" s="3236"/>
      <c r="AX217" s="3236"/>
      <c r="AY217" s="3236"/>
      <c r="AZ217" s="3236"/>
      <c r="BA217" s="3236"/>
      <c r="BB217" s="3236"/>
      <c r="BC217" s="3236"/>
      <c r="BD217" s="3236"/>
      <c r="BE217" s="3236"/>
      <c r="BF217" s="3236"/>
      <c r="BG217" s="3236"/>
      <c r="BH217" s="3236"/>
      <c r="BI217" s="3236"/>
      <c r="BJ217" s="3236"/>
      <c r="BK217" s="3236"/>
      <c r="BL217" s="3236"/>
      <c r="BM217" s="3236"/>
      <c r="BN217" s="3236"/>
      <c r="BO217" s="3236"/>
      <c r="BP217" s="3236"/>
      <c r="BQ217" s="3236"/>
      <c r="BR217" s="3236"/>
      <c r="BS217" s="3236"/>
      <c r="BT217" s="3236"/>
      <c r="BU217" s="3236"/>
      <c r="BV217" s="3236"/>
      <c r="BW217" s="3236"/>
      <c r="BX217" s="3236"/>
      <c r="BY217" s="3236"/>
      <c r="BZ217" s="3236"/>
      <c r="CA217" s="3236"/>
      <c r="CB217" s="3237" t="e">
        <f>IF(AND((D217+E217)&gt;0,OR(F217=""))," * No olvide digitar las columnas Pueblos Originarios. Digite CERO si no tiene.","")</f>
        <v>#VALUE!</v>
      </c>
      <c r="CC217" s="3237" t="e">
        <f>IF(AND((D217+E217)&gt;0,OR(G217=""))," * No olvide digitar las columnas Migrantes. Digite CERO si no tiene.","")</f>
        <v>#VALUE!</v>
      </c>
      <c r="CD217" s="3237" t="e">
        <f>IF(F217&gt;(D217+E217)," * El N° de Pueblos Originarios no puede ser mayor que la suma de Hombres+Mujeres.","")</f>
        <v>#VALUE!</v>
      </c>
      <c r="CE217" s="3237" t="e">
        <f>IF(G217&gt;(D217+E217)," * El N° de Migrantes no puede ser mayor que la suma de hombres+Mujeres.","")</f>
        <v>#VALUE!</v>
      </c>
      <c r="CF217" s="3236"/>
      <c r="CG217" s="3236"/>
      <c r="CH217" s="3238"/>
      <c r="CI217" s="3238"/>
      <c r="CJ217" s="3238"/>
      <c r="CK217" s="3238"/>
      <c r="CL217" s="1724" t="e">
        <f>IF(AND((D217+E217)&gt;0,OR(F217="")),1,0)</f>
        <v>#VALUE!</v>
      </c>
      <c r="CM217" s="1724" t="e">
        <f>IF(AND((D217+E217)&gt;0,OR(G217="")),1,0)</f>
        <v>#VALUE!</v>
      </c>
      <c r="CN217" s="1724" t="e">
        <f>IF(F217&gt;(D217+E217),1,0)</f>
        <v>#VALUE!</v>
      </c>
      <c r="CO217" s="1724" t="e">
        <f>IF(G217&gt;(D217+E217),1,0)</f>
        <v>#VALUE!</v>
      </c>
      <c r="CP217" s="17"/>
    </row>
    <row r="218" spans="1:94" ht="23.25" customHeight="1" x14ac:dyDescent="0.3">
      <c r="A218" s="6240" t="s">
        <v>4153</v>
      </c>
      <c r="B218" s="6482" t="s">
        <v>2601</v>
      </c>
      <c r="C218" s="6483"/>
      <c r="D218" s="3420" t="s">
        <v>5292</v>
      </c>
      <c r="E218" s="3427" t="s">
        <v>5293</v>
      </c>
      <c r="F218" s="4307" t="s">
        <v>5294</v>
      </c>
      <c r="G218" s="3423" t="s">
        <v>5295</v>
      </c>
      <c r="H218" s="3235" t="e">
        <f t="shared" ref="H218:H225" si="32">CB218&amp;CC218&amp;CD218&amp;CE218</f>
        <v>#VALUE!</v>
      </c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3236"/>
      <c r="AN218" s="3236"/>
      <c r="AO218" s="3236"/>
      <c r="AP218" s="3236"/>
      <c r="AQ218" s="3236"/>
      <c r="AR218" s="3236"/>
      <c r="AS218" s="3236"/>
      <c r="AT218" s="3236"/>
      <c r="AU218" s="3236"/>
      <c r="AV218" s="3236"/>
      <c r="AW218" s="3236"/>
      <c r="AX218" s="3236"/>
      <c r="AY218" s="3236"/>
      <c r="AZ218" s="3236"/>
      <c r="BA218" s="3236"/>
      <c r="BB218" s="3236"/>
      <c r="BC218" s="3236"/>
      <c r="BD218" s="3236"/>
      <c r="BE218" s="3236"/>
      <c r="BF218" s="3236"/>
      <c r="BG218" s="3236"/>
      <c r="BH218" s="3236"/>
      <c r="BI218" s="3236"/>
      <c r="BJ218" s="3236"/>
      <c r="BK218" s="3236"/>
      <c r="BL218" s="3236"/>
      <c r="BM218" s="3236"/>
      <c r="BN218" s="3236"/>
      <c r="BO218" s="3236"/>
      <c r="BP218" s="3236"/>
      <c r="BQ218" s="3236"/>
      <c r="BR218" s="3236"/>
      <c r="BS218" s="3236"/>
      <c r="BT218" s="3236"/>
      <c r="BU218" s="3236"/>
      <c r="BV218" s="3236"/>
      <c r="BW218" s="3236"/>
      <c r="BX218" s="3236"/>
      <c r="BY218" s="3236"/>
      <c r="BZ218" s="3236"/>
      <c r="CA218" s="3236"/>
      <c r="CB218" s="3237" t="e">
        <f t="shared" ref="CB218:CB225" si="33">IF(AND((D218+E218)&gt;0,OR(F218=""))," * No olvide digitar las columnas Pueblos Originarios. Digite CERO si no tiene.","")</f>
        <v>#VALUE!</v>
      </c>
      <c r="CC218" s="3237" t="e">
        <f t="shared" ref="CC218:CC225" si="34">IF(AND((D218+E218)&gt;0,OR(G218=""))," * No olvide digitar las columnas Migrantes. Digite CERO si no tiene.","")</f>
        <v>#VALUE!</v>
      </c>
      <c r="CD218" s="3237" t="e">
        <f t="shared" ref="CD218:CD225" si="35">IF(F218&gt;(D218+E218)," * El N° de Pueblos Originarios no puede ser mayor que la suma de Hombres+Mujeres.","")</f>
        <v>#VALUE!</v>
      </c>
      <c r="CE218" s="3237" t="e">
        <f t="shared" ref="CE218:CE225" si="36">IF(G218&gt;(D218+E218)," * El N° de Migrantes no puede ser mayor que la suma de hombres+Mujeres.","")</f>
        <v>#VALUE!</v>
      </c>
      <c r="CL218" s="1724" t="e">
        <f t="shared" ref="CL218:CL225" si="37">IF(AND((D218+E218)&gt;0,OR(F218="")),1,0)</f>
        <v>#VALUE!</v>
      </c>
      <c r="CM218" s="1724" t="e">
        <f t="shared" ref="CM218:CM225" si="38">IF(AND((D218+E218)&gt;0,OR(G218="")),1,0)</f>
        <v>#VALUE!</v>
      </c>
      <c r="CN218" s="1724" t="e">
        <f t="shared" ref="CN218:CN225" si="39">IF(F218&gt;(D218+E218),1,0)</f>
        <v>#VALUE!</v>
      </c>
      <c r="CO218" s="1724" t="e">
        <f t="shared" ref="CO218:CO225" si="40">IF(G218&gt;(D218+E218),1,0)</f>
        <v>#VALUE!</v>
      </c>
    </row>
    <row r="219" spans="1:94" ht="18.75" customHeight="1" x14ac:dyDescent="0.3">
      <c r="A219" s="6240" t="s">
        <v>4154</v>
      </c>
      <c r="B219" s="6514" t="s">
        <v>2602</v>
      </c>
      <c r="C219" s="6515"/>
      <c r="D219" s="3407" t="s">
        <v>5292</v>
      </c>
      <c r="E219" s="3410" t="s">
        <v>5293</v>
      </c>
      <c r="F219" s="4308" t="s">
        <v>5294</v>
      </c>
      <c r="G219" s="3425" t="s">
        <v>5295</v>
      </c>
      <c r="H219" s="3235" t="e">
        <f t="shared" si="32"/>
        <v>#VALUE!</v>
      </c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3236"/>
      <c r="AN219" s="3236"/>
      <c r="AO219" s="3236"/>
      <c r="AP219" s="3236"/>
      <c r="AQ219" s="3236"/>
      <c r="AR219" s="3236"/>
      <c r="AS219" s="3236"/>
      <c r="AT219" s="3236"/>
      <c r="AU219" s="3236"/>
      <c r="AV219" s="3236"/>
      <c r="AW219" s="3236"/>
      <c r="AX219" s="3236"/>
      <c r="AY219" s="3236"/>
      <c r="AZ219" s="3236"/>
      <c r="BA219" s="3236"/>
      <c r="BB219" s="3236"/>
      <c r="BC219" s="3236"/>
      <c r="BD219" s="3236"/>
      <c r="BE219" s="3236"/>
      <c r="BF219" s="3236"/>
      <c r="BG219" s="3236"/>
      <c r="BH219" s="3236"/>
      <c r="BI219" s="3236"/>
      <c r="BJ219" s="3236"/>
      <c r="BK219" s="3236"/>
      <c r="BL219" s="3236"/>
      <c r="BM219" s="3236"/>
      <c r="BN219" s="3236"/>
      <c r="BO219" s="3236"/>
      <c r="BP219" s="3236"/>
      <c r="BQ219" s="3236"/>
      <c r="BR219" s="3236"/>
      <c r="BS219" s="3236"/>
      <c r="BT219" s="3236"/>
      <c r="BU219" s="3236"/>
      <c r="BV219" s="3236"/>
      <c r="BW219" s="3236"/>
      <c r="BX219" s="3236"/>
      <c r="BY219" s="3236"/>
      <c r="BZ219" s="3236"/>
      <c r="CA219" s="3236"/>
      <c r="CB219" s="3237" t="e">
        <f t="shared" si="33"/>
        <v>#VALUE!</v>
      </c>
      <c r="CC219" s="3237" t="e">
        <f t="shared" si="34"/>
        <v>#VALUE!</v>
      </c>
      <c r="CD219" s="3237" t="e">
        <f t="shared" si="35"/>
        <v>#VALUE!</v>
      </c>
      <c r="CE219" s="3237" t="e">
        <f t="shared" si="36"/>
        <v>#VALUE!</v>
      </c>
      <c r="CL219" s="1724" t="e">
        <f t="shared" si="37"/>
        <v>#VALUE!</v>
      </c>
      <c r="CM219" s="1724" t="e">
        <f t="shared" si="38"/>
        <v>#VALUE!</v>
      </c>
      <c r="CN219" s="1724" t="e">
        <f t="shared" si="39"/>
        <v>#VALUE!</v>
      </c>
      <c r="CO219" s="1724" t="e">
        <f t="shared" si="40"/>
        <v>#VALUE!</v>
      </c>
    </row>
    <row r="220" spans="1:94" ht="15" customHeight="1" x14ac:dyDescent="0.3">
      <c r="A220" s="6240" t="s">
        <v>4155</v>
      </c>
      <c r="B220" s="6516" t="s">
        <v>2603</v>
      </c>
      <c r="C220" s="3428" t="s">
        <v>2604</v>
      </c>
      <c r="D220" s="3429" t="s">
        <v>5292</v>
      </c>
      <c r="E220" s="3430" t="s">
        <v>5293</v>
      </c>
      <c r="F220" s="5751" t="s">
        <v>5294</v>
      </c>
      <c r="G220" s="5755" t="s">
        <v>5295</v>
      </c>
      <c r="H220" s="3235" t="e">
        <f t="shared" si="32"/>
        <v>#VALUE!</v>
      </c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3236"/>
      <c r="AN220" s="3236"/>
      <c r="AO220" s="3236"/>
      <c r="AP220" s="3236"/>
      <c r="AQ220" s="3236"/>
      <c r="AR220" s="3236"/>
      <c r="AS220" s="3236"/>
      <c r="AT220" s="3236"/>
      <c r="AU220" s="3236"/>
      <c r="AV220" s="3236"/>
      <c r="AW220" s="3236"/>
      <c r="AX220" s="3236"/>
      <c r="AY220" s="3236"/>
      <c r="AZ220" s="3236"/>
      <c r="BA220" s="3236"/>
      <c r="BB220" s="3236"/>
      <c r="BC220" s="3236"/>
      <c r="BD220" s="3236"/>
      <c r="BE220" s="3236"/>
      <c r="BF220" s="3236"/>
      <c r="BG220" s="3236"/>
      <c r="BH220" s="3236"/>
      <c r="BI220" s="3236"/>
      <c r="BJ220" s="3236"/>
      <c r="BK220" s="3236"/>
      <c r="BL220" s="3236"/>
      <c r="BM220" s="3236"/>
      <c r="BN220" s="3236"/>
      <c r="BO220" s="3236"/>
      <c r="BP220" s="3236"/>
      <c r="BQ220" s="3236"/>
      <c r="BR220" s="3236"/>
      <c r="BS220" s="3236"/>
      <c r="BT220" s="3236"/>
      <c r="BU220" s="3236"/>
      <c r="BV220" s="3236"/>
      <c r="BW220" s="3236"/>
      <c r="BX220" s="3236"/>
      <c r="BY220" s="3236"/>
      <c r="BZ220" s="3236"/>
      <c r="CA220" s="3236"/>
      <c r="CB220" s="3237" t="e">
        <f t="shared" si="33"/>
        <v>#VALUE!</v>
      </c>
      <c r="CC220" s="3237" t="e">
        <f t="shared" si="34"/>
        <v>#VALUE!</v>
      </c>
      <c r="CD220" s="3237" t="e">
        <f t="shared" si="35"/>
        <v>#VALUE!</v>
      </c>
      <c r="CE220" s="3237" t="e">
        <f t="shared" si="36"/>
        <v>#VALUE!</v>
      </c>
      <c r="CL220" s="1724" t="e">
        <f t="shared" si="37"/>
        <v>#VALUE!</v>
      </c>
      <c r="CM220" s="1724" t="e">
        <f t="shared" si="38"/>
        <v>#VALUE!</v>
      </c>
      <c r="CN220" s="1724" t="e">
        <f t="shared" si="39"/>
        <v>#VALUE!</v>
      </c>
      <c r="CO220" s="1724" t="e">
        <f t="shared" si="40"/>
        <v>#VALUE!</v>
      </c>
    </row>
    <row r="221" spans="1:94" ht="15" customHeight="1" x14ac:dyDescent="0.3">
      <c r="A221" s="6240" t="s">
        <v>4156</v>
      </c>
      <c r="B221" s="6516"/>
      <c r="C221" s="3431" t="s">
        <v>2605</v>
      </c>
      <c r="D221" s="3420" t="s">
        <v>5292</v>
      </c>
      <c r="E221" s="3427" t="s">
        <v>5293</v>
      </c>
      <c r="F221" s="4307" t="s">
        <v>5294</v>
      </c>
      <c r="G221" s="3423" t="s">
        <v>5295</v>
      </c>
      <c r="H221" s="3235" t="e">
        <f t="shared" si="32"/>
        <v>#VALUE!</v>
      </c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3236"/>
      <c r="AN221" s="3236"/>
      <c r="AO221" s="3236"/>
      <c r="AP221" s="3236"/>
      <c r="AQ221" s="3236"/>
      <c r="AR221" s="3236"/>
      <c r="AS221" s="3236"/>
      <c r="AT221" s="3236"/>
      <c r="AU221" s="3236"/>
      <c r="AV221" s="3236"/>
      <c r="AW221" s="3236"/>
      <c r="AX221" s="3236"/>
      <c r="AY221" s="3236"/>
      <c r="AZ221" s="3236"/>
      <c r="BA221" s="3236"/>
      <c r="BB221" s="3236"/>
      <c r="BC221" s="3236"/>
      <c r="BD221" s="3236"/>
      <c r="BE221" s="3236"/>
      <c r="BF221" s="3236"/>
      <c r="BG221" s="3236"/>
      <c r="BH221" s="3236"/>
      <c r="BI221" s="3236"/>
      <c r="BJ221" s="3236"/>
      <c r="BK221" s="3236"/>
      <c r="BL221" s="3236"/>
      <c r="BM221" s="3236"/>
      <c r="BN221" s="3236"/>
      <c r="BO221" s="3236"/>
      <c r="BP221" s="3236"/>
      <c r="BQ221" s="3236"/>
      <c r="BR221" s="3236"/>
      <c r="BS221" s="3236"/>
      <c r="BT221" s="3236"/>
      <c r="BU221" s="3236"/>
      <c r="BV221" s="3236"/>
      <c r="BW221" s="3236"/>
      <c r="BX221" s="3236"/>
      <c r="BY221" s="3236"/>
      <c r="BZ221" s="3236"/>
      <c r="CA221" s="3236"/>
      <c r="CB221" s="3237" t="e">
        <f t="shared" si="33"/>
        <v>#VALUE!</v>
      </c>
      <c r="CC221" s="3237" t="e">
        <f t="shared" si="34"/>
        <v>#VALUE!</v>
      </c>
      <c r="CD221" s="3237" t="e">
        <f t="shared" si="35"/>
        <v>#VALUE!</v>
      </c>
      <c r="CE221" s="3237" t="e">
        <f t="shared" si="36"/>
        <v>#VALUE!</v>
      </c>
      <c r="CL221" s="1724" t="e">
        <f t="shared" si="37"/>
        <v>#VALUE!</v>
      </c>
      <c r="CM221" s="1724" t="e">
        <f t="shared" si="38"/>
        <v>#VALUE!</v>
      </c>
      <c r="CN221" s="1724" t="e">
        <f t="shared" si="39"/>
        <v>#VALUE!</v>
      </c>
      <c r="CO221" s="1724" t="e">
        <f t="shared" si="40"/>
        <v>#VALUE!</v>
      </c>
    </row>
    <row r="222" spans="1:94" ht="15" customHeight="1" x14ac:dyDescent="0.3">
      <c r="A222" s="6240" t="s">
        <v>4157</v>
      </c>
      <c r="B222" s="6516"/>
      <c r="C222" s="3431" t="s">
        <v>2606</v>
      </c>
      <c r="D222" s="3420" t="s">
        <v>5292</v>
      </c>
      <c r="E222" s="3427" t="s">
        <v>5293</v>
      </c>
      <c r="F222" s="4307" t="s">
        <v>5294</v>
      </c>
      <c r="G222" s="3423" t="s">
        <v>5295</v>
      </c>
      <c r="H222" s="3235" t="e">
        <f t="shared" si="32"/>
        <v>#VALUE!</v>
      </c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3236"/>
      <c r="AN222" s="3236"/>
      <c r="AO222" s="3236"/>
      <c r="AP222" s="3236"/>
      <c r="AQ222" s="3236"/>
      <c r="AR222" s="3236"/>
      <c r="AS222" s="3236"/>
      <c r="AT222" s="3236"/>
      <c r="AU222" s="3236"/>
      <c r="AV222" s="3236"/>
      <c r="AW222" s="3236"/>
      <c r="AX222" s="3236"/>
      <c r="AY222" s="3236"/>
      <c r="AZ222" s="3236"/>
      <c r="BA222" s="3236"/>
      <c r="BB222" s="3236"/>
      <c r="BC222" s="3236"/>
      <c r="BD222" s="3236"/>
      <c r="BE222" s="3236"/>
      <c r="BF222" s="3236"/>
      <c r="BG222" s="3236"/>
      <c r="BH222" s="3236"/>
      <c r="BI222" s="3236"/>
      <c r="BJ222" s="3236"/>
      <c r="BK222" s="3236"/>
      <c r="BL222" s="3236"/>
      <c r="BM222" s="3236"/>
      <c r="BN222" s="3236"/>
      <c r="BO222" s="3236"/>
      <c r="BP222" s="3236"/>
      <c r="BQ222" s="3236"/>
      <c r="BR222" s="3236"/>
      <c r="BS222" s="3236"/>
      <c r="BT222" s="3236"/>
      <c r="BU222" s="3236"/>
      <c r="BV222" s="3236"/>
      <c r="BW222" s="3236"/>
      <c r="BX222" s="3236"/>
      <c r="BY222" s="3236"/>
      <c r="BZ222" s="3236"/>
      <c r="CA222" s="3236"/>
      <c r="CB222" s="3237" t="e">
        <f t="shared" si="33"/>
        <v>#VALUE!</v>
      </c>
      <c r="CC222" s="3237" t="e">
        <f t="shared" si="34"/>
        <v>#VALUE!</v>
      </c>
      <c r="CD222" s="3237" t="e">
        <f t="shared" si="35"/>
        <v>#VALUE!</v>
      </c>
      <c r="CE222" s="3237" t="e">
        <f t="shared" si="36"/>
        <v>#VALUE!</v>
      </c>
      <c r="CL222" s="1724" t="e">
        <f t="shared" si="37"/>
        <v>#VALUE!</v>
      </c>
      <c r="CM222" s="1724" t="e">
        <f t="shared" si="38"/>
        <v>#VALUE!</v>
      </c>
      <c r="CN222" s="1724" t="e">
        <f t="shared" si="39"/>
        <v>#VALUE!</v>
      </c>
      <c r="CO222" s="1724" t="e">
        <f t="shared" si="40"/>
        <v>#VALUE!</v>
      </c>
    </row>
    <row r="223" spans="1:94" ht="23.25" customHeight="1" x14ac:dyDescent="0.3">
      <c r="A223" s="6240" t="s">
        <v>4158</v>
      </c>
      <c r="B223" s="6485"/>
      <c r="C223" s="3432" t="s">
        <v>2607</v>
      </c>
      <c r="D223" s="3407" t="s">
        <v>5292</v>
      </c>
      <c r="E223" s="3410" t="s">
        <v>5293</v>
      </c>
      <c r="F223" s="4308" t="s">
        <v>5294</v>
      </c>
      <c r="G223" s="3425" t="s">
        <v>5295</v>
      </c>
      <c r="H223" s="3235" t="e">
        <f t="shared" si="32"/>
        <v>#VALUE!</v>
      </c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3236"/>
      <c r="AN223" s="3236"/>
      <c r="AO223" s="3236"/>
      <c r="AP223" s="3236"/>
      <c r="AQ223" s="3236"/>
      <c r="AR223" s="3236"/>
      <c r="AS223" s="3236"/>
      <c r="AT223" s="3236"/>
      <c r="AU223" s="3236"/>
      <c r="AV223" s="3236"/>
      <c r="AW223" s="3236"/>
      <c r="AX223" s="3236"/>
      <c r="AY223" s="3236"/>
      <c r="AZ223" s="3236"/>
      <c r="BA223" s="3236"/>
      <c r="BB223" s="3236"/>
      <c r="BC223" s="3236"/>
      <c r="BD223" s="3236"/>
      <c r="BE223" s="3236"/>
      <c r="BF223" s="3236"/>
      <c r="BG223" s="3236"/>
      <c r="BH223" s="3236"/>
      <c r="BI223" s="3236"/>
      <c r="BJ223" s="3236"/>
      <c r="BK223" s="3236"/>
      <c r="BL223" s="3236"/>
      <c r="BM223" s="3236"/>
      <c r="BN223" s="3236"/>
      <c r="BO223" s="3236"/>
      <c r="BP223" s="3236"/>
      <c r="BQ223" s="3236"/>
      <c r="BR223" s="3236"/>
      <c r="BS223" s="3236"/>
      <c r="BT223" s="3236"/>
      <c r="BU223" s="3236"/>
      <c r="BV223" s="3236"/>
      <c r="BW223" s="3236"/>
      <c r="BX223" s="3236"/>
      <c r="BY223" s="3236"/>
      <c r="BZ223" s="3236"/>
      <c r="CA223" s="3236"/>
      <c r="CB223" s="3237" t="e">
        <f t="shared" si="33"/>
        <v>#VALUE!</v>
      </c>
      <c r="CC223" s="3237" t="e">
        <f t="shared" si="34"/>
        <v>#VALUE!</v>
      </c>
      <c r="CD223" s="3237" t="e">
        <f t="shared" si="35"/>
        <v>#VALUE!</v>
      </c>
      <c r="CE223" s="3237" t="e">
        <f t="shared" si="36"/>
        <v>#VALUE!</v>
      </c>
      <c r="CL223" s="1724" t="e">
        <f t="shared" si="37"/>
        <v>#VALUE!</v>
      </c>
      <c r="CM223" s="1724" t="e">
        <f t="shared" si="38"/>
        <v>#VALUE!</v>
      </c>
      <c r="CN223" s="1724" t="e">
        <f t="shared" si="39"/>
        <v>#VALUE!</v>
      </c>
      <c r="CO223" s="1724" t="e">
        <f t="shared" si="40"/>
        <v>#VALUE!</v>
      </c>
    </row>
    <row r="224" spans="1:94" ht="15" customHeight="1" x14ac:dyDescent="0.3">
      <c r="A224" s="6240" t="s">
        <v>4159</v>
      </c>
      <c r="B224" s="6517" t="s">
        <v>2608</v>
      </c>
      <c r="C224" s="3431" t="s">
        <v>2609</v>
      </c>
      <c r="D224" s="3420" t="s">
        <v>5292</v>
      </c>
      <c r="E224" s="3427" t="s">
        <v>5293</v>
      </c>
      <c r="F224" s="4307" t="s">
        <v>5294</v>
      </c>
      <c r="G224" s="3423" t="s">
        <v>5295</v>
      </c>
      <c r="H224" s="3235" t="e">
        <f t="shared" si="32"/>
        <v>#VALUE!</v>
      </c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3236"/>
      <c r="AN224" s="3236"/>
      <c r="AO224" s="3236"/>
      <c r="AP224" s="3236"/>
      <c r="AQ224" s="3236"/>
      <c r="AR224" s="3236"/>
      <c r="AS224" s="3236"/>
      <c r="AT224" s="3236"/>
      <c r="AU224" s="3236"/>
      <c r="AV224" s="3236"/>
      <c r="AW224" s="3236"/>
      <c r="AX224" s="3236"/>
      <c r="AY224" s="3236"/>
      <c r="AZ224" s="3236"/>
      <c r="BA224" s="3236"/>
      <c r="BB224" s="3236"/>
      <c r="BC224" s="3236"/>
      <c r="BD224" s="3236"/>
      <c r="BE224" s="3236"/>
      <c r="BF224" s="3236"/>
      <c r="BG224" s="3236"/>
      <c r="BH224" s="3236"/>
      <c r="BI224" s="3236"/>
      <c r="BJ224" s="3236"/>
      <c r="BK224" s="3236"/>
      <c r="BL224" s="3236"/>
      <c r="BM224" s="3236"/>
      <c r="BN224" s="3236"/>
      <c r="BO224" s="3236"/>
      <c r="BP224" s="3236"/>
      <c r="BQ224" s="3236"/>
      <c r="BR224" s="3236"/>
      <c r="BS224" s="3236"/>
      <c r="BT224" s="3236"/>
      <c r="BU224" s="3236"/>
      <c r="BV224" s="3236"/>
      <c r="BW224" s="3236"/>
      <c r="BX224" s="3236"/>
      <c r="BY224" s="3236"/>
      <c r="BZ224" s="3236"/>
      <c r="CA224" s="3236"/>
      <c r="CB224" s="3237" t="e">
        <f t="shared" si="33"/>
        <v>#VALUE!</v>
      </c>
      <c r="CC224" s="3237" t="e">
        <f t="shared" si="34"/>
        <v>#VALUE!</v>
      </c>
      <c r="CD224" s="3237" t="e">
        <f t="shared" si="35"/>
        <v>#VALUE!</v>
      </c>
      <c r="CE224" s="3237" t="e">
        <f t="shared" si="36"/>
        <v>#VALUE!</v>
      </c>
      <c r="CL224" s="1724" t="e">
        <f t="shared" si="37"/>
        <v>#VALUE!</v>
      </c>
      <c r="CM224" s="1724" t="e">
        <f t="shared" si="38"/>
        <v>#VALUE!</v>
      </c>
      <c r="CN224" s="1724" t="e">
        <f t="shared" si="39"/>
        <v>#VALUE!</v>
      </c>
      <c r="CO224" s="1724" t="e">
        <f t="shared" si="40"/>
        <v>#VALUE!</v>
      </c>
    </row>
    <row r="225" spans="1:93" ht="15" customHeight="1" x14ac:dyDescent="0.3">
      <c r="A225" s="6240" t="s">
        <v>4160</v>
      </c>
      <c r="B225" s="6485"/>
      <c r="C225" s="3433" t="s">
        <v>2610</v>
      </c>
      <c r="D225" s="3434" t="s">
        <v>5292</v>
      </c>
      <c r="E225" s="3435" t="s">
        <v>5293</v>
      </c>
      <c r="F225" s="5752" t="s">
        <v>5294</v>
      </c>
      <c r="G225" s="5756" t="s">
        <v>5295</v>
      </c>
      <c r="H225" s="3235" t="e">
        <f t="shared" si="32"/>
        <v>#VALUE!</v>
      </c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3236"/>
      <c r="AN225" s="3236"/>
      <c r="AO225" s="3236"/>
      <c r="AP225" s="3236"/>
      <c r="AQ225" s="3236"/>
      <c r="AR225" s="3236"/>
      <c r="AS225" s="3236"/>
      <c r="AT225" s="3236"/>
      <c r="AU225" s="3236"/>
      <c r="AV225" s="3236"/>
      <c r="AW225" s="3236"/>
      <c r="AX225" s="3236"/>
      <c r="AY225" s="3236"/>
      <c r="AZ225" s="3236"/>
      <c r="BA225" s="3236"/>
      <c r="BB225" s="3236"/>
      <c r="BC225" s="3236"/>
      <c r="BD225" s="3236"/>
      <c r="BE225" s="3236"/>
      <c r="BF225" s="3236"/>
      <c r="BG225" s="3236"/>
      <c r="BH225" s="3236"/>
      <c r="BI225" s="3236"/>
      <c r="BJ225" s="3236"/>
      <c r="BK225" s="3236"/>
      <c r="BL225" s="3236"/>
      <c r="BM225" s="3236"/>
      <c r="BN225" s="3236"/>
      <c r="BO225" s="3236"/>
      <c r="BP225" s="3236"/>
      <c r="BQ225" s="3236"/>
      <c r="BR225" s="3236"/>
      <c r="BS225" s="3236"/>
      <c r="BT225" s="3236"/>
      <c r="BU225" s="3236"/>
      <c r="BV225" s="3236"/>
      <c r="BW225" s="3236"/>
      <c r="BX225" s="3236"/>
      <c r="BY225" s="3236"/>
      <c r="BZ225" s="3236"/>
      <c r="CA225" s="3236"/>
      <c r="CB225" s="3237" t="e">
        <f t="shared" si="33"/>
        <v>#VALUE!</v>
      </c>
      <c r="CC225" s="3237" t="e">
        <f t="shared" si="34"/>
        <v>#VALUE!</v>
      </c>
      <c r="CD225" s="3237" t="e">
        <f t="shared" si="35"/>
        <v>#VALUE!</v>
      </c>
      <c r="CE225" s="3237" t="e">
        <f t="shared" si="36"/>
        <v>#VALUE!</v>
      </c>
      <c r="CL225" s="1724" t="e">
        <f t="shared" si="37"/>
        <v>#VALUE!</v>
      </c>
      <c r="CM225" s="1724" t="e">
        <f t="shared" si="38"/>
        <v>#VALUE!</v>
      </c>
      <c r="CN225" s="1724" t="e">
        <f t="shared" si="39"/>
        <v>#VALUE!</v>
      </c>
      <c r="CO225" s="1724" t="e">
        <f t="shared" si="40"/>
        <v>#VALUE!</v>
      </c>
    </row>
    <row r="226" spans="1:93" ht="15" customHeight="1" x14ac:dyDescent="0.3">
      <c r="B226" s="5377" t="s">
        <v>3870</v>
      </c>
      <c r="C226" s="5372"/>
      <c r="D226" s="5372"/>
      <c r="E226" s="5373"/>
      <c r="F226" s="5373"/>
      <c r="G226" s="5373"/>
      <c r="H226" s="1736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3236"/>
      <c r="AN226" s="3236"/>
      <c r="AO226" s="3236"/>
      <c r="AP226" s="3236"/>
      <c r="AQ226" s="3236"/>
      <c r="AR226" s="3236"/>
      <c r="AS226" s="3236"/>
      <c r="AT226" s="3236"/>
      <c r="AU226" s="3236"/>
      <c r="AV226" s="3236"/>
      <c r="AW226" s="3236"/>
      <c r="AX226" s="3236"/>
      <c r="AY226" s="3236"/>
      <c r="AZ226" s="3236"/>
      <c r="BA226" s="3236"/>
      <c r="BB226" s="3236"/>
      <c r="BC226" s="3236"/>
      <c r="BD226" s="3236"/>
      <c r="BE226" s="3236"/>
      <c r="BF226" s="3236"/>
      <c r="BG226" s="3236"/>
      <c r="BH226" s="3236"/>
      <c r="BI226" s="3236"/>
      <c r="BJ226" s="3236"/>
      <c r="BK226" s="3236"/>
      <c r="BL226" s="3236"/>
      <c r="BM226" s="3236"/>
      <c r="BN226" s="3236"/>
      <c r="BO226" s="3236"/>
      <c r="BP226" s="3236"/>
      <c r="BQ226" s="3236"/>
      <c r="BR226" s="3236"/>
      <c r="BS226" s="3236"/>
      <c r="BT226" s="3236"/>
      <c r="BU226" s="3236"/>
      <c r="BV226" s="3236"/>
      <c r="BW226" s="3236"/>
      <c r="BX226" s="3236"/>
      <c r="BY226" s="3236"/>
      <c r="BZ226" s="3236"/>
      <c r="CA226" s="3236"/>
      <c r="CB226" s="3236"/>
      <c r="CC226" s="3236"/>
      <c r="CD226" s="3236"/>
      <c r="CE226" s="3236"/>
      <c r="CL226" s="17"/>
      <c r="CM226" s="17"/>
      <c r="CN226" s="17"/>
      <c r="CO226" s="17"/>
    </row>
    <row r="227" spans="1:93" ht="15" customHeight="1" x14ac:dyDescent="0.3">
      <c r="B227" s="6518" t="s">
        <v>2589</v>
      </c>
      <c r="C227" s="6518"/>
      <c r="D227" s="6518" t="s">
        <v>3871</v>
      </c>
      <c r="E227" s="6519"/>
      <c r="F227" s="6520" t="s">
        <v>2</v>
      </c>
      <c r="G227" s="6660" t="s">
        <v>3</v>
      </c>
      <c r="H227" s="1736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3236"/>
      <c r="AN227" s="3236"/>
      <c r="AO227" s="3236"/>
      <c r="AP227" s="3236"/>
      <c r="AQ227" s="3236"/>
      <c r="AR227" s="3236"/>
      <c r="AS227" s="3236"/>
      <c r="AT227" s="3236"/>
      <c r="AU227" s="3236"/>
      <c r="AV227" s="3236"/>
      <c r="AW227" s="3236"/>
      <c r="AX227" s="3236"/>
      <c r="AY227" s="3236"/>
      <c r="AZ227" s="3236"/>
      <c r="BA227" s="3236"/>
      <c r="BB227" s="3236"/>
      <c r="BC227" s="3236"/>
      <c r="BD227" s="3236"/>
      <c r="BE227" s="3236"/>
      <c r="BF227" s="3236"/>
      <c r="BG227" s="3236"/>
      <c r="BH227" s="3236"/>
      <c r="BI227" s="3236"/>
      <c r="BJ227" s="3236"/>
      <c r="BK227" s="3236"/>
      <c r="BL227" s="3236"/>
      <c r="BM227" s="3236"/>
      <c r="BN227" s="3236"/>
      <c r="BO227" s="3236"/>
      <c r="BP227" s="3236"/>
      <c r="BQ227" s="3236"/>
      <c r="BR227" s="3236"/>
      <c r="BS227" s="3236"/>
      <c r="BT227" s="3236"/>
      <c r="BU227" s="3236"/>
      <c r="BV227" s="3236"/>
      <c r="BW227" s="3236"/>
      <c r="BX227" s="3236"/>
      <c r="BY227" s="3236"/>
      <c r="BZ227" s="3236"/>
      <c r="CA227" s="3236"/>
      <c r="CB227" s="3236"/>
      <c r="CC227" s="3236"/>
      <c r="CD227" s="3236"/>
      <c r="CE227" s="3236"/>
      <c r="CL227" s="17"/>
      <c r="CM227" s="17"/>
      <c r="CN227" s="17"/>
      <c r="CO227" s="17"/>
    </row>
    <row r="228" spans="1:93" ht="15" customHeight="1" x14ac:dyDescent="0.3">
      <c r="B228" s="6518"/>
      <c r="C228" s="6518"/>
      <c r="D228" s="5378" t="s">
        <v>22</v>
      </c>
      <c r="E228" s="5379" t="s">
        <v>27</v>
      </c>
      <c r="F228" s="6520"/>
      <c r="G228" s="6660"/>
      <c r="H228" s="1736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3236"/>
      <c r="AN228" s="3236"/>
      <c r="AO228" s="3236"/>
      <c r="AP228" s="3236"/>
      <c r="AQ228" s="3236"/>
      <c r="AR228" s="3236"/>
      <c r="AS228" s="3236"/>
      <c r="AT228" s="3236"/>
      <c r="AU228" s="3236"/>
      <c r="AV228" s="3236"/>
      <c r="AW228" s="3236"/>
      <c r="AX228" s="3236"/>
      <c r="AY228" s="3236"/>
      <c r="AZ228" s="3236"/>
      <c r="BA228" s="3236"/>
      <c r="BB228" s="3236"/>
      <c r="BC228" s="3236"/>
      <c r="BD228" s="3236"/>
      <c r="BE228" s="3236"/>
      <c r="BF228" s="3236"/>
      <c r="BG228" s="3236"/>
      <c r="BH228" s="3236"/>
      <c r="BI228" s="3236"/>
      <c r="BJ228" s="3236"/>
      <c r="BK228" s="3236"/>
      <c r="BL228" s="3236"/>
      <c r="BM228" s="3236"/>
      <c r="BN228" s="3236"/>
      <c r="BO228" s="3236"/>
      <c r="BP228" s="3236"/>
      <c r="BQ228" s="3236"/>
      <c r="BR228" s="3236"/>
      <c r="BS228" s="3236"/>
      <c r="BT228" s="3236"/>
      <c r="BU228" s="3236"/>
      <c r="BV228" s="3236"/>
      <c r="BW228" s="3236"/>
      <c r="BX228" s="3236"/>
      <c r="BY228" s="3236"/>
      <c r="BZ228" s="3236"/>
      <c r="CA228" s="3236"/>
      <c r="CB228" s="3236"/>
      <c r="CC228" s="3236"/>
      <c r="CD228" s="3236"/>
      <c r="CE228" s="3236"/>
      <c r="CL228" s="17"/>
      <c r="CM228" s="17"/>
      <c r="CN228" s="17"/>
      <c r="CO228" s="17"/>
    </row>
    <row r="229" spans="1:93" ht="15" customHeight="1" x14ac:dyDescent="0.3">
      <c r="A229" s="6235"/>
      <c r="B229" s="6661" t="s">
        <v>24</v>
      </c>
      <c r="C229" s="6661"/>
      <c r="D229" s="5382">
        <f>SUM(D230:D231)</f>
        <v>0</v>
      </c>
      <c r="E229" s="5383">
        <f>SUM(E230:E231)</f>
        <v>0</v>
      </c>
      <c r="F229" s="5384">
        <f>SUM(F230:F231)</f>
        <v>0</v>
      </c>
      <c r="G229" s="5385">
        <f>SUM(G230:G231)</f>
        <v>0</v>
      </c>
      <c r="H229" s="1736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3236"/>
      <c r="AN229" s="3236"/>
      <c r="AO229" s="3236"/>
      <c r="AP229" s="3236"/>
      <c r="AQ229" s="3236"/>
      <c r="AR229" s="3236"/>
      <c r="AS229" s="3236"/>
      <c r="AT229" s="3236"/>
      <c r="AU229" s="3236"/>
      <c r="AV229" s="3236"/>
      <c r="AW229" s="3236"/>
      <c r="AX229" s="3236"/>
      <c r="AY229" s="3236"/>
      <c r="AZ229" s="3236"/>
      <c r="BA229" s="3236"/>
      <c r="BB229" s="3236"/>
      <c r="BC229" s="3236"/>
      <c r="BD229" s="3236"/>
      <c r="BE229" s="3236"/>
      <c r="BF229" s="3236"/>
      <c r="BG229" s="3236"/>
      <c r="BH229" s="3236"/>
      <c r="BI229" s="3236"/>
      <c r="BJ229" s="3236"/>
      <c r="BK229" s="3236"/>
      <c r="BL229" s="3236"/>
      <c r="BM229" s="3236"/>
      <c r="BN229" s="3236"/>
      <c r="BO229" s="3236"/>
      <c r="BP229" s="3236"/>
      <c r="BQ229" s="3236"/>
      <c r="BR229" s="3236"/>
      <c r="BS229" s="3236"/>
      <c r="BT229" s="3236"/>
      <c r="BU229" s="3236"/>
      <c r="BV229" s="3236"/>
      <c r="BW229" s="3236"/>
      <c r="BX229" s="3236"/>
      <c r="BY229" s="3236"/>
      <c r="BZ229" s="3236"/>
      <c r="CA229" s="3236"/>
      <c r="CB229" s="3236"/>
      <c r="CC229" s="3236"/>
      <c r="CD229" s="3236"/>
      <c r="CE229" s="3236"/>
      <c r="CL229" s="17"/>
      <c r="CM229" s="17"/>
      <c r="CN229" s="17"/>
      <c r="CO229" s="17"/>
    </row>
    <row r="230" spans="1:93" ht="15" customHeight="1" x14ac:dyDescent="0.3">
      <c r="A230" s="6246" t="s">
        <v>4161</v>
      </c>
      <c r="B230" s="6662" t="s">
        <v>3872</v>
      </c>
      <c r="C230" s="6662"/>
      <c r="D230" s="5386" t="s">
        <v>5292</v>
      </c>
      <c r="E230" s="5387" t="s">
        <v>5293</v>
      </c>
      <c r="F230" s="5388" t="s">
        <v>5294</v>
      </c>
      <c r="G230" s="5389" t="s">
        <v>5295</v>
      </c>
      <c r="H230" s="3235" t="e">
        <f t="shared" ref="H230:H235" si="41">CB230&amp;CC230&amp;CD230&amp;CE230</f>
        <v>#VALUE!</v>
      </c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3236"/>
      <c r="AN230" s="3236"/>
      <c r="AO230" s="3236"/>
      <c r="AP230" s="3236"/>
      <c r="AQ230" s="3236"/>
      <c r="AR230" s="3236"/>
      <c r="AS230" s="3236"/>
      <c r="AT230" s="3236"/>
      <c r="AU230" s="3236"/>
      <c r="AV230" s="3236"/>
      <c r="AW230" s="3236"/>
      <c r="AX230" s="3236"/>
      <c r="AY230" s="3236"/>
      <c r="AZ230" s="3236"/>
      <c r="BA230" s="3236"/>
      <c r="BB230" s="3236"/>
      <c r="BC230" s="3236"/>
      <c r="BD230" s="3236"/>
      <c r="BE230" s="3236"/>
      <c r="BF230" s="3236"/>
      <c r="BG230" s="3236"/>
      <c r="BH230" s="3236"/>
      <c r="BI230" s="3236"/>
      <c r="BJ230" s="3236"/>
      <c r="BK230" s="3236"/>
      <c r="BL230" s="3236"/>
      <c r="BM230" s="3236"/>
      <c r="BN230" s="3236"/>
      <c r="BO230" s="3236"/>
      <c r="BP230" s="3236"/>
      <c r="BQ230" s="3236"/>
      <c r="BR230" s="3236"/>
      <c r="BS230" s="3236"/>
      <c r="BT230" s="3236"/>
      <c r="BU230" s="3236"/>
      <c r="BV230" s="3236"/>
      <c r="BW230" s="3236"/>
      <c r="BX230" s="3236"/>
      <c r="BY230" s="3236"/>
      <c r="BZ230" s="3236"/>
      <c r="CA230" s="3236"/>
      <c r="CB230" s="3237" t="e">
        <f>IF(AND((D230+E230)&gt;0,OR(F230=""))," * No olvide digitar las columnas Pueblos Originarios. Digite CERO si no tiene.","")</f>
        <v>#VALUE!</v>
      </c>
      <c r="CC230" s="3237" t="e">
        <f>IF(AND((D230+E230)&gt;0,OR(G230=""))," * No olvide digitar las columnas Migrantes. Digite CERO si no tiene.","")</f>
        <v>#VALUE!</v>
      </c>
      <c r="CD230" s="3237" t="e">
        <f>IF(F230&gt;(D230+E230)," * El N° de Pueblos Originarios no puede ser mayor que la suma de Hombres+Mujeres.","")</f>
        <v>#VALUE!</v>
      </c>
      <c r="CE230" s="3237" t="e">
        <f>IF(G230&gt;(D230+E230)," * El N° de Migrantes no puede ser mayor que la suma de hombres+Mujeres.","")</f>
        <v>#VALUE!</v>
      </c>
      <c r="CL230" s="1724" t="e">
        <f t="shared" ref="CL230:CL235" si="42">IF(AND((D230+E230)&gt;0,OR(F230="")),1,0)</f>
        <v>#VALUE!</v>
      </c>
      <c r="CM230" s="1724" t="e">
        <f t="shared" ref="CM230:CM235" si="43">IF(AND((D230+E230)&gt;0,OR(G230="")),1,0)</f>
        <v>#VALUE!</v>
      </c>
      <c r="CN230" s="1724" t="e">
        <f t="shared" ref="CN230:CN235" si="44">IF(F230&gt;(D230+E230),1,0)</f>
        <v>#VALUE!</v>
      </c>
      <c r="CO230" s="1724" t="e">
        <f t="shared" ref="CO230:CO235" si="45">IF(G230&gt;(D230+E230),1,0)</f>
        <v>#VALUE!</v>
      </c>
    </row>
    <row r="231" spans="1:93" ht="21.75" customHeight="1" x14ac:dyDescent="0.3">
      <c r="A231" s="6246" t="s">
        <v>4162</v>
      </c>
      <c r="B231" s="6663" t="s">
        <v>3873</v>
      </c>
      <c r="C231" s="6663"/>
      <c r="D231" s="5390" t="s">
        <v>5292</v>
      </c>
      <c r="E231" s="5391" t="s">
        <v>5293</v>
      </c>
      <c r="F231" s="5392" t="s">
        <v>5294</v>
      </c>
      <c r="G231" s="5393" t="s">
        <v>5295</v>
      </c>
      <c r="H231" s="3235" t="e">
        <f t="shared" si="41"/>
        <v>#VALUE!</v>
      </c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3236"/>
      <c r="AN231" s="3236"/>
      <c r="AO231" s="3236"/>
      <c r="AP231" s="3236"/>
      <c r="AQ231" s="3236"/>
      <c r="AR231" s="3236"/>
      <c r="AS231" s="3236"/>
      <c r="AT231" s="3236"/>
      <c r="AU231" s="3236"/>
      <c r="AV231" s="3236"/>
      <c r="AW231" s="3236"/>
      <c r="AX231" s="3236"/>
      <c r="AY231" s="3236"/>
      <c r="AZ231" s="3236"/>
      <c r="BA231" s="3236"/>
      <c r="BB231" s="3236"/>
      <c r="BC231" s="3236"/>
      <c r="BD231" s="3236"/>
      <c r="BE231" s="3236"/>
      <c r="BF231" s="3236"/>
      <c r="BG231" s="3236"/>
      <c r="BH231" s="3236"/>
      <c r="BI231" s="3236"/>
      <c r="BJ231" s="3236"/>
      <c r="BK231" s="3236"/>
      <c r="BL231" s="3236"/>
      <c r="BM231" s="3236"/>
      <c r="BN231" s="3236"/>
      <c r="BO231" s="3236"/>
      <c r="BP231" s="3236"/>
      <c r="BQ231" s="3236"/>
      <c r="BR231" s="3236"/>
      <c r="BS231" s="3236"/>
      <c r="BT231" s="3236"/>
      <c r="BU231" s="3236"/>
      <c r="BV231" s="3236"/>
      <c r="BW231" s="3236"/>
      <c r="BX231" s="3236"/>
      <c r="BY231" s="3236"/>
      <c r="BZ231" s="3236"/>
      <c r="CA231" s="3236"/>
      <c r="CB231" s="3237" t="e">
        <f t="shared" ref="CB231:CB235" si="46">IF(AND((D231+E231)&gt;0,OR(F231=""))," * No olvide digitar las columnas Pueblos Originarios. Digite CERO si no tiene.","")</f>
        <v>#VALUE!</v>
      </c>
      <c r="CC231" s="3237" t="e">
        <f t="shared" ref="CC231:CC235" si="47">IF(AND((D231+E231)&gt;0,OR(G231=""))," * No olvide digitar las columnas Migrantes. Digite CERO si no tiene.","")</f>
        <v>#VALUE!</v>
      </c>
      <c r="CD231" s="3237" t="e">
        <f t="shared" ref="CD231:CD235" si="48">IF(F231&gt;(D231+E231)," * El N° de Pueblos Originarios no puede ser mayor que la suma de Hombres+Mujeres.","")</f>
        <v>#VALUE!</v>
      </c>
      <c r="CE231" s="3237" t="e">
        <f t="shared" ref="CE231:CE235" si="49">IF(G231&gt;(D231+E231)," * El N° de Migrantes no puede ser mayor que la suma de hombres+Mujeres.","")</f>
        <v>#VALUE!</v>
      </c>
      <c r="CL231" s="1724" t="e">
        <f t="shared" si="42"/>
        <v>#VALUE!</v>
      </c>
      <c r="CM231" s="1724" t="e">
        <f t="shared" si="43"/>
        <v>#VALUE!</v>
      </c>
      <c r="CN231" s="1724" t="e">
        <f t="shared" si="44"/>
        <v>#VALUE!</v>
      </c>
      <c r="CO231" s="1724" t="e">
        <f t="shared" si="45"/>
        <v>#VALUE!</v>
      </c>
    </row>
    <row r="232" spans="1:93" ht="15" customHeight="1" x14ac:dyDescent="0.3">
      <c r="A232" s="6246" t="s">
        <v>4163</v>
      </c>
      <c r="B232" s="6664" t="s">
        <v>3877</v>
      </c>
      <c r="C232" s="5374" t="s">
        <v>3878</v>
      </c>
      <c r="D232" s="5386" t="s">
        <v>5292</v>
      </c>
      <c r="E232" s="5387" t="s">
        <v>5293</v>
      </c>
      <c r="F232" s="5388" t="s">
        <v>5294</v>
      </c>
      <c r="G232" s="5389" t="s">
        <v>5295</v>
      </c>
      <c r="H232" s="3235" t="e">
        <f t="shared" si="41"/>
        <v>#VALUE!</v>
      </c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3236"/>
      <c r="AN232" s="3236"/>
      <c r="AO232" s="3236"/>
      <c r="AP232" s="3236"/>
      <c r="AQ232" s="3236"/>
      <c r="AR232" s="3236"/>
      <c r="AS232" s="3236"/>
      <c r="AT232" s="3236"/>
      <c r="AU232" s="3236"/>
      <c r="AV232" s="3236"/>
      <c r="AW232" s="3236"/>
      <c r="AX232" s="3236"/>
      <c r="AY232" s="3236"/>
      <c r="AZ232" s="3236"/>
      <c r="BA232" s="3236"/>
      <c r="BB232" s="3236"/>
      <c r="BC232" s="3236"/>
      <c r="BD232" s="3236"/>
      <c r="BE232" s="3236"/>
      <c r="BF232" s="3236"/>
      <c r="BG232" s="3236"/>
      <c r="BH232" s="3236"/>
      <c r="BI232" s="3236"/>
      <c r="BJ232" s="3236"/>
      <c r="BK232" s="3236"/>
      <c r="BL232" s="3236"/>
      <c r="BM232" s="3236"/>
      <c r="BN232" s="3236"/>
      <c r="BO232" s="3236"/>
      <c r="BP232" s="3236"/>
      <c r="BQ232" s="3236"/>
      <c r="BR232" s="3236"/>
      <c r="BS232" s="3236"/>
      <c r="BT232" s="3236"/>
      <c r="BU232" s="3236"/>
      <c r="BV232" s="3236"/>
      <c r="BW232" s="3236"/>
      <c r="BX232" s="3236"/>
      <c r="BY232" s="3236"/>
      <c r="BZ232" s="3236"/>
      <c r="CA232" s="3236"/>
      <c r="CB232" s="3237" t="e">
        <f t="shared" si="46"/>
        <v>#VALUE!</v>
      </c>
      <c r="CC232" s="3237" t="e">
        <f t="shared" si="47"/>
        <v>#VALUE!</v>
      </c>
      <c r="CD232" s="3237" t="e">
        <f t="shared" si="48"/>
        <v>#VALUE!</v>
      </c>
      <c r="CE232" s="3237" t="e">
        <f t="shared" si="49"/>
        <v>#VALUE!</v>
      </c>
      <c r="CL232" s="1724" t="e">
        <f t="shared" si="42"/>
        <v>#VALUE!</v>
      </c>
      <c r="CM232" s="1724" t="e">
        <f t="shared" si="43"/>
        <v>#VALUE!</v>
      </c>
      <c r="CN232" s="1724" t="e">
        <f t="shared" si="44"/>
        <v>#VALUE!</v>
      </c>
      <c r="CO232" s="1724" t="e">
        <f t="shared" si="45"/>
        <v>#VALUE!</v>
      </c>
    </row>
    <row r="233" spans="1:93" ht="15" customHeight="1" x14ac:dyDescent="0.3">
      <c r="A233" s="6246" t="s">
        <v>4164</v>
      </c>
      <c r="B233" s="6664"/>
      <c r="C233" s="5375" t="s">
        <v>3876</v>
      </c>
      <c r="D233" s="5390" t="s">
        <v>5292</v>
      </c>
      <c r="E233" s="5391" t="s">
        <v>5293</v>
      </c>
      <c r="F233" s="5392" t="s">
        <v>5294</v>
      </c>
      <c r="G233" s="5393" t="s">
        <v>5295</v>
      </c>
      <c r="H233" s="3235" t="e">
        <f t="shared" si="41"/>
        <v>#VALUE!</v>
      </c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3236"/>
      <c r="AN233" s="3236"/>
      <c r="AO233" s="3236"/>
      <c r="AP233" s="3236"/>
      <c r="AQ233" s="3236"/>
      <c r="AR233" s="3236"/>
      <c r="AS233" s="3236"/>
      <c r="AT233" s="3236"/>
      <c r="AU233" s="3236"/>
      <c r="AV233" s="3236"/>
      <c r="AW233" s="3236"/>
      <c r="AX233" s="3236"/>
      <c r="AY233" s="3236"/>
      <c r="AZ233" s="3236"/>
      <c r="BA233" s="3236"/>
      <c r="BB233" s="3236"/>
      <c r="BC233" s="3236"/>
      <c r="BD233" s="3236"/>
      <c r="BE233" s="3236"/>
      <c r="BF233" s="3236"/>
      <c r="BG233" s="3236"/>
      <c r="BH233" s="3236"/>
      <c r="BI233" s="3236"/>
      <c r="BJ233" s="3236"/>
      <c r="BK233" s="3236"/>
      <c r="BL233" s="3236"/>
      <c r="BM233" s="3236"/>
      <c r="BN233" s="3236"/>
      <c r="BO233" s="3236"/>
      <c r="BP233" s="3236"/>
      <c r="BQ233" s="3236"/>
      <c r="BR233" s="3236"/>
      <c r="BS233" s="3236"/>
      <c r="BT233" s="3236"/>
      <c r="BU233" s="3236"/>
      <c r="BV233" s="3236"/>
      <c r="BW233" s="3236"/>
      <c r="BX233" s="3236"/>
      <c r="BY233" s="3236"/>
      <c r="BZ233" s="3236"/>
      <c r="CA233" s="3236"/>
      <c r="CB233" s="3237" t="e">
        <f t="shared" si="46"/>
        <v>#VALUE!</v>
      </c>
      <c r="CC233" s="3237" t="e">
        <f t="shared" si="47"/>
        <v>#VALUE!</v>
      </c>
      <c r="CD233" s="3237" t="e">
        <f t="shared" si="48"/>
        <v>#VALUE!</v>
      </c>
      <c r="CE233" s="3237" t="e">
        <f t="shared" si="49"/>
        <v>#VALUE!</v>
      </c>
      <c r="CL233" s="1724" t="e">
        <f t="shared" si="42"/>
        <v>#VALUE!</v>
      </c>
      <c r="CM233" s="1724" t="e">
        <f t="shared" si="43"/>
        <v>#VALUE!</v>
      </c>
      <c r="CN233" s="1724" t="e">
        <f t="shared" si="44"/>
        <v>#VALUE!</v>
      </c>
      <c r="CO233" s="1724" t="e">
        <f t="shared" si="45"/>
        <v>#VALUE!</v>
      </c>
    </row>
    <row r="234" spans="1:93" ht="15" customHeight="1" x14ac:dyDescent="0.3">
      <c r="A234" s="6246" t="s">
        <v>4165</v>
      </c>
      <c r="B234" s="6664" t="s">
        <v>3874</v>
      </c>
      <c r="C234" s="5376" t="s">
        <v>3875</v>
      </c>
      <c r="D234" s="5394" t="s">
        <v>5292</v>
      </c>
      <c r="E234" s="5395" t="s">
        <v>5293</v>
      </c>
      <c r="F234" s="5396" t="s">
        <v>5294</v>
      </c>
      <c r="G234" s="5397" t="s">
        <v>5295</v>
      </c>
      <c r="H234" s="3235" t="e">
        <f t="shared" si="41"/>
        <v>#VALUE!</v>
      </c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3236"/>
      <c r="AN234" s="3236"/>
      <c r="AO234" s="3236"/>
      <c r="AP234" s="3236"/>
      <c r="AQ234" s="3236"/>
      <c r="AR234" s="3236"/>
      <c r="AS234" s="3236"/>
      <c r="AT234" s="3236"/>
      <c r="AU234" s="3236"/>
      <c r="AV234" s="3236"/>
      <c r="AW234" s="3236"/>
      <c r="AX234" s="3236"/>
      <c r="AY234" s="3236"/>
      <c r="AZ234" s="3236"/>
      <c r="BA234" s="3236"/>
      <c r="BB234" s="3236"/>
      <c r="BC234" s="3236"/>
      <c r="BD234" s="3236"/>
      <c r="BE234" s="3236"/>
      <c r="BF234" s="3236"/>
      <c r="BG234" s="3236"/>
      <c r="BH234" s="3236"/>
      <c r="BI234" s="3236"/>
      <c r="BJ234" s="3236"/>
      <c r="BK234" s="3236"/>
      <c r="BL234" s="3236"/>
      <c r="BM234" s="3236"/>
      <c r="BN234" s="3236"/>
      <c r="BO234" s="3236"/>
      <c r="BP234" s="3236"/>
      <c r="BQ234" s="3236"/>
      <c r="BR234" s="3236"/>
      <c r="BS234" s="3236"/>
      <c r="BT234" s="3236"/>
      <c r="BU234" s="3236"/>
      <c r="BV234" s="3236"/>
      <c r="BW234" s="3236"/>
      <c r="BX234" s="3236"/>
      <c r="BY234" s="3236"/>
      <c r="BZ234" s="3236"/>
      <c r="CA234" s="3236"/>
      <c r="CB234" s="3237" t="e">
        <f t="shared" si="46"/>
        <v>#VALUE!</v>
      </c>
      <c r="CC234" s="3237" t="e">
        <f t="shared" si="47"/>
        <v>#VALUE!</v>
      </c>
      <c r="CD234" s="3237" t="e">
        <f t="shared" si="48"/>
        <v>#VALUE!</v>
      </c>
      <c r="CE234" s="3237" t="e">
        <f t="shared" si="49"/>
        <v>#VALUE!</v>
      </c>
      <c r="CL234" s="1724" t="e">
        <f t="shared" si="42"/>
        <v>#VALUE!</v>
      </c>
      <c r="CM234" s="1724" t="e">
        <f t="shared" si="43"/>
        <v>#VALUE!</v>
      </c>
      <c r="CN234" s="1724" t="e">
        <f t="shared" si="44"/>
        <v>#VALUE!</v>
      </c>
      <c r="CO234" s="1724" t="e">
        <f t="shared" si="45"/>
        <v>#VALUE!</v>
      </c>
    </row>
    <row r="235" spans="1:93" ht="15" customHeight="1" x14ac:dyDescent="0.3">
      <c r="A235" s="6246" t="s">
        <v>4166</v>
      </c>
      <c r="B235" s="6664"/>
      <c r="C235" s="5375" t="s">
        <v>3876</v>
      </c>
      <c r="D235" s="5390" t="s">
        <v>5292</v>
      </c>
      <c r="E235" s="5391" t="s">
        <v>5293</v>
      </c>
      <c r="F235" s="5392" t="s">
        <v>5294</v>
      </c>
      <c r="G235" s="5393" t="s">
        <v>5295</v>
      </c>
      <c r="H235" s="3235" t="e">
        <f t="shared" si="41"/>
        <v>#VALUE!</v>
      </c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3236"/>
      <c r="AN235" s="3236"/>
      <c r="AO235" s="3236"/>
      <c r="AP235" s="3236"/>
      <c r="AQ235" s="3236"/>
      <c r="AR235" s="3236"/>
      <c r="AS235" s="3236"/>
      <c r="AT235" s="3236"/>
      <c r="AU235" s="3236"/>
      <c r="AV235" s="3236"/>
      <c r="AW235" s="3236"/>
      <c r="AX235" s="3236"/>
      <c r="AY235" s="3236"/>
      <c r="AZ235" s="3236"/>
      <c r="BA235" s="3236"/>
      <c r="BB235" s="3236"/>
      <c r="BC235" s="3236"/>
      <c r="BD235" s="3236"/>
      <c r="BE235" s="3236"/>
      <c r="BF235" s="3236"/>
      <c r="BG235" s="3236"/>
      <c r="BH235" s="3236"/>
      <c r="BI235" s="3236"/>
      <c r="BJ235" s="3236"/>
      <c r="BK235" s="3236"/>
      <c r="BL235" s="3236"/>
      <c r="BM235" s="3236"/>
      <c r="BN235" s="3236"/>
      <c r="BO235" s="3236"/>
      <c r="BP235" s="3236"/>
      <c r="BQ235" s="3236"/>
      <c r="BR235" s="3236"/>
      <c r="BS235" s="3236"/>
      <c r="BT235" s="3236"/>
      <c r="BU235" s="3236"/>
      <c r="BV235" s="3236"/>
      <c r="BW235" s="3236"/>
      <c r="BX235" s="3236"/>
      <c r="BY235" s="3236"/>
      <c r="BZ235" s="3236"/>
      <c r="CA235" s="3236"/>
      <c r="CB235" s="3237" t="e">
        <f t="shared" si="46"/>
        <v>#VALUE!</v>
      </c>
      <c r="CC235" s="3237" t="e">
        <f t="shared" si="47"/>
        <v>#VALUE!</v>
      </c>
      <c r="CD235" s="3237" t="e">
        <f t="shared" si="48"/>
        <v>#VALUE!</v>
      </c>
      <c r="CE235" s="3237" t="e">
        <f t="shared" si="49"/>
        <v>#VALUE!</v>
      </c>
      <c r="CL235" s="1724" t="e">
        <f t="shared" si="42"/>
        <v>#VALUE!</v>
      </c>
      <c r="CM235" s="1724" t="e">
        <f t="shared" si="43"/>
        <v>#VALUE!</v>
      </c>
      <c r="CN235" s="1724" t="e">
        <f t="shared" si="44"/>
        <v>#VALUE!</v>
      </c>
      <c r="CO235" s="1724" t="e">
        <f t="shared" si="45"/>
        <v>#VALUE!</v>
      </c>
    </row>
    <row r="236" spans="1:93" ht="18" customHeight="1" x14ac:dyDescent="0.3">
      <c r="B236" s="122" t="s">
        <v>2611</v>
      </c>
      <c r="C236" s="1052"/>
      <c r="D236" s="1052"/>
      <c r="E236" s="599"/>
      <c r="F236" s="628"/>
    </row>
    <row r="237" spans="1:93" ht="15" customHeight="1" x14ac:dyDescent="0.3">
      <c r="B237" s="6502" t="s">
        <v>2612</v>
      </c>
      <c r="C237" s="6503"/>
      <c r="D237" s="6326" t="s">
        <v>2613</v>
      </c>
      <c r="E237" s="6345"/>
      <c r="F237" s="6462"/>
    </row>
    <row r="238" spans="1:93" ht="15" customHeight="1" x14ac:dyDescent="0.3">
      <c r="B238" s="6504"/>
      <c r="C238" s="6505"/>
      <c r="D238" s="6508" t="s">
        <v>2614</v>
      </c>
      <c r="E238" s="6326" t="s">
        <v>2615</v>
      </c>
      <c r="F238" s="6462"/>
    </row>
    <row r="239" spans="1:93" ht="22.2" customHeight="1" x14ac:dyDescent="0.3">
      <c r="B239" s="6506"/>
      <c r="C239" s="6507"/>
      <c r="D239" s="6509"/>
      <c r="E239" s="3436" t="s">
        <v>2616</v>
      </c>
      <c r="F239" s="3393" t="s">
        <v>2617</v>
      </c>
    </row>
    <row r="240" spans="1:93" ht="15" customHeight="1" x14ac:dyDescent="0.3">
      <c r="A240" s="6234" t="s">
        <v>4167</v>
      </c>
      <c r="B240" s="6510" t="s">
        <v>2618</v>
      </c>
      <c r="C240" s="6511"/>
      <c r="D240" s="3437" t="s">
        <v>5292</v>
      </c>
      <c r="E240" s="3399" t="s">
        <v>5293</v>
      </c>
      <c r="F240" s="3401" t="s">
        <v>5294</v>
      </c>
    </row>
    <row r="241" spans="1:26" ht="15" customHeight="1" x14ac:dyDescent="0.3">
      <c r="A241" s="6234" t="s">
        <v>4168</v>
      </c>
      <c r="B241" s="6482" t="s">
        <v>2619</v>
      </c>
      <c r="C241" s="6483"/>
      <c r="D241" s="3438" t="s">
        <v>5292</v>
      </c>
      <c r="E241" s="3439" t="s">
        <v>5293</v>
      </c>
      <c r="F241" s="3423" t="s">
        <v>5294</v>
      </c>
    </row>
    <row r="242" spans="1:26" ht="15" customHeight="1" x14ac:dyDescent="0.3">
      <c r="A242" s="6234" t="s">
        <v>4169</v>
      </c>
      <c r="B242" s="6482" t="s">
        <v>2620</v>
      </c>
      <c r="C242" s="6483"/>
      <c r="D242" s="3439" t="s">
        <v>5292</v>
      </c>
      <c r="E242" s="3439" t="s">
        <v>5293</v>
      </c>
      <c r="F242" s="3423" t="s">
        <v>5294</v>
      </c>
    </row>
    <row r="243" spans="1:26" ht="15" customHeight="1" x14ac:dyDescent="0.3">
      <c r="A243" s="6234" t="s">
        <v>4170</v>
      </c>
      <c r="B243" s="6482" t="s">
        <v>2621</v>
      </c>
      <c r="C243" s="6483"/>
      <c r="D243" s="3439" t="s">
        <v>5292</v>
      </c>
      <c r="E243" s="3439" t="s">
        <v>5293</v>
      </c>
      <c r="F243" s="3423" t="s">
        <v>5294</v>
      </c>
    </row>
    <row r="244" spans="1:26" ht="15" customHeight="1" x14ac:dyDescent="0.3">
      <c r="A244" s="6234" t="s">
        <v>4171</v>
      </c>
      <c r="B244" s="6484" t="s">
        <v>2622</v>
      </c>
      <c r="C244" s="6485"/>
      <c r="D244" s="3440" t="s">
        <v>5292</v>
      </c>
      <c r="E244" s="3441" t="s">
        <v>5293</v>
      </c>
      <c r="F244" s="3425" t="s">
        <v>5294</v>
      </c>
    </row>
    <row r="245" spans="1:26" ht="18" customHeight="1" x14ac:dyDescent="0.3">
      <c r="B245" s="6486" t="s">
        <v>2623</v>
      </c>
      <c r="C245" s="6486"/>
      <c r="D245" s="6486"/>
      <c r="E245" s="6486"/>
      <c r="F245" s="6486"/>
      <c r="G245" s="6486"/>
      <c r="H245" s="6486"/>
      <c r="I245" s="6486"/>
      <c r="J245" s="6486"/>
      <c r="K245" s="6486"/>
      <c r="L245" s="6486"/>
      <c r="M245" s="6486"/>
      <c r="N245" s="6486"/>
      <c r="O245" s="3442"/>
      <c r="P245" s="3442"/>
      <c r="Q245" s="3442"/>
      <c r="R245" s="3442"/>
      <c r="S245" s="3442"/>
      <c r="T245" s="3442"/>
      <c r="U245" s="3442"/>
      <c r="V245" s="3442"/>
      <c r="W245" s="3442"/>
      <c r="X245" s="3442"/>
      <c r="Y245" s="3443"/>
      <c r="Z245" s="3443"/>
    </row>
    <row r="246" spans="1:26" ht="15" customHeight="1" x14ac:dyDescent="0.3">
      <c r="B246" s="6487" t="s">
        <v>453</v>
      </c>
      <c r="C246" s="6488"/>
      <c r="D246" s="6493" t="s">
        <v>2526</v>
      </c>
      <c r="E246" s="6494"/>
      <c r="F246" s="6495"/>
      <c r="G246" s="6499" t="s">
        <v>30</v>
      </c>
      <c r="H246" s="6500"/>
      <c r="I246" s="6500"/>
      <c r="J246" s="6500"/>
      <c r="K246" s="6500"/>
      <c r="L246" s="6500"/>
      <c r="M246" s="6500"/>
      <c r="N246" s="6500"/>
      <c r="O246" s="6500"/>
      <c r="P246" s="6500"/>
      <c r="Q246" s="6500"/>
      <c r="R246" s="6500"/>
      <c r="S246" s="6500"/>
      <c r="T246" s="6500"/>
      <c r="U246" s="6500"/>
      <c r="V246" s="6500"/>
      <c r="W246" s="6500"/>
      <c r="X246" s="6501"/>
    </row>
    <row r="247" spans="1:26" ht="15" customHeight="1" x14ac:dyDescent="0.3">
      <c r="B247" s="6489"/>
      <c r="C247" s="6490"/>
      <c r="D247" s="6496"/>
      <c r="E247" s="6497"/>
      <c r="F247" s="6498"/>
      <c r="G247" s="6480" t="s">
        <v>37</v>
      </c>
      <c r="H247" s="6481"/>
      <c r="I247" s="6480" t="s">
        <v>38</v>
      </c>
      <c r="J247" s="6481"/>
      <c r="K247" s="6480" t="s">
        <v>4</v>
      </c>
      <c r="L247" s="6481"/>
      <c r="M247" s="6480" t="s">
        <v>5</v>
      </c>
      <c r="N247" s="6481"/>
      <c r="O247" s="6480" t="s">
        <v>399</v>
      </c>
      <c r="P247" s="6481"/>
      <c r="Q247" s="6480" t="s">
        <v>3528</v>
      </c>
      <c r="R247" s="6481"/>
      <c r="S247" s="6480" t="s">
        <v>20</v>
      </c>
      <c r="T247" s="6481"/>
      <c r="U247" s="6480" t="s">
        <v>3721</v>
      </c>
      <c r="V247" s="6481"/>
      <c r="W247" s="6480" t="s">
        <v>32</v>
      </c>
      <c r="X247" s="6481"/>
    </row>
    <row r="248" spans="1:26" ht="15" customHeight="1" x14ac:dyDescent="0.3">
      <c r="B248" s="6491"/>
      <c r="C248" s="6492"/>
      <c r="D248" s="4666" t="s">
        <v>26</v>
      </c>
      <c r="E248" s="4667" t="s">
        <v>22</v>
      </c>
      <c r="F248" s="4668" t="s">
        <v>27</v>
      </c>
      <c r="G248" s="2929" t="s">
        <v>22</v>
      </c>
      <c r="H248" s="3444" t="s">
        <v>27</v>
      </c>
      <c r="I248" s="2929" t="s">
        <v>22</v>
      </c>
      <c r="J248" s="3445" t="s">
        <v>27</v>
      </c>
      <c r="K248" s="2929" t="s">
        <v>22</v>
      </c>
      <c r="L248" s="3445" t="s">
        <v>27</v>
      </c>
      <c r="M248" s="2929" t="s">
        <v>22</v>
      </c>
      <c r="N248" s="3445" t="s">
        <v>27</v>
      </c>
      <c r="O248" s="2929" t="s">
        <v>22</v>
      </c>
      <c r="P248" s="3445" t="s">
        <v>27</v>
      </c>
      <c r="Q248" s="2929" t="s">
        <v>22</v>
      </c>
      <c r="R248" s="3445" t="s">
        <v>27</v>
      </c>
      <c r="S248" s="2929" t="s">
        <v>22</v>
      </c>
      <c r="T248" s="3445" t="s">
        <v>27</v>
      </c>
      <c r="U248" s="2929" t="s">
        <v>22</v>
      </c>
      <c r="V248" s="3445" t="s">
        <v>27</v>
      </c>
      <c r="W248" s="2929" t="s">
        <v>22</v>
      </c>
      <c r="X248" s="3445" t="s">
        <v>27</v>
      </c>
    </row>
    <row r="249" spans="1:26" ht="15" customHeight="1" x14ac:dyDescent="0.3">
      <c r="A249" s="6234" t="s">
        <v>4172</v>
      </c>
      <c r="B249" s="6474" t="s">
        <v>2624</v>
      </c>
      <c r="C249" s="6475"/>
      <c r="D249" s="4672" t="s">
        <v>5292</v>
      </c>
      <c r="E249" s="4673" t="s">
        <v>5293</v>
      </c>
      <c r="F249" s="4674" t="s">
        <v>5294</v>
      </c>
      <c r="G249" s="2946" t="s">
        <v>5295</v>
      </c>
      <c r="H249" s="2962" t="s">
        <v>5296</v>
      </c>
      <c r="I249" s="3448" t="s">
        <v>5297</v>
      </c>
      <c r="J249" s="3449" t="s">
        <v>5298</v>
      </c>
      <c r="K249" s="3448" t="s">
        <v>5299</v>
      </c>
      <c r="L249" s="3449" t="s">
        <v>5300</v>
      </c>
      <c r="M249" s="3448" t="s">
        <v>5301</v>
      </c>
      <c r="N249" s="3449" t="s">
        <v>5302</v>
      </c>
      <c r="O249" s="3448" t="s">
        <v>5303</v>
      </c>
      <c r="P249" s="3449" t="s">
        <v>5304</v>
      </c>
      <c r="Q249" s="3448" t="s">
        <v>5305</v>
      </c>
      <c r="R249" s="3449" t="s">
        <v>5306</v>
      </c>
      <c r="S249" s="3448" t="s">
        <v>5307</v>
      </c>
      <c r="T249" s="3449" t="s">
        <v>5308</v>
      </c>
      <c r="U249" s="3448" t="s">
        <v>5309</v>
      </c>
      <c r="V249" s="3449" t="s">
        <v>5310</v>
      </c>
      <c r="W249" s="3448" t="s">
        <v>5311</v>
      </c>
      <c r="X249" s="3449" t="s">
        <v>5312</v>
      </c>
    </row>
    <row r="250" spans="1:26" ht="15" customHeight="1" x14ac:dyDescent="0.3">
      <c r="A250" s="6234" t="s">
        <v>4173</v>
      </c>
      <c r="B250" s="6476" t="s">
        <v>2625</v>
      </c>
      <c r="C250" s="6477"/>
      <c r="D250" s="4675" t="s">
        <v>5292</v>
      </c>
      <c r="E250" s="3446" t="s">
        <v>5293</v>
      </c>
      <c r="F250" s="4676" t="s">
        <v>5294</v>
      </c>
      <c r="G250" s="4466" t="s">
        <v>5295</v>
      </c>
      <c r="H250" s="3450" t="s">
        <v>5296</v>
      </c>
      <c r="I250" s="3447" t="s">
        <v>5297</v>
      </c>
      <c r="J250" s="2947" t="s">
        <v>5298</v>
      </c>
      <c r="K250" s="2942" t="s">
        <v>5299</v>
      </c>
      <c r="L250" s="3450" t="s">
        <v>5300</v>
      </c>
      <c r="M250" s="2942" t="s">
        <v>5301</v>
      </c>
      <c r="N250" s="3450" t="s">
        <v>5302</v>
      </c>
      <c r="O250" s="2942" t="s">
        <v>5303</v>
      </c>
      <c r="P250" s="3450" t="s">
        <v>5304</v>
      </c>
      <c r="Q250" s="2942" t="s">
        <v>5305</v>
      </c>
      <c r="R250" s="3450" t="s">
        <v>5306</v>
      </c>
      <c r="S250" s="2942" t="s">
        <v>5307</v>
      </c>
      <c r="T250" s="3450" t="s">
        <v>5308</v>
      </c>
      <c r="U250" s="2942" t="s">
        <v>5309</v>
      </c>
      <c r="V250" s="3450" t="s">
        <v>5310</v>
      </c>
      <c r="W250" s="2942" t="s">
        <v>5311</v>
      </c>
      <c r="X250" s="3450" t="s">
        <v>5312</v>
      </c>
    </row>
    <row r="251" spans="1:26" ht="15" customHeight="1" x14ac:dyDescent="0.3">
      <c r="A251" s="6234" t="s">
        <v>4174</v>
      </c>
      <c r="B251" s="6476" t="s">
        <v>2626</v>
      </c>
      <c r="C251" s="6477"/>
      <c r="D251" s="4675" t="s">
        <v>5292</v>
      </c>
      <c r="E251" s="3446" t="s">
        <v>5293</v>
      </c>
      <c r="F251" s="4676" t="s">
        <v>5294</v>
      </c>
      <c r="G251" s="4466" t="s">
        <v>5295</v>
      </c>
      <c r="H251" s="3450" t="s">
        <v>5296</v>
      </c>
      <c r="I251" s="2942" t="s">
        <v>5297</v>
      </c>
      <c r="J251" s="3450" t="s">
        <v>5298</v>
      </c>
      <c r="K251" s="3447" t="s">
        <v>5299</v>
      </c>
      <c r="L251" s="2947" t="s">
        <v>5300</v>
      </c>
      <c r="M251" s="2942" t="s">
        <v>5301</v>
      </c>
      <c r="N251" s="3450" t="s">
        <v>5302</v>
      </c>
      <c r="O251" s="2942" t="s">
        <v>5303</v>
      </c>
      <c r="P251" s="3450" t="s">
        <v>5304</v>
      </c>
      <c r="Q251" s="2942" t="s">
        <v>5305</v>
      </c>
      <c r="R251" s="3450" t="s">
        <v>5306</v>
      </c>
      <c r="S251" s="2942" t="s">
        <v>5307</v>
      </c>
      <c r="T251" s="3450" t="s">
        <v>5308</v>
      </c>
      <c r="U251" s="2942" t="s">
        <v>5309</v>
      </c>
      <c r="V251" s="3450" t="s">
        <v>5310</v>
      </c>
      <c r="W251" s="2942" t="s">
        <v>5311</v>
      </c>
      <c r="X251" s="3450" t="s">
        <v>5312</v>
      </c>
    </row>
    <row r="252" spans="1:26" ht="15" customHeight="1" x14ac:dyDescent="0.3">
      <c r="A252" s="6234" t="s">
        <v>4175</v>
      </c>
      <c r="B252" s="6476" t="s">
        <v>2627</v>
      </c>
      <c r="C252" s="6477"/>
      <c r="D252" s="4675" t="s">
        <v>5292</v>
      </c>
      <c r="E252" s="3446" t="s">
        <v>5293</v>
      </c>
      <c r="F252" s="4676" t="s">
        <v>5294</v>
      </c>
      <c r="G252" s="4466" t="s">
        <v>5295</v>
      </c>
      <c r="H252" s="3450" t="s">
        <v>5296</v>
      </c>
      <c r="I252" s="2942" t="s">
        <v>5297</v>
      </c>
      <c r="J252" s="3450" t="s">
        <v>5298</v>
      </c>
      <c r="K252" s="2942" t="s">
        <v>5299</v>
      </c>
      <c r="L252" s="3450" t="s">
        <v>5300</v>
      </c>
      <c r="M252" s="3447" t="s">
        <v>5301</v>
      </c>
      <c r="N252" s="2947" t="s">
        <v>5302</v>
      </c>
      <c r="O252" s="3447" t="s">
        <v>5303</v>
      </c>
      <c r="P252" s="2947" t="s">
        <v>5304</v>
      </c>
      <c r="Q252" s="3447" t="s">
        <v>5305</v>
      </c>
      <c r="R252" s="2947" t="s">
        <v>5306</v>
      </c>
      <c r="S252" s="2942" t="s">
        <v>5307</v>
      </c>
      <c r="T252" s="3450" t="s">
        <v>5308</v>
      </c>
      <c r="U252" s="2942" t="s">
        <v>5309</v>
      </c>
      <c r="V252" s="3450" t="s">
        <v>5310</v>
      </c>
      <c r="W252" s="2942" t="s">
        <v>5311</v>
      </c>
      <c r="X252" s="3450" t="s">
        <v>5312</v>
      </c>
    </row>
    <row r="253" spans="1:26" ht="15" customHeight="1" x14ac:dyDescent="0.3">
      <c r="A253" s="6234" t="s">
        <v>4176</v>
      </c>
      <c r="B253" s="6476" t="s">
        <v>2628</v>
      </c>
      <c r="C253" s="6477"/>
      <c r="D253" s="4675" t="s">
        <v>5292</v>
      </c>
      <c r="E253" s="3446" t="s">
        <v>5293</v>
      </c>
      <c r="F253" s="4676" t="s">
        <v>5294</v>
      </c>
      <c r="G253" s="4466" t="s">
        <v>5295</v>
      </c>
      <c r="H253" s="3450" t="s">
        <v>5296</v>
      </c>
      <c r="I253" s="3447" t="s">
        <v>5297</v>
      </c>
      <c r="J253" s="2947" t="s">
        <v>5298</v>
      </c>
      <c r="K253" s="3447" t="s">
        <v>5299</v>
      </c>
      <c r="L253" s="2947" t="s">
        <v>5300</v>
      </c>
      <c r="M253" s="3447" t="s">
        <v>5301</v>
      </c>
      <c r="N253" s="2947" t="s">
        <v>5302</v>
      </c>
      <c r="O253" s="2942" t="s">
        <v>5303</v>
      </c>
      <c r="P253" s="3450" t="s">
        <v>5304</v>
      </c>
      <c r="Q253" s="2942" t="s">
        <v>5305</v>
      </c>
      <c r="R253" s="3450" t="s">
        <v>5306</v>
      </c>
      <c r="S253" s="2942" t="s">
        <v>5307</v>
      </c>
      <c r="T253" s="3450" t="s">
        <v>5308</v>
      </c>
      <c r="U253" s="2942" t="s">
        <v>5309</v>
      </c>
      <c r="V253" s="3450" t="s">
        <v>5310</v>
      </c>
      <c r="W253" s="2942" t="s">
        <v>5311</v>
      </c>
      <c r="X253" s="3450" t="s">
        <v>5312</v>
      </c>
    </row>
    <row r="254" spans="1:26" ht="15" customHeight="1" x14ac:dyDescent="0.3">
      <c r="A254" s="6234" t="s">
        <v>4177</v>
      </c>
      <c r="B254" s="6478" t="s">
        <v>2629</v>
      </c>
      <c r="C254" s="6479"/>
      <c r="D254" s="4675" t="s">
        <v>5292</v>
      </c>
      <c r="E254" s="3446" t="s">
        <v>5293</v>
      </c>
      <c r="F254" s="4676" t="s">
        <v>5294</v>
      </c>
      <c r="G254" s="4466" t="s">
        <v>5295</v>
      </c>
      <c r="H254" s="3450" t="s">
        <v>5296</v>
      </c>
      <c r="I254" s="3447" t="s">
        <v>5297</v>
      </c>
      <c r="J254" s="2946" t="s">
        <v>5298</v>
      </c>
      <c r="K254" s="3447" t="s">
        <v>5299</v>
      </c>
      <c r="L254" s="2947" t="s">
        <v>5300</v>
      </c>
      <c r="M254" s="3447" t="s">
        <v>5301</v>
      </c>
      <c r="N254" s="2947" t="s">
        <v>5302</v>
      </c>
      <c r="O254" s="3447" t="s">
        <v>5303</v>
      </c>
      <c r="P254" s="2947" t="s">
        <v>5304</v>
      </c>
      <c r="Q254" s="3447" t="s">
        <v>5305</v>
      </c>
      <c r="R254" s="2947" t="s">
        <v>5306</v>
      </c>
      <c r="S254" s="3447" t="s">
        <v>5307</v>
      </c>
      <c r="T254" s="2947" t="s">
        <v>5308</v>
      </c>
      <c r="U254" s="3447" t="s">
        <v>5309</v>
      </c>
      <c r="V254" s="2947" t="s">
        <v>5310</v>
      </c>
      <c r="W254" s="3447" t="s">
        <v>5311</v>
      </c>
      <c r="X254" s="2947" t="s">
        <v>5312</v>
      </c>
    </row>
    <row r="255" spans="1:26" ht="15" customHeight="1" x14ac:dyDescent="0.3">
      <c r="A255" s="6234" t="s">
        <v>4178</v>
      </c>
      <c r="B255" s="6453" t="s">
        <v>3865</v>
      </c>
      <c r="C255" s="6454"/>
      <c r="D255" s="4662" t="s">
        <v>5292</v>
      </c>
      <c r="E255" s="3455" t="s">
        <v>5293</v>
      </c>
      <c r="F255" s="4677" t="s">
        <v>5294</v>
      </c>
      <c r="G255" s="3452" t="s">
        <v>5295</v>
      </c>
      <c r="H255" s="3451" t="s">
        <v>5296</v>
      </c>
      <c r="I255" s="2952" t="s">
        <v>5297</v>
      </c>
      <c r="J255" s="3452" t="s">
        <v>5298</v>
      </c>
      <c r="K255" s="2952" t="s">
        <v>5299</v>
      </c>
      <c r="L255" s="3451" t="s">
        <v>5300</v>
      </c>
      <c r="M255" s="2952" t="s">
        <v>5301</v>
      </c>
      <c r="N255" s="3451" t="s">
        <v>5302</v>
      </c>
      <c r="O255" s="2952" t="s">
        <v>5303</v>
      </c>
      <c r="P255" s="3451" t="s">
        <v>5304</v>
      </c>
      <c r="Q255" s="6197" t="s">
        <v>5305</v>
      </c>
      <c r="R255" s="2951" t="s">
        <v>5306</v>
      </c>
      <c r="S255" s="3453" t="s">
        <v>5307</v>
      </c>
      <c r="T255" s="2957" t="s">
        <v>5308</v>
      </c>
      <c r="U255" s="3453" t="s">
        <v>5309</v>
      </c>
      <c r="V255" s="2957" t="s">
        <v>5310</v>
      </c>
      <c r="W255" s="3453" t="s">
        <v>5311</v>
      </c>
      <c r="X255" s="2957" t="s">
        <v>5312</v>
      </c>
    </row>
    <row r="256" spans="1:26" ht="15" customHeight="1" x14ac:dyDescent="0.3">
      <c r="A256" s="6234" t="s">
        <v>4179</v>
      </c>
      <c r="B256" s="6455" t="s">
        <v>2533</v>
      </c>
      <c r="C256" s="3454" t="s">
        <v>2534</v>
      </c>
      <c r="D256" s="4669" t="s">
        <v>5292</v>
      </c>
      <c r="E256" s="4670" t="s">
        <v>5293</v>
      </c>
      <c r="F256" s="4671" t="s">
        <v>5294</v>
      </c>
      <c r="G256" s="2961" t="s">
        <v>5295</v>
      </c>
      <c r="H256" s="2962" t="s">
        <v>5296</v>
      </c>
      <c r="I256" s="2958" t="s">
        <v>5297</v>
      </c>
      <c r="J256" s="2962" t="s">
        <v>5298</v>
      </c>
      <c r="K256" s="2958" t="s">
        <v>5299</v>
      </c>
      <c r="L256" s="2962" t="s">
        <v>5300</v>
      </c>
      <c r="M256" s="2958" t="s">
        <v>5301</v>
      </c>
      <c r="N256" s="2962" t="s">
        <v>5302</v>
      </c>
      <c r="O256" s="2958" t="s">
        <v>5303</v>
      </c>
      <c r="P256" s="6194" t="s">
        <v>5304</v>
      </c>
      <c r="Q256" s="6198" t="s">
        <v>5305</v>
      </c>
      <c r="R256" s="6199" t="s">
        <v>5306</v>
      </c>
      <c r="S256" s="2961" t="s">
        <v>5307</v>
      </c>
      <c r="T256" s="2962" t="s">
        <v>5308</v>
      </c>
      <c r="U256" s="2958" t="s">
        <v>5309</v>
      </c>
      <c r="V256" s="2962" t="s">
        <v>5310</v>
      </c>
      <c r="W256" s="2958" t="s">
        <v>5311</v>
      </c>
      <c r="X256" s="2962" t="s">
        <v>5312</v>
      </c>
    </row>
    <row r="257" spans="1:50" ht="15" customHeight="1" x14ac:dyDescent="0.3">
      <c r="A257" s="6234" t="s">
        <v>4180</v>
      </c>
      <c r="B257" s="6456"/>
      <c r="C257" s="2948" t="s">
        <v>2605</v>
      </c>
      <c r="D257" s="4660" t="s">
        <v>5292</v>
      </c>
      <c r="E257" s="4665" t="s">
        <v>5293</v>
      </c>
      <c r="F257" s="4661" t="s">
        <v>5294</v>
      </c>
      <c r="G257" s="2946" t="s">
        <v>5295</v>
      </c>
      <c r="H257" s="2947" t="s">
        <v>5296</v>
      </c>
      <c r="I257" s="3447" t="s">
        <v>5297</v>
      </c>
      <c r="J257" s="2947" t="s">
        <v>5298</v>
      </c>
      <c r="K257" s="3447" t="s">
        <v>5299</v>
      </c>
      <c r="L257" s="2947" t="s">
        <v>5300</v>
      </c>
      <c r="M257" s="3447" t="s">
        <v>5301</v>
      </c>
      <c r="N257" s="2947" t="s">
        <v>5302</v>
      </c>
      <c r="O257" s="3447" t="s">
        <v>5303</v>
      </c>
      <c r="P257" s="6195" t="s">
        <v>5304</v>
      </c>
      <c r="Q257" s="6200" t="s">
        <v>5305</v>
      </c>
      <c r="R257" s="6201" t="s">
        <v>5306</v>
      </c>
      <c r="S257" s="2946" t="s">
        <v>5307</v>
      </c>
      <c r="T257" s="2947" t="s">
        <v>5308</v>
      </c>
      <c r="U257" s="3447" t="s">
        <v>5309</v>
      </c>
      <c r="V257" s="2947" t="s">
        <v>5310</v>
      </c>
      <c r="W257" s="3447" t="s">
        <v>5311</v>
      </c>
      <c r="X257" s="2947" t="s">
        <v>5312</v>
      </c>
    </row>
    <row r="258" spans="1:50" ht="15" customHeight="1" x14ac:dyDescent="0.3">
      <c r="A258" s="6234" t="s">
        <v>4181</v>
      </c>
      <c r="B258" s="6457"/>
      <c r="C258" s="4659" t="s">
        <v>2587</v>
      </c>
      <c r="D258" s="4662" t="s">
        <v>5292</v>
      </c>
      <c r="E258" s="4664" t="s">
        <v>5293</v>
      </c>
      <c r="F258" s="4663" t="s">
        <v>5294</v>
      </c>
      <c r="G258" s="2956" t="s">
        <v>5295</v>
      </c>
      <c r="H258" s="2957" t="s">
        <v>5296</v>
      </c>
      <c r="I258" s="3453" t="s">
        <v>5297</v>
      </c>
      <c r="J258" s="2957" t="s">
        <v>5298</v>
      </c>
      <c r="K258" s="3453" t="s">
        <v>5299</v>
      </c>
      <c r="L258" s="2957" t="s">
        <v>5300</v>
      </c>
      <c r="M258" s="3453" t="s">
        <v>5301</v>
      </c>
      <c r="N258" s="2957" t="s">
        <v>5302</v>
      </c>
      <c r="O258" s="3453" t="s">
        <v>5303</v>
      </c>
      <c r="P258" s="6196" t="s">
        <v>5304</v>
      </c>
      <c r="Q258" s="6202" t="s">
        <v>5305</v>
      </c>
      <c r="R258" s="6203" t="s">
        <v>5306</v>
      </c>
      <c r="S258" s="2956" t="s">
        <v>5307</v>
      </c>
      <c r="T258" s="2957" t="s">
        <v>5308</v>
      </c>
      <c r="U258" s="3453" t="s">
        <v>5309</v>
      </c>
      <c r="V258" s="2957" t="s">
        <v>5310</v>
      </c>
      <c r="W258" s="3453" t="s">
        <v>5311</v>
      </c>
      <c r="X258" s="2957" t="s">
        <v>5312</v>
      </c>
    </row>
    <row r="259" spans="1:50" ht="18" customHeight="1" x14ac:dyDescent="0.3">
      <c r="B259" s="9048" t="s">
        <v>2630</v>
      </c>
      <c r="C259" s="628"/>
      <c r="D259" s="628"/>
      <c r="E259" s="628"/>
      <c r="F259" s="628"/>
      <c r="G259" s="628"/>
      <c r="H259" s="628"/>
      <c r="I259" s="628"/>
      <c r="J259" s="628"/>
      <c r="K259" s="3290"/>
      <c r="L259" s="3456"/>
      <c r="M259" s="3456"/>
      <c r="N259" s="3456"/>
      <c r="O259" s="3456"/>
      <c r="P259" s="3456"/>
    </row>
    <row r="260" spans="1:50" ht="15" customHeight="1" x14ac:dyDescent="0.3">
      <c r="B260" s="6458" t="s">
        <v>2478</v>
      </c>
      <c r="C260" s="6458"/>
      <c r="D260" s="6340" t="s">
        <v>24</v>
      </c>
      <c r="E260" s="6341"/>
      <c r="F260" s="6342"/>
      <c r="G260" s="6461" t="s">
        <v>30</v>
      </c>
      <c r="H260" s="6461"/>
      <c r="I260" s="6461"/>
      <c r="J260" s="6461"/>
      <c r="K260" s="6461"/>
      <c r="L260" s="6461"/>
      <c r="M260" s="6461"/>
      <c r="N260" s="6461"/>
      <c r="O260" s="6461"/>
      <c r="P260" s="6461"/>
      <c r="Q260" s="6467" t="s">
        <v>3932</v>
      </c>
      <c r="R260" s="6208"/>
      <c r="S260" s="6208"/>
    </row>
    <row r="261" spans="1:50" ht="15" customHeight="1" x14ac:dyDescent="0.3">
      <c r="B261" s="6458"/>
      <c r="C261" s="6458"/>
      <c r="D261" s="6459"/>
      <c r="E261" s="6383"/>
      <c r="F261" s="6460"/>
      <c r="G261" s="6326" t="s">
        <v>36</v>
      </c>
      <c r="H261" s="6462"/>
      <c r="I261" s="6326" t="s">
        <v>37</v>
      </c>
      <c r="J261" s="6462"/>
      <c r="K261" s="6326" t="s">
        <v>38</v>
      </c>
      <c r="L261" s="6462"/>
      <c r="M261" s="6463" t="s">
        <v>4</v>
      </c>
      <c r="N261" s="6464"/>
      <c r="O261" s="6465" t="s">
        <v>5</v>
      </c>
      <c r="P261" s="6464"/>
      <c r="Q261" s="6468"/>
      <c r="R261" s="6213"/>
      <c r="S261" s="6466"/>
    </row>
    <row r="262" spans="1:50" ht="15" customHeight="1" x14ac:dyDescent="0.3">
      <c r="B262" s="6458"/>
      <c r="C262" s="6458"/>
      <c r="D262" s="4638" t="s">
        <v>26</v>
      </c>
      <c r="E262" s="3457" t="s">
        <v>22</v>
      </c>
      <c r="F262" s="1713" t="s">
        <v>27</v>
      </c>
      <c r="G262" s="1931" t="s">
        <v>22</v>
      </c>
      <c r="H262" s="1713" t="s">
        <v>27</v>
      </c>
      <c r="I262" s="1931" t="s">
        <v>22</v>
      </c>
      <c r="J262" s="1713" t="s">
        <v>27</v>
      </c>
      <c r="K262" s="1931" t="s">
        <v>22</v>
      </c>
      <c r="L262" s="1713" t="s">
        <v>27</v>
      </c>
      <c r="M262" s="3153" t="s">
        <v>22</v>
      </c>
      <c r="N262" s="3458" t="s">
        <v>27</v>
      </c>
      <c r="O262" s="3160" t="s">
        <v>22</v>
      </c>
      <c r="P262" s="3304" t="s">
        <v>27</v>
      </c>
      <c r="Q262" s="6469"/>
      <c r="R262" s="6213"/>
      <c r="S262" s="6466"/>
    </row>
    <row r="263" spans="1:50" ht="15" customHeight="1" x14ac:dyDescent="0.3">
      <c r="A263" s="6234" t="s">
        <v>4182</v>
      </c>
      <c r="B263" s="6408" t="s">
        <v>2555</v>
      </c>
      <c r="C263" s="3459" t="s">
        <v>2631</v>
      </c>
      <c r="D263" s="4637" t="s">
        <v>5292</v>
      </c>
      <c r="E263" s="3306" t="s">
        <v>5293</v>
      </c>
      <c r="F263" s="3195" t="s">
        <v>5294</v>
      </c>
      <c r="G263" s="3260" t="s">
        <v>5295</v>
      </c>
      <c r="H263" s="3128" t="s">
        <v>5296</v>
      </c>
      <c r="I263" s="3127" t="s">
        <v>5297</v>
      </c>
      <c r="J263" s="3128" t="s">
        <v>5298</v>
      </c>
      <c r="K263" s="3127" t="s">
        <v>5299</v>
      </c>
      <c r="L263" s="3128" t="s">
        <v>5300</v>
      </c>
      <c r="M263" s="3127" t="s">
        <v>5301</v>
      </c>
      <c r="N263" s="3128" t="s">
        <v>5302</v>
      </c>
      <c r="O263" s="3260" t="s">
        <v>5303</v>
      </c>
      <c r="P263" s="3128" t="s">
        <v>5304</v>
      </c>
      <c r="Q263" s="6210" t="s">
        <v>5305</v>
      </c>
      <c r="R263" s="6209"/>
      <c r="S263" s="6209"/>
    </row>
    <row r="264" spans="1:50" ht="15" customHeight="1" x14ac:dyDescent="0.3">
      <c r="A264" s="6234" t="s">
        <v>4183</v>
      </c>
      <c r="B264" s="6409"/>
      <c r="C264" s="3460" t="s">
        <v>2557</v>
      </c>
      <c r="D264" s="2101" t="s">
        <v>5292</v>
      </c>
      <c r="E264" s="3307" t="s">
        <v>5293</v>
      </c>
      <c r="F264" s="143" t="s">
        <v>5294</v>
      </c>
      <c r="G264" s="3143" t="s">
        <v>5295</v>
      </c>
      <c r="H264" s="626" t="s">
        <v>5296</v>
      </c>
      <c r="I264" s="616" t="s">
        <v>5297</v>
      </c>
      <c r="J264" s="626" t="s">
        <v>5298</v>
      </c>
      <c r="K264" s="616" t="s">
        <v>5299</v>
      </c>
      <c r="L264" s="626" t="s">
        <v>5300</v>
      </c>
      <c r="M264" s="616" t="s">
        <v>5301</v>
      </c>
      <c r="N264" s="626" t="s">
        <v>5302</v>
      </c>
      <c r="O264" s="3143" t="s">
        <v>5303</v>
      </c>
      <c r="P264" s="624" t="s">
        <v>5304</v>
      </c>
      <c r="Q264" s="3421" t="s">
        <v>5305</v>
      </c>
      <c r="R264" s="6209"/>
      <c r="S264" s="6209"/>
    </row>
    <row r="265" spans="1:50" ht="15" customHeight="1" x14ac:dyDescent="0.3">
      <c r="A265" s="6234" t="s">
        <v>4184</v>
      </c>
      <c r="B265" s="6410"/>
      <c r="C265" s="3461" t="s">
        <v>2558</v>
      </c>
      <c r="D265" s="4647" t="s">
        <v>5292</v>
      </c>
      <c r="E265" s="2395" t="s">
        <v>5293</v>
      </c>
      <c r="F265" s="3383" t="s">
        <v>5294</v>
      </c>
      <c r="G265" s="121" t="s">
        <v>5295</v>
      </c>
      <c r="H265" s="3035" t="s">
        <v>5296</v>
      </c>
      <c r="I265" s="3023" t="s">
        <v>5297</v>
      </c>
      <c r="J265" s="3035" t="s">
        <v>5298</v>
      </c>
      <c r="K265" s="3023" t="s">
        <v>5299</v>
      </c>
      <c r="L265" s="3035" t="s">
        <v>5300</v>
      </c>
      <c r="M265" s="3023" t="s">
        <v>5301</v>
      </c>
      <c r="N265" s="3035" t="s">
        <v>5302</v>
      </c>
      <c r="O265" s="121" t="s">
        <v>5303</v>
      </c>
      <c r="P265" s="3080" t="s">
        <v>5304</v>
      </c>
      <c r="Q265" s="8632" t="s">
        <v>5305</v>
      </c>
      <c r="R265" s="6209"/>
      <c r="S265" s="6209"/>
    </row>
    <row r="266" spans="1:50" ht="15" customHeight="1" x14ac:dyDescent="0.3">
      <c r="A266" s="6234" t="s">
        <v>4185</v>
      </c>
      <c r="B266" s="6408" t="s">
        <v>2559</v>
      </c>
      <c r="C266" s="3459" t="s">
        <v>2631</v>
      </c>
      <c r="D266" s="4637" t="s">
        <v>5292</v>
      </c>
      <c r="E266" s="3306" t="s">
        <v>5293</v>
      </c>
      <c r="F266" s="3195" t="s">
        <v>5294</v>
      </c>
      <c r="G266" s="3260" t="s">
        <v>5295</v>
      </c>
      <c r="H266" s="3128" t="s">
        <v>5296</v>
      </c>
      <c r="I266" s="3127" t="s">
        <v>5297</v>
      </c>
      <c r="J266" s="3128" t="s">
        <v>5298</v>
      </c>
      <c r="K266" s="3127" t="s">
        <v>5299</v>
      </c>
      <c r="L266" s="3128" t="s">
        <v>5300</v>
      </c>
      <c r="M266" s="3127" t="s">
        <v>5301</v>
      </c>
      <c r="N266" s="3128" t="s">
        <v>5302</v>
      </c>
      <c r="O266" s="3260" t="s">
        <v>5303</v>
      </c>
      <c r="P266" s="5307" t="s">
        <v>5304</v>
      </c>
      <c r="Q266" s="8633" t="s">
        <v>5305</v>
      </c>
    </row>
    <row r="267" spans="1:50" ht="15" customHeight="1" x14ac:dyDescent="0.3">
      <c r="A267" s="6234" t="s">
        <v>4186</v>
      </c>
      <c r="B267" s="6409"/>
      <c r="C267" s="3460" t="s">
        <v>2557</v>
      </c>
      <c r="D267" s="2101" t="s">
        <v>5292</v>
      </c>
      <c r="E267" s="3307" t="s">
        <v>5293</v>
      </c>
      <c r="F267" s="143" t="s">
        <v>5294</v>
      </c>
      <c r="G267" s="3143" t="s">
        <v>5295</v>
      </c>
      <c r="H267" s="626" t="s">
        <v>5296</v>
      </c>
      <c r="I267" s="616" t="s">
        <v>5297</v>
      </c>
      <c r="J267" s="626" t="s">
        <v>5298</v>
      </c>
      <c r="K267" s="616" t="s">
        <v>5299</v>
      </c>
      <c r="L267" s="626" t="s">
        <v>5300</v>
      </c>
      <c r="M267" s="616" t="s">
        <v>5301</v>
      </c>
      <c r="N267" s="626" t="s">
        <v>5302</v>
      </c>
      <c r="O267" s="3143" t="s">
        <v>5303</v>
      </c>
      <c r="P267" s="624" t="s">
        <v>5304</v>
      </c>
      <c r="Q267" s="8634" t="s">
        <v>5305</v>
      </c>
    </row>
    <row r="268" spans="1:50" ht="15" customHeight="1" x14ac:dyDescent="0.3">
      <c r="A268" s="6234" t="s">
        <v>4187</v>
      </c>
      <c r="B268" s="6410"/>
      <c r="C268" s="3461" t="s">
        <v>2558</v>
      </c>
      <c r="D268" s="4647" t="s">
        <v>5292</v>
      </c>
      <c r="E268" s="2395" t="s">
        <v>5293</v>
      </c>
      <c r="F268" s="3383" t="s">
        <v>5294</v>
      </c>
      <c r="G268" s="121" t="s">
        <v>5295</v>
      </c>
      <c r="H268" s="3035" t="s">
        <v>5296</v>
      </c>
      <c r="I268" s="3023" t="s">
        <v>5297</v>
      </c>
      <c r="J268" s="3035" t="s">
        <v>5298</v>
      </c>
      <c r="K268" s="3023" t="s">
        <v>5299</v>
      </c>
      <c r="L268" s="3035" t="s">
        <v>5300</v>
      </c>
      <c r="M268" s="3023" t="s">
        <v>5301</v>
      </c>
      <c r="N268" s="3035" t="s">
        <v>5302</v>
      </c>
      <c r="O268" s="121" t="s">
        <v>5303</v>
      </c>
      <c r="P268" s="3080" t="s">
        <v>5304</v>
      </c>
      <c r="Q268" s="8635" t="s">
        <v>5305</v>
      </c>
    </row>
    <row r="269" spans="1:50" ht="18" customHeight="1" x14ac:dyDescent="0.3">
      <c r="B269" s="5894" t="s">
        <v>2632</v>
      </c>
      <c r="C269" s="5895"/>
      <c r="D269" s="5895"/>
      <c r="E269" s="5895"/>
      <c r="F269" s="5895"/>
      <c r="G269" s="5896"/>
      <c r="H269" s="5896"/>
      <c r="I269" s="5896"/>
      <c r="J269" s="5896"/>
      <c r="K269" s="5896"/>
      <c r="L269" s="5896"/>
      <c r="M269" s="5896"/>
      <c r="N269" s="5896"/>
      <c r="O269" s="5896"/>
      <c r="P269" s="5896"/>
      <c r="Q269" s="5896"/>
      <c r="R269" s="5896"/>
      <c r="S269" s="5896"/>
      <c r="T269" s="5896"/>
      <c r="U269" s="5896"/>
      <c r="V269" s="5896"/>
      <c r="W269" s="5896"/>
      <c r="X269" s="5896"/>
      <c r="Y269" s="5896"/>
      <c r="Z269" s="5896"/>
      <c r="AA269" s="5896"/>
      <c r="AB269" s="5896"/>
      <c r="AC269" s="5896"/>
      <c r="AD269" s="5896"/>
      <c r="AE269" s="5896"/>
      <c r="AF269" s="5896"/>
      <c r="AG269" s="5896"/>
      <c r="AH269" s="5896"/>
      <c r="AI269" s="5896"/>
      <c r="AJ269" s="5896"/>
      <c r="AK269" s="5896"/>
      <c r="AL269" s="5896"/>
      <c r="AM269" s="5896"/>
      <c r="AN269" s="5896"/>
      <c r="AO269" s="5896"/>
      <c r="AP269" s="5896"/>
      <c r="AQ269" s="5896"/>
      <c r="AR269" s="5896"/>
      <c r="AS269" s="5896"/>
      <c r="AT269" s="5896"/>
      <c r="AU269" s="5896"/>
      <c r="AV269" s="5896"/>
      <c r="AW269" s="5896"/>
      <c r="AX269" s="5896"/>
    </row>
    <row r="270" spans="1:50" x14ac:dyDescent="0.3">
      <c r="B270" s="6411" t="s">
        <v>58</v>
      </c>
      <c r="C270" s="6411" t="s">
        <v>61</v>
      </c>
      <c r="D270" s="6470" t="s">
        <v>59</v>
      </c>
      <c r="E270" s="6471"/>
      <c r="F270" s="6442"/>
      <c r="G270" s="6448" t="s">
        <v>30</v>
      </c>
      <c r="H270" s="6440"/>
      <c r="I270" s="6440"/>
      <c r="J270" s="6440"/>
      <c r="K270" s="6440"/>
      <c r="L270" s="6440"/>
      <c r="M270" s="6440"/>
      <c r="N270" s="6440"/>
      <c r="O270" s="6440"/>
      <c r="P270" s="6440"/>
      <c r="Q270" s="6440"/>
      <c r="R270" s="6440"/>
      <c r="S270" s="6440"/>
      <c r="T270" s="6440"/>
      <c r="U270" s="6440"/>
      <c r="V270" s="6440"/>
      <c r="W270" s="6440"/>
      <c r="X270" s="6440"/>
      <c r="Y270" s="6440"/>
      <c r="Z270" s="6440"/>
      <c r="AA270" s="6440"/>
      <c r="AB270" s="6440"/>
      <c r="AC270" s="6440"/>
      <c r="AD270" s="6440"/>
      <c r="AE270" s="6440"/>
      <c r="AF270" s="6440"/>
      <c r="AG270" s="6440"/>
      <c r="AH270" s="6440"/>
      <c r="AI270" s="6440"/>
      <c r="AJ270" s="6440"/>
      <c r="AK270" s="6440"/>
      <c r="AL270" s="6440"/>
      <c r="AM270" s="6440"/>
      <c r="AN270" s="6441"/>
      <c r="AO270" s="6439" t="s">
        <v>2633</v>
      </c>
      <c r="AP270" s="6440"/>
      <c r="AQ270" s="6440"/>
      <c r="AR270" s="6440"/>
      <c r="AS270" s="6440"/>
      <c r="AT270" s="6440"/>
      <c r="AU270" s="6440"/>
      <c r="AV270" s="6441"/>
      <c r="AW270" s="6442" t="s">
        <v>1389</v>
      </c>
      <c r="AX270" s="6445" t="s">
        <v>2</v>
      </c>
    </row>
    <row r="271" spans="1:50" ht="21.6" customHeight="1" x14ac:dyDescent="0.3">
      <c r="B271" s="6412"/>
      <c r="C271" s="6412"/>
      <c r="D271" s="6472"/>
      <c r="E271" s="6473"/>
      <c r="F271" s="6444"/>
      <c r="G271" s="6448" t="s">
        <v>36</v>
      </c>
      <c r="H271" s="6449"/>
      <c r="I271" s="6448" t="s">
        <v>37</v>
      </c>
      <c r="J271" s="6449"/>
      <c r="K271" s="6448" t="s">
        <v>38</v>
      </c>
      <c r="L271" s="6449"/>
      <c r="M271" s="6448" t="s">
        <v>4</v>
      </c>
      <c r="N271" s="6449"/>
      <c r="O271" s="6448" t="s">
        <v>5</v>
      </c>
      <c r="P271" s="6449"/>
      <c r="Q271" s="6450" t="s">
        <v>6</v>
      </c>
      <c r="R271" s="6451"/>
      <c r="S271" s="6450" t="s">
        <v>7</v>
      </c>
      <c r="T271" s="6451"/>
      <c r="U271" s="6450" t="s">
        <v>8</v>
      </c>
      <c r="V271" s="6451"/>
      <c r="W271" s="6450" t="s">
        <v>9</v>
      </c>
      <c r="X271" s="6451"/>
      <c r="Y271" s="6450" t="s">
        <v>10</v>
      </c>
      <c r="Z271" s="6451"/>
      <c r="AA271" s="6450" t="s">
        <v>11</v>
      </c>
      <c r="AB271" s="6451"/>
      <c r="AC271" s="6450" t="s">
        <v>18</v>
      </c>
      <c r="AD271" s="6451"/>
      <c r="AE271" s="6450" t="s">
        <v>19</v>
      </c>
      <c r="AF271" s="6451"/>
      <c r="AG271" s="6450" t="s">
        <v>20</v>
      </c>
      <c r="AH271" s="6451"/>
      <c r="AI271" s="6450" t="s">
        <v>70</v>
      </c>
      <c r="AJ271" s="6451"/>
      <c r="AK271" s="6450" t="s">
        <v>71</v>
      </c>
      <c r="AL271" s="6451"/>
      <c r="AM271" s="6450" t="s">
        <v>32</v>
      </c>
      <c r="AN271" s="6452"/>
      <c r="AO271" s="6439" t="s">
        <v>50</v>
      </c>
      <c r="AP271" s="6449"/>
      <c r="AQ271" s="6448" t="s">
        <v>2634</v>
      </c>
      <c r="AR271" s="6449"/>
      <c r="AS271" s="6448" t="s">
        <v>2635</v>
      </c>
      <c r="AT271" s="6449"/>
      <c r="AU271" s="6448" t="s">
        <v>2636</v>
      </c>
      <c r="AV271" s="6441"/>
      <c r="AW271" s="6443"/>
      <c r="AX271" s="6446"/>
    </row>
    <row r="272" spans="1:50" x14ac:dyDescent="0.3">
      <c r="B272" s="6413"/>
      <c r="C272" s="6413"/>
      <c r="D272" s="5898" t="s">
        <v>26</v>
      </c>
      <c r="E272" s="5899" t="s">
        <v>22</v>
      </c>
      <c r="F272" s="5897" t="s">
        <v>27</v>
      </c>
      <c r="G272" s="5900" t="s">
        <v>22</v>
      </c>
      <c r="H272" s="5897" t="s">
        <v>27</v>
      </c>
      <c r="I272" s="5900" t="s">
        <v>22</v>
      </c>
      <c r="J272" s="5897" t="s">
        <v>27</v>
      </c>
      <c r="K272" s="5900" t="s">
        <v>22</v>
      </c>
      <c r="L272" s="5897" t="s">
        <v>27</v>
      </c>
      <c r="M272" s="5900" t="s">
        <v>22</v>
      </c>
      <c r="N272" s="5897" t="s">
        <v>27</v>
      </c>
      <c r="O272" s="5900" t="s">
        <v>22</v>
      </c>
      <c r="P272" s="5897" t="s">
        <v>27</v>
      </c>
      <c r="Q272" s="5900" t="s">
        <v>22</v>
      </c>
      <c r="R272" s="5897" t="s">
        <v>27</v>
      </c>
      <c r="S272" s="5900" t="s">
        <v>22</v>
      </c>
      <c r="T272" s="5897" t="s">
        <v>27</v>
      </c>
      <c r="U272" s="5900" t="s">
        <v>22</v>
      </c>
      <c r="V272" s="5897" t="s">
        <v>27</v>
      </c>
      <c r="W272" s="5900" t="s">
        <v>22</v>
      </c>
      <c r="X272" s="5897" t="s">
        <v>27</v>
      </c>
      <c r="Y272" s="5900" t="s">
        <v>22</v>
      </c>
      <c r="Z272" s="5897" t="s">
        <v>27</v>
      </c>
      <c r="AA272" s="5900" t="s">
        <v>22</v>
      </c>
      <c r="AB272" s="5897" t="s">
        <v>27</v>
      </c>
      <c r="AC272" s="5900" t="s">
        <v>22</v>
      </c>
      <c r="AD272" s="5897" t="s">
        <v>27</v>
      </c>
      <c r="AE272" s="5900" t="s">
        <v>22</v>
      </c>
      <c r="AF272" s="5897" t="s">
        <v>27</v>
      </c>
      <c r="AG272" s="5900" t="s">
        <v>22</v>
      </c>
      <c r="AH272" s="5897" t="s">
        <v>27</v>
      </c>
      <c r="AI272" s="5900" t="s">
        <v>22</v>
      </c>
      <c r="AJ272" s="5897" t="s">
        <v>27</v>
      </c>
      <c r="AK272" s="5900" t="s">
        <v>22</v>
      </c>
      <c r="AL272" s="5897" t="s">
        <v>27</v>
      </c>
      <c r="AM272" s="5900" t="s">
        <v>22</v>
      </c>
      <c r="AN272" s="5901" t="s">
        <v>27</v>
      </c>
      <c r="AO272" s="5900" t="s">
        <v>22</v>
      </c>
      <c r="AP272" s="5897" t="s">
        <v>27</v>
      </c>
      <c r="AQ272" s="5900" t="s">
        <v>22</v>
      </c>
      <c r="AR272" s="5897" t="s">
        <v>27</v>
      </c>
      <c r="AS272" s="5900" t="s">
        <v>22</v>
      </c>
      <c r="AT272" s="5897" t="s">
        <v>27</v>
      </c>
      <c r="AU272" s="5900" t="s">
        <v>22</v>
      </c>
      <c r="AV272" s="5901" t="s">
        <v>27</v>
      </c>
      <c r="AW272" s="6444"/>
      <c r="AX272" s="6447"/>
    </row>
    <row r="273" spans="2:91" ht="15" customHeight="1" x14ac:dyDescent="0.3">
      <c r="B273" s="6405" t="s">
        <v>2637</v>
      </c>
      <c r="C273" s="5902" t="s">
        <v>62</v>
      </c>
      <c r="D273" s="5903">
        <f t="shared" ref="D273:D321" si="50">SUM(E273,F273)</f>
        <v>0</v>
      </c>
      <c r="E273" s="5904">
        <f t="shared" ref="E273:F304" si="51">SUM(G273,I273,K273,M273,O273,Q273,S273,U273,W273,Y273,AA273,AC273,AE273,AG273,AI273,AK273,AM273)</f>
        <v>0</v>
      </c>
      <c r="F273" s="5905">
        <f t="shared" si="51"/>
        <v>0</v>
      </c>
      <c r="G273" s="5999"/>
      <c r="H273" s="6000"/>
      <c r="I273" s="5999"/>
      <c r="J273" s="6000"/>
      <c r="K273" s="5999"/>
      <c r="L273" s="6000"/>
      <c r="M273" s="5999"/>
      <c r="N273" s="6000"/>
      <c r="O273" s="5999"/>
      <c r="P273" s="6000"/>
      <c r="Q273" s="5999"/>
      <c r="R273" s="6000"/>
      <c r="S273" s="5999"/>
      <c r="T273" s="6000"/>
      <c r="U273" s="5999"/>
      <c r="V273" s="6000"/>
      <c r="W273" s="5999"/>
      <c r="X273" s="6000"/>
      <c r="Y273" s="5999"/>
      <c r="Z273" s="6000"/>
      <c r="AA273" s="5999"/>
      <c r="AB273" s="6000"/>
      <c r="AC273" s="5999"/>
      <c r="AD273" s="6000"/>
      <c r="AE273" s="5999"/>
      <c r="AF273" s="6000"/>
      <c r="AG273" s="5999"/>
      <c r="AH273" s="6000"/>
      <c r="AI273" s="5999"/>
      <c r="AJ273" s="6000"/>
      <c r="AK273" s="5999"/>
      <c r="AL273" s="6000"/>
      <c r="AM273" s="5999"/>
      <c r="AN273" s="6001"/>
      <c r="AO273" s="6002"/>
      <c r="AP273" s="6002"/>
      <c r="AQ273" s="5999"/>
      <c r="AR273" s="6000"/>
      <c r="AS273" s="5999"/>
      <c r="AT273" s="6000"/>
      <c r="AU273" s="5999"/>
      <c r="AV273" s="6001"/>
      <c r="AW273" s="6003"/>
      <c r="AX273" s="6004"/>
      <c r="AY273" s="1687" t="str">
        <f>$CB273&amp;CC273</f>
        <v/>
      </c>
      <c r="CB273" s="2784" t="str">
        <f>IF(AND($D273&lt;&gt;0,AW273=""),"* No olvide ingresar la columna "&amp;AW$270&amp;""&amp;" (Digite CERO si no tiene).  ",IF(AW273&gt;$D273,"* El Número de Niños, Niñas, Adolescentes y Jóvenes SENAME no puede superar el Total. ",""))</f>
        <v/>
      </c>
      <c r="CC273" s="2784" t="str">
        <f>IF(AND($D273&lt;&gt;0,AX273=""),"* No olvide ingresar la columna "&amp;AX$270&amp;""&amp;" (Digite CERO si no tiene).  ",IF(AX273&gt;$D273,"* El Número de Pueblos Originarios no puede superar el Total. ",""))</f>
        <v/>
      </c>
      <c r="CD273" s="2630"/>
      <c r="CE273" s="2630"/>
      <c r="CL273" s="1725">
        <f>IF(AND($D273&lt;&gt;0,AW273=""),1,IF(AW273&gt;$D273,1,0))</f>
        <v>0</v>
      </c>
      <c r="CM273" s="1725">
        <f>IF(AND($D273&lt;&gt;0,AX273=""),1,IF(AX273&gt;$D273,1,0))</f>
        <v>0</v>
      </c>
    </row>
    <row r="274" spans="2:91" ht="15" customHeight="1" x14ac:dyDescent="0.3">
      <c r="B274" s="6406"/>
      <c r="C274" s="5906" t="s">
        <v>75</v>
      </c>
      <c r="D274" s="5907">
        <f t="shared" si="50"/>
        <v>0</v>
      </c>
      <c r="E274" s="5908">
        <f t="shared" si="51"/>
        <v>0</v>
      </c>
      <c r="F274" s="5909">
        <f t="shared" si="51"/>
        <v>0</v>
      </c>
      <c r="G274" s="6005"/>
      <c r="H274" s="6006"/>
      <c r="I274" s="6005"/>
      <c r="J274" s="6006"/>
      <c r="K274" s="6005"/>
      <c r="L274" s="6006"/>
      <c r="M274" s="6005"/>
      <c r="N274" s="6006"/>
      <c r="O274" s="6005"/>
      <c r="P274" s="6006"/>
      <c r="Q274" s="6005"/>
      <c r="R274" s="6006"/>
      <c r="S274" s="6005"/>
      <c r="T274" s="6006"/>
      <c r="U274" s="6005"/>
      <c r="V274" s="6006"/>
      <c r="W274" s="6005"/>
      <c r="X274" s="6006"/>
      <c r="Y274" s="6005"/>
      <c r="Z274" s="6006"/>
      <c r="AA274" s="6005"/>
      <c r="AB274" s="6006"/>
      <c r="AC274" s="6005"/>
      <c r="AD274" s="6006"/>
      <c r="AE274" s="6005"/>
      <c r="AF274" s="6006"/>
      <c r="AG274" s="6005"/>
      <c r="AH274" s="6006"/>
      <c r="AI274" s="6005"/>
      <c r="AJ274" s="6006"/>
      <c r="AK274" s="6005"/>
      <c r="AL274" s="6006"/>
      <c r="AM274" s="6005"/>
      <c r="AN274" s="6007"/>
      <c r="AO274" s="5907"/>
      <c r="AP274" s="5907"/>
      <c r="AQ274" s="6005"/>
      <c r="AR274" s="6006"/>
      <c r="AS274" s="6005"/>
      <c r="AT274" s="6006"/>
      <c r="AU274" s="6005"/>
      <c r="AV274" s="6007"/>
      <c r="AW274" s="6008"/>
      <c r="AX274" s="5910"/>
      <c r="AY274" s="1687" t="str">
        <f>$CB274&amp;CC274</f>
        <v/>
      </c>
      <c r="CB274" s="2784" t="str">
        <f>IF(AND($D274&lt;&gt;0,AW274=""),"* No olvide ingresar la columna "&amp;AW$270&amp;""&amp;" (Digite CERO si no tiene).  ",IF(AW274&gt;$D274,"* El Número de Niños, Niñas, Adolescentes y Jóvenes SENAME no puede superar el Total. ",""))</f>
        <v/>
      </c>
      <c r="CC274" s="2784" t="str">
        <f>IF(AND($D274&lt;&gt;0,AX274=""),"* No olvide ingresar la columna "&amp;AX$270&amp;""&amp;" (Digite CERO si no tiene).  ",IF(AX274&gt;$D274,"* El Número de Pueblos Originarios no puede superar el Total. ",""))</f>
        <v/>
      </c>
      <c r="CD274" s="2630"/>
      <c r="CE274" s="2630"/>
      <c r="CL274" s="1725">
        <f>IF(AND($D274&lt;&gt;0,AW274=""),1,IF(AW274&gt;$D274,1,0))</f>
        <v>0</v>
      </c>
      <c r="CM274" s="1725">
        <f>IF(AND($D274&lt;&gt;0,AX274=""),1,IF(AX274&gt;$D274,1,0))</f>
        <v>0</v>
      </c>
    </row>
    <row r="275" spans="2:91" ht="15" customHeight="1" x14ac:dyDescent="0.3">
      <c r="B275" s="6407"/>
      <c r="C275" s="5911" t="s">
        <v>2638</v>
      </c>
      <c r="D275" s="5912">
        <f t="shared" si="50"/>
        <v>0</v>
      </c>
      <c r="E275" s="5913">
        <f t="shared" si="51"/>
        <v>0</v>
      </c>
      <c r="F275" s="5914">
        <f t="shared" si="51"/>
        <v>0</v>
      </c>
      <c r="G275" s="6009">
        <f t="shared" ref="G275:AX275" si="52">SUM(G273:G274)</f>
        <v>0</v>
      </c>
      <c r="H275" s="6010">
        <f t="shared" si="52"/>
        <v>0</v>
      </c>
      <c r="I275" s="6009">
        <f t="shared" si="52"/>
        <v>0</v>
      </c>
      <c r="J275" s="6010">
        <f t="shared" si="52"/>
        <v>0</v>
      </c>
      <c r="K275" s="6009">
        <f t="shared" si="52"/>
        <v>0</v>
      </c>
      <c r="L275" s="6011">
        <f t="shared" si="52"/>
        <v>0</v>
      </c>
      <c r="M275" s="6009">
        <f t="shared" si="52"/>
        <v>0</v>
      </c>
      <c r="N275" s="6011">
        <f t="shared" si="52"/>
        <v>0</v>
      </c>
      <c r="O275" s="6009">
        <f t="shared" si="52"/>
        <v>0</v>
      </c>
      <c r="P275" s="6011">
        <f t="shared" si="52"/>
        <v>0</v>
      </c>
      <c r="Q275" s="6009">
        <f t="shared" si="52"/>
        <v>0</v>
      </c>
      <c r="R275" s="6011">
        <f t="shared" si="52"/>
        <v>0</v>
      </c>
      <c r="S275" s="6009">
        <f t="shared" si="52"/>
        <v>0</v>
      </c>
      <c r="T275" s="6011">
        <f t="shared" si="52"/>
        <v>0</v>
      </c>
      <c r="U275" s="6009">
        <f t="shared" si="52"/>
        <v>0</v>
      </c>
      <c r="V275" s="6011">
        <f t="shared" si="52"/>
        <v>0</v>
      </c>
      <c r="W275" s="6009">
        <f t="shared" si="52"/>
        <v>0</v>
      </c>
      <c r="X275" s="6011">
        <f t="shared" si="52"/>
        <v>0</v>
      </c>
      <c r="Y275" s="6009">
        <f t="shared" si="52"/>
        <v>0</v>
      </c>
      <c r="Z275" s="6011">
        <f t="shared" si="52"/>
        <v>0</v>
      </c>
      <c r="AA275" s="6009">
        <f t="shared" si="52"/>
        <v>0</v>
      </c>
      <c r="AB275" s="6011">
        <f t="shared" si="52"/>
        <v>0</v>
      </c>
      <c r="AC275" s="6009">
        <f t="shared" si="52"/>
        <v>0</v>
      </c>
      <c r="AD275" s="6011">
        <f t="shared" si="52"/>
        <v>0</v>
      </c>
      <c r="AE275" s="6009">
        <f t="shared" si="52"/>
        <v>0</v>
      </c>
      <c r="AF275" s="6011">
        <f t="shared" si="52"/>
        <v>0</v>
      </c>
      <c r="AG275" s="6009">
        <f t="shared" si="52"/>
        <v>0</v>
      </c>
      <c r="AH275" s="6011">
        <f t="shared" si="52"/>
        <v>0</v>
      </c>
      <c r="AI275" s="6009">
        <f t="shared" si="52"/>
        <v>0</v>
      </c>
      <c r="AJ275" s="6011">
        <f t="shared" si="52"/>
        <v>0</v>
      </c>
      <c r="AK275" s="6009">
        <f t="shared" si="52"/>
        <v>0</v>
      </c>
      <c r="AL275" s="6011">
        <f t="shared" si="52"/>
        <v>0</v>
      </c>
      <c r="AM275" s="6012">
        <f t="shared" si="52"/>
        <v>0</v>
      </c>
      <c r="AN275" s="6013">
        <f t="shared" si="52"/>
        <v>0</v>
      </c>
      <c r="AO275" s="6014">
        <f t="shared" si="52"/>
        <v>0</v>
      </c>
      <c r="AP275" s="6014">
        <f t="shared" si="52"/>
        <v>0</v>
      </c>
      <c r="AQ275" s="6009">
        <f t="shared" si="52"/>
        <v>0</v>
      </c>
      <c r="AR275" s="6011">
        <f t="shared" si="52"/>
        <v>0</v>
      </c>
      <c r="AS275" s="6009">
        <f t="shared" si="52"/>
        <v>0</v>
      </c>
      <c r="AT275" s="6011">
        <f t="shared" si="52"/>
        <v>0</v>
      </c>
      <c r="AU275" s="6012">
        <f t="shared" si="52"/>
        <v>0</v>
      </c>
      <c r="AV275" s="6013">
        <f t="shared" si="52"/>
        <v>0</v>
      </c>
      <c r="AW275" s="6010">
        <f t="shared" si="52"/>
        <v>0</v>
      </c>
      <c r="AX275" s="6015">
        <f t="shared" si="52"/>
        <v>0</v>
      </c>
    </row>
    <row r="276" spans="2:91" ht="15" customHeight="1" x14ac:dyDescent="0.3">
      <c r="B276" s="6405" t="s">
        <v>2639</v>
      </c>
      <c r="C276" s="5902" t="s">
        <v>62</v>
      </c>
      <c r="D276" s="5903">
        <f t="shared" si="50"/>
        <v>0</v>
      </c>
      <c r="E276" s="5904">
        <f t="shared" si="51"/>
        <v>0</v>
      </c>
      <c r="F276" s="5905">
        <f t="shared" si="51"/>
        <v>0</v>
      </c>
      <c r="G276" s="5999"/>
      <c r="H276" s="6000"/>
      <c r="I276" s="5999"/>
      <c r="J276" s="6000"/>
      <c r="K276" s="5999"/>
      <c r="L276" s="6000"/>
      <c r="M276" s="5999"/>
      <c r="N276" s="6000"/>
      <c r="O276" s="5999"/>
      <c r="P276" s="6000"/>
      <c r="Q276" s="5999"/>
      <c r="R276" s="6000"/>
      <c r="S276" s="5999"/>
      <c r="T276" s="6000"/>
      <c r="U276" s="5999"/>
      <c r="V276" s="6000"/>
      <c r="W276" s="5999"/>
      <c r="X276" s="6000"/>
      <c r="Y276" s="5999"/>
      <c r="Z276" s="6000"/>
      <c r="AA276" s="5999"/>
      <c r="AB276" s="6000"/>
      <c r="AC276" s="5999"/>
      <c r="AD276" s="6000"/>
      <c r="AE276" s="5999"/>
      <c r="AF276" s="6000"/>
      <c r="AG276" s="5999"/>
      <c r="AH276" s="6000"/>
      <c r="AI276" s="5999"/>
      <c r="AJ276" s="6000"/>
      <c r="AK276" s="5999"/>
      <c r="AL276" s="6000"/>
      <c r="AM276" s="5999"/>
      <c r="AN276" s="6001"/>
      <c r="AO276" s="6016"/>
      <c r="AP276" s="6016"/>
      <c r="AQ276" s="6017"/>
      <c r="AR276" s="6018"/>
      <c r="AS276" s="6017"/>
      <c r="AT276" s="6018"/>
      <c r="AU276" s="6017"/>
      <c r="AV276" s="6019"/>
      <c r="AW276" s="6020"/>
      <c r="AX276" s="6021"/>
    </row>
    <row r="277" spans="2:91" ht="15" customHeight="1" x14ac:dyDescent="0.3">
      <c r="B277" s="6406"/>
      <c r="C277" s="5906" t="s">
        <v>75</v>
      </c>
      <c r="D277" s="5907">
        <f t="shared" si="50"/>
        <v>0</v>
      </c>
      <c r="E277" s="5908">
        <f t="shared" si="51"/>
        <v>0</v>
      </c>
      <c r="F277" s="5909">
        <f t="shared" si="51"/>
        <v>0</v>
      </c>
      <c r="G277" s="6005"/>
      <c r="H277" s="6006"/>
      <c r="I277" s="6005"/>
      <c r="J277" s="6006"/>
      <c r="K277" s="6005"/>
      <c r="L277" s="6006"/>
      <c r="M277" s="6005"/>
      <c r="N277" s="6006"/>
      <c r="O277" s="6005"/>
      <c r="P277" s="6006"/>
      <c r="Q277" s="6005"/>
      <c r="R277" s="6006"/>
      <c r="S277" s="6005"/>
      <c r="T277" s="6006"/>
      <c r="U277" s="6005"/>
      <c r="V277" s="6006"/>
      <c r="W277" s="6005"/>
      <c r="X277" s="6006"/>
      <c r="Y277" s="6005"/>
      <c r="Z277" s="6006"/>
      <c r="AA277" s="6005"/>
      <c r="AB277" s="6006"/>
      <c r="AC277" s="6005"/>
      <c r="AD277" s="6006"/>
      <c r="AE277" s="6005"/>
      <c r="AF277" s="6006"/>
      <c r="AG277" s="6005"/>
      <c r="AH277" s="6006"/>
      <c r="AI277" s="6005"/>
      <c r="AJ277" s="6006"/>
      <c r="AK277" s="6005"/>
      <c r="AL277" s="6006"/>
      <c r="AM277" s="6005"/>
      <c r="AN277" s="6007"/>
      <c r="AO277" s="6022"/>
      <c r="AP277" s="6022"/>
      <c r="AQ277" s="6023"/>
      <c r="AR277" s="6024"/>
      <c r="AS277" s="6023"/>
      <c r="AT277" s="6024"/>
      <c r="AU277" s="6023"/>
      <c r="AV277" s="6025"/>
      <c r="AW277" s="6026"/>
      <c r="AX277" s="6027"/>
    </row>
    <row r="278" spans="2:91" ht="15" customHeight="1" x14ac:dyDescent="0.3">
      <c r="B278" s="6406"/>
      <c r="C278" s="5915" t="s">
        <v>2640</v>
      </c>
      <c r="D278" s="5916">
        <f t="shared" si="50"/>
        <v>0</v>
      </c>
      <c r="E278" s="5917">
        <f t="shared" si="51"/>
        <v>0</v>
      </c>
      <c r="F278" s="5918">
        <f t="shared" si="51"/>
        <v>0</v>
      </c>
      <c r="G278" s="6028"/>
      <c r="H278" s="6029"/>
      <c r="I278" s="6028"/>
      <c r="J278" s="6029"/>
      <c r="K278" s="6028"/>
      <c r="L278" s="6029"/>
      <c r="M278" s="6028"/>
      <c r="N278" s="6029"/>
      <c r="O278" s="6028"/>
      <c r="P278" s="6029"/>
      <c r="Q278" s="6028"/>
      <c r="R278" s="6029"/>
      <c r="S278" s="6028"/>
      <c r="T278" s="6029"/>
      <c r="U278" s="6028"/>
      <c r="V278" s="6029"/>
      <c r="W278" s="6028"/>
      <c r="X278" s="6029"/>
      <c r="Y278" s="6028"/>
      <c r="Z278" s="6029"/>
      <c r="AA278" s="6028"/>
      <c r="AB278" s="6029"/>
      <c r="AC278" s="6028"/>
      <c r="AD278" s="6029"/>
      <c r="AE278" s="6028"/>
      <c r="AF278" s="6029"/>
      <c r="AG278" s="6028"/>
      <c r="AH278" s="6029"/>
      <c r="AI278" s="6028"/>
      <c r="AJ278" s="6029"/>
      <c r="AK278" s="6028"/>
      <c r="AL278" s="6029"/>
      <c r="AM278" s="6028"/>
      <c r="AN278" s="6030"/>
      <c r="AO278" s="6031"/>
      <c r="AP278" s="6031"/>
      <c r="AQ278" s="6032"/>
      <c r="AR278" s="6033"/>
      <c r="AS278" s="6032"/>
      <c r="AT278" s="6033"/>
      <c r="AU278" s="6032"/>
      <c r="AV278" s="6034"/>
      <c r="AW278" s="6035"/>
      <c r="AX278" s="6036"/>
    </row>
    <row r="279" spans="2:91" ht="15" customHeight="1" x14ac:dyDescent="0.3">
      <c r="B279" s="6406"/>
      <c r="C279" s="5915" t="s">
        <v>2641</v>
      </c>
      <c r="D279" s="5916">
        <f t="shared" si="50"/>
        <v>0</v>
      </c>
      <c r="E279" s="5917">
        <f t="shared" si="51"/>
        <v>0</v>
      </c>
      <c r="F279" s="5918">
        <f t="shared" si="51"/>
        <v>0</v>
      </c>
      <c r="G279" s="6028"/>
      <c r="H279" s="6029"/>
      <c r="I279" s="6028"/>
      <c r="J279" s="6029"/>
      <c r="K279" s="6028"/>
      <c r="L279" s="6029"/>
      <c r="M279" s="6028"/>
      <c r="N279" s="6029"/>
      <c r="O279" s="6028"/>
      <c r="P279" s="6029"/>
      <c r="Q279" s="6028"/>
      <c r="R279" s="6029"/>
      <c r="S279" s="6028"/>
      <c r="T279" s="6029"/>
      <c r="U279" s="6028"/>
      <c r="V279" s="6029"/>
      <c r="W279" s="6028"/>
      <c r="X279" s="6029"/>
      <c r="Y279" s="6028"/>
      <c r="Z279" s="6029"/>
      <c r="AA279" s="6028"/>
      <c r="AB279" s="6029"/>
      <c r="AC279" s="6028"/>
      <c r="AD279" s="6029"/>
      <c r="AE279" s="6028"/>
      <c r="AF279" s="6029"/>
      <c r="AG279" s="6028"/>
      <c r="AH279" s="6029"/>
      <c r="AI279" s="6028"/>
      <c r="AJ279" s="6029"/>
      <c r="AK279" s="6028"/>
      <c r="AL279" s="6029"/>
      <c r="AM279" s="6028"/>
      <c r="AN279" s="6030"/>
      <c r="AO279" s="6031"/>
      <c r="AP279" s="6031"/>
      <c r="AQ279" s="6032"/>
      <c r="AR279" s="6033"/>
      <c r="AS279" s="6032"/>
      <c r="AT279" s="6033"/>
      <c r="AU279" s="6032"/>
      <c r="AV279" s="6034"/>
      <c r="AW279" s="6035"/>
      <c r="AX279" s="6036"/>
    </row>
    <row r="280" spans="2:91" ht="22.5" customHeight="1" x14ac:dyDescent="0.3">
      <c r="B280" s="6406"/>
      <c r="C280" s="5915" t="s">
        <v>2642</v>
      </c>
      <c r="D280" s="5916">
        <f t="shared" si="50"/>
        <v>0</v>
      </c>
      <c r="E280" s="5917">
        <f t="shared" si="51"/>
        <v>0</v>
      </c>
      <c r="F280" s="5918">
        <f t="shared" si="51"/>
        <v>0</v>
      </c>
      <c r="G280" s="6028"/>
      <c r="H280" s="6029"/>
      <c r="I280" s="6028"/>
      <c r="J280" s="6029"/>
      <c r="K280" s="6028"/>
      <c r="L280" s="6029"/>
      <c r="M280" s="6028"/>
      <c r="N280" s="6029"/>
      <c r="O280" s="6028"/>
      <c r="P280" s="6029"/>
      <c r="Q280" s="6028"/>
      <c r="R280" s="6029"/>
      <c r="S280" s="6028"/>
      <c r="T280" s="6029"/>
      <c r="U280" s="6028"/>
      <c r="V280" s="6029"/>
      <c r="W280" s="6028"/>
      <c r="X280" s="6029"/>
      <c r="Y280" s="6028"/>
      <c r="Z280" s="6029"/>
      <c r="AA280" s="6028"/>
      <c r="AB280" s="6029"/>
      <c r="AC280" s="6028"/>
      <c r="AD280" s="6029"/>
      <c r="AE280" s="6028"/>
      <c r="AF280" s="6029"/>
      <c r="AG280" s="6028"/>
      <c r="AH280" s="6029"/>
      <c r="AI280" s="6028"/>
      <c r="AJ280" s="6029"/>
      <c r="AK280" s="6028"/>
      <c r="AL280" s="6029"/>
      <c r="AM280" s="6028"/>
      <c r="AN280" s="6030"/>
      <c r="AO280" s="6031"/>
      <c r="AP280" s="6031"/>
      <c r="AQ280" s="6032"/>
      <c r="AR280" s="6033"/>
      <c r="AS280" s="6032"/>
      <c r="AT280" s="6033"/>
      <c r="AU280" s="6032"/>
      <c r="AV280" s="6034"/>
      <c r="AW280" s="6035"/>
      <c r="AX280" s="6036"/>
    </row>
    <row r="281" spans="2:91" ht="15" customHeight="1" x14ac:dyDescent="0.3">
      <c r="B281" s="6406"/>
      <c r="C281" s="5915" t="s">
        <v>2643</v>
      </c>
      <c r="D281" s="5916">
        <f t="shared" si="50"/>
        <v>0</v>
      </c>
      <c r="E281" s="5917">
        <f t="shared" si="51"/>
        <v>0</v>
      </c>
      <c r="F281" s="5918">
        <f t="shared" si="51"/>
        <v>0</v>
      </c>
      <c r="G281" s="6028"/>
      <c r="H281" s="6029"/>
      <c r="I281" s="6028"/>
      <c r="J281" s="6029"/>
      <c r="K281" s="6028"/>
      <c r="L281" s="6029"/>
      <c r="M281" s="6028"/>
      <c r="N281" s="6029"/>
      <c r="O281" s="6028"/>
      <c r="P281" s="6029"/>
      <c r="Q281" s="6028"/>
      <c r="R281" s="6029"/>
      <c r="S281" s="6028"/>
      <c r="T281" s="6029"/>
      <c r="U281" s="6028"/>
      <c r="V281" s="6029"/>
      <c r="W281" s="6028"/>
      <c r="X281" s="6029"/>
      <c r="Y281" s="6028"/>
      <c r="Z281" s="6029"/>
      <c r="AA281" s="6028"/>
      <c r="AB281" s="6029"/>
      <c r="AC281" s="6028"/>
      <c r="AD281" s="6029"/>
      <c r="AE281" s="6028"/>
      <c r="AF281" s="6029"/>
      <c r="AG281" s="6028"/>
      <c r="AH281" s="6029"/>
      <c r="AI281" s="6028"/>
      <c r="AJ281" s="6029"/>
      <c r="AK281" s="6028"/>
      <c r="AL281" s="6029"/>
      <c r="AM281" s="6028"/>
      <c r="AN281" s="6030"/>
      <c r="AO281" s="6031"/>
      <c r="AP281" s="6031"/>
      <c r="AQ281" s="6032"/>
      <c r="AR281" s="6033"/>
      <c r="AS281" s="6032"/>
      <c r="AT281" s="6033"/>
      <c r="AU281" s="6032"/>
      <c r="AV281" s="6034"/>
      <c r="AW281" s="6035"/>
      <c r="AX281" s="6036"/>
    </row>
    <row r="282" spans="2:91" ht="15" customHeight="1" x14ac:dyDescent="0.3">
      <c r="B282" s="6407"/>
      <c r="C282" s="5911" t="s">
        <v>2638</v>
      </c>
      <c r="D282" s="5912">
        <f t="shared" si="50"/>
        <v>0</v>
      </c>
      <c r="E282" s="5913">
        <f t="shared" si="51"/>
        <v>0</v>
      </c>
      <c r="F282" s="5914">
        <f t="shared" si="51"/>
        <v>0</v>
      </c>
      <c r="G282" s="6009">
        <f t="shared" ref="G282:AN282" si="53">SUM(G276:G281)</f>
        <v>0</v>
      </c>
      <c r="H282" s="6010">
        <f t="shared" si="53"/>
        <v>0</v>
      </c>
      <c r="I282" s="6009">
        <f t="shared" si="53"/>
        <v>0</v>
      </c>
      <c r="J282" s="6010">
        <f t="shared" si="53"/>
        <v>0</v>
      </c>
      <c r="K282" s="6009">
        <f t="shared" si="53"/>
        <v>0</v>
      </c>
      <c r="L282" s="6011">
        <f t="shared" si="53"/>
        <v>0</v>
      </c>
      <c r="M282" s="6009">
        <f t="shared" si="53"/>
        <v>0</v>
      </c>
      <c r="N282" s="6011">
        <f t="shared" si="53"/>
        <v>0</v>
      </c>
      <c r="O282" s="6009">
        <f t="shared" si="53"/>
        <v>0</v>
      </c>
      <c r="P282" s="6011">
        <f t="shared" si="53"/>
        <v>0</v>
      </c>
      <c r="Q282" s="6009">
        <f t="shared" si="53"/>
        <v>0</v>
      </c>
      <c r="R282" s="6011">
        <f t="shared" si="53"/>
        <v>0</v>
      </c>
      <c r="S282" s="6009">
        <f t="shared" si="53"/>
        <v>0</v>
      </c>
      <c r="T282" s="6011">
        <f t="shared" si="53"/>
        <v>0</v>
      </c>
      <c r="U282" s="6009">
        <f t="shared" si="53"/>
        <v>0</v>
      </c>
      <c r="V282" s="6011">
        <f t="shared" si="53"/>
        <v>0</v>
      </c>
      <c r="W282" s="6009">
        <f t="shared" si="53"/>
        <v>0</v>
      </c>
      <c r="X282" s="6011">
        <f t="shared" si="53"/>
        <v>0</v>
      </c>
      <c r="Y282" s="6009">
        <f t="shared" si="53"/>
        <v>0</v>
      </c>
      <c r="Z282" s="6011">
        <f t="shared" si="53"/>
        <v>0</v>
      </c>
      <c r="AA282" s="6009">
        <f t="shared" si="53"/>
        <v>0</v>
      </c>
      <c r="AB282" s="6011">
        <f t="shared" si="53"/>
        <v>0</v>
      </c>
      <c r="AC282" s="6009">
        <f t="shared" si="53"/>
        <v>0</v>
      </c>
      <c r="AD282" s="6011">
        <f t="shared" si="53"/>
        <v>0</v>
      </c>
      <c r="AE282" s="6009">
        <f t="shared" si="53"/>
        <v>0</v>
      </c>
      <c r="AF282" s="6011">
        <f t="shared" si="53"/>
        <v>0</v>
      </c>
      <c r="AG282" s="6009">
        <f t="shared" si="53"/>
        <v>0</v>
      </c>
      <c r="AH282" s="6011">
        <f t="shared" si="53"/>
        <v>0</v>
      </c>
      <c r="AI282" s="6009">
        <f t="shared" si="53"/>
        <v>0</v>
      </c>
      <c r="AJ282" s="6011">
        <f t="shared" si="53"/>
        <v>0</v>
      </c>
      <c r="AK282" s="6009">
        <f t="shared" si="53"/>
        <v>0</v>
      </c>
      <c r="AL282" s="6011">
        <f t="shared" si="53"/>
        <v>0</v>
      </c>
      <c r="AM282" s="6012">
        <f t="shared" si="53"/>
        <v>0</v>
      </c>
      <c r="AN282" s="6013">
        <f t="shared" si="53"/>
        <v>0</v>
      </c>
      <c r="AO282" s="6037"/>
      <c r="AP282" s="6037"/>
      <c r="AQ282" s="6038"/>
      <c r="AR282" s="6039"/>
      <c r="AS282" s="6038"/>
      <c r="AT282" s="6039"/>
      <c r="AU282" s="6040"/>
      <c r="AV282" s="6041"/>
      <c r="AW282" s="6042"/>
      <c r="AX282" s="6043"/>
    </row>
    <row r="283" spans="2:91" ht="15" customHeight="1" x14ac:dyDescent="0.3">
      <c r="B283" s="6405" t="s">
        <v>2644</v>
      </c>
      <c r="C283" s="5902" t="s">
        <v>62</v>
      </c>
      <c r="D283" s="5903">
        <f t="shared" si="50"/>
        <v>0</v>
      </c>
      <c r="E283" s="5904">
        <f t="shared" si="51"/>
        <v>0</v>
      </c>
      <c r="F283" s="5905">
        <f t="shared" si="51"/>
        <v>0</v>
      </c>
      <c r="G283" s="5999"/>
      <c r="H283" s="6000"/>
      <c r="I283" s="5999"/>
      <c r="J283" s="6000"/>
      <c r="K283" s="5999"/>
      <c r="L283" s="6000"/>
      <c r="M283" s="5999"/>
      <c r="N283" s="6000"/>
      <c r="O283" s="5999"/>
      <c r="P283" s="6000"/>
      <c r="Q283" s="5999"/>
      <c r="R283" s="6000"/>
      <c r="S283" s="5999"/>
      <c r="T283" s="6000"/>
      <c r="U283" s="5999"/>
      <c r="V283" s="6000"/>
      <c r="W283" s="5999"/>
      <c r="X283" s="6000"/>
      <c r="Y283" s="5999"/>
      <c r="Z283" s="6000"/>
      <c r="AA283" s="5999"/>
      <c r="AB283" s="6000"/>
      <c r="AC283" s="5999"/>
      <c r="AD283" s="6000"/>
      <c r="AE283" s="5999"/>
      <c r="AF283" s="6000"/>
      <c r="AG283" s="5999"/>
      <c r="AH283" s="6000"/>
      <c r="AI283" s="5999"/>
      <c r="AJ283" s="6000"/>
      <c r="AK283" s="5999"/>
      <c r="AL283" s="6000"/>
      <c r="AM283" s="5999"/>
      <c r="AN283" s="6001"/>
      <c r="AO283" s="6016"/>
      <c r="AP283" s="6016"/>
      <c r="AQ283" s="6017"/>
      <c r="AR283" s="6018"/>
      <c r="AS283" s="6017"/>
      <c r="AT283" s="6018"/>
      <c r="AU283" s="6017"/>
      <c r="AV283" s="6019"/>
      <c r="AW283" s="6020"/>
      <c r="AX283" s="6021"/>
    </row>
    <row r="284" spans="2:91" ht="15" customHeight="1" x14ac:dyDescent="0.3">
      <c r="B284" s="6406"/>
      <c r="C284" s="5906" t="s">
        <v>75</v>
      </c>
      <c r="D284" s="5907">
        <f t="shared" si="50"/>
        <v>0</v>
      </c>
      <c r="E284" s="5908">
        <f t="shared" si="51"/>
        <v>0</v>
      </c>
      <c r="F284" s="5909">
        <f t="shared" si="51"/>
        <v>0</v>
      </c>
      <c r="G284" s="6005"/>
      <c r="H284" s="6006"/>
      <c r="I284" s="6005"/>
      <c r="J284" s="6006"/>
      <c r="K284" s="6005"/>
      <c r="L284" s="6006"/>
      <c r="M284" s="6005"/>
      <c r="N284" s="6006"/>
      <c r="O284" s="6005"/>
      <c r="P284" s="6006"/>
      <c r="Q284" s="6005"/>
      <c r="R284" s="6006"/>
      <c r="S284" s="6005"/>
      <c r="T284" s="6006"/>
      <c r="U284" s="6005"/>
      <c r="V284" s="6006"/>
      <c r="W284" s="6005"/>
      <c r="X284" s="6006"/>
      <c r="Y284" s="6005"/>
      <c r="Z284" s="6006"/>
      <c r="AA284" s="6005"/>
      <c r="AB284" s="6006"/>
      <c r="AC284" s="6005"/>
      <c r="AD284" s="6006"/>
      <c r="AE284" s="6005"/>
      <c r="AF284" s="6006"/>
      <c r="AG284" s="6005"/>
      <c r="AH284" s="6006"/>
      <c r="AI284" s="6005"/>
      <c r="AJ284" s="6006"/>
      <c r="AK284" s="6005"/>
      <c r="AL284" s="6006"/>
      <c r="AM284" s="6005"/>
      <c r="AN284" s="6007"/>
      <c r="AO284" s="6022"/>
      <c r="AP284" s="6022"/>
      <c r="AQ284" s="6023"/>
      <c r="AR284" s="6024"/>
      <c r="AS284" s="6023"/>
      <c r="AT284" s="6024"/>
      <c r="AU284" s="6023"/>
      <c r="AV284" s="6025"/>
      <c r="AW284" s="6026"/>
      <c r="AX284" s="6027"/>
    </row>
    <row r="285" spans="2:91" ht="15" customHeight="1" x14ac:dyDescent="0.3">
      <c r="B285" s="6406"/>
      <c r="C285" s="5915" t="s">
        <v>2640</v>
      </c>
      <c r="D285" s="5916">
        <f t="shared" si="50"/>
        <v>0</v>
      </c>
      <c r="E285" s="5917">
        <f t="shared" si="51"/>
        <v>0</v>
      </c>
      <c r="F285" s="5918">
        <f t="shared" si="51"/>
        <v>0</v>
      </c>
      <c r="G285" s="6028"/>
      <c r="H285" s="6029"/>
      <c r="I285" s="6028"/>
      <c r="J285" s="6029"/>
      <c r="K285" s="6028"/>
      <c r="L285" s="6029"/>
      <c r="M285" s="6028"/>
      <c r="N285" s="6029"/>
      <c r="O285" s="6028"/>
      <c r="P285" s="6029"/>
      <c r="Q285" s="6028"/>
      <c r="R285" s="6029"/>
      <c r="S285" s="6028"/>
      <c r="T285" s="6029"/>
      <c r="U285" s="6028"/>
      <c r="V285" s="6029"/>
      <c r="W285" s="6028"/>
      <c r="X285" s="6029"/>
      <c r="Y285" s="6028"/>
      <c r="Z285" s="6029"/>
      <c r="AA285" s="6028"/>
      <c r="AB285" s="6029"/>
      <c r="AC285" s="6028"/>
      <c r="AD285" s="6029"/>
      <c r="AE285" s="6028"/>
      <c r="AF285" s="6029"/>
      <c r="AG285" s="6028"/>
      <c r="AH285" s="6029"/>
      <c r="AI285" s="6028"/>
      <c r="AJ285" s="6029"/>
      <c r="AK285" s="6028"/>
      <c r="AL285" s="6029"/>
      <c r="AM285" s="6028"/>
      <c r="AN285" s="6030"/>
      <c r="AO285" s="6031"/>
      <c r="AP285" s="6031"/>
      <c r="AQ285" s="6032"/>
      <c r="AR285" s="6033"/>
      <c r="AS285" s="6032"/>
      <c r="AT285" s="6033"/>
      <c r="AU285" s="6032"/>
      <c r="AV285" s="6034"/>
      <c r="AW285" s="6035"/>
      <c r="AX285" s="6036"/>
    </row>
    <row r="286" spans="2:91" ht="15" customHeight="1" x14ac:dyDescent="0.3">
      <c r="B286" s="6406"/>
      <c r="C286" s="5915" t="s">
        <v>2641</v>
      </c>
      <c r="D286" s="5916">
        <f t="shared" si="50"/>
        <v>0</v>
      </c>
      <c r="E286" s="5917">
        <f t="shared" si="51"/>
        <v>0</v>
      </c>
      <c r="F286" s="5918">
        <f t="shared" si="51"/>
        <v>0</v>
      </c>
      <c r="G286" s="6028"/>
      <c r="H286" s="6029"/>
      <c r="I286" s="6028"/>
      <c r="J286" s="6029"/>
      <c r="K286" s="6028"/>
      <c r="L286" s="6029"/>
      <c r="M286" s="6028"/>
      <c r="N286" s="6029"/>
      <c r="O286" s="6028"/>
      <c r="P286" s="6029"/>
      <c r="Q286" s="6028"/>
      <c r="R286" s="6029"/>
      <c r="S286" s="6028"/>
      <c r="T286" s="6029"/>
      <c r="U286" s="6028"/>
      <c r="V286" s="6029"/>
      <c r="W286" s="6028"/>
      <c r="X286" s="6029"/>
      <c r="Y286" s="6028"/>
      <c r="Z286" s="6029"/>
      <c r="AA286" s="6028"/>
      <c r="AB286" s="6029"/>
      <c r="AC286" s="6028"/>
      <c r="AD286" s="6029"/>
      <c r="AE286" s="6028"/>
      <c r="AF286" s="6029"/>
      <c r="AG286" s="6028"/>
      <c r="AH286" s="6029"/>
      <c r="AI286" s="6028"/>
      <c r="AJ286" s="6029"/>
      <c r="AK286" s="6028"/>
      <c r="AL286" s="6029"/>
      <c r="AM286" s="6028"/>
      <c r="AN286" s="6030"/>
      <c r="AO286" s="6031"/>
      <c r="AP286" s="6031"/>
      <c r="AQ286" s="6032"/>
      <c r="AR286" s="6033"/>
      <c r="AS286" s="6032"/>
      <c r="AT286" s="6033"/>
      <c r="AU286" s="6032"/>
      <c r="AV286" s="6034"/>
      <c r="AW286" s="6035"/>
      <c r="AX286" s="6036"/>
    </row>
    <row r="287" spans="2:91" ht="24" customHeight="1" x14ac:dyDescent="0.3">
      <c r="B287" s="6406"/>
      <c r="C287" s="5915" t="s">
        <v>2642</v>
      </c>
      <c r="D287" s="5916">
        <f t="shared" si="50"/>
        <v>0</v>
      </c>
      <c r="E287" s="5917">
        <f t="shared" si="51"/>
        <v>0</v>
      </c>
      <c r="F287" s="5918">
        <f t="shared" si="51"/>
        <v>0</v>
      </c>
      <c r="G287" s="6028"/>
      <c r="H287" s="6029"/>
      <c r="I287" s="6028"/>
      <c r="J287" s="6029"/>
      <c r="K287" s="6028"/>
      <c r="L287" s="6029"/>
      <c r="M287" s="6028"/>
      <c r="N287" s="6029"/>
      <c r="O287" s="6028"/>
      <c r="P287" s="6029"/>
      <c r="Q287" s="6028"/>
      <c r="R287" s="6029"/>
      <c r="S287" s="6028"/>
      <c r="T287" s="6029"/>
      <c r="U287" s="6028"/>
      <c r="V287" s="6029"/>
      <c r="W287" s="6028"/>
      <c r="X287" s="6029"/>
      <c r="Y287" s="6028"/>
      <c r="Z287" s="6029"/>
      <c r="AA287" s="6028"/>
      <c r="AB287" s="6029"/>
      <c r="AC287" s="6028"/>
      <c r="AD287" s="6029"/>
      <c r="AE287" s="6028"/>
      <c r="AF287" s="6029"/>
      <c r="AG287" s="6028"/>
      <c r="AH287" s="6029"/>
      <c r="AI287" s="6028"/>
      <c r="AJ287" s="6029"/>
      <c r="AK287" s="6028"/>
      <c r="AL287" s="6029"/>
      <c r="AM287" s="6028"/>
      <c r="AN287" s="6030"/>
      <c r="AO287" s="6031"/>
      <c r="AP287" s="6031"/>
      <c r="AQ287" s="6032"/>
      <c r="AR287" s="6033"/>
      <c r="AS287" s="6032"/>
      <c r="AT287" s="6033"/>
      <c r="AU287" s="6032"/>
      <c r="AV287" s="6034"/>
      <c r="AW287" s="6035"/>
      <c r="AX287" s="6036"/>
    </row>
    <row r="288" spans="2:91" ht="15" customHeight="1" x14ac:dyDescent="0.3">
      <c r="B288" s="6406"/>
      <c r="C288" s="5915" t="s">
        <v>2643</v>
      </c>
      <c r="D288" s="5916">
        <f t="shared" si="50"/>
        <v>0</v>
      </c>
      <c r="E288" s="5917">
        <f t="shared" si="51"/>
        <v>0</v>
      </c>
      <c r="F288" s="5918">
        <f t="shared" si="51"/>
        <v>0</v>
      </c>
      <c r="G288" s="6028"/>
      <c r="H288" s="6029"/>
      <c r="I288" s="6028"/>
      <c r="J288" s="6029"/>
      <c r="K288" s="6028"/>
      <c r="L288" s="6029"/>
      <c r="M288" s="6028"/>
      <c r="N288" s="6029"/>
      <c r="O288" s="6028"/>
      <c r="P288" s="6029"/>
      <c r="Q288" s="6028"/>
      <c r="R288" s="6029"/>
      <c r="S288" s="6028"/>
      <c r="T288" s="6029"/>
      <c r="U288" s="6028"/>
      <c r="V288" s="6029"/>
      <c r="W288" s="6028"/>
      <c r="X288" s="6029"/>
      <c r="Y288" s="6028"/>
      <c r="Z288" s="6029"/>
      <c r="AA288" s="6028"/>
      <c r="AB288" s="6029"/>
      <c r="AC288" s="6028"/>
      <c r="AD288" s="6029"/>
      <c r="AE288" s="6028"/>
      <c r="AF288" s="6029"/>
      <c r="AG288" s="6028"/>
      <c r="AH288" s="6029"/>
      <c r="AI288" s="6028"/>
      <c r="AJ288" s="6029"/>
      <c r="AK288" s="6028"/>
      <c r="AL288" s="6029"/>
      <c r="AM288" s="6028"/>
      <c r="AN288" s="6030"/>
      <c r="AO288" s="6031"/>
      <c r="AP288" s="6031"/>
      <c r="AQ288" s="6032"/>
      <c r="AR288" s="6033"/>
      <c r="AS288" s="6032"/>
      <c r="AT288" s="6033"/>
      <c r="AU288" s="6032"/>
      <c r="AV288" s="6034"/>
      <c r="AW288" s="6035"/>
      <c r="AX288" s="6036"/>
    </row>
    <row r="289" spans="2:50" ht="15" customHeight="1" x14ac:dyDescent="0.3">
      <c r="B289" s="6407"/>
      <c r="C289" s="5911" t="s">
        <v>2638</v>
      </c>
      <c r="D289" s="5912">
        <f t="shared" si="50"/>
        <v>0</v>
      </c>
      <c r="E289" s="5913">
        <f t="shared" si="51"/>
        <v>0</v>
      </c>
      <c r="F289" s="5914">
        <f t="shared" si="51"/>
        <v>0</v>
      </c>
      <c r="G289" s="6009">
        <f t="shared" ref="G289:AN289" si="54">SUM(G283:G288)</f>
        <v>0</v>
      </c>
      <c r="H289" s="6010">
        <f t="shared" si="54"/>
        <v>0</v>
      </c>
      <c r="I289" s="6009">
        <f t="shared" si="54"/>
        <v>0</v>
      </c>
      <c r="J289" s="6010">
        <f t="shared" si="54"/>
        <v>0</v>
      </c>
      <c r="K289" s="6009">
        <f t="shared" si="54"/>
        <v>0</v>
      </c>
      <c r="L289" s="6011">
        <f t="shared" si="54"/>
        <v>0</v>
      </c>
      <c r="M289" s="6009">
        <f t="shared" si="54"/>
        <v>0</v>
      </c>
      <c r="N289" s="6011">
        <f t="shared" si="54"/>
        <v>0</v>
      </c>
      <c r="O289" s="6009">
        <f t="shared" si="54"/>
        <v>0</v>
      </c>
      <c r="P289" s="6011">
        <f t="shared" si="54"/>
        <v>0</v>
      </c>
      <c r="Q289" s="6009">
        <f t="shared" si="54"/>
        <v>0</v>
      </c>
      <c r="R289" s="6011">
        <f t="shared" si="54"/>
        <v>0</v>
      </c>
      <c r="S289" s="6009">
        <f t="shared" si="54"/>
        <v>0</v>
      </c>
      <c r="T289" s="6011">
        <f t="shared" si="54"/>
        <v>0</v>
      </c>
      <c r="U289" s="6009">
        <f t="shared" si="54"/>
        <v>0</v>
      </c>
      <c r="V289" s="6011">
        <f t="shared" si="54"/>
        <v>0</v>
      </c>
      <c r="W289" s="6009">
        <f t="shared" si="54"/>
        <v>0</v>
      </c>
      <c r="X289" s="6011">
        <f t="shared" si="54"/>
        <v>0</v>
      </c>
      <c r="Y289" s="6009">
        <f t="shared" si="54"/>
        <v>0</v>
      </c>
      <c r="Z289" s="6011">
        <f t="shared" si="54"/>
        <v>0</v>
      </c>
      <c r="AA289" s="6009">
        <f t="shared" si="54"/>
        <v>0</v>
      </c>
      <c r="AB289" s="6011">
        <f t="shared" si="54"/>
        <v>0</v>
      </c>
      <c r="AC289" s="6009">
        <f t="shared" si="54"/>
        <v>0</v>
      </c>
      <c r="AD289" s="6011">
        <f t="shared" si="54"/>
        <v>0</v>
      </c>
      <c r="AE289" s="6009">
        <f t="shared" si="54"/>
        <v>0</v>
      </c>
      <c r="AF289" s="6011">
        <f t="shared" si="54"/>
        <v>0</v>
      </c>
      <c r="AG289" s="6009">
        <f t="shared" si="54"/>
        <v>0</v>
      </c>
      <c r="AH289" s="6011">
        <f t="shared" si="54"/>
        <v>0</v>
      </c>
      <c r="AI289" s="6009">
        <f t="shared" si="54"/>
        <v>0</v>
      </c>
      <c r="AJ289" s="6011">
        <f t="shared" si="54"/>
        <v>0</v>
      </c>
      <c r="AK289" s="6009">
        <f t="shared" si="54"/>
        <v>0</v>
      </c>
      <c r="AL289" s="6011">
        <f t="shared" si="54"/>
        <v>0</v>
      </c>
      <c r="AM289" s="6012">
        <f t="shared" si="54"/>
        <v>0</v>
      </c>
      <c r="AN289" s="6013">
        <f t="shared" si="54"/>
        <v>0</v>
      </c>
      <c r="AO289" s="6037"/>
      <c r="AP289" s="6037"/>
      <c r="AQ289" s="6038"/>
      <c r="AR289" s="6039"/>
      <c r="AS289" s="6038"/>
      <c r="AT289" s="6039"/>
      <c r="AU289" s="6040"/>
      <c r="AV289" s="6041"/>
      <c r="AW289" s="6042"/>
      <c r="AX289" s="6043"/>
    </row>
    <row r="290" spans="2:50" ht="15" customHeight="1" x14ac:dyDescent="0.3">
      <c r="B290" s="6405" t="s">
        <v>2645</v>
      </c>
      <c r="C290" s="5902" t="s">
        <v>62</v>
      </c>
      <c r="D290" s="5903">
        <f t="shared" si="50"/>
        <v>0</v>
      </c>
      <c r="E290" s="5904">
        <f t="shared" si="51"/>
        <v>0</v>
      </c>
      <c r="F290" s="5905">
        <f t="shared" si="51"/>
        <v>0</v>
      </c>
      <c r="G290" s="5999"/>
      <c r="H290" s="6000"/>
      <c r="I290" s="5999"/>
      <c r="J290" s="6000"/>
      <c r="K290" s="5999"/>
      <c r="L290" s="6000"/>
      <c r="M290" s="5999"/>
      <c r="N290" s="6000"/>
      <c r="O290" s="5999"/>
      <c r="P290" s="6000"/>
      <c r="Q290" s="5999"/>
      <c r="R290" s="6000"/>
      <c r="S290" s="5999"/>
      <c r="T290" s="6000"/>
      <c r="U290" s="5999"/>
      <c r="V290" s="6000"/>
      <c r="W290" s="5999"/>
      <c r="X290" s="6000"/>
      <c r="Y290" s="5999"/>
      <c r="Z290" s="6000"/>
      <c r="AA290" s="5999"/>
      <c r="AB290" s="6000"/>
      <c r="AC290" s="5999"/>
      <c r="AD290" s="6000"/>
      <c r="AE290" s="5999"/>
      <c r="AF290" s="6000"/>
      <c r="AG290" s="5999"/>
      <c r="AH290" s="6000"/>
      <c r="AI290" s="5999"/>
      <c r="AJ290" s="6000"/>
      <c r="AK290" s="5999"/>
      <c r="AL290" s="6000"/>
      <c r="AM290" s="5999"/>
      <c r="AN290" s="6001"/>
      <c r="AO290" s="6016"/>
      <c r="AP290" s="6016"/>
      <c r="AQ290" s="6017"/>
      <c r="AR290" s="6018"/>
      <c r="AS290" s="6017"/>
      <c r="AT290" s="6018"/>
      <c r="AU290" s="6017"/>
      <c r="AV290" s="6019"/>
      <c r="AW290" s="6020"/>
      <c r="AX290" s="6021"/>
    </row>
    <row r="291" spans="2:50" ht="15" customHeight="1" x14ac:dyDescent="0.3">
      <c r="B291" s="6406"/>
      <c r="C291" s="5906" t="s">
        <v>75</v>
      </c>
      <c r="D291" s="5907">
        <f t="shared" si="50"/>
        <v>0</v>
      </c>
      <c r="E291" s="5908">
        <f t="shared" si="51"/>
        <v>0</v>
      </c>
      <c r="F291" s="5909">
        <f t="shared" si="51"/>
        <v>0</v>
      </c>
      <c r="G291" s="6005"/>
      <c r="H291" s="6006"/>
      <c r="I291" s="6005"/>
      <c r="J291" s="6006"/>
      <c r="K291" s="6005"/>
      <c r="L291" s="6006"/>
      <c r="M291" s="6005"/>
      <c r="N291" s="6006"/>
      <c r="O291" s="6005"/>
      <c r="P291" s="6006"/>
      <c r="Q291" s="6005"/>
      <c r="R291" s="6006"/>
      <c r="S291" s="6005"/>
      <c r="T291" s="6006"/>
      <c r="U291" s="6005"/>
      <c r="V291" s="6006"/>
      <c r="W291" s="6005"/>
      <c r="X291" s="6006"/>
      <c r="Y291" s="6005"/>
      <c r="Z291" s="6006"/>
      <c r="AA291" s="6005"/>
      <c r="AB291" s="6006"/>
      <c r="AC291" s="6005"/>
      <c r="AD291" s="6006"/>
      <c r="AE291" s="6005"/>
      <c r="AF291" s="6006"/>
      <c r="AG291" s="6005"/>
      <c r="AH291" s="6006"/>
      <c r="AI291" s="6005"/>
      <c r="AJ291" s="6006"/>
      <c r="AK291" s="6005"/>
      <c r="AL291" s="6006"/>
      <c r="AM291" s="6005"/>
      <c r="AN291" s="6007"/>
      <c r="AO291" s="6022"/>
      <c r="AP291" s="6022"/>
      <c r="AQ291" s="6023"/>
      <c r="AR291" s="6024"/>
      <c r="AS291" s="6023"/>
      <c r="AT291" s="6024"/>
      <c r="AU291" s="6023"/>
      <c r="AV291" s="6025"/>
      <c r="AW291" s="6026"/>
      <c r="AX291" s="6027"/>
    </row>
    <row r="292" spans="2:50" ht="15" customHeight="1" x14ac:dyDescent="0.3">
      <c r="B292" s="6406"/>
      <c r="C292" s="5915" t="s">
        <v>2640</v>
      </c>
      <c r="D292" s="5916">
        <f t="shared" si="50"/>
        <v>0</v>
      </c>
      <c r="E292" s="5917">
        <f t="shared" si="51"/>
        <v>0</v>
      </c>
      <c r="F292" s="5918">
        <f t="shared" si="51"/>
        <v>0</v>
      </c>
      <c r="G292" s="6028"/>
      <c r="H292" s="6029"/>
      <c r="I292" s="6028"/>
      <c r="J292" s="6029"/>
      <c r="K292" s="6028"/>
      <c r="L292" s="6029"/>
      <c r="M292" s="6028"/>
      <c r="N292" s="6029"/>
      <c r="O292" s="6028"/>
      <c r="P292" s="6029"/>
      <c r="Q292" s="6028"/>
      <c r="R292" s="6029"/>
      <c r="S292" s="6028"/>
      <c r="T292" s="6029"/>
      <c r="U292" s="6028"/>
      <c r="V292" s="6029"/>
      <c r="W292" s="6028"/>
      <c r="X292" s="6029"/>
      <c r="Y292" s="6028"/>
      <c r="Z292" s="6029"/>
      <c r="AA292" s="6028"/>
      <c r="AB292" s="6029"/>
      <c r="AC292" s="6028"/>
      <c r="AD292" s="6029"/>
      <c r="AE292" s="6028"/>
      <c r="AF292" s="6029"/>
      <c r="AG292" s="6028"/>
      <c r="AH292" s="6029"/>
      <c r="AI292" s="6028"/>
      <c r="AJ292" s="6029"/>
      <c r="AK292" s="6028"/>
      <c r="AL292" s="6029"/>
      <c r="AM292" s="6028"/>
      <c r="AN292" s="6030"/>
      <c r="AO292" s="6031"/>
      <c r="AP292" s="6031"/>
      <c r="AQ292" s="6032"/>
      <c r="AR292" s="6033"/>
      <c r="AS292" s="6032"/>
      <c r="AT292" s="6033"/>
      <c r="AU292" s="6032"/>
      <c r="AV292" s="6034"/>
      <c r="AW292" s="6035"/>
      <c r="AX292" s="6036"/>
    </row>
    <row r="293" spans="2:50" ht="15" customHeight="1" x14ac:dyDescent="0.3">
      <c r="B293" s="6406"/>
      <c r="C293" s="5915" t="s">
        <v>2641</v>
      </c>
      <c r="D293" s="5916">
        <f t="shared" si="50"/>
        <v>0</v>
      </c>
      <c r="E293" s="5917">
        <f t="shared" si="51"/>
        <v>0</v>
      </c>
      <c r="F293" s="5918">
        <f t="shared" si="51"/>
        <v>0</v>
      </c>
      <c r="G293" s="6028"/>
      <c r="H293" s="6029"/>
      <c r="I293" s="6028"/>
      <c r="J293" s="6029"/>
      <c r="K293" s="6028"/>
      <c r="L293" s="6029"/>
      <c r="M293" s="6028"/>
      <c r="N293" s="6029"/>
      <c r="O293" s="6028"/>
      <c r="P293" s="6029"/>
      <c r="Q293" s="6028"/>
      <c r="R293" s="6029"/>
      <c r="S293" s="6028"/>
      <c r="T293" s="6029"/>
      <c r="U293" s="6028"/>
      <c r="V293" s="6029"/>
      <c r="W293" s="6028"/>
      <c r="X293" s="6029"/>
      <c r="Y293" s="6028"/>
      <c r="Z293" s="6029"/>
      <c r="AA293" s="6028"/>
      <c r="AB293" s="6029"/>
      <c r="AC293" s="6028"/>
      <c r="AD293" s="6029"/>
      <c r="AE293" s="6028"/>
      <c r="AF293" s="6029"/>
      <c r="AG293" s="6028"/>
      <c r="AH293" s="6029"/>
      <c r="AI293" s="6028"/>
      <c r="AJ293" s="6029"/>
      <c r="AK293" s="6028"/>
      <c r="AL293" s="6029"/>
      <c r="AM293" s="6028"/>
      <c r="AN293" s="6030"/>
      <c r="AO293" s="6031"/>
      <c r="AP293" s="6031"/>
      <c r="AQ293" s="6032"/>
      <c r="AR293" s="6033"/>
      <c r="AS293" s="6032"/>
      <c r="AT293" s="6033"/>
      <c r="AU293" s="6032"/>
      <c r="AV293" s="6034"/>
      <c r="AW293" s="6035"/>
      <c r="AX293" s="6036"/>
    </row>
    <row r="294" spans="2:50" ht="22.5" customHeight="1" x14ac:dyDescent="0.3">
      <c r="B294" s="6406"/>
      <c r="C294" s="5915" t="s">
        <v>2642</v>
      </c>
      <c r="D294" s="5916">
        <f t="shared" si="50"/>
        <v>0</v>
      </c>
      <c r="E294" s="5917">
        <f t="shared" si="51"/>
        <v>0</v>
      </c>
      <c r="F294" s="5918">
        <f t="shared" si="51"/>
        <v>0</v>
      </c>
      <c r="G294" s="6028"/>
      <c r="H294" s="6029"/>
      <c r="I294" s="6028"/>
      <c r="J294" s="6029"/>
      <c r="K294" s="6028"/>
      <c r="L294" s="6029"/>
      <c r="M294" s="6028"/>
      <c r="N294" s="6029"/>
      <c r="O294" s="6028"/>
      <c r="P294" s="6029"/>
      <c r="Q294" s="6028"/>
      <c r="R294" s="6029"/>
      <c r="S294" s="6028"/>
      <c r="T294" s="6029"/>
      <c r="U294" s="6028"/>
      <c r="V294" s="6029"/>
      <c r="W294" s="6028"/>
      <c r="X294" s="6029"/>
      <c r="Y294" s="6028"/>
      <c r="Z294" s="6029"/>
      <c r="AA294" s="6028"/>
      <c r="AB294" s="6029"/>
      <c r="AC294" s="6028"/>
      <c r="AD294" s="6029"/>
      <c r="AE294" s="6028"/>
      <c r="AF294" s="6029"/>
      <c r="AG294" s="6028"/>
      <c r="AH294" s="6029"/>
      <c r="AI294" s="6028"/>
      <c r="AJ294" s="6029"/>
      <c r="AK294" s="6028"/>
      <c r="AL294" s="6029"/>
      <c r="AM294" s="6028"/>
      <c r="AN294" s="6030"/>
      <c r="AO294" s="6031"/>
      <c r="AP294" s="6031"/>
      <c r="AQ294" s="6032"/>
      <c r="AR294" s="6033"/>
      <c r="AS294" s="6032"/>
      <c r="AT294" s="6033"/>
      <c r="AU294" s="6032"/>
      <c r="AV294" s="6034"/>
      <c r="AW294" s="6035"/>
      <c r="AX294" s="6036"/>
    </row>
    <row r="295" spans="2:50" ht="15" customHeight="1" x14ac:dyDescent="0.3">
      <c r="B295" s="6406"/>
      <c r="C295" s="5915" t="s">
        <v>76</v>
      </c>
      <c r="D295" s="5916">
        <f t="shared" si="50"/>
        <v>0</v>
      </c>
      <c r="E295" s="5917">
        <f t="shared" si="51"/>
        <v>0</v>
      </c>
      <c r="F295" s="5918">
        <f t="shared" si="51"/>
        <v>0</v>
      </c>
      <c r="G295" s="6028"/>
      <c r="H295" s="6029"/>
      <c r="I295" s="6028"/>
      <c r="J295" s="6029"/>
      <c r="K295" s="6028"/>
      <c r="L295" s="6029"/>
      <c r="M295" s="6028"/>
      <c r="N295" s="6029"/>
      <c r="O295" s="6028"/>
      <c r="P295" s="6029"/>
      <c r="Q295" s="6028"/>
      <c r="R295" s="6029"/>
      <c r="S295" s="6028"/>
      <c r="T295" s="6029"/>
      <c r="U295" s="6028"/>
      <c r="V295" s="6029"/>
      <c r="W295" s="6028"/>
      <c r="X295" s="6029"/>
      <c r="Y295" s="6028"/>
      <c r="Z295" s="6029"/>
      <c r="AA295" s="6028"/>
      <c r="AB295" s="6029"/>
      <c r="AC295" s="6028"/>
      <c r="AD295" s="6029"/>
      <c r="AE295" s="6028"/>
      <c r="AF295" s="6029"/>
      <c r="AG295" s="6028"/>
      <c r="AH295" s="6029"/>
      <c r="AI295" s="6028"/>
      <c r="AJ295" s="6029"/>
      <c r="AK295" s="6028"/>
      <c r="AL295" s="6029"/>
      <c r="AM295" s="6028"/>
      <c r="AN295" s="6030"/>
      <c r="AO295" s="6031"/>
      <c r="AP295" s="6031"/>
      <c r="AQ295" s="6032"/>
      <c r="AR295" s="6033"/>
      <c r="AS295" s="6032"/>
      <c r="AT295" s="6033"/>
      <c r="AU295" s="6032"/>
      <c r="AV295" s="6034"/>
      <c r="AW295" s="6035"/>
      <c r="AX295" s="6036"/>
    </row>
    <row r="296" spans="2:50" ht="15" customHeight="1" x14ac:dyDescent="0.3">
      <c r="B296" s="6406"/>
      <c r="C296" s="5915" t="s">
        <v>277</v>
      </c>
      <c r="D296" s="5916">
        <f t="shared" si="50"/>
        <v>0</v>
      </c>
      <c r="E296" s="5917">
        <f t="shared" si="51"/>
        <v>0</v>
      </c>
      <c r="F296" s="5918">
        <f t="shared" si="51"/>
        <v>0</v>
      </c>
      <c r="G296" s="6028"/>
      <c r="H296" s="6029"/>
      <c r="I296" s="6028"/>
      <c r="J296" s="6029"/>
      <c r="K296" s="6028"/>
      <c r="L296" s="6029"/>
      <c r="M296" s="6028"/>
      <c r="N296" s="6029"/>
      <c r="O296" s="6028"/>
      <c r="P296" s="6029"/>
      <c r="Q296" s="6028"/>
      <c r="R296" s="6029"/>
      <c r="S296" s="6028"/>
      <c r="T296" s="6029"/>
      <c r="U296" s="6028"/>
      <c r="V296" s="6029"/>
      <c r="W296" s="6028"/>
      <c r="X296" s="6029"/>
      <c r="Y296" s="6028"/>
      <c r="Z296" s="6029"/>
      <c r="AA296" s="6028"/>
      <c r="AB296" s="6029"/>
      <c r="AC296" s="6028"/>
      <c r="AD296" s="6029"/>
      <c r="AE296" s="6028"/>
      <c r="AF296" s="6029"/>
      <c r="AG296" s="6028"/>
      <c r="AH296" s="6029"/>
      <c r="AI296" s="6028"/>
      <c r="AJ296" s="6029"/>
      <c r="AK296" s="6028"/>
      <c r="AL296" s="6029"/>
      <c r="AM296" s="6028"/>
      <c r="AN296" s="6030"/>
      <c r="AO296" s="6031"/>
      <c r="AP296" s="6031"/>
      <c r="AQ296" s="6032"/>
      <c r="AR296" s="6033"/>
      <c r="AS296" s="6032"/>
      <c r="AT296" s="6033"/>
      <c r="AU296" s="6032"/>
      <c r="AV296" s="6034"/>
      <c r="AW296" s="6035"/>
      <c r="AX296" s="6036"/>
    </row>
    <row r="297" spans="2:50" ht="15" customHeight="1" x14ac:dyDescent="0.3">
      <c r="B297" s="6406"/>
      <c r="C297" s="5915" t="s">
        <v>79</v>
      </c>
      <c r="D297" s="5916">
        <f t="shared" si="50"/>
        <v>0</v>
      </c>
      <c r="E297" s="5917">
        <f t="shared" si="51"/>
        <v>0</v>
      </c>
      <c r="F297" s="5918">
        <f t="shared" si="51"/>
        <v>0</v>
      </c>
      <c r="G297" s="6028"/>
      <c r="H297" s="6029"/>
      <c r="I297" s="6028"/>
      <c r="J297" s="6029"/>
      <c r="K297" s="6028"/>
      <c r="L297" s="6029"/>
      <c r="M297" s="6028"/>
      <c r="N297" s="6029"/>
      <c r="O297" s="6028"/>
      <c r="P297" s="6029"/>
      <c r="Q297" s="6028"/>
      <c r="R297" s="6029"/>
      <c r="S297" s="6028"/>
      <c r="T297" s="6029"/>
      <c r="U297" s="6028"/>
      <c r="V297" s="6029"/>
      <c r="W297" s="6028"/>
      <c r="X297" s="6029"/>
      <c r="Y297" s="6028"/>
      <c r="Z297" s="6029"/>
      <c r="AA297" s="6028"/>
      <c r="AB297" s="6029"/>
      <c r="AC297" s="6028"/>
      <c r="AD297" s="6029"/>
      <c r="AE297" s="6028"/>
      <c r="AF297" s="6029"/>
      <c r="AG297" s="6028"/>
      <c r="AH297" s="6029"/>
      <c r="AI297" s="6028"/>
      <c r="AJ297" s="6029"/>
      <c r="AK297" s="6028"/>
      <c r="AL297" s="6029"/>
      <c r="AM297" s="6028"/>
      <c r="AN297" s="6030"/>
      <c r="AO297" s="6031"/>
      <c r="AP297" s="6031"/>
      <c r="AQ297" s="6032"/>
      <c r="AR297" s="6033"/>
      <c r="AS297" s="6032"/>
      <c r="AT297" s="6033"/>
      <c r="AU297" s="6032"/>
      <c r="AV297" s="6034"/>
      <c r="AW297" s="6035"/>
      <c r="AX297" s="6036"/>
    </row>
    <row r="298" spans="2:50" ht="15" customHeight="1" x14ac:dyDescent="0.3">
      <c r="B298" s="6406"/>
      <c r="C298" s="5915" t="s">
        <v>632</v>
      </c>
      <c r="D298" s="5916">
        <f t="shared" si="50"/>
        <v>0</v>
      </c>
      <c r="E298" s="5917">
        <f t="shared" si="51"/>
        <v>0</v>
      </c>
      <c r="F298" s="5918">
        <f t="shared" si="51"/>
        <v>0</v>
      </c>
      <c r="G298" s="6028"/>
      <c r="H298" s="6029"/>
      <c r="I298" s="6028"/>
      <c r="J298" s="6029"/>
      <c r="K298" s="6028"/>
      <c r="L298" s="6029"/>
      <c r="M298" s="6028"/>
      <c r="N298" s="6029"/>
      <c r="O298" s="6028"/>
      <c r="P298" s="6029"/>
      <c r="Q298" s="6028"/>
      <c r="R298" s="6029"/>
      <c r="S298" s="6028"/>
      <c r="T298" s="6029"/>
      <c r="U298" s="6028"/>
      <c r="V298" s="6029"/>
      <c r="W298" s="6028"/>
      <c r="X298" s="6029"/>
      <c r="Y298" s="6028"/>
      <c r="Z298" s="6029"/>
      <c r="AA298" s="6028"/>
      <c r="AB298" s="6029"/>
      <c r="AC298" s="6028"/>
      <c r="AD298" s="6029"/>
      <c r="AE298" s="6028"/>
      <c r="AF298" s="6029"/>
      <c r="AG298" s="6028"/>
      <c r="AH298" s="6029"/>
      <c r="AI298" s="6028"/>
      <c r="AJ298" s="6029"/>
      <c r="AK298" s="6028"/>
      <c r="AL298" s="6029"/>
      <c r="AM298" s="6028"/>
      <c r="AN298" s="6030"/>
      <c r="AO298" s="6031"/>
      <c r="AP298" s="6031"/>
      <c r="AQ298" s="6032"/>
      <c r="AR298" s="6033"/>
      <c r="AS298" s="6032"/>
      <c r="AT298" s="6033"/>
      <c r="AU298" s="6032"/>
      <c r="AV298" s="6034"/>
      <c r="AW298" s="6035"/>
      <c r="AX298" s="6036"/>
    </row>
    <row r="299" spans="2:50" ht="15" customHeight="1" x14ac:dyDescent="0.3">
      <c r="B299" s="6406"/>
      <c r="C299" s="5915" t="s">
        <v>81</v>
      </c>
      <c r="D299" s="5916">
        <f t="shared" si="50"/>
        <v>0</v>
      </c>
      <c r="E299" s="5917">
        <f t="shared" si="51"/>
        <v>0</v>
      </c>
      <c r="F299" s="5918">
        <f t="shared" si="51"/>
        <v>0</v>
      </c>
      <c r="G299" s="6028"/>
      <c r="H299" s="6029"/>
      <c r="I299" s="6028"/>
      <c r="J299" s="6029"/>
      <c r="K299" s="6028"/>
      <c r="L299" s="6029"/>
      <c r="M299" s="6028"/>
      <c r="N299" s="6029"/>
      <c r="O299" s="6028"/>
      <c r="P299" s="6029"/>
      <c r="Q299" s="6028"/>
      <c r="R299" s="6029"/>
      <c r="S299" s="6028"/>
      <c r="T299" s="6029"/>
      <c r="U299" s="6028"/>
      <c r="V299" s="6029"/>
      <c r="W299" s="6028"/>
      <c r="X299" s="6029"/>
      <c r="Y299" s="6028"/>
      <c r="Z299" s="6029"/>
      <c r="AA299" s="6028"/>
      <c r="AB299" s="6029"/>
      <c r="AC299" s="6028"/>
      <c r="AD299" s="6029"/>
      <c r="AE299" s="6028"/>
      <c r="AF299" s="6029"/>
      <c r="AG299" s="6028"/>
      <c r="AH299" s="6029"/>
      <c r="AI299" s="6028"/>
      <c r="AJ299" s="6029"/>
      <c r="AK299" s="6028"/>
      <c r="AL299" s="6029"/>
      <c r="AM299" s="6028"/>
      <c r="AN299" s="6030"/>
      <c r="AO299" s="6031"/>
      <c r="AP299" s="6031"/>
      <c r="AQ299" s="6032"/>
      <c r="AR299" s="6033"/>
      <c r="AS299" s="6032"/>
      <c r="AT299" s="6033"/>
      <c r="AU299" s="6032"/>
      <c r="AV299" s="6034"/>
      <c r="AW299" s="6035"/>
      <c r="AX299" s="6036"/>
    </row>
    <row r="300" spans="2:50" ht="15" customHeight="1" x14ac:dyDescent="0.3">
      <c r="B300" s="6406"/>
      <c r="C300" s="5915" t="s">
        <v>2643</v>
      </c>
      <c r="D300" s="5916">
        <f t="shared" si="50"/>
        <v>0</v>
      </c>
      <c r="E300" s="5917">
        <f t="shared" si="51"/>
        <v>0</v>
      </c>
      <c r="F300" s="5918">
        <f t="shared" si="51"/>
        <v>0</v>
      </c>
      <c r="G300" s="6028"/>
      <c r="H300" s="6029"/>
      <c r="I300" s="6028"/>
      <c r="J300" s="6029"/>
      <c r="K300" s="6028"/>
      <c r="L300" s="6029"/>
      <c r="M300" s="6028"/>
      <c r="N300" s="6029"/>
      <c r="O300" s="6028"/>
      <c r="P300" s="6029"/>
      <c r="Q300" s="6028"/>
      <c r="R300" s="6029"/>
      <c r="S300" s="6028"/>
      <c r="T300" s="6029"/>
      <c r="U300" s="6028"/>
      <c r="V300" s="6029"/>
      <c r="W300" s="6028"/>
      <c r="X300" s="6029"/>
      <c r="Y300" s="6028"/>
      <c r="Z300" s="6029"/>
      <c r="AA300" s="6028"/>
      <c r="AB300" s="6029"/>
      <c r="AC300" s="6028"/>
      <c r="AD300" s="6029"/>
      <c r="AE300" s="6028"/>
      <c r="AF300" s="6029"/>
      <c r="AG300" s="6028"/>
      <c r="AH300" s="6029"/>
      <c r="AI300" s="6028"/>
      <c r="AJ300" s="6029"/>
      <c r="AK300" s="6028"/>
      <c r="AL300" s="6029"/>
      <c r="AM300" s="6028"/>
      <c r="AN300" s="6030"/>
      <c r="AO300" s="6031"/>
      <c r="AP300" s="6031"/>
      <c r="AQ300" s="6032"/>
      <c r="AR300" s="6033"/>
      <c r="AS300" s="6032"/>
      <c r="AT300" s="6033"/>
      <c r="AU300" s="6032"/>
      <c r="AV300" s="6034"/>
      <c r="AW300" s="6035"/>
      <c r="AX300" s="6036"/>
    </row>
    <row r="301" spans="2:50" ht="15" customHeight="1" x14ac:dyDescent="0.3">
      <c r="B301" s="6407"/>
      <c r="C301" s="5911" t="s">
        <v>2638</v>
      </c>
      <c r="D301" s="5912">
        <f t="shared" si="50"/>
        <v>0</v>
      </c>
      <c r="E301" s="5913">
        <f t="shared" si="51"/>
        <v>0</v>
      </c>
      <c r="F301" s="5914">
        <f t="shared" si="51"/>
        <v>0</v>
      </c>
      <c r="G301" s="6009">
        <f t="shared" ref="G301:AN301" si="55">SUM(G290:G300)</f>
        <v>0</v>
      </c>
      <c r="H301" s="6010">
        <f t="shared" si="55"/>
        <v>0</v>
      </c>
      <c r="I301" s="6009">
        <f t="shared" si="55"/>
        <v>0</v>
      </c>
      <c r="J301" s="6010">
        <f t="shared" si="55"/>
        <v>0</v>
      </c>
      <c r="K301" s="6009">
        <f t="shared" si="55"/>
        <v>0</v>
      </c>
      <c r="L301" s="6011">
        <f t="shared" si="55"/>
        <v>0</v>
      </c>
      <c r="M301" s="6009">
        <f t="shared" si="55"/>
        <v>0</v>
      </c>
      <c r="N301" s="6011">
        <f t="shared" si="55"/>
        <v>0</v>
      </c>
      <c r="O301" s="6009">
        <f t="shared" si="55"/>
        <v>0</v>
      </c>
      <c r="P301" s="6011">
        <f t="shared" si="55"/>
        <v>0</v>
      </c>
      <c r="Q301" s="6009">
        <f t="shared" si="55"/>
        <v>0</v>
      </c>
      <c r="R301" s="6011">
        <f t="shared" si="55"/>
        <v>0</v>
      </c>
      <c r="S301" s="6009">
        <f t="shared" si="55"/>
        <v>0</v>
      </c>
      <c r="T301" s="6011">
        <f t="shared" si="55"/>
        <v>0</v>
      </c>
      <c r="U301" s="6009">
        <f t="shared" si="55"/>
        <v>0</v>
      </c>
      <c r="V301" s="6011">
        <f t="shared" si="55"/>
        <v>0</v>
      </c>
      <c r="W301" s="6009">
        <f t="shared" si="55"/>
        <v>0</v>
      </c>
      <c r="X301" s="6011">
        <f t="shared" si="55"/>
        <v>0</v>
      </c>
      <c r="Y301" s="6009">
        <f t="shared" si="55"/>
        <v>0</v>
      </c>
      <c r="Z301" s="6011">
        <f t="shared" si="55"/>
        <v>0</v>
      </c>
      <c r="AA301" s="6009">
        <f t="shared" si="55"/>
        <v>0</v>
      </c>
      <c r="AB301" s="6011">
        <f t="shared" si="55"/>
        <v>0</v>
      </c>
      <c r="AC301" s="6009">
        <f t="shared" si="55"/>
        <v>0</v>
      </c>
      <c r="AD301" s="6011">
        <f t="shared" si="55"/>
        <v>0</v>
      </c>
      <c r="AE301" s="6009">
        <f t="shared" si="55"/>
        <v>0</v>
      </c>
      <c r="AF301" s="6011">
        <f t="shared" si="55"/>
        <v>0</v>
      </c>
      <c r="AG301" s="6009">
        <f t="shared" si="55"/>
        <v>0</v>
      </c>
      <c r="AH301" s="6011">
        <f t="shared" si="55"/>
        <v>0</v>
      </c>
      <c r="AI301" s="6009">
        <f t="shared" si="55"/>
        <v>0</v>
      </c>
      <c r="AJ301" s="6011">
        <f t="shared" si="55"/>
        <v>0</v>
      </c>
      <c r="AK301" s="6009">
        <f t="shared" si="55"/>
        <v>0</v>
      </c>
      <c r="AL301" s="6011">
        <f t="shared" si="55"/>
        <v>0</v>
      </c>
      <c r="AM301" s="6012">
        <f t="shared" si="55"/>
        <v>0</v>
      </c>
      <c r="AN301" s="6013">
        <f t="shared" si="55"/>
        <v>0</v>
      </c>
      <c r="AO301" s="6037"/>
      <c r="AP301" s="6037"/>
      <c r="AQ301" s="6038"/>
      <c r="AR301" s="6039"/>
      <c r="AS301" s="6038"/>
      <c r="AT301" s="6039"/>
      <c r="AU301" s="6040"/>
      <c r="AV301" s="6041"/>
      <c r="AW301" s="6042"/>
      <c r="AX301" s="6043"/>
    </row>
    <row r="302" spans="2:50" ht="15" customHeight="1" x14ac:dyDescent="0.3">
      <c r="B302" s="6405" t="s">
        <v>2646</v>
      </c>
      <c r="C302" s="5902" t="s">
        <v>62</v>
      </c>
      <c r="D302" s="5903">
        <f t="shared" si="50"/>
        <v>0</v>
      </c>
      <c r="E302" s="5904">
        <f t="shared" si="51"/>
        <v>0</v>
      </c>
      <c r="F302" s="5905">
        <f t="shared" si="51"/>
        <v>0</v>
      </c>
      <c r="G302" s="5999"/>
      <c r="H302" s="6000"/>
      <c r="I302" s="5999"/>
      <c r="J302" s="6000"/>
      <c r="K302" s="5999"/>
      <c r="L302" s="6000"/>
      <c r="M302" s="5999"/>
      <c r="N302" s="6000"/>
      <c r="O302" s="5999"/>
      <c r="P302" s="6000"/>
      <c r="Q302" s="5999"/>
      <c r="R302" s="6000"/>
      <c r="S302" s="5999"/>
      <c r="T302" s="6000"/>
      <c r="U302" s="5999"/>
      <c r="V302" s="6000"/>
      <c r="W302" s="5999"/>
      <c r="X302" s="6000"/>
      <c r="Y302" s="5999"/>
      <c r="Z302" s="6000"/>
      <c r="AA302" s="5999"/>
      <c r="AB302" s="6000"/>
      <c r="AC302" s="5999"/>
      <c r="AD302" s="6000"/>
      <c r="AE302" s="5999"/>
      <c r="AF302" s="6000"/>
      <c r="AG302" s="5999"/>
      <c r="AH302" s="6000"/>
      <c r="AI302" s="5999"/>
      <c r="AJ302" s="6000"/>
      <c r="AK302" s="5999"/>
      <c r="AL302" s="6000"/>
      <c r="AM302" s="5999"/>
      <c r="AN302" s="6001"/>
      <c r="AO302" s="6016"/>
      <c r="AP302" s="6016"/>
      <c r="AQ302" s="6017"/>
      <c r="AR302" s="6018"/>
      <c r="AS302" s="6017"/>
      <c r="AT302" s="6018"/>
      <c r="AU302" s="6017"/>
      <c r="AV302" s="6019"/>
      <c r="AW302" s="6020"/>
      <c r="AX302" s="6021"/>
    </row>
    <row r="303" spans="2:50" ht="15" customHeight="1" x14ac:dyDescent="0.3">
      <c r="B303" s="6406"/>
      <c r="C303" s="5906" t="s">
        <v>75</v>
      </c>
      <c r="D303" s="5907">
        <f t="shared" si="50"/>
        <v>0</v>
      </c>
      <c r="E303" s="5908">
        <f t="shared" si="51"/>
        <v>0</v>
      </c>
      <c r="F303" s="5909">
        <f t="shared" si="51"/>
        <v>0</v>
      </c>
      <c r="G303" s="6005"/>
      <c r="H303" s="6006"/>
      <c r="I303" s="6005"/>
      <c r="J303" s="6006"/>
      <c r="K303" s="6005"/>
      <c r="L303" s="6006"/>
      <c r="M303" s="6005"/>
      <c r="N303" s="6006"/>
      <c r="O303" s="6005"/>
      <c r="P303" s="6006"/>
      <c r="Q303" s="6005"/>
      <c r="R303" s="6006"/>
      <c r="S303" s="6005"/>
      <c r="T303" s="6006"/>
      <c r="U303" s="6005"/>
      <c r="V303" s="6006"/>
      <c r="W303" s="6005"/>
      <c r="X303" s="6006"/>
      <c r="Y303" s="6005"/>
      <c r="Z303" s="6006"/>
      <c r="AA303" s="6005"/>
      <c r="AB303" s="6006"/>
      <c r="AC303" s="6005"/>
      <c r="AD303" s="6006"/>
      <c r="AE303" s="6005"/>
      <c r="AF303" s="6006"/>
      <c r="AG303" s="6005"/>
      <c r="AH303" s="6006"/>
      <c r="AI303" s="6005"/>
      <c r="AJ303" s="6006"/>
      <c r="AK303" s="6005"/>
      <c r="AL303" s="6006"/>
      <c r="AM303" s="6005"/>
      <c r="AN303" s="6007"/>
      <c r="AO303" s="6022"/>
      <c r="AP303" s="6022"/>
      <c r="AQ303" s="6023"/>
      <c r="AR303" s="6024"/>
      <c r="AS303" s="6023"/>
      <c r="AT303" s="6024"/>
      <c r="AU303" s="6023"/>
      <c r="AV303" s="6025"/>
      <c r="AW303" s="6026"/>
      <c r="AX303" s="6027"/>
    </row>
    <row r="304" spans="2:50" ht="15" customHeight="1" x14ac:dyDescent="0.3">
      <c r="B304" s="6406"/>
      <c r="C304" s="5915" t="s">
        <v>2640</v>
      </c>
      <c r="D304" s="5916">
        <f t="shared" si="50"/>
        <v>0</v>
      </c>
      <c r="E304" s="5917">
        <f t="shared" si="51"/>
        <v>0</v>
      </c>
      <c r="F304" s="5918">
        <f t="shared" si="51"/>
        <v>0</v>
      </c>
      <c r="G304" s="6028"/>
      <c r="H304" s="6029"/>
      <c r="I304" s="6028"/>
      <c r="J304" s="6029"/>
      <c r="K304" s="6028"/>
      <c r="L304" s="6029"/>
      <c r="M304" s="6028"/>
      <c r="N304" s="6029"/>
      <c r="O304" s="6028"/>
      <c r="P304" s="6029"/>
      <c r="Q304" s="6028"/>
      <c r="R304" s="6029"/>
      <c r="S304" s="6028"/>
      <c r="T304" s="6029"/>
      <c r="U304" s="6028"/>
      <c r="V304" s="6029"/>
      <c r="W304" s="6028"/>
      <c r="X304" s="6029"/>
      <c r="Y304" s="6028"/>
      <c r="Z304" s="6029"/>
      <c r="AA304" s="6028"/>
      <c r="AB304" s="6029"/>
      <c r="AC304" s="6028"/>
      <c r="AD304" s="6029"/>
      <c r="AE304" s="6028"/>
      <c r="AF304" s="6029"/>
      <c r="AG304" s="6028"/>
      <c r="AH304" s="6029"/>
      <c r="AI304" s="6028"/>
      <c r="AJ304" s="6029"/>
      <c r="AK304" s="6028"/>
      <c r="AL304" s="6029"/>
      <c r="AM304" s="6028"/>
      <c r="AN304" s="6030"/>
      <c r="AO304" s="6031"/>
      <c r="AP304" s="6031"/>
      <c r="AQ304" s="6032"/>
      <c r="AR304" s="6033"/>
      <c r="AS304" s="6032"/>
      <c r="AT304" s="6033"/>
      <c r="AU304" s="6032"/>
      <c r="AV304" s="6034"/>
      <c r="AW304" s="6035"/>
      <c r="AX304" s="6036"/>
    </row>
    <row r="305" spans="2:50" ht="15" customHeight="1" x14ac:dyDescent="0.3">
      <c r="B305" s="6406"/>
      <c r="C305" s="5915" t="s">
        <v>2641</v>
      </c>
      <c r="D305" s="5916">
        <f t="shared" si="50"/>
        <v>0</v>
      </c>
      <c r="E305" s="5917">
        <f t="shared" ref="E305:F321" si="56">SUM(G305,I305,K305,M305,O305,Q305,S305,U305,W305,Y305,AA305,AC305,AE305,AG305,AI305,AK305,AM305)</f>
        <v>0</v>
      </c>
      <c r="F305" s="5918">
        <f t="shared" si="56"/>
        <v>0</v>
      </c>
      <c r="G305" s="6028"/>
      <c r="H305" s="6029"/>
      <c r="I305" s="6028"/>
      <c r="J305" s="6029"/>
      <c r="K305" s="6028"/>
      <c r="L305" s="6029"/>
      <c r="M305" s="6028"/>
      <c r="N305" s="6029"/>
      <c r="O305" s="6028"/>
      <c r="P305" s="6029"/>
      <c r="Q305" s="6028"/>
      <c r="R305" s="6029"/>
      <c r="S305" s="6028"/>
      <c r="T305" s="6029"/>
      <c r="U305" s="6028"/>
      <c r="V305" s="6029"/>
      <c r="W305" s="6028"/>
      <c r="X305" s="6029"/>
      <c r="Y305" s="6028"/>
      <c r="Z305" s="6029"/>
      <c r="AA305" s="6028"/>
      <c r="AB305" s="6029"/>
      <c r="AC305" s="6028"/>
      <c r="AD305" s="6029"/>
      <c r="AE305" s="6028"/>
      <c r="AF305" s="6029"/>
      <c r="AG305" s="6028"/>
      <c r="AH305" s="6029"/>
      <c r="AI305" s="6028"/>
      <c r="AJ305" s="6029"/>
      <c r="AK305" s="6028"/>
      <c r="AL305" s="6029"/>
      <c r="AM305" s="6028"/>
      <c r="AN305" s="6030"/>
      <c r="AO305" s="6031"/>
      <c r="AP305" s="6031"/>
      <c r="AQ305" s="6032"/>
      <c r="AR305" s="6033"/>
      <c r="AS305" s="6032"/>
      <c r="AT305" s="6033"/>
      <c r="AU305" s="6032"/>
      <c r="AV305" s="6034"/>
      <c r="AW305" s="6035"/>
      <c r="AX305" s="6036"/>
    </row>
    <row r="306" spans="2:50" ht="20.25" customHeight="1" x14ac:dyDescent="0.3">
      <c r="B306" s="6406"/>
      <c r="C306" s="5915" t="s">
        <v>2642</v>
      </c>
      <c r="D306" s="5916">
        <f t="shared" si="50"/>
        <v>0</v>
      </c>
      <c r="E306" s="5917">
        <f t="shared" si="56"/>
        <v>0</v>
      </c>
      <c r="F306" s="5918">
        <f t="shared" si="56"/>
        <v>0</v>
      </c>
      <c r="G306" s="6028"/>
      <c r="H306" s="6029"/>
      <c r="I306" s="6028"/>
      <c r="J306" s="6029"/>
      <c r="K306" s="6028"/>
      <c r="L306" s="6029"/>
      <c r="M306" s="6028"/>
      <c r="N306" s="6029"/>
      <c r="O306" s="6028"/>
      <c r="P306" s="6029"/>
      <c r="Q306" s="6028"/>
      <c r="R306" s="6029"/>
      <c r="S306" s="6028"/>
      <c r="T306" s="6029"/>
      <c r="U306" s="6028"/>
      <c r="V306" s="6029"/>
      <c r="W306" s="6028"/>
      <c r="X306" s="6029"/>
      <c r="Y306" s="6028"/>
      <c r="Z306" s="6029"/>
      <c r="AA306" s="6028"/>
      <c r="AB306" s="6029"/>
      <c r="AC306" s="6028"/>
      <c r="AD306" s="6029"/>
      <c r="AE306" s="6028"/>
      <c r="AF306" s="6029"/>
      <c r="AG306" s="6028"/>
      <c r="AH306" s="6029"/>
      <c r="AI306" s="6028"/>
      <c r="AJ306" s="6029"/>
      <c r="AK306" s="6028"/>
      <c r="AL306" s="6029"/>
      <c r="AM306" s="6028"/>
      <c r="AN306" s="6030"/>
      <c r="AO306" s="6031"/>
      <c r="AP306" s="6031"/>
      <c r="AQ306" s="6032"/>
      <c r="AR306" s="6033"/>
      <c r="AS306" s="6032"/>
      <c r="AT306" s="6033"/>
      <c r="AU306" s="6032"/>
      <c r="AV306" s="6034"/>
      <c r="AW306" s="6035"/>
      <c r="AX306" s="6036"/>
    </row>
    <row r="307" spans="2:50" ht="15" customHeight="1" x14ac:dyDescent="0.3">
      <c r="B307" s="6406"/>
      <c r="C307" s="5915" t="s">
        <v>76</v>
      </c>
      <c r="D307" s="5916">
        <f t="shared" si="50"/>
        <v>0</v>
      </c>
      <c r="E307" s="5917">
        <f t="shared" si="56"/>
        <v>0</v>
      </c>
      <c r="F307" s="5918">
        <f t="shared" si="56"/>
        <v>0</v>
      </c>
      <c r="G307" s="6028"/>
      <c r="H307" s="6029"/>
      <c r="I307" s="6028"/>
      <c r="J307" s="6029"/>
      <c r="K307" s="6028"/>
      <c r="L307" s="6029"/>
      <c r="M307" s="6028"/>
      <c r="N307" s="6029"/>
      <c r="O307" s="6028"/>
      <c r="P307" s="6029"/>
      <c r="Q307" s="6028"/>
      <c r="R307" s="6029"/>
      <c r="S307" s="6028"/>
      <c r="T307" s="6029"/>
      <c r="U307" s="6028"/>
      <c r="V307" s="6029"/>
      <c r="W307" s="6028"/>
      <c r="X307" s="6029"/>
      <c r="Y307" s="6028"/>
      <c r="Z307" s="6029"/>
      <c r="AA307" s="6028"/>
      <c r="AB307" s="6029"/>
      <c r="AC307" s="6028"/>
      <c r="AD307" s="6029"/>
      <c r="AE307" s="6028"/>
      <c r="AF307" s="6029"/>
      <c r="AG307" s="6028"/>
      <c r="AH307" s="6029"/>
      <c r="AI307" s="6028"/>
      <c r="AJ307" s="6029"/>
      <c r="AK307" s="6028"/>
      <c r="AL307" s="6029"/>
      <c r="AM307" s="6028"/>
      <c r="AN307" s="6030"/>
      <c r="AO307" s="6031"/>
      <c r="AP307" s="6031"/>
      <c r="AQ307" s="6032"/>
      <c r="AR307" s="6033"/>
      <c r="AS307" s="6032"/>
      <c r="AT307" s="6033"/>
      <c r="AU307" s="6032"/>
      <c r="AV307" s="6034"/>
      <c r="AW307" s="6035"/>
      <c r="AX307" s="6036"/>
    </row>
    <row r="308" spans="2:50" ht="15" customHeight="1" x14ac:dyDescent="0.3">
      <c r="B308" s="6406"/>
      <c r="C308" s="5915" t="s">
        <v>277</v>
      </c>
      <c r="D308" s="5916">
        <f t="shared" si="50"/>
        <v>0</v>
      </c>
      <c r="E308" s="5917">
        <f t="shared" si="56"/>
        <v>0</v>
      </c>
      <c r="F308" s="5918">
        <f t="shared" si="56"/>
        <v>0</v>
      </c>
      <c r="G308" s="6028"/>
      <c r="H308" s="6029"/>
      <c r="I308" s="6028"/>
      <c r="J308" s="6029"/>
      <c r="K308" s="6028"/>
      <c r="L308" s="6029"/>
      <c r="M308" s="6028"/>
      <c r="N308" s="6029"/>
      <c r="O308" s="6028"/>
      <c r="P308" s="6029"/>
      <c r="Q308" s="6028"/>
      <c r="R308" s="6029"/>
      <c r="S308" s="6028"/>
      <c r="T308" s="6029"/>
      <c r="U308" s="6028"/>
      <c r="V308" s="6029"/>
      <c r="W308" s="6028"/>
      <c r="X308" s="6029"/>
      <c r="Y308" s="6028"/>
      <c r="Z308" s="6029"/>
      <c r="AA308" s="6028"/>
      <c r="AB308" s="6029"/>
      <c r="AC308" s="6028"/>
      <c r="AD308" s="6029"/>
      <c r="AE308" s="6028"/>
      <c r="AF308" s="6029"/>
      <c r="AG308" s="6028"/>
      <c r="AH308" s="6029"/>
      <c r="AI308" s="6028"/>
      <c r="AJ308" s="6029"/>
      <c r="AK308" s="6028"/>
      <c r="AL308" s="6029"/>
      <c r="AM308" s="6028"/>
      <c r="AN308" s="6030"/>
      <c r="AO308" s="6031"/>
      <c r="AP308" s="6031"/>
      <c r="AQ308" s="6032"/>
      <c r="AR308" s="6033"/>
      <c r="AS308" s="6032"/>
      <c r="AT308" s="6033"/>
      <c r="AU308" s="6032"/>
      <c r="AV308" s="6034"/>
      <c r="AW308" s="6035"/>
      <c r="AX308" s="6036"/>
    </row>
    <row r="309" spans="2:50" ht="15" customHeight="1" x14ac:dyDescent="0.3">
      <c r="B309" s="6406"/>
      <c r="C309" s="5915" t="s">
        <v>79</v>
      </c>
      <c r="D309" s="5916">
        <f t="shared" si="50"/>
        <v>0</v>
      </c>
      <c r="E309" s="5917">
        <f t="shared" si="56"/>
        <v>0</v>
      </c>
      <c r="F309" s="5918">
        <f t="shared" si="56"/>
        <v>0</v>
      </c>
      <c r="G309" s="6028"/>
      <c r="H309" s="6029"/>
      <c r="I309" s="6028"/>
      <c r="J309" s="6029"/>
      <c r="K309" s="6028"/>
      <c r="L309" s="6029"/>
      <c r="M309" s="6028"/>
      <c r="N309" s="6029"/>
      <c r="O309" s="6028"/>
      <c r="P309" s="6029"/>
      <c r="Q309" s="6028"/>
      <c r="R309" s="6029"/>
      <c r="S309" s="6028"/>
      <c r="T309" s="6029"/>
      <c r="U309" s="6028"/>
      <c r="V309" s="6029"/>
      <c r="W309" s="6028"/>
      <c r="X309" s="6029"/>
      <c r="Y309" s="6028"/>
      <c r="Z309" s="6029"/>
      <c r="AA309" s="6028"/>
      <c r="AB309" s="6029"/>
      <c r="AC309" s="6028"/>
      <c r="AD309" s="6029"/>
      <c r="AE309" s="6028"/>
      <c r="AF309" s="6029"/>
      <c r="AG309" s="6028"/>
      <c r="AH309" s="6029"/>
      <c r="AI309" s="6028"/>
      <c r="AJ309" s="6029"/>
      <c r="AK309" s="6028"/>
      <c r="AL309" s="6029"/>
      <c r="AM309" s="6028"/>
      <c r="AN309" s="6030"/>
      <c r="AO309" s="6031"/>
      <c r="AP309" s="6031"/>
      <c r="AQ309" s="6032"/>
      <c r="AR309" s="6033"/>
      <c r="AS309" s="6032"/>
      <c r="AT309" s="6033"/>
      <c r="AU309" s="6032"/>
      <c r="AV309" s="6034"/>
      <c r="AW309" s="6035"/>
      <c r="AX309" s="6036"/>
    </row>
    <row r="310" spans="2:50" ht="15" customHeight="1" x14ac:dyDescent="0.3">
      <c r="B310" s="6406"/>
      <c r="C310" s="5915" t="s">
        <v>632</v>
      </c>
      <c r="D310" s="5916">
        <f t="shared" si="50"/>
        <v>0</v>
      </c>
      <c r="E310" s="5917">
        <f t="shared" si="56"/>
        <v>0</v>
      </c>
      <c r="F310" s="5918">
        <f t="shared" si="56"/>
        <v>0</v>
      </c>
      <c r="G310" s="6028"/>
      <c r="H310" s="6029"/>
      <c r="I310" s="6028"/>
      <c r="J310" s="6029"/>
      <c r="K310" s="6028"/>
      <c r="L310" s="6029"/>
      <c r="M310" s="6028"/>
      <c r="N310" s="6029"/>
      <c r="O310" s="6028"/>
      <c r="P310" s="6029"/>
      <c r="Q310" s="6028"/>
      <c r="R310" s="6029"/>
      <c r="S310" s="6028"/>
      <c r="T310" s="6029"/>
      <c r="U310" s="6028"/>
      <c r="V310" s="6029"/>
      <c r="W310" s="6028"/>
      <c r="X310" s="6029"/>
      <c r="Y310" s="6028"/>
      <c r="Z310" s="6029"/>
      <c r="AA310" s="6028"/>
      <c r="AB310" s="6029"/>
      <c r="AC310" s="6028"/>
      <c r="AD310" s="6029"/>
      <c r="AE310" s="6028"/>
      <c r="AF310" s="6029"/>
      <c r="AG310" s="6028"/>
      <c r="AH310" s="6029"/>
      <c r="AI310" s="6028"/>
      <c r="AJ310" s="6029"/>
      <c r="AK310" s="6028"/>
      <c r="AL310" s="6029"/>
      <c r="AM310" s="6028"/>
      <c r="AN310" s="6030"/>
      <c r="AO310" s="6031"/>
      <c r="AP310" s="6031"/>
      <c r="AQ310" s="6032"/>
      <c r="AR310" s="6033"/>
      <c r="AS310" s="6032"/>
      <c r="AT310" s="6033"/>
      <c r="AU310" s="6032"/>
      <c r="AV310" s="6034"/>
      <c r="AW310" s="6035"/>
      <c r="AX310" s="6036"/>
    </row>
    <row r="311" spans="2:50" ht="15" customHeight="1" x14ac:dyDescent="0.3">
      <c r="B311" s="6406"/>
      <c r="C311" s="5915" t="s">
        <v>81</v>
      </c>
      <c r="D311" s="5916">
        <f t="shared" si="50"/>
        <v>0</v>
      </c>
      <c r="E311" s="5917">
        <f t="shared" si="56"/>
        <v>0</v>
      </c>
      <c r="F311" s="5918">
        <f t="shared" si="56"/>
        <v>0</v>
      </c>
      <c r="G311" s="6028"/>
      <c r="H311" s="6029"/>
      <c r="I311" s="6028"/>
      <c r="J311" s="6029"/>
      <c r="K311" s="6028"/>
      <c r="L311" s="6029"/>
      <c r="M311" s="6028"/>
      <c r="N311" s="6029"/>
      <c r="O311" s="6028"/>
      <c r="P311" s="6029"/>
      <c r="Q311" s="6028"/>
      <c r="R311" s="6029"/>
      <c r="S311" s="6028"/>
      <c r="T311" s="6029"/>
      <c r="U311" s="6028"/>
      <c r="V311" s="6029"/>
      <c r="W311" s="6028"/>
      <c r="X311" s="6029"/>
      <c r="Y311" s="6028"/>
      <c r="Z311" s="6029"/>
      <c r="AA311" s="6028"/>
      <c r="AB311" s="6029"/>
      <c r="AC311" s="6028"/>
      <c r="AD311" s="6029"/>
      <c r="AE311" s="6028"/>
      <c r="AF311" s="6029"/>
      <c r="AG311" s="6028"/>
      <c r="AH311" s="6029"/>
      <c r="AI311" s="6028"/>
      <c r="AJ311" s="6029"/>
      <c r="AK311" s="6028"/>
      <c r="AL311" s="6029"/>
      <c r="AM311" s="6028"/>
      <c r="AN311" s="6030"/>
      <c r="AO311" s="6031"/>
      <c r="AP311" s="6031"/>
      <c r="AQ311" s="6032"/>
      <c r="AR311" s="6033"/>
      <c r="AS311" s="6032"/>
      <c r="AT311" s="6033"/>
      <c r="AU311" s="6032"/>
      <c r="AV311" s="6034"/>
      <c r="AW311" s="6035"/>
      <c r="AX311" s="6036"/>
    </row>
    <row r="312" spans="2:50" ht="15" customHeight="1" x14ac:dyDescent="0.3">
      <c r="B312" s="6406"/>
      <c r="C312" s="5915" t="s">
        <v>2643</v>
      </c>
      <c r="D312" s="5916">
        <f t="shared" si="50"/>
        <v>0</v>
      </c>
      <c r="E312" s="5917">
        <f t="shared" si="56"/>
        <v>0</v>
      </c>
      <c r="F312" s="5918">
        <f t="shared" si="56"/>
        <v>0</v>
      </c>
      <c r="G312" s="6028"/>
      <c r="H312" s="6029"/>
      <c r="I312" s="6028"/>
      <c r="J312" s="6029"/>
      <c r="K312" s="6028"/>
      <c r="L312" s="6029"/>
      <c r="M312" s="6028"/>
      <c r="N312" s="6029"/>
      <c r="O312" s="6028"/>
      <c r="P312" s="6029"/>
      <c r="Q312" s="6028"/>
      <c r="R312" s="6029"/>
      <c r="S312" s="6028"/>
      <c r="T312" s="6029"/>
      <c r="U312" s="6028"/>
      <c r="V312" s="6029"/>
      <c r="W312" s="6028"/>
      <c r="X312" s="6029"/>
      <c r="Y312" s="6028"/>
      <c r="Z312" s="6029"/>
      <c r="AA312" s="6028"/>
      <c r="AB312" s="6029"/>
      <c r="AC312" s="6028"/>
      <c r="AD312" s="6029"/>
      <c r="AE312" s="6028"/>
      <c r="AF312" s="6029"/>
      <c r="AG312" s="6028"/>
      <c r="AH312" s="6029"/>
      <c r="AI312" s="6028"/>
      <c r="AJ312" s="6029"/>
      <c r="AK312" s="6028"/>
      <c r="AL312" s="6029"/>
      <c r="AM312" s="6028"/>
      <c r="AN312" s="6030"/>
      <c r="AO312" s="6031"/>
      <c r="AP312" s="6031"/>
      <c r="AQ312" s="6032"/>
      <c r="AR312" s="6033"/>
      <c r="AS312" s="6032"/>
      <c r="AT312" s="6033"/>
      <c r="AU312" s="6032"/>
      <c r="AV312" s="6034"/>
      <c r="AW312" s="6035"/>
      <c r="AX312" s="6036"/>
    </row>
    <row r="313" spans="2:50" ht="15" customHeight="1" x14ac:dyDescent="0.3">
      <c r="B313" s="6407"/>
      <c r="C313" s="5911" t="s">
        <v>2638</v>
      </c>
      <c r="D313" s="5912">
        <f t="shared" si="50"/>
        <v>0</v>
      </c>
      <c r="E313" s="5913">
        <f t="shared" si="56"/>
        <v>0</v>
      </c>
      <c r="F313" s="5914">
        <f t="shared" si="56"/>
        <v>0</v>
      </c>
      <c r="G313" s="6009">
        <f t="shared" ref="G313:AN313" si="57">SUM(G302:G312)</f>
        <v>0</v>
      </c>
      <c r="H313" s="6010">
        <f t="shared" si="57"/>
        <v>0</v>
      </c>
      <c r="I313" s="6009">
        <f t="shared" si="57"/>
        <v>0</v>
      </c>
      <c r="J313" s="6010">
        <f t="shared" si="57"/>
        <v>0</v>
      </c>
      <c r="K313" s="6009">
        <f t="shared" si="57"/>
        <v>0</v>
      </c>
      <c r="L313" s="6011">
        <f t="shared" si="57"/>
        <v>0</v>
      </c>
      <c r="M313" s="6009">
        <f t="shared" si="57"/>
        <v>0</v>
      </c>
      <c r="N313" s="6011">
        <f t="shared" si="57"/>
        <v>0</v>
      </c>
      <c r="O313" s="6009">
        <f t="shared" si="57"/>
        <v>0</v>
      </c>
      <c r="P313" s="6011">
        <f t="shared" si="57"/>
        <v>0</v>
      </c>
      <c r="Q313" s="6009">
        <f t="shared" si="57"/>
        <v>0</v>
      </c>
      <c r="R313" s="6011">
        <f t="shared" si="57"/>
        <v>0</v>
      </c>
      <c r="S313" s="6009">
        <f t="shared" si="57"/>
        <v>0</v>
      </c>
      <c r="T313" s="6011">
        <f t="shared" si="57"/>
        <v>0</v>
      </c>
      <c r="U313" s="6009">
        <f t="shared" si="57"/>
        <v>0</v>
      </c>
      <c r="V313" s="6011">
        <f t="shared" si="57"/>
        <v>0</v>
      </c>
      <c r="W313" s="6009">
        <f t="shared" si="57"/>
        <v>0</v>
      </c>
      <c r="X313" s="6011">
        <f t="shared" si="57"/>
        <v>0</v>
      </c>
      <c r="Y313" s="6009">
        <f t="shared" si="57"/>
        <v>0</v>
      </c>
      <c r="Z313" s="6011">
        <f t="shared" si="57"/>
        <v>0</v>
      </c>
      <c r="AA313" s="6009">
        <f t="shared" si="57"/>
        <v>0</v>
      </c>
      <c r="AB313" s="6011">
        <f t="shared" si="57"/>
        <v>0</v>
      </c>
      <c r="AC313" s="6009">
        <f t="shared" si="57"/>
        <v>0</v>
      </c>
      <c r="AD313" s="6011">
        <f t="shared" si="57"/>
        <v>0</v>
      </c>
      <c r="AE313" s="6009">
        <f t="shared" si="57"/>
        <v>0</v>
      </c>
      <c r="AF313" s="6011">
        <f t="shared" si="57"/>
        <v>0</v>
      </c>
      <c r="AG313" s="6009">
        <f t="shared" si="57"/>
        <v>0</v>
      </c>
      <c r="AH313" s="6011">
        <f t="shared" si="57"/>
        <v>0</v>
      </c>
      <c r="AI313" s="6009">
        <f t="shared" si="57"/>
        <v>0</v>
      </c>
      <c r="AJ313" s="6011">
        <f t="shared" si="57"/>
        <v>0</v>
      </c>
      <c r="AK313" s="6009">
        <f t="shared" si="57"/>
        <v>0</v>
      </c>
      <c r="AL313" s="6011">
        <f t="shared" si="57"/>
        <v>0</v>
      </c>
      <c r="AM313" s="6012">
        <f t="shared" si="57"/>
        <v>0</v>
      </c>
      <c r="AN313" s="6013">
        <f t="shared" si="57"/>
        <v>0</v>
      </c>
      <c r="AO313" s="6037"/>
      <c r="AP313" s="6037"/>
      <c r="AQ313" s="6038"/>
      <c r="AR313" s="6039"/>
      <c r="AS313" s="6038"/>
      <c r="AT313" s="6039"/>
      <c r="AU313" s="6040"/>
      <c r="AV313" s="6041"/>
      <c r="AW313" s="6042"/>
      <c r="AX313" s="6043"/>
    </row>
    <row r="314" spans="2:50" ht="15" customHeight="1" x14ac:dyDescent="0.3">
      <c r="B314" s="6405" t="s">
        <v>2647</v>
      </c>
      <c r="C314" s="5902" t="s">
        <v>62</v>
      </c>
      <c r="D314" s="5903">
        <f t="shared" si="50"/>
        <v>0</v>
      </c>
      <c r="E314" s="5904">
        <f t="shared" si="56"/>
        <v>0</v>
      </c>
      <c r="F314" s="5905">
        <f t="shared" si="56"/>
        <v>0</v>
      </c>
      <c r="G314" s="5999"/>
      <c r="H314" s="6000"/>
      <c r="I314" s="5999"/>
      <c r="J314" s="6000"/>
      <c r="K314" s="5999"/>
      <c r="L314" s="6000"/>
      <c r="M314" s="5999"/>
      <c r="N314" s="6000"/>
      <c r="O314" s="5999"/>
      <c r="P314" s="6000"/>
      <c r="Q314" s="5999"/>
      <c r="R314" s="6000"/>
      <c r="S314" s="5999"/>
      <c r="T314" s="6000"/>
      <c r="U314" s="5999"/>
      <c r="V314" s="6000"/>
      <c r="W314" s="5999"/>
      <c r="X314" s="6000"/>
      <c r="Y314" s="5999"/>
      <c r="Z314" s="6000"/>
      <c r="AA314" s="5999"/>
      <c r="AB314" s="6000"/>
      <c r="AC314" s="5999"/>
      <c r="AD314" s="6000"/>
      <c r="AE314" s="5999"/>
      <c r="AF314" s="6000"/>
      <c r="AG314" s="5999"/>
      <c r="AH314" s="6000"/>
      <c r="AI314" s="5999"/>
      <c r="AJ314" s="6000"/>
      <c r="AK314" s="5999"/>
      <c r="AL314" s="6000"/>
      <c r="AM314" s="5999"/>
      <c r="AN314" s="6001"/>
      <c r="AO314" s="6016"/>
      <c r="AP314" s="6016"/>
      <c r="AQ314" s="6017"/>
      <c r="AR314" s="6018"/>
      <c r="AS314" s="6017"/>
      <c r="AT314" s="6018"/>
      <c r="AU314" s="6017"/>
      <c r="AV314" s="6019"/>
      <c r="AW314" s="6020"/>
      <c r="AX314" s="6021"/>
    </row>
    <row r="315" spans="2:50" ht="15" customHeight="1" x14ac:dyDescent="0.3">
      <c r="B315" s="6406"/>
      <c r="C315" s="5906" t="s">
        <v>75</v>
      </c>
      <c r="D315" s="5907">
        <f t="shared" si="50"/>
        <v>0</v>
      </c>
      <c r="E315" s="5908">
        <f t="shared" si="56"/>
        <v>0</v>
      </c>
      <c r="F315" s="5909">
        <f t="shared" si="56"/>
        <v>0</v>
      </c>
      <c r="G315" s="6005"/>
      <c r="H315" s="6006"/>
      <c r="I315" s="6005"/>
      <c r="J315" s="6006"/>
      <c r="K315" s="6005"/>
      <c r="L315" s="6006"/>
      <c r="M315" s="6005"/>
      <c r="N315" s="6006"/>
      <c r="O315" s="6005"/>
      <c r="P315" s="6006"/>
      <c r="Q315" s="6005"/>
      <c r="R315" s="6006"/>
      <c r="S315" s="6005"/>
      <c r="T315" s="6006"/>
      <c r="U315" s="6005"/>
      <c r="V315" s="6006"/>
      <c r="W315" s="6005"/>
      <c r="X315" s="6006"/>
      <c r="Y315" s="6005"/>
      <c r="Z315" s="6006"/>
      <c r="AA315" s="6005"/>
      <c r="AB315" s="6006"/>
      <c r="AC315" s="6005"/>
      <c r="AD315" s="6006"/>
      <c r="AE315" s="6005"/>
      <c r="AF315" s="6006"/>
      <c r="AG315" s="6005"/>
      <c r="AH315" s="6006"/>
      <c r="AI315" s="6005"/>
      <c r="AJ315" s="6006"/>
      <c r="AK315" s="6005"/>
      <c r="AL315" s="6006"/>
      <c r="AM315" s="6005"/>
      <c r="AN315" s="6007"/>
      <c r="AO315" s="6022"/>
      <c r="AP315" s="6022"/>
      <c r="AQ315" s="6023"/>
      <c r="AR315" s="6024"/>
      <c r="AS315" s="6023"/>
      <c r="AT315" s="6024"/>
      <c r="AU315" s="6023"/>
      <c r="AV315" s="6025"/>
      <c r="AW315" s="6026"/>
      <c r="AX315" s="6027"/>
    </row>
    <row r="316" spans="2:50" ht="15" customHeight="1" x14ac:dyDescent="0.3">
      <c r="B316" s="6406"/>
      <c r="C316" s="5915" t="s">
        <v>2640</v>
      </c>
      <c r="D316" s="5916">
        <f t="shared" si="50"/>
        <v>0</v>
      </c>
      <c r="E316" s="5917">
        <f t="shared" si="56"/>
        <v>0</v>
      </c>
      <c r="F316" s="5918">
        <f t="shared" si="56"/>
        <v>0</v>
      </c>
      <c r="G316" s="6028"/>
      <c r="H316" s="6029"/>
      <c r="I316" s="6028"/>
      <c r="J316" s="6029"/>
      <c r="K316" s="6028"/>
      <c r="L316" s="6029"/>
      <c r="M316" s="6028"/>
      <c r="N316" s="6029"/>
      <c r="O316" s="6028"/>
      <c r="P316" s="6029"/>
      <c r="Q316" s="6028"/>
      <c r="R316" s="6029"/>
      <c r="S316" s="6028"/>
      <c r="T316" s="6029"/>
      <c r="U316" s="6028"/>
      <c r="V316" s="6029"/>
      <c r="W316" s="6028"/>
      <c r="X316" s="6029"/>
      <c r="Y316" s="6028"/>
      <c r="Z316" s="6029"/>
      <c r="AA316" s="6028"/>
      <c r="AB316" s="6029"/>
      <c r="AC316" s="6028"/>
      <c r="AD316" s="6029"/>
      <c r="AE316" s="6028"/>
      <c r="AF316" s="6029"/>
      <c r="AG316" s="6028"/>
      <c r="AH316" s="6029"/>
      <c r="AI316" s="6028"/>
      <c r="AJ316" s="6029"/>
      <c r="AK316" s="6028"/>
      <c r="AL316" s="6029"/>
      <c r="AM316" s="6028"/>
      <c r="AN316" s="6030"/>
      <c r="AO316" s="6031"/>
      <c r="AP316" s="6031"/>
      <c r="AQ316" s="6032"/>
      <c r="AR316" s="6033"/>
      <c r="AS316" s="6032"/>
      <c r="AT316" s="6033"/>
      <c r="AU316" s="6032"/>
      <c r="AV316" s="6034"/>
      <c r="AW316" s="6035"/>
      <c r="AX316" s="6036"/>
    </row>
    <row r="317" spans="2:50" ht="15" customHeight="1" x14ac:dyDescent="0.3">
      <c r="B317" s="6406"/>
      <c r="C317" s="5915" t="s">
        <v>2641</v>
      </c>
      <c r="D317" s="5916">
        <f t="shared" si="50"/>
        <v>0</v>
      </c>
      <c r="E317" s="5917">
        <f t="shared" si="56"/>
        <v>0</v>
      </c>
      <c r="F317" s="5918">
        <f t="shared" si="56"/>
        <v>0</v>
      </c>
      <c r="G317" s="6028"/>
      <c r="H317" s="6029"/>
      <c r="I317" s="6028"/>
      <c r="J317" s="6029"/>
      <c r="K317" s="6028"/>
      <c r="L317" s="6029"/>
      <c r="M317" s="6028"/>
      <c r="N317" s="6029"/>
      <c r="O317" s="6028"/>
      <c r="P317" s="6029"/>
      <c r="Q317" s="6028"/>
      <c r="R317" s="6029"/>
      <c r="S317" s="6028"/>
      <c r="T317" s="6029"/>
      <c r="U317" s="6028"/>
      <c r="V317" s="6029"/>
      <c r="W317" s="6028"/>
      <c r="X317" s="6029"/>
      <c r="Y317" s="6028"/>
      <c r="Z317" s="6029"/>
      <c r="AA317" s="6028"/>
      <c r="AB317" s="6029"/>
      <c r="AC317" s="6028"/>
      <c r="AD317" s="6029"/>
      <c r="AE317" s="6028"/>
      <c r="AF317" s="6029"/>
      <c r="AG317" s="6028"/>
      <c r="AH317" s="6029"/>
      <c r="AI317" s="6028"/>
      <c r="AJ317" s="6029"/>
      <c r="AK317" s="6028"/>
      <c r="AL317" s="6029"/>
      <c r="AM317" s="6028"/>
      <c r="AN317" s="6030"/>
      <c r="AO317" s="6031"/>
      <c r="AP317" s="6031"/>
      <c r="AQ317" s="6032"/>
      <c r="AR317" s="6033"/>
      <c r="AS317" s="6032"/>
      <c r="AT317" s="6033"/>
      <c r="AU317" s="6032"/>
      <c r="AV317" s="6034"/>
      <c r="AW317" s="6035"/>
      <c r="AX317" s="6036"/>
    </row>
    <row r="318" spans="2:50" ht="22.5" customHeight="1" x14ac:dyDescent="0.3">
      <c r="B318" s="6406"/>
      <c r="C318" s="5915" t="s">
        <v>2642</v>
      </c>
      <c r="D318" s="5916">
        <f t="shared" si="50"/>
        <v>0</v>
      </c>
      <c r="E318" s="5917">
        <f t="shared" si="56"/>
        <v>0</v>
      </c>
      <c r="F318" s="5918">
        <f t="shared" si="56"/>
        <v>0</v>
      </c>
      <c r="G318" s="6028"/>
      <c r="H318" s="6029"/>
      <c r="I318" s="6028"/>
      <c r="J318" s="6029"/>
      <c r="K318" s="6028"/>
      <c r="L318" s="6029"/>
      <c r="M318" s="6028"/>
      <c r="N318" s="6029"/>
      <c r="O318" s="6028"/>
      <c r="P318" s="6029"/>
      <c r="Q318" s="6028"/>
      <c r="R318" s="6029"/>
      <c r="S318" s="6028"/>
      <c r="T318" s="6029"/>
      <c r="U318" s="6028"/>
      <c r="V318" s="6029"/>
      <c r="W318" s="6028"/>
      <c r="X318" s="6029"/>
      <c r="Y318" s="6028"/>
      <c r="Z318" s="6029"/>
      <c r="AA318" s="6028"/>
      <c r="AB318" s="6029"/>
      <c r="AC318" s="6028"/>
      <c r="AD318" s="6029"/>
      <c r="AE318" s="6028"/>
      <c r="AF318" s="6029"/>
      <c r="AG318" s="6028"/>
      <c r="AH318" s="6029"/>
      <c r="AI318" s="6028"/>
      <c r="AJ318" s="6029"/>
      <c r="AK318" s="6028"/>
      <c r="AL318" s="6029"/>
      <c r="AM318" s="6028"/>
      <c r="AN318" s="6030"/>
      <c r="AO318" s="6031"/>
      <c r="AP318" s="6031"/>
      <c r="AQ318" s="6032"/>
      <c r="AR318" s="6033"/>
      <c r="AS318" s="6032"/>
      <c r="AT318" s="6033"/>
      <c r="AU318" s="6032"/>
      <c r="AV318" s="6034"/>
      <c r="AW318" s="6035"/>
      <c r="AX318" s="6036"/>
    </row>
    <row r="319" spans="2:50" ht="15" customHeight="1" x14ac:dyDescent="0.3">
      <c r="B319" s="6406"/>
      <c r="C319" s="5915" t="s">
        <v>2643</v>
      </c>
      <c r="D319" s="5916">
        <f t="shared" si="50"/>
        <v>0</v>
      </c>
      <c r="E319" s="5917">
        <f t="shared" si="56"/>
        <v>0</v>
      </c>
      <c r="F319" s="5918">
        <f t="shared" si="56"/>
        <v>0</v>
      </c>
      <c r="G319" s="6028"/>
      <c r="H319" s="6029"/>
      <c r="I319" s="6028"/>
      <c r="J319" s="6029"/>
      <c r="K319" s="6028"/>
      <c r="L319" s="6029"/>
      <c r="M319" s="6028"/>
      <c r="N319" s="6029"/>
      <c r="O319" s="6028"/>
      <c r="P319" s="6029"/>
      <c r="Q319" s="6028"/>
      <c r="R319" s="6029"/>
      <c r="S319" s="6028"/>
      <c r="T319" s="6029"/>
      <c r="U319" s="6028"/>
      <c r="V319" s="6029"/>
      <c r="W319" s="6028"/>
      <c r="X319" s="6029"/>
      <c r="Y319" s="6028"/>
      <c r="Z319" s="6029"/>
      <c r="AA319" s="6028"/>
      <c r="AB319" s="6029"/>
      <c r="AC319" s="6028"/>
      <c r="AD319" s="6029"/>
      <c r="AE319" s="6028"/>
      <c r="AF319" s="6029"/>
      <c r="AG319" s="6028"/>
      <c r="AH319" s="6029"/>
      <c r="AI319" s="6028"/>
      <c r="AJ319" s="6029"/>
      <c r="AK319" s="6028"/>
      <c r="AL319" s="6029"/>
      <c r="AM319" s="6028"/>
      <c r="AN319" s="6030"/>
      <c r="AO319" s="6031"/>
      <c r="AP319" s="6031"/>
      <c r="AQ319" s="6032"/>
      <c r="AR319" s="6033"/>
      <c r="AS319" s="6032"/>
      <c r="AT319" s="6033"/>
      <c r="AU319" s="6032"/>
      <c r="AV319" s="6034"/>
      <c r="AW319" s="6035"/>
      <c r="AX319" s="6036"/>
    </row>
    <row r="320" spans="2:50" ht="15" customHeight="1" thickBot="1" x14ac:dyDescent="0.35">
      <c r="B320" s="6407"/>
      <c r="C320" s="5911" t="s">
        <v>2638</v>
      </c>
      <c r="D320" s="5912">
        <f t="shared" si="50"/>
        <v>0</v>
      </c>
      <c r="E320" s="5913">
        <f t="shared" si="56"/>
        <v>0</v>
      </c>
      <c r="F320" s="5919">
        <f t="shared" si="56"/>
        <v>0</v>
      </c>
      <c r="G320" s="6044">
        <f t="shared" ref="G320:AN320" si="58">SUM(G314:G319)</f>
        <v>0</v>
      </c>
      <c r="H320" s="6011">
        <f t="shared" si="58"/>
        <v>0</v>
      </c>
      <c r="I320" s="6044">
        <f t="shared" si="58"/>
        <v>0</v>
      </c>
      <c r="J320" s="6011">
        <f t="shared" si="58"/>
        <v>0</v>
      </c>
      <c r="K320" s="6044">
        <f t="shared" si="58"/>
        <v>0</v>
      </c>
      <c r="L320" s="6011">
        <f t="shared" si="58"/>
        <v>0</v>
      </c>
      <c r="M320" s="6044">
        <f t="shared" si="58"/>
        <v>0</v>
      </c>
      <c r="N320" s="6011">
        <f t="shared" si="58"/>
        <v>0</v>
      </c>
      <c r="O320" s="6044">
        <f t="shared" si="58"/>
        <v>0</v>
      </c>
      <c r="P320" s="6011">
        <f t="shared" si="58"/>
        <v>0</v>
      </c>
      <c r="Q320" s="6044">
        <f t="shared" si="58"/>
        <v>0</v>
      </c>
      <c r="R320" s="6011">
        <f t="shared" si="58"/>
        <v>0</v>
      </c>
      <c r="S320" s="6044">
        <f t="shared" si="58"/>
        <v>0</v>
      </c>
      <c r="T320" s="6011">
        <f t="shared" si="58"/>
        <v>0</v>
      </c>
      <c r="U320" s="6044">
        <f t="shared" si="58"/>
        <v>0</v>
      </c>
      <c r="V320" s="6011">
        <f t="shared" si="58"/>
        <v>0</v>
      </c>
      <c r="W320" s="6044">
        <f t="shared" si="58"/>
        <v>0</v>
      </c>
      <c r="X320" s="6011">
        <f t="shared" si="58"/>
        <v>0</v>
      </c>
      <c r="Y320" s="6044">
        <f t="shared" si="58"/>
        <v>0</v>
      </c>
      <c r="Z320" s="6011">
        <f t="shared" si="58"/>
        <v>0</v>
      </c>
      <c r="AA320" s="6044">
        <f t="shared" si="58"/>
        <v>0</v>
      </c>
      <c r="AB320" s="6011">
        <f t="shared" si="58"/>
        <v>0</v>
      </c>
      <c r="AC320" s="6044">
        <f t="shared" si="58"/>
        <v>0</v>
      </c>
      <c r="AD320" s="6011">
        <f t="shared" si="58"/>
        <v>0</v>
      </c>
      <c r="AE320" s="6044">
        <f t="shared" si="58"/>
        <v>0</v>
      </c>
      <c r="AF320" s="6011">
        <f t="shared" si="58"/>
        <v>0</v>
      </c>
      <c r="AG320" s="6044">
        <f t="shared" si="58"/>
        <v>0</v>
      </c>
      <c r="AH320" s="6011">
        <f t="shared" si="58"/>
        <v>0</v>
      </c>
      <c r="AI320" s="6044">
        <f t="shared" si="58"/>
        <v>0</v>
      </c>
      <c r="AJ320" s="6011">
        <f t="shared" si="58"/>
        <v>0</v>
      </c>
      <c r="AK320" s="6044">
        <f t="shared" si="58"/>
        <v>0</v>
      </c>
      <c r="AL320" s="6011">
        <f t="shared" si="58"/>
        <v>0</v>
      </c>
      <c r="AM320" s="6045">
        <f t="shared" si="58"/>
        <v>0</v>
      </c>
      <c r="AN320" s="6013">
        <f t="shared" si="58"/>
        <v>0</v>
      </c>
      <c r="AO320" s="6046"/>
      <c r="AP320" s="6046"/>
      <c r="AQ320" s="6047"/>
      <c r="AR320" s="6048"/>
      <c r="AS320" s="6047"/>
      <c r="AT320" s="6048"/>
      <c r="AU320" s="6049"/>
      <c r="AV320" s="6050"/>
      <c r="AW320" s="6051"/>
      <c r="AX320" s="6052"/>
    </row>
    <row r="321" spans="1:91" ht="15" customHeight="1" thickTop="1" x14ac:dyDescent="0.3">
      <c r="B321" s="6414" t="s">
        <v>2648</v>
      </c>
      <c r="C321" s="6414"/>
      <c r="D321" s="5920">
        <f t="shared" si="50"/>
        <v>0</v>
      </c>
      <c r="E321" s="5921">
        <f t="shared" si="56"/>
        <v>0</v>
      </c>
      <c r="F321" s="5922">
        <f t="shared" si="56"/>
        <v>0</v>
      </c>
      <c r="G321" s="5921">
        <f t="shared" ref="G321:AN321" si="59">SUM(G275,G282,G289,G301,G313,G320)</f>
        <v>0</v>
      </c>
      <c r="H321" s="5922">
        <f t="shared" si="59"/>
        <v>0</v>
      </c>
      <c r="I321" s="5921">
        <f t="shared" si="59"/>
        <v>0</v>
      </c>
      <c r="J321" s="5922">
        <f t="shared" si="59"/>
        <v>0</v>
      </c>
      <c r="K321" s="5921">
        <f t="shared" si="59"/>
        <v>0</v>
      </c>
      <c r="L321" s="5922">
        <f t="shared" si="59"/>
        <v>0</v>
      </c>
      <c r="M321" s="5921">
        <f t="shared" si="59"/>
        <v>0</v>
      </c>
      <c r="N321" s="5922">
        <f t="shared" si="59"/>
        <v>0</v>
      </c>
      <c r="O321" s="5921">
        <f t="shared" si="59"/>
        <v>0</v>
      </c>
      <c r="P321" s="5922">
        <f t="shared" si="59"/>
        <v>0</v>
      </c>
      <c r="Q321" s="5921">
        <f t="shared" si="59"/>
        <v>0</v>
      </c>
      <c r="R321" s="5922">
        <f t="shared" si="59"/>
        <v>0</v>
      </c>
      <c r="S321" s="5921">
        <f t="shared" si="59"/>
        <v>0</v>
      </c>
      <c r="T321" s="5922">
        <f t="shared" si="59"/>
        <v>0</v>
      </c>
      <c r="U321" s="5921">
        <f t="shared" si="59"/>
        <v>0</v>
      </c>
      <c r="V321" s="5922">
        <f t="shared" si="59"/>
        <v>0</v>
      </c>
      <c r="W321" s="5921">
        <f t="shared" si="59"/>
        <v>0</v>
      </c>
      <c r="X321" s="6011">
        <f t="shared" si="59"/>
        <v>0</v>
      </c>
      <c r="Y321" s="5921">
        <f t="shared" si="59"/>
        <v>0</v>
      </c>
      <c r="Z321" s="5922">
        <f t="shared" si="59"/>
        <v>0</v>
      </c>
      <c r="AA321" s="5921">
        <f t="shared" si="59"/>
        <v>0</v>
      </c>
      <c r="AB321" s="5922">
        <f t="shared" si="59"/>
        <v>0</v>
      </c>
      <c r="AC321" s="5921">
        <f t="shared" si="59"/>
        <v>0</v>
      </c>
      <c r="AD321" s="5922">
        <f t="shared" si="59"/>
        <v>0</v>
      </c>
      <c r="AE321" s="5921">
        <f t="shared" si="59"/>
        <v>0</v>
      </c>
      <c r="AF321" s="5922">
        <f t="shared" si="59"/>
        <v>0</v>
      </c>
      <c r="AG321" s="5921">
        <f t="shared" si="59"/>
        <v>0</v>
      </c>
      <c r="AH321" s="5922">
        <f t="shared" si="59"/>
        <v>0</v>
      </c>
      <c r="AI321" s="5921">
        <f t="shared" si="59"/>
        <v>0</v>
      </c>
      <c r="AJ321" s="5922">
        <f t="shared" si="59"/>
        <v>0</v>
      </c>
      <c r="AK321" s="5921">
        <f t="shared" si="59"/>
        <v>0</v>
      </c>
      <c r="AL321" s="5922">
        <f t="shared" si="59"/>
        <v>0</v>
      </c>
      <c r="AM321" s="5921">
        <f t="shared" si="59"/>
        <v>0</v>
      </c>
      <c r="AN321" s="6053">
        <f t="shared" si="59"/>
        <v>0</v>
      </c>
      <c r="AO321" s="6054">
        <f t="shared" ref="AO321:AX321" si="60">SUM(AO275)</f>
        <v>0</v>
      </c>
      <c r="AP321" s="6054">
        <f t="shared" si="60"/>
        <v>0</v>
      </c>
      <c r="AQ321" s="5921">
        <f t="shared" si="60"/>
        <v>0</v>
      </c>
      <c r="AR321" s="5922">
        <f t="shared" si="60"/>
        <v>0</v>
      </c>
      <c r="AS321" s="5921">
        <f t="shared" si="60"/>
        <v>0</v>
      </c>
      <c r="AT321" s="5922">
        <f t="shared" si="60"/>
        <v>0</v>
      </c>
      <c r="AU321" s="5921">
        <f t="shared" si="60"/>
        <v>0</v>
      </c>
      <c r="AV321" s="6053">
        <f t="shared" si="60"/>
        <v>0</v>
      </c>
      <c r="AW321" s="6055">
        <f t="shared" si="60"/>
        <v>0</v>
      </c>
      <c r="AX321" s="6054">
        <f t="shared" si="60"/>
        <v>0</v>
      </c>
    </row>
    <row r="322" spans="1:91" x14ac:dyDescent="0.3">
      <c r="B322" s="9048" t="s">
        <v>2649</v>
      </c>
      <c r="C322" s="3464"/>
      <c r="D322" s="3465"/>
      <c r="E322" s="3465"/>
      <c r="F322" s="3465"/>
      <c r="G322" s="3465"/>
      <c r="H322" s="3465"/>
      <c r="I322" s="3465"/>
      <c r="J322" s="3465"/>
      <c r="K322" s="3465"/>
      <c r="L322" s="3465"/>
      <c r="M322" s="3465"/>
    </row>
    <row r="323" spans="1:91" x14ac:dyDescent="0.3">
      <c r="B323" s="6415" t="s">
        <v>58</v>
      </c>
      <c r="C323" s="6417" t="s">
        <v>3935</v>
      </c>
      <c r="D323" s="6432" t="s">
        <v>3725</v>
      </c>
      <c r="E323" s="6433"/>
      <c r="F323" s="6433"/>
      <c r="G323" s="6433"/>
      <c r="H323" s="6433"/>
      <c r="I323" s="6433"/>
      <c r="J323" s="6433"/>
      <c r="K323" s="6433"/>
      <c r="L323" s="6434"/>
      <c r="M323" s="6435" t="s">
        <v>1925</v>
      </c>
      <c r="N323" s="6436"/>
      <c r="O323" s="6436"/>
      <c r="P323" s="6436"/>
      <c r="Q323" s="6436"/>
      <c r="R323" s="6436"/>
      <c r="S323" s="6436"/>
      <c r="T323" s="6436"/>
      <c r="U323" s="6437"/>
      <c r="V323" s="6435" t="s">
        <v>2239</v>
      </c>
      <c r="W323" s="6436"/>
      <c r="X323" s="6436"/>
      <c r="Y323" s="6436"/>
      <c r="Z323" s="6436"/>
      <c r="AA323" s="6436"/>
      <c r="AB323" s="6436"/>
      <c r="AC323" s="6436"/>
      <c r="AD323" s="6438"/>
      <c r="AE323" s="6419" t="s">
        <v>2</v>
      </c>
      <c r="AF323" s="6420" t="s">
        <v>3</v>
      </c>
    </row>
    <row r="324" spans="1:91" x14ac:dyDescent="0.3">
      <c r="B324" s="6416"/>
      <c r="C324" s="6418"/>
      <c r="D324" s="6421" t="s">
        <v>24</v>
      </c>
      <c r="E324" s="6422"/>
      <c r="F324" s="6423"/>
      <c r="G324" s="6424" t="s">
        <v>2235</v>
      </c>
      <c r="H324" s="6424"/>
      <c r="I324" s="6424" t="s">
        <v>2236</v>
      </c>
      <c r="J324" s="6424"/>
      <c r="K324" s="6425" t="s">
        <v>2238</v>
      </c>
      <c r="L324" s="6425"/>
      <c r="M324" s="6426" t="s">
        <v>24</v>
      </c>
      <c r="N324" s="6427"/>
      <c r="O324" s="6428"/>
      <c r="P324" s="6431" t="s">
        <v>2235</v>
      </c>
      <c r="Q324" s="6431"/>
      <c r="R324" s="6431" t="s">
        <v>2236</v>
      </c>
      <c r="S324" s="6431"/>
      <c r="T324" s="6429" t="s">
        <v>2238</v>
      </c>
      <c r="U324" s="6429"/>
      <c r="V324" s="6426" t="s">
        <v>24</v>
      </c>
      <c r="W324" s="6427"/>
      <c r="X324" s="6428"/>
      <c r="Y324" s="6431" t="s">
        <v>2235</v>
      </c>
      <c r="Z324" s="6431"/>
      <c r="AA324" s="6431" t="s">
        <v>2236</v>
      </c>
      <c r="AB324" s="6431"/>
      <c r="AC324" s="6429" t="s">
        <v>2238</v>
      </c>
      <c r="AD324" s="6430"/>
      <c r="AE324" s="6419"/>
      <c r="AF324" s="6420"/>
    </row>
    <row r="325" spans="1:91" x14ac:dyDescent="0.3">
      <c r="B325" s="6416"/>
      <c r="C325" s="6418"/>
      <c r="D325" s="4648" t="s">
        <v>2651</v>
      </c>
      <c r="E325" s="4319" t="s">
        <v>22</v>
      </c>
      <c r="F325" s="4316" t="s">
        <v>27</v>
      </c>
      <c r="G325" s="4317" t="s">
        <v>22</v>
      </c>
      <c r="H325" s="4318" t="s">
        <v>27</v>
      </c>
      <c r="I325" s="4317" t="s">
        <v>22</v>
      </c>
      <c r="J325" s="4318" t="s">
        <v>27</v>
      </c>
      <c r="K325" s="4317" t="s">
        <v>22</v>
      </c>
      <c r="L325" s="4318" t="s">
        <v>27</v>
      </c>
      <c r="M325" s="4678" t="s">
        <v>2651</v>
      </c>
      <c r="N325" s="4681" t="s">
        <v>22</v>
      </c>
      <c r="O325" s="4682" t="s">
        <v>27</v>
      </c>
      <c r="P325" s="4678" t="s">
        <v>22</v>
      </c>
      <c r="Q325" s="4682" t="s">
        <v>27</v>
      </c>
      <c r="R325" s="4678" t="s">
        <v>22</v>
      </c>
      <c r="S325" s="4682" t="s">
        <v>27</v>
      </c>
      <c r="T325" s="4678" t="s">
        <v>22</v>
      </c>
      <c r="U325" s="4682" t="s">
        <v>27</v>
      </c>
      <c r="V325" s="4678" t="s">
        <v>2651</v>
      </c>
      <c r="W325" s="4679" t="s">
        <v>22</v>
      </c>
      <c r="X325" s="4680" t="s">
        <v>27</v>
      </c>
      <c r="Y325" s="3466" t="s">
        <v>22</v>
      </c>
      <c r="Z325" s="3467" t="s">
        <v>27</v>
      </c>
      <c r="AA325" s="3466" t="s">
        <v>22</v>
      </c>
      <c r="AB325" s="3467" t="s">
        <v>27</v>
      </c>
      <c r="AC325" s="3466" t="s">
        <v>22</v>
      </c>
      <c r="AD325" s="3468" t="s">
        <v>27</v>
      </c>
      <c r="AE325" s="6419"/>
      <c r="AF325" s="6420"/>
    </row>
    <row r="326" spans="1:91" ht="30.6" x14ac:dyDescent="0.3">
      <c r="A326" s="6246" t="s">
        <v>4188</v>
      </c>
      <c r="B326" s="6214" t="s">
        <v>3936</v>
      </c>
      <c r="C326" s="8636" t="s">
        <v>5292</v>
      </c>
      <c r="D326" s="8637" t="s">
        <v>5293</v>
      </c>
      <c r="E326" s="8638" t="s">
        <v>5294</v>
      </c>
      <c r="F326" s="8639" t="s">
        <v>5295</v>
      </c>
      <c r="G326" s="8640" t="s">
        <v>5296</v>
      </c>
      <c r="H326" s="8641" t="s">
        <v>5297</v>
      </c>
      <c r="I326" s="8640" t="s">
        <v>5298</v>
      </c>
      <c r="J326" s="8641" t="s">
        <v>5299</v>
      </c>
      <c r="K326" s="8640" t="s">
        <v>5300</v>
      </c>
      <c r="L326" s="8641" t="s">
        <v>5301</v>
      </c>
      <c r="M326" s="8642" t="s">
        <v>5302</v>
      </c>
      <c r="N326" s="8643" t="s">
        <v>5303</v>
      </c>
      <c r="O326" s="8644" t="s">
        <v>5304</v>
      </c>
      <c r="P326" s="8645" t="s">
        <v>5305</v>
      </c>
      <c r="Q326" s="8646" t="s">
        <v>5306</v>
      </c>
      <c r="R326" s="8645" t="s">
        <v>5307</v>
      </c>
      <c r="S326" s="8646" t="s">
        <v>5308</v>
      </c>
      <c r="T326" s="8645" t="s">
        <v>5309</v>
      </c>
      <c r="U326" s="8646" t="s">
        <v>5310</v>
      </c>
      <c r="V326" s="8647" t="s">
        <v>5311</v>
      </c>
      <c r="W326" s="8643" t="s">
        <v>5312</v>
      </c>
      <c r="X326" s="8639" t="s">
        <v>5313</v>
      </c>
      <c r="Y326" s="8640" t="s">
        <v>5314</v>
      </c>
      <c r="Z326" s="8641" t="s">
        <v>5315</v>
      </c>
      <c r="AA326" s="8640" t="s">
        <v>5316</v>
      </c>
      <c r="AB326" s="8641" t="s">
        <v>5317</v>
      </c>
      <c r="AC326" s="8640" t="s">
        <v>5318</v>
      </c>
      <c r="AD326" s="8648" t="s">
        <v>5319</v>
      </c>
      <c r="AE326" s="8649" t="s">
        <v>5320</v>
      </c>
      <c r="AF326" s="8650" t="s">
        <v>5321</v>
      </c>
      <c r="AG326" s="3235" t="str">
        <f>$CB326&amp;CC326</f>
        <v xml:space="preserve">* El Número de Pueblos Originarios no puede superar el Total. * El Número de Migrantes no puede superar el Total. </v>
      </c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3236"/>
      <c r="BM326" s="3236"/>
      <c r="BN326" s="3236"/>
      <c r="BO326" s="3236"/>
      <c r="BP326" s="3236"/>
      <c r="BQ326" s="3236"/>
      <c r="BR326" s="3236"/>
      <c r="BS326" s="3236"/>
      <c r="BT326" s="3236"/>
      <c r="BU326" s="3236"/>
      <c r="BV326" s="3236"/>
      <c r="BW326" s="3236"/>
      <c r="BX326" s="3236"/>
      <c r="BY326" s="3236"/>
      <c r="BZ326" s="3236"/>
      <c r="CA326" s="3236"/>
      <c r="CB326" s="3237" t="str">
        <f>IF(AND($C326&lt;&gt;0,AE326=""),"* No olvide ingresar la columna "&amp;AE$323&amp;""&amp;" (Digite CERO si no tiene). ",IF(AE326&gt;$C326,"* El Número de Pueblos Originarios no puede superar el Total. ",""))</f>
        <v xml:space="preserve">* El Número de Pueblos Originarios no puede superar el Total. </v>
      </c>
      <c r="CC326" s="3237" t="str">
        <f>IF(AND($C326&lt;&gt;0,AF326=""),"* No olvide ingresar la columna "&amp;AF$323&amp;""&amp;" (Digite CERO si no tiene). ",IF(AF326&gt;$C326,"* El Número de Migrantes no puede superar el Total. ",""))</f>
        <v xml:space="preserve">* El Número de Migrantes no puede superar el Total. </v>
      </c>
      <c r="CD326" s="3236"/>
      <c r="CE326" s="3236"/>
      <c r="CF326" s="3238"/>
      <c r="CG326" s="3238"/>
      <c r="CH326" s="3238"/>
      <c r="CI326" s="3238"/>
      <c r="CJ326" s="3238"/>
      <c r="CK326" s="17"/>
      <c r="CL326" s="1724">
        <f>IF(AND($C326&lt;&gt;0,AE326=""),1,IF(AE326&gt;$C326,1,0))</f>
        <v>1</v>
      </c>
      <c r="CM326" s="1724">
        <f>IF(AND($C326&lt;&gt;0,AF326=""),1,IF(AF326&gt;$C326,1,0))</f>
        <v>1</v>
      </c>
    </row>
    <row r="327" spans="1:91" ht="42.75" customHeight="1" x14ac:dyDescent="0.3">
      <c r="A327" s="6246" t="s">
        <v>4189</v>
      </c>
      <c r="B327" s="6215" t="s">
        <v>3937</v>
      </c>
      <c r="C327" s="8651" t="s">
        <v>5292</v>
      </c>
      <c r="D327" s="8652" t="s">
        <v>5293</v>
      </c>
      <c r="E327" s="8653" t="s">
        <v>5294</v>
      </c>
      <c r="F327" s="8654" t="s">
        <v>5295</v>
      </c>
      <c r="G327" s="8655" t="s">
        <v>5296</v>
      </c>
      <c r="H327" s="8656" t="s">
        <v>5297</v>
      </c>
      <c r="I327" s="8655" t="s">
        <v>5298</v>
      </c>
      <c r="J327" s="8656" t="s">
        <v>5299</v>
      </c>
      <c r="K327" s="8655" t="s">
        <v>5300</v>
      </c>
      <c r="L327" s="8656" t="s">
        <v>5301</v>
      </c>
      <c r="M327" s="8657" t="s">
        <v>5302</v>
      </c>
      <c r="N327" s="8658" t="s">
        <v>5303</v>
      </c>
      <c r="O327" s="8659" t="s">
        <v>5304</v>
      </c>
      <c r="P327" s="8657" t="s">
        <v>5305</v>
      </c>
      <c r="Q327" s="8659" t="s">
        <v>5306</v>
      </c>
      <c r="R327" s="8657" t="s">
        <v>5307</v>
      </c>
      <c r="S327" s="8659" t="s">
        <v>5308</v>
      </c>
      <c r="T327" s="8657" t="s">
        <v>5309</v>
      </c>
      <c r="U327" s="8659" t="s">
        <v>5310</v>
      </c>
      <c r="V327" s="8660" t="s">
        <v>5311</v>
      </c>
      <c r="W327" s="8661" t="s">
        <v>5312</v>
      </c>
      <c r="X327" s="8662" t="s">
        <v>5313</v>
      </c>
      <c r="Y327" s="8655" t="s">
        <v>5314</v>
      </c>
      <c r="Z327" s="8656" t="s">
        <v>5315</v>
      </c>
      <c r="AA327" s="8655" t="s">
        <v>5316</v>
      </c>
      <c r="AB327" s="8656" t="s">
        <v>5317</v>
      </c>
      <c r="AC327" s="8655" t="s">
        <v>5318</v>
      </c>
      <c r="AD327" s="8663" t="s">
        <v>5319</v>
      </c>
      <c r="AE327" s="8664" t="s">
        <v>5320</v>
      </c>
      <c r="AF327" s="8656" t="s">
        <v>5321</v>
      </c>
      <c r="AG327" s="3235" t="str">
        <f t="shared" ref="AG327:AG333" si="61">$CB327&amp;CC327</f>
        <v xml:space="preserve">* El Número de Pueblos Originarios no puede superar el Total. * El Número de Migrantes no puede superar el Total. </v>
      </c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3236"/>
      <c r="BM327" s="3236"/>
      <c r="BN327" s="3236"/>
      <c r="BO327" s="3236"/>
      <c r="BP327" s="3236"/>
      <c r="BQ327" s="3236"/>
      <c r="BR327" s="3236"/>
      <c r="BS327" s="3236"/>
      <c r="BT327" s="3236"/>
      <c r="BU327" s="3236"/>
      <c r="BV327" s="3236"/>
      <c r="BW327" s="3236"/>
      <c r="BX327" s="3236"/>
      <c r="BY327" s="3236"/>
      <c r="BZ327" s="3236"/>
      <c r="CA327" s="3236"/>
      <c r="CB327" s="3237" t="str">
        <f t="shared" ref="CB327:CB333" si="62">IF(AND($C327&lt;&gt;0,AE327=""),"* No olvide ingresar la columna "&amp;AE$323&amp;""&amp;" (Digite CERO si no tiene). ",IF(AE327&gt;$C327,"* El Número de Pueblos Originarios no puede superar el Total. ",""))</f>
        <v xml:space="preserve">* El Número de Pueblos Originarios no puede superar el Total. </v>
      </c>
      <c r="CC327" s="3237" t="str">
        <f t="shared" ref="CC327:CC333" si="63">IF(AND($C327&lt;&gt;0,AF327=""),"* No olvide ingresar la columna "&amp;AF$323&amp;""&amp;" (Digite CERO si no tiene). ",IF(AF327&gt;$C327,"* El Número de Migrantes no puede superar el Total. ",""))</f>
        <v xml:space="preserve">* El Número de Migrantes no puede superar el Total. </v>
      </c>
      <c r="CD327" s="3236"/>
      <c r="CE327" s="3236"/>
      <c r="CF327" s="3238"/>
      <c r="CG327" s="3238"/>
      <c r="CH327" s="3238"/>
      <c r="CI327" s="3238"/>
      <c r="CJ327" s="3238"/>
      <c r="CK327" s="17"/>
      <c r="CL327" s="1724">
        <f t="shared" ref="CL327:CM333" si="64">IF(AND($C327&lt;&gt;0,AE327=""),1,IF(AE327&gt;$C327,1,0))</f>
        <v>1</v>
      </c>
      <c r="CM327" s="1724">
        <f t="shared" si="64"/>
        <v>1</v>
      </c>
    </row>
    <row r="328" spans="1:91" ht="33" customHeight="1" x14ac:dyDescent="0.3">
      <c r="A328" s="6246" t="s">
        <v>4190</v>
      </c>
      <c r="B328" s="6214" t="s">
        <v>3938</v>
      </c>
      <c r="C328" s="8636" t="s">
        <v>5292</v>
      </c>
      <c r="D328" s="8637" t="s">
        <v>5293</v>
      </c>
      <c r="E328" s="8665" t="s">
        <v>5294</v>
      </c>
      <c r="F328" s="8666" t="s">
        <v>5295</v>
      </c>
      <c r="G328" s="8640" t="s">
        <v>5296</v>
      </c>
      <c r="H328" s="8641" t="s">
        <v>5297</v>
      </c>
      <c r="I328" s="8640" t="s">
        <v>5298</v>
      </c>
      <c r="J328" s="8641" t="s">
        <v>5299</v>
      </c>
      <c r="K328" s="8640" t="s">
        <v>5300</v>
      </c>
      <c r="L328" s="8641" t="s">
        <v>5301</v>
      </c>
      <c r="M328" s="8642" t="s">
        <v>5302</v>
      </c>
      <c r="N328" s="8643" t="s">
        <v>5303</v>
      </c>
      <c r="O328" s="8644" t="s">
        <v>5304</v>
      </c>
      <c r="P328" s="8645" t="s">
        <v>5305</v>
      </c>
      <c r="Q328" s="8646" t="s">
        <v>5306</v>
      </c>
      <c r="R328" s="8645" t="s">
        <v>5307</v>
      </c>
      <c r="S328" s="8646" t="s">
        <v>5308</v>
      </c>
      <c r="T328" s="8645" t="s">
        <v>5309</v>
      </c>
      <c r="U328" s="8646" t="s">
        <v>5310</v>
      </c>
      <c r="V328" s="8647" t="s">
        <v>5311</v>
      </c>
      <c r="W328" s="8643" t="s">
        <v>5312</v>
      </c>
      <c r="X328" s="8639" t="s">
        <v>5313</v>
      </c>
      <c r="Y328" s="8640" t="s">
        <v>5314</v>
      </c>
      <c r="Z328" s="8641" t="s">
        <v>5315</v>
      </c>
      <c r="AA328" s="8640" t="s">
        <v>5316</v>
      </c>
      <c r="AB328" s="8641" t="s">
        <v>5317</v>
      </c>
      <c r="AC328" s="8640" t="s">
        <v>5318</v>
      </c>
      <c r="AD328" s="8648" t="s">
        <v>5319</v>
      </c>
      <c r="AE328" s="8649" t="s">
        <v>5320</v>
      </c>
      <c r="AF328" s="8650" t="s">
        <v>5321</v>
      </c>
      <c r="AG328" s="3235" t="str">
        <f t="shared" si="61"/>
        <v xml:space="preserve">* El Número de Pueblos Originarios no puede superar el Total. * El Número de Migrantes no puede superar el Total. </v>
      </c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3236"/>
      <c r="BM328" s="3236"/>
      <c r="BN328" s="3236"/>
      <c r="BO328" s="3236"/>
      <c r="BP328" s="3236"/>
      <c r="BQ328" s="3236"/>
      <c r="BR328" s="3236"/>
      <c r="BS328" s="3236"/>
      <c r="BT328" s="3236"/>
      <c r="BU328" s="3236"/>
      <c r="BV328" s="3236"/>
      <c r="BW328" s="3236"/>
      <c r="BX328" s="3236"/>
      <c r="BY328" s="3236"/>
      <c r="BZ328" s="3236"/>
      <c r="CA328" s="3236"/>
      <c r="CB328" s="3237" t="str">
        <f t="shared" si="62"/>
        <v xml:space="preserve">* El Número de Pueblos Originarios no puede superar el Total. </v>
      </c>
      <c r="CC328" s="3237" t="str">
        <f t="shared" si="63"/>
        <v xml:space="preserve">* El Número de Migrantes no puede superar el Total. </v>
      </c>
      <c r="CD328" s="3236"/>
      <c r="CE328" s="3236"/>
      <c r="CF328" s="3238"/>
      <c r="CG328" s="3238"/>
      <c r="CH328" s="3238"/>
      <c r="CI328" s="3238"/>
      <c r="CJ328" s="3238"/>
      <c r="CK328" s="17"/>
      <c r="CL328" s="1724">
        <f t="shared" si="64"/>
        <v>1</v>
      </c>
      <c r="CM328" s="1724">
        <f t="shared" si="64"/>
        <v>1</v>
      </c>
    </row>
    <row r="329" spans="1:91" ht="39.75" customHeight="1" x14ac:dyDescent="0.3">
      <c r="A329" s="6246" t="s">
        <v>4191</v>
      </c>
      <c r="B329" s="6216" t="s">
        <v>3939</v>
      </c>
      <c r="C329" s="8651" t="s">
        <v>5292</v>
      </c>
      <c r="D329" s="8652" t="s">
        <v>5293</v>
      </c>
      <c r="E329" s="8653" t="s">
        <v>5294</v>
      </c>
      <c r="F329" s="8654" t="s">
        <v>5295</v>
      </c>
      <c r="G329" s="8655" t="s">
        <v>5296</v>
      </c>
      <c r="H329" s="8656" t="s">
        <v>5297</v>
      </c>
      <c r="I329" s="8655" t="s">
        <v>5298</v>
      </c>
      <c r="J329" s="8656" t="s">
        <v>5299</v>
      </c>
      <c r="K329" s="8655" t="s">
        <v>5300</v>
      </c>
      <c r="L329" s="8656" t="s">
        <v>5301</v>
      </c>
      <c r="M329" s="8657" t="s">
        <v>5302</v>
      </c>
      <c r="N329" s="8658" t="s">
        <v>5303</v>
      </c>
      <c r="O329" s="8659" t="s">
        <v>5304</v>
      </c>
      <c r="P329" s="8657" t="s">
        <v>5305</v>
      </c>
      <c r="Q329" s="8659" t="s">
        <v>5306</v>
      </c>
      <c r="R329" s="8657" t="s">
        <v>5307</v>
      </c>
      <c r="S329" s="8659" t="s">
        <v>5308</v>
      </c>
      <c r="T329" s="8657" t="s">
        <v>5309</v>
      </c>
      <c r="U329" s="8659" t="s">
        <v>5310</v>
      </c>
      <c r="V329" s="8660" t="s">
        <v>5311</v>
      </c>
      <c r="W329" s="8661" t="s">
        <v>5312</v>
      </c>
      <c r="X329" s="8662" t="s">
        <v>5313</v>
      </c>
      <c r="Y329" s="8655" t="s">
        <v>5314</v>
      </c>
      <c r="Z329" s="8656" t="s">
        <v>5315</v>
      </c>
      <c r="AA329" s="8655" t="s">
        <v>5316</v>
      </c>
      <c r="AB329" s="8656" t="s">
        <v>5317</v>
      </c>
      <c r="AC329" s="8655" t="s">
        <v>5318</v>
      </c>
      <c r="AD329" s="8663" t="s">
        <v>5319</v>
      </c>
      <c r="AE329" s="8664" t="s">
        <v>5320</v>
      </c>
      <c r="AF329" s="8656" t="s">
        <v>5321</v>
      </c>
      <c r="AG329" s="3235" t="str">
        <f t="shared" si="61"/>
        <v xml:space="preserve">* El Número de Pueblos Originarios no puede superar el Total. * El Número de Migrantes no puede superar el Total. </v>
      </c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3236"/>
      <c r="BM329" s="3236"/>
      <c r="BN329" s="3236"/>
      <c r="BO329" s="3236"/>
      <c r="BP329" s="3236"/>
      <c r="BQ329" s="3236"/>
      <c r="BR329" s="3236"/>
      <c r="BS329" s="3236"/>
      <c r="BT329" s="3236"/>
      <c r="BU329" s="3236"/>
      <c r="BV329" s="3236"/>
      <c r="BW329" s="3236"/>
      <c r="BX329" s="3236"/>
      <c r="BY329" s="3236"/>
      <c r="BZ329" s="3236"/>
      <c r="CA329" s="3236"/>
      <c r="CB329" s="3237" t="str">
        <f t="shared" si="62"/>
        <v xml:space="preserve">* El Número de Pueblos Originarios no puede superar el Total. </v>
      </c>
      <c r="CC329" s="3237" t="str">
        <f t="shared" si="63"/>
        <v xml:space="preserve">* El Número de Migrantes no puede superar el Total. </v>
      </c>
      <c r="CD329" s="3236"/>
      <c r="CE329" s="3236"/>
      <c r="CF329" s="3238"/>
      <c r="CG329" s="3238"/>
      <c r="CH329" s="3238"/>
      <c r="CI329" s="3238"/>
      <c r="CJ329" s="3238"/>
      <c r="CK329" s="17"/>
      <c r="CL329" s="1724">
        <f t="shared" si="64"/>
        <v>1</v>
      </c>
      <c r="CM329" s="1724">
        <f t="shared" si="64"/>
        <v>1</v>
      </c>
    </row>
    <row r="330" spans="1:91" ht="31.5" customHeight="1" x14ac:dyDescent="0.3">
      <c r="A330" s="6246" t="s">
        <v>4192</v>
      </c>
      <c r="B330" s="6214" t="s">
        <v>3940</v>
      </c>
      <c r="C330" s="8636" t="s">
        <v>5292</v>
      </c>
      <c r="D330" s="8637" t="s">
        <v>5293</v>
      </c>
      <c r="E330" s="8665" t="s">
        <v>5294</v>
      </c>
      <c r="F330" s="8666" t="s">
        <v>5295</v>
      </c>
      <c r="G330" s="8640" t="s">
        <v>5296</v>
      </c>
      <c r="H330" s="8641" t="s">
        <v>5297</v>
      </c>
      <c r="I330" s="8640" t="s">
        <v>5298</v>
      </c>
      <c r="J330" s="8641" t="s">
        <v>5299</v>
      </c>
      <c r="K330" s="8640" t="s">
        <v>5300</v>
      </c>
      <c r="L330" s="8641" t="s">
        <v>5301</v>
      </c>
      <c r="M330" s="8642" t="s">
        <v>5302</v>
      </c>
      <c r="N330" s="8643" t="s">
        <v>5303</v>
      </c>
      <c r="O330" s="8644" t="s">
        <v>5304</v>
      </c>
      <c r="P330" s="8645" t="s">
        <v>5305</v>
      </c>
      <c r="Q330" s="8646" t="s">
        <v>5306</v>
      </c>
      <c r="R330" s="8645" t="s">
        <v>5307</v>
      </c>
      <c r="S330" s="8646" t="s">
        <v>5308</v>
      </c>
      <c r="T330" s="8645" t="s">
        <v>5309</v>
      </c>
      <c r="U330" s="8646" t="s">
        <v>5310</v>
      </c>
      <c r="V330" s="8647" t="s">
        <v>5311</v>
      </c>
      <c r="W330" s="8643" t="s">
        <v>5312</v>
      </c>
      <c r="X330" s="8639" t="s">
        <v>5313</v>
      </c>
      <c r="Y330" s="8640" t="s">
        <v>5314</v>
      </c>
      <c r="Z330" s="8641" t="s">
        <v>5315</v>
      </c>
      <c r="AA330" s="8640" t="s">
        <v>5316</v>
      </c>
      <c r="AB330" s="8641" t="s">
        <v>5317</v>
      </c>
      <c r="AC330" s="8640" t="s">
        <v>5318</v>
      </c>
      <c r="AD330" s="8648" t="s">
        <v>5319</v>
      </c>
      <c r="AE330" s="8649" t="s">
        <v>5320</v>
      </c>
      <c r="AF330" s="8650" t="s">
        <v>5321</v>
      </c>
      <c r="AG330" s="3235" t="str">
        <f t="shared" si="61"/>
        <v xml:space="preserve">* El Número de Pueblos Originarios no puede superar el Total. * El Número de Migrantes no puede superar el Total. </v>
      </c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3236"/>
      <c r="BM330" s="3236"/>
      <c r="BN330" s="3236"/>
      <c r="BO330" s="3236"/>
      <c r="BP330" s="3236"/>
      <c r="BQ330" s="3236"/>
      <c r="BR330" s="3236"/>
      <c r="BS330" s="3236"/>
      <c r="BT330" s="3236"/>
      <c r="BU330" s="3236"/>
      <c r="BV330" s="3236"/>
      <c r="BW330" s="3236"/>
      <c r="BX330" s="3236"/>
      <c r="BY330" s="3236"/>
      <c r="BZ330" s="3236"/>
      <c r="CA330" s="3236"/>
      <c r="CB330" s="3237" t="str">
        <f t="shared" si="62"/>
        <v xml:space="preserve">* El Número de Pueblos Originarios no puede superar el Total. </v>
      </c>
      <c r="CC330" s="3237" t="str">
        <f t="shared" si="63"/>
        <v xml:space="preserve">* El Número de Migrantes no puede superar el Total. </v>
      </c>
      <c r="CD330" s="3236"/>
      <c r="CE330" s="3236"/>
      <c r="CF330" s="3238"/>
      <c r="CG330" s="3238"/>
      <c r="CH330" s="3238"/>
      <c r="CI330" s="3238"/>
      <c r="CJ330" s="3238"/>
      <c r="CK330" s="17"/>
      <c r="CL330" s="1724">
        <f t="shared" si="64"/>
        <v>1</v>
      </c>
      <c r="CM330" s="1724">
        <f t="shared" si="64"/>
        <v>1</v>
      </c>
    </row>
    <row r="331" spans="1:91" ht="45" customHeight="1" x14ac:dyDescent="0.3">
      <c r="A331" s="6246" t="s">
        <v>4193</v>
      </c>
      <c r="B331" s="6215" t="s">
        <v>3941</v>
      </c>
      <c r="C331" s="8651" t="s">
        <v>5292</v>
      </c>
      <c r="D331" s="8652" t="s">
        <v>5293</v>
      </c>
      <c r="E331" s="8653" t="s">
        <v>5294</v>
      </c>
      <c r="F331" s="8654" t="s">
        <v>5295</v>
      </c>
      <c r="G331" s="8655" t="s">
        <v>5296</v>
      </c>
      <c r="H331" s="8656" t="s">
        <v>5297</v>
      </c>
      <c r="I331" s="8655" t="s">
        <v>5298</v>
      </c>
      <c r="J331" s="8656" t="s">
        <v>5299</v>
      </c>
      <c r="K331" s="8655" t="s">
        <v>5300</v>
      </c>
      <c r="L331" s="8656" t="s">
        <v>5301</v>
      </c>
      <c r="M331" s="8657" t="s">
        <v>5302</v>
      </c>
      <c r="N331" s="8658" t="s">
        <v>5303</v>
      </c>
      <c r="O331" s="8659" t="s">
        <v>5304</v>
      </c>
      <c r="P331" s="8657" t="s">
        <v>5305</v>
      </c>
      <c r="Q331" s="8659" t="s">
        <v>5306</v>
      </c>
      <c r="R331" s="8657" t="s">
        <v>5307</v>
      </c>
      <c r="S331" s="8659" t="s">
        <v>5308</v>
      </c>
      <c r="T331" s="8657" t="s">
        <v>5309</v>
      </c>
      <c r="U331" s="8659" t="s">
        <v>5310</v>
      </c>
      <c r="V331" s="8660" t="s">
        <v>5311</v>
      </c>
      <c r="W331" s="8661" t="s">
        <v>5312</v>
      </c>
      <c r="X331" s="8662" t="s">
        <v>5313</v>
      </c>
      <c r="Y331" s="8655" t="s">
        <v>5314</v>
      </c>
      <c r="Z331" s="8656" t="s">
        <v>5315</v>
      </c>
      <c r="AA331" s="8655" t="s">
        <v>5316</v>
      </c>
      <c r="AB331" s="8656" t="s">
        <v>5317</v>
      </c>
      <c r="AC331" s="8655" t="s">
        <v>5318</v>
      </c>
      <c r="AD331" s="8663" t="s">
        <v>5319</v>
      </c>
      <c r="AE331" s="8664" t="s">
        <v>5320</v>
      </c>
      <c r="AF331" s="8656" t="s">
        <v>5321</v>
      </c>
      <c r="AG331" s="3235" t="str">
        <f t="shared" si="61"/>
        <v xml:space="preserve">* El Número de Pueblos Originarios no puede superar el Total. * El Número de Migrantes no puede superar el Total. </v>
      </c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3236"/>
      <c r="BM331" s="3236"/>
      <c r="BN331" s="3236"/>
      <c r="BO331" s="3236"/>
      <c r="BP331" s="3236"/>
      <c r="BQ331" s="3236"/>
      <c r="BR331" s="3236"/>
      <c r="BS331" s="3236"/>
      <c r="BT331" s="3236"/>
      <c r="BU331" s="3236"/>
      <c r="BV331" s="3236"/>
      <c r="BW331" s="3236"/>
      <c r="BX331" s="3236"/>
      <c r="BY331" s="3236"/>
      <c r="BZ331" s="3236"/>
      <c r="CA331" s="3236"/>
      <c r="CB331" s="3237" t="str">
        <f t="shared" si="62"/>
        <v xml:space="preserve">* El Número de Pueblos Originarios no puede superar el Total. </v>
      </c>
      <c r="CC331" s="3237" t="str">
        <f t="shared" si="63"/>
        <v xml:space="preserve">* El Número de Migrantes no puede superar el Total. </v>
      </c>
      <c r="CD331" s="3236"/>
      <c r="CE331" s="3236"/>
      <c r="CF331" s="3238"/>
      <c r="CG331" s="3238"/>
      <c r="CH331" s="3238"/>
      <c r="CI331" s="3238"/>
      <c r="CJ331" s="3238"/>
      <c r="CK331" s="17"/>
      <c r="CL331" s="1724">
        <f t="shared" si="64"/>
        <v>1</v>
      </c>
      <c r="CM331" s="1724">
        <f t="shared" si="64"/>
        <v>1</v>
      </c>
    </row>
    <row r="332" spans="1:91" ht="42.75" customHeight="1" x14ac:dyDescent="0.3">
      <c r="A332" s="6246" t="s">
        <v>4194</v>
      </c>
      <c r="B332" s="6207" t="s">
        <v>3942</v>
      </c>
      <c r="C332" s="8667" t="s">
        <v>5292</v>
      </c>
      <c r="D332" s="8668" t="s">
        <v>5293</v>
      </c>
      <c r="E332" s="8669" t="s">
        <v>5294</v>
      </c>
      <c r="F332" s="8670" t="s">
        <v>5295</v>
      </c>
      <c r="G332" s="8671" t="s">
        <v>5296</v>
      </c>
      <c r="H332" s="8672" t="s">
        <v>5297</v>
      </c>
      <c r="I332" s="8671" t="s">
        <v>5298</v>
      </c>
      <c r="J332" s="8672" t="s">
        <v>5299</v>
      </c>
      <c r="K332" s="8671" t="s">
        <v>5300</v>
      </c>
      <c r="L332" s="8672" t="s">
        <v>5301</v>
      </c>
      <c r="M332" s="8673" t="s">
        <v>5302</v>
      </c>
      <c r="N332" s="8674" t="s">
        <v>5303</v>
      </c>
      <c r="O332" s="6230" t="s">
        <v>5304</v>
      </c>
      <c r="P332" s="8675" t="s">
        <v>5305</v>
      </c>
      <c r="Q332" s="8676" t="s">
        <v>5306</v>
      </c>
      <c r="R332" s="8675" t="s">
        <v>5307</v>
      </c>
      <c r="S332" s="8676" t="s">
        <v>5308</v>
      </c>
      <c r="T332" s="8675" t="s">
        <v>5309</v>
      </c>
      <c r="U332" s="8676" t="s">
        <v>5310</v>
      </c>
      <c r="V332" s="8677" t="s">
        <v>5311</v>
      </c>
      <c r="W332" s="8674" t="s">
        <v>5312</v>
      </c>
      <c r="X332" s="8678" t="s">
        <v>5313</v>
      </c>
      <c r="Y332" s="8671" t="s">
        <v>5314</v>
      </c>
      <c r="Z332" s="8672" t="s">
        <v>5315</v>
      </c>
      <c r="AA332" s="8671" t="s">
        <v>5316</v>
      </c>
      <c r="AB332" s="8672" t="s">
        <v>5317</v>
      </c>
      <c r="AC332" s="8671" t="s">
        <v>5318</v>
      </c>
      <c r="AD332" s="8679" t="s">
        <v>5319</v>
      </c>
      <c r="AE332" s="8680" t="s">
        <v>5320</v>
      </c>
      <c r="AF332" s="8681" t="s">
        <v>5321</v>
      </c>
      <c r="AG332" s="3235" t="str">
        <f t="shared" si="61"/>
        <v xml:space="preserve">* El Número de Pueblos Originarios no puede superar el Total. * El Número de Migrantes no puede superar el Total. </v>
      </c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3236"/>
      <c r="BM332" s="3236"/>
      <c r="BN332" s="3236"/>
      <c r="BO332" s="3236"/>
      <c r="BP332" s="3236"/>
      <c r="BQ332" s="3236"/>
      <c r="BR332" s="3236"/>
      <c r="BS332" s="3236"/>
      <c r="BT332" s="3236"/>
      <c r="BU332" s="3236"/>
      <c r="BV332" s="3236"/>
      <c r="BW332" s="3236"/>
      <c r="BX332" s="3236"/>
      <c r="BY332" s="3236"/>
      <c r="BZ332" s="3236"/>
      <c r="CA332" s="3236"/>
      <c r="CB332" s="3237" t="str">
        <f t="shared" si="62"/>
        <v xml:space="preserve">* El Número de Pueblos Originarios no puede superar el Total. </v>
      </c>
      <c r="CC332" s="3237" t="str">
        <f t="shared" si="63"/>
        <v xml:space="preserve">* El Número de Migrantes no puede superar el Total. </v>
      </c>
      <c r="CD332" s="3236"/>
      <c r="CE332" s="3236"/>
      <c r="CF332" s="3238"/>
      <c r="CG332" s="3238"/>
      <c r="CH332" s="3238"/>
      <c r="CI332" s="3238"/>
      <c r="CJ332" s="3238"/>
      <c r="CK332" s="17"/>
      <c r="CL332" s="1724">
        <f t="shared" si="64"/>
        <v>1</v>
      </c>
      <c r="CM332" s="1724">
        <f t="shared" si="64"/>
        <v>1</v>
      </c>
    </row>
    <row r="333" spans="1:91" ht="36" customHeight="1" x14ac:dyDescent="0.3">
      <c r="A333" s="6246" t="s">
        <v>4195</v>
      </c>
      <c r="B333" s="6215" t="s">
        <v>3943</v>
      </c>
      <c r="C333" s="8651" t="s">
        <v>5292</v>
      </c>
      <c r="D333" s="8652" t="s">
        <v>5293</v>
      </c>
      <c r="E333" s="8653" t="s">
        <v>5294</v>
      </c>
      <c r="F333" s="8654" t="s">
        <v>5295</v>
      </c>
      <c r="G333" s="8655" t="s">
        <v>5296</v>
      </c>
      <c r="H333" s="8656" t="s">
        <v>5297</v>
      </c>
      <c r="I333" s="8655" t="s">
        <v>5298</v>
      </c>
      <c r="J333" s="8656" t="s">
        <v>5299</v>
      </c>
      <c r="K333" s="8655" t="s">
        <v>5300</v>
      </c>
      <c r="L333" s="8656" t="s">
        <v>5301</v>
      </c>
      <c r="M333" s="8682" t="s">
        <v>5302</v>
      </c>
      <c r="N333" s="8683" t="s">
        <v>5303</v>
      </c>
      <c r="O333" s="8684" t="s">
        <v>5304</v>
      </c>
      <c r="P333" s="8682" t="s">
        <v>5305</v>
      </c>
      <c r="Q333" s="8684" t="s">
        <v>5306</v>
      </c>
      <c r="R333" s="8682" t="s">
        <v>5307</v>
      </c>
      <c r="S333" s="8684" t="s">
        <v>5308</v>
      </c>
      <c r="T333" s="8682" t="s">
        <v>5309</v>
      </c>
      <c r="U333" s="8685" t="s">
        <v>5310</v>
      </c>
      <c r="V333" s="8660" t="s">
        <v>5311</v>
      </c>
      <c r="W333" s="8661" t="s">
        <v>5312</v>
      </c>
      <c r="X333" s="8662" t="s">
        <v>5313</v>
      </c>
      <c r="Y333" s="8655" t="s">
        <v>5314</v>
      </c>
      <c r="Z333" s="8656" t="s">
        <v>5315</v>
      </c>
      <c r="AA333" s="8655" t="s">
        <v>5316</v>
      </c>
      <c r="AB333" s="8656" t="s">
        <v>5317</v>
      </c>
      <c r="AC333" s="8655" t="s">
        <v>5318</v>
      </c>
      <c r="AD333" s="8663" t="s">
        <v>5319</v>
      </c>
      <c r="AE333" s="8664" t="s">
        <v>5320</v>
      </c>
      <c r="AF333" s="8656" t="s">
        <v>5321</v>
      </c>
      <c r="AG333" s="3235" t="str">
        <f t="shared" si="61"/>
        <v xml:space="preserve">* El Número de Pueblos Originarios no puede superar el Total. * El Número de Migrantes no puede superar el Total. </v>
      </c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3236"/>
      <c r="BM333" s="3236"/>
      <c r="BN333" s="3236"/>
      <c r="BO333" s="3236"/>
      <c r="BP333" s="3236"/>
      <c r="BQ333" s="3236"/>
      <c r="BR333" s="3236"/>
      <c r="BS333" s="3236"/>
      <c r="BT333" s="3236"/>
      <c r="BU333" s="3236"/>
      <c r="BV333" s="3236"/>
      <c r="BW333" s="3236"/>
      <c r="BX333" s="3236"/>
      <c r="BY333" s="3236"/>
      <c r="BZ333" s="3236"/>
      <c r="CA333" s="3236"/>
      <c r="CB333" s="3237" t="str">
        <f t="shared" si="62"/>
        <v xml:space="preserve">* El Número de Pueblos Originarios no puede superar el Total. </v>
      </c>
      <c r="CC333" s="3237" t="str">
        <f t="shared" si="63"/>
        <v xml:space="preserve">* El Número de Migrantes no puede superar el Total. </v>
      </c>
      <c r="CD333" s="3236"/>
      <c r="CE333" s="3236"/>
      <c r="CF333" s="3238"/>
      <c r="CG333" s="3238"/>
      <c r="CH333" s="3238"/>
      <c r="CI333" s="3238"/>
      <c r="CJ333" s="3238"/>
      <c r="CK333" s="17"/>
      <c r="CL333" s="1724">
        <f t="shared" si="64"/>
        <v>1</v>
      </c>
      <c r="CM333" s="1724">
        <f t="shared" si="64"/>
        <v>1</v>
      </c>
    </row>
    <row r="336" spans="1:91" x14ac:dyDescent="0.3">
      <c r="A336" t="s">
        <v>4625</v>
      </c>
    </row>
    <row r="337" spans="1:3" x14ac:dyDescent="0.3">
      <c r="A337" s="6234" t="s">
        <v>5232</v>
      </c>
    </row>
    <row r="338" spans="1:3" x14ac:dyDescent="0.3">
      <c r="A338" s="6234" t="s">
        <v>5233</v>
      </c>
    </row>
    <row r="339" spans="1:3" x14ac:dyDescent="0.3">
      <c r="A339" s="6270" t="s">
        <v>5234</v>
      </c>
    </row>
    <row r="340" spans="1:3" x14ac:dyDescent="0.3">
      <c r="A340" s="6270" t="s">
        <v>5235</v>
      </c>
    </row>
    <row r="341" spans="1:3" x14ac:dyDescent="0.3">
      <c r="A341" s="6270" t="s">
        <v>5236</v>
      </c>
    </row>
    <row r="342" spans="1:3" x14ac:dyDescent="0.3">
      <c r="A342" s="6240" t="s">
        <v>5237</v>
      </c>
    </row>
    <row r="343" spans="1:3" x14ac:dyDescent="0.3">
      <c r="A343" s="6240" t="s">
        <v>5238</v>
      </c>
    </row>
    <row r="344" spans="1:3" x14ac:dyDescent="0.3">
      <c r="A344" s="6240" t="s">
        <v>5239</v>
      </c>
    </row>
    <row r="345" spans="1:3" x14ac:dyDescent="0.3">
      <c r="A345" s="6240" t="s">
        <v>5240</v>
      </c>
    </row>
    <row r="346" spans="1:3" hidden="1" x14ac:dyDescent="0.3">
      <c r="A346" s="6240" t="s">
        <v>5241</v>
      </c>
      <c r="B346" s="3471" t="e">
        <f>SUM(D13:D15,D20:D41,C46:C49,C54:C57,D61:D67,C72:C74,C80:C83,C86:F87,D90:G93,D97:D102,D108:D116,D121:D162,D167:D172,D177:D182,D187:D190,D196:D198,D203:D205,D210:D212,D217:G225,D230:G235,D240:F244,D249:D258,D263:D268,D273:D321,C326:D333)</f>
        <v>#VALUE!</v>
      </c>
      <c r="C346" s="3471" t="e">
        <f>SUM(CL20:CQ333)</f>
        <v>#VALUE!</v>
      </c>
    </row>
    <row r="347" spans="1:3" x14ac:dyDescent="0.3">
      <c r="A347" s="6240" t="s">
        <v>5242</v>
      </c>
    </row>
    <row r="348" spans="1:3" x14ac:dyDescent="0.3">
      <c r="A348" s="6240" t="s">
        <v>5243</v>
      </c>
    </row>
    <row r="349" spans="1:3" x14ac:dyDescent="0.3">
      <c r="A349" s="6240" t="s">
        <v>5244</v>
      </c>
    </row>
    <row r="350" spans="1:3" x14ac:dyDescent="0.3">
      <c r="A350" s="6240" t="s">
        <v>5245</v>
      </c>
    </row>
    <row r="351" spans="1:3" x14ac:dyDescent="0.3">
      <c r="A351" s="6240" t="s">
        <v>5246</v>
      </c>
    </row>
    <row r="352" spans="1:3" x14ac:dyDescent="0.3">
      <c r="A352" s="6240" t="s">
        <v>5247</v>
      </c>
    </row>
    <row r="353" spans="1:1" x14ac:dyDescent="0.3">
      <c r="A353" s="6240" t="s">
        <v>5248</v>
      </c>
    </row>
    <row r="354" spans="1:1" x14ac:dyDescent="0.3">
      <c r="A354" s="6240" t="s">
        <v>5249</v>
      </c>
    </row>
    <row r="355" spans="1:1" x14ac:dyDescent="0.3">
      <c r="A355" s="6240" t="s">
        <v>5250</v>
      </c>
    </row>
    <row r="356" spans="1:1" x14ac:dyDescent="0.3">
      <c r="A356" s="6240" t="s">
        <v>5251</v>
      </c>
    </row>
    <row r="357" spans="1:1" x14ac:dyDescent="0.3">
      <c r="A357" s="6240" t="s">
        <v>5252</v>
      </c>
    </row>
    <row r="358" spans="1:1" x14ac:dyDescent="0.3">
      <c r="A358" s="6240" t="s">
        <v>5253</v>
      </c>
    </row>
    <row r="359" spans="1:1" x14ac:dyDescent="0.3">
      <c r="A359" s="6240" t="s">
        <v>5254</v>
      </c>
    </row>
    <row r="360" spans="1:1" x14ac:dyDescent="0.3">
      <c r="A360" s="6240" t="s">
        <v>5255</v>
      </c>
    </row>
    <row r="361" spans="1:1" x14ac:dyDescent="0.3">
      <c r="A361" s="6240" t="s">
        <v>5256</v>
      </c>
    </row>
    <row r="362" spans="1:1" x14ac:dyDescent="0.3">
      <c r="A362" s="6240" t="s">
        <v>5257</v>
      </c>
    </row>
    <row r="363" spans="1:1" x14ac:dyDescent="0.3">
      <c r="A363" s="6240" t="s">
        <v>5258</v>
      </c>
    </row>
    <row r="364" spans="1:1" x14ac:dyDescent="0.3">
      <c r="A364" s="6240" t="s">
        <v>5259</v>
      </c>
    </row>
    <row r="365" spans="1:1" x14ac:dyDescent="0.3">
      <c r="A365" s="6240" t="s">
        <v>5260</v>
      </c>
    </row>
    <row r="366" spans="1:1" x14ac:dyDescent="0.3">
      <c r="A366" s="6240" t="s">
        <v>5261</v>
      </c>
    </row>
    <row r="367" spans="1:1" x14ac:dyDescent="0.3">
      <c r="A367" s="6240" t="s">
        <v>5262</v>
      </c>
    </row>
    <row r="368" spans="1:1" x14ac:dyDescent="0.3">
      <c r="A368" s="6240" t="s">
        <v>5263</v>
      </c>
    </row>
    <row r="369" spans="1:1" x14ac:dyDescent="0.3">
      <c r="A369" s="6240" t="s">
        <v>5264</v>
      </c>
    </row>
    <row r="370" spans="1:1" x14ac:dyDescent="0.3">
      <c r="A370" s="6240" t="s">
        <v>5265</v>
      </c>
    </row>
    <row r="371" spans="1:1" x14ac:dyDescent="0.3">
      <c r="A371" s="6240" t="s">
        <v>5266</v>
      </c>
    </row>
    <row r="372" spans="1:1" x14ac:dyDescent="0.3">
      <c r="A372" s="6240" t="s">
        <v>5267</v>
      </c>
    </row>
    <row r="373" spans="1:1" x14ac:dyDescent="0.3">
      <c r="A373" s="6240" t="s">
        <v>5268</v>
      </c>
    </row>
    <row r="374" spans="1:1" x14ac:dyDescent="0.3">
      <c r="A374" s="6240" t="s">
        <v>5269</v>
      </c>
    </row>
    <row r="375" spans="1:1" x14ac:dyDescent="0.3">
      <c r="A375" s="6240" t="s">
        <v>5270</v>
      </c>
    </row>
    <row r="376" spans="1:1" x14ac:dyDescent="0.3">
      <c r="A376" s="6240" t="s">
        <v>5271</v>
      </c>
    </row>
    <row r="377" spans="1:1" x14ac:dyDescent="0.3">
      <c r="A377" s="6240" t="s">
        <v>5272</v>
      </c>
    </row>
    <row r="378" spans="1:1" x14ac:dyDescent="0.3">
      <c r="A378" s="6240" t="s">
        <v>5273</v>
      </c>
    </row>
    <row r="379" spans="1:1" x14ac:dyDescent="0.3">
      <c r="A379" s="6240" t="s">
        <v>5274</v>
      </c>
    </row>
    <row r="380" spans="1:1" x14ac:dyDescent="0.3">
      <c r="A380" s="6240" t="s">
        <v>5275</v>
      </c>
    </row>
    <row r="381" spans="1:1" x14ac:dyDescent="0.3">
      <c r="A381" s="6240" t="s">
        <v>5276</v>
      </c>
    </row>
    <row r="382" spans="1:1" x14ac:dyDescent="0.3">
      <c r="A382" s="6240" t="s">
        <v>5277</v>
      </c>
    </row>
    <row r="383" spans="1:1" x14ac:dyDescent="0.3">
      <c r="A383" s="6240" t="s">
        <v>5278</v>
      </c>
    </row>
    <row r="384" spans="1:1" x14ac:dyDescent="0.3">
      <c r="A384" s="6234"/>
    </row>
    <row r="385" spans="1:1" x14ac:dyDescent="0.3">
      <c r="A385" t="s">
        <v>4637</v>
      </c>
    </row>
    <row r="386" spans="1:1" x14ac:dyDescent="0.3">
      <c r="A386" s="6241" t="s">
        <v>4052</v>
      </c>
    </row>
    <row r="387" spans="1:1" x14ac:dyDescent="0.3">
      <c r="A387" s="6241" t="s">
        <v>4150</v>
      </c>
    </row>
    <row r="388" spans="1:1" x14ac:dyDescent="0.3">
      <c r="A388" s="6241" t="s">
        <v>4151</v>
      </c>
    </row>
    <row r="389" spans="1:1" x14ac:dyDescent="0.3">
      <c r="A389" s="6246" t="s">
        <v>4161</v>
      </c>
    </row>
    <row r="390" spans="1:1" x14ac:dyDescent="0.3">
      <c r="A390" s="6246" t="s">
        <v>4162</v>
      </c>
    </row>
    <row r="391" spans="1:1" x14ac:dyDescent="0.3">
      <c r="A391" s="6246" t="s">
        <v>4163</v>
      </c>
    </row>
    <row r="392" spans="1:1" x14ac:dyDescent="0.3">
      <c r="A392" s="6246" t="s">
        <v>4164</v>
      </c>
    </row>
    <row r="393" spans="1:1" x14ac:dyDescent="0.3">
      <c r="A393" s="6246" t="s">
        <v>4165</v>
      </c>
    </row>
    <row r="394" spans="1:1" x14ac:dyDescent="0.3">
      <c r="A394" s="6246" t="s">
        <v>4166</v>
      </c>
    </row>
    <row r="395" spans="1:1" x14ac:dyDescent="0.3">
      <c r="A395" s="6246" t="s">
        <v>4188</v>
      </c>
    </row>
    <row r="396" spans="1:1" x14ac:dyDescent="0.3">
      <c r="A396" s="6246" t="s">
        <v>4189</v>
      </c>
    </row>
    <row r="397" spans="1:1" x14ac:dyDescent="0.3">
      <c r="A397" s="6246" t="s">
        <v>4190</v>
      </c>
    </row>
    <row r="398" spans="1:1" x14ac:dyDescent="0.3">
      <c r="A398" s="6246" t="s">
        <v>4191</v>
      </c>
    </row>
    <row r="399" spans="1:1" x14ac:dyDescent="0.3">
      <c r="A399" s="6246" t="s">
        <v>4192</v>
      </c>
    </row>
    <row r="400" spans="1:1" x14ac:dyDescent="0.3">
      <c r="A400" s="6246" t="s">
        <v>4193</v>
      </c>
    </row>
    <row r="401" spans="1:1" x14ac:dyDescent="0.3">
      <c r="A401" s="6246" t="s">
        <v>4194</v>
      </c>
    </row>
    <row r="402" spans="1:1" x14ac:dyDescent="0.3">
      <c r="A402" s="6246" t="s">
        <v>4195</v>
      </c>
    </row>
  </sheetData>
  <mergeCells count="344">
    <mergeCell ref="G227:G228"/>
    <mergeCell ref="B229:C229"/>
    <mergeCell ref="B230:C230"/>
    <mergeCell ref="B231:C231"/>
    <mergeCell ref="B232:B233"/>
    <mergeCell ref="B234:B235"/>
    <mergeCell ref="S11:T11"/>
    <mergeCell ref="U11:V11"/>
    <mergeCell ref="W11:X11"/>
    <mergeCell ref="O18:P18"/>
    <mergeCell ref="Q18:R18"/>
    <mergeCell ref="B17:B19"/>
    <mergeCell ref="C17:C19"/>
    <mergeCell ref="D17:F18"/>
    <mergeCell ref="G17:R17"/>
    <mergeCell ref="B39:B41"/>
    <mergeCell ref="S17:S19"/>
    <mergeCell ref="T17:T19"/>
    <mergeCell ref="G18:H18"/>
    <mergeCell ref="I18:J18"/>
    <mergeCell ref="K18:L18"/>
    <mergeCell ref="M18:N18"/>
    <mergeCell ref="R43:R45"/>
    <mergeCell ref="S43:S45"/>
    <mergeCell ref="Y11:Z11"/>
    <mergeCell ref="B13:C13"/>
    <mergeCell ref="B14:B15"/>
    <mergeCell ref="B6:Z6"/>
    <mergeCell ref="B10:C12"/>
    <mergeCell ref="D10:F11"/>
    <mergeCell ref="G10:Z10"/>
    <mergeCell ref="G11:H11"/>
    <mergeCell ref="I11:J11"/>
    <mergeCell ref="K11:L11"/>
    <mergeCell ref="M11:N11"/>
    <mergeCell ref="O11:P11"/>
    <mergeCell ref="Q11:R11"/>
    <mergeCell ref="B20:C20"/>
    <mergeCell ref="B21:B24"/>
    <mergeCell ref="B25:B36"/>
    <mergeCell ref="B37:B38"/>
    <mergeCell ref="B59:C60"/>
    <mergeCell ref="D59:D60"/>
    <mergeCell ref="E59:K59"/>
    <mergeCell ref="L59:L60"/>
    <mergeCell ref="M59:M60"/>
    <mergeCell ref="B61:C61"/>
    <mergeCell ref="N44:O44"/>
    <mergeCell ref="P44:Q44"/>
    <mergeCell ref="B51:B53"/>
    <mergeCell ref="C51:E52"/>
    <mergeCell ref="F51:I51"/>
    <mergeCell ref="J51:J53"/>
    <mergeCell ref="K51:K53"/>
    <mergeCell ref="F52:G52"/>
    <mergeCell ref="H52:I52"/>
    <mergeCell ref="B43:B45"/>
    <mergeCell ref="C43:E44"/>
    <mergeCell ref="F43:Q43"/>
    <mergeCell ref="F44:G44"/>
    <mergeCell ref="H44:I44"/>
    <mergeCell ref="J44:K44"/>
    <mergeCell ref="L44:M44"/>
    <mergeCell ref="B69:B71"/>
    <mergeCell ref="C69:E70"/>
    <mergeCell ref="F69:I69"/>
    <mergeCell ref="J69:J71"/>
    <mergeCell ref="K69:K71"/>
    <mergeCell ref="F70:G70"/>
    <mergeCell ref="H70:I70"/>
    <mergeCell ref="B62:C62"/>
    <mergeCell ref="B63:C63"/>
    <mergeCell ref="B64:C64"/>
    <mergeCell ref="B65:C65"/>
    <mergeCell ref="B66:C66"/>
    <mergeCell ref="B67:C67"/>
    <mergeCell ref="D95:F95"/>
    <mergeCell ref="G95:H95"/>
    <mergeCell ref="I95:J95"/>
    <mergeCell ref="B97:C97"/>
    <mergeCell ref="B98:C98"/>
    <mergeCell ref="B99:C99"/>
    <mergeCell ref="B77:B79"/>
    <mergeCell ref="C77:C78"/>
    <mergeCell ref="B89:C89"/>
    <mergeCell ref="B90:B91"/>
    <mergeCell ref="B92:B93"/>
    <mergeCell ref="B95:C96"/>
    <mergeCell ref="Q106:R106"/>
    <mergeCell ref="S106:T106"/>
    <mergeCell ref="U106:V106"/>
    <mergeCell ref="B100:C100"/>
    <mergeCell ref="B101:C101"/>
    <mergeCell ref="B102:C102"/>
    <mergeCell ref="B103:Q103"/>
    <mergeCell ref="B104:R104"/>
    <mergeCell ref="B105:C107"/>
    <mergeCell ref="D105:F106"/>
    <mergeCell ref="G105:V105"/>
    <mergeCell ref="G106:H106"/>
    <mergeCell ref="I106:J106"/>
    <mergeCell ref="B108:C108"/>
    <mergeCell ref="B109:C109"/>
    <mergeCell ref="B110:C110"/>
    <mergeCell ref="B111:C111"/>
    <mergeCell ref="B112:C112"/>
    <mergeCell ref="B113:C113"/>
    <mergeCell ref="K106:L106"/>
    <mergeCell ref="M106:N106"/>
    <mergeCell ref="O106:P106"/>
    <mergeCell ref="Q119:R119"/>
    <mergeCell ref="S119:T119"/>
    <mergeCell ref="U119:V119"/>
    <mergeCell ref="W119:X119"/>
    <mergeCell ref="Y119:Z119"/>
    <mergeCell ref="AA119:AB119"/>
    <mergeCell ref="B114:B116"/>
    <mergeCell ref="B118:B120"/>
    <mergeCell ref="C118:C120"/>
    <mergeCell ref="D118:F119"/>
    <mergeCell ref="G118:AB118"/>
    <mergeCell ref="G119:H119"/>
    <mergeCell ref="I119:J119"/>
    <mergeCell ref="K119:L119"/>
    <mergeCell ref="M119:N119"/>
    <mergeCell ref="O119:P119"/>
    <mergeCell ref="B151:C151"/>
    <mergeCell ref="B152:B156"/>
    <mergeCell ref="B157:B161"/>
    <mergeCell ref="B162:C162"/>
    <mergeCell ref="B164:C166"/>
    <mergeCell ref="D164:F165"/>
    <mergeCell ref="B121:B125"/>
    <mergeCell ref="B126:B130"/>
    <mergeCell ref="B131:B135"/>
    <mergeCell ref="B136:B140"/>
    <mergeCell ref="B141:B145"/>
    <mergeCell ref="B146:B150"/>
    <mergeCell ref="G164:AN164"/>
    <mergeCell ref="G165:H165"/>
    <mergeCell ref="I165:J165"/>
    <mergeCell ref="K165:L165"/>
    <mergeCell ref="M165:N165"/>
    <mergeCell ref="O165:P165"/>
    <mergeCell ref="Q165:R165"/>
    <mergeCell ref="S165:T165"/>
    <mergeCell ref="U165:V165"/>
    <mergeCell ref="W165:X165"/>
    <mergeCell ref="K175:L175"/>
    <mergeCell ref="M175:N175"/>
    <mergeCell ref="O175:P175"/>
    <mergeCell ref="B177:B179"/>
    <mergeCell ref="B180:B182"/>
    <mergeCell ref="B183:P183"/>
    <mergeCell ref="AK165:AL165"/>
    <mergeCell ref="AM165:AN165"/>
    <mergeCell ref="B167:B169"/>
    <mergeCell ref="B170:B172"/>
    <mergeCell ref="B174:B176"/>
    <mergeCell ref="C174:C176"/>
    <mergeCell ref="D174:F175"/>
    <mergeCell ref="G174:P174"/>
    <mergeCell ref="G175:H175"/>
    <mergeCell ref="I175:J175"/>
    <mergeCell ref="Y165:Z165"/>
    <mergeCell ref="AA165:AB165"/>
    <mergeCell ref="AC165:AD165"/>
    <mergeCell ref="AE165:AF165"/>
    <mergeCell ref="AG165:AH165"/>
    <mergeCell ref="AI165:AJ165"/>
    <mergeCell ref="B187:C187"/>
    <mergeCell ref="B188:C188"/>
    <mergeCell ref="B189:C189"/>
    <mergeCell ref="B190:C190"/>
    <mergeCell ref="B193:C195"/>
    <mergeCell ref="D193:F194"/>
    <mergeCell ref="B184:C186"/>
    <mergeCell ref="D184:F185"/>
    <mergeCell ref="G184:R184"/>
    <mergeCell ref="G185:H185"/>
    <mergeCell ref="I185:J185"/>
    <mergeCell ref="K185:L185"/>
    <mergeCell ref="M185:N185"/>
    <mergeCell ref="O185:P185"/>
    <mergeCell ref="Q185:R185"/>
    <mergeCell ref="G193:V193"/>
    <mergeCell ref="G194:H194"/>
    <mergeCell ref="I194:J194"/>
    <mergeCell ref="K194:L194"/>
    <mergeCell ref="M194:N194"/>
    <mergeCell ref="O194:P194"/>
    <mergeCell ref="Q194:R194"/>
    <mergeCell ref="S194:T194"/>
    <mergeCell ref="U194:V194"/>
    <mergeCell ref="B196:C196"/>
    <mergeCell ref="B197:C197"/>
    <mergeCell ref="B198:C198"/>
    <mergeCell ref="B200:C202"/>
    <mergeCell ref="D200:F201"/>
    <mergeCell ref="G200:AD200"/>
    <mergeCell ref="S201:T201"/>
    <mergeCell ref="U201:V201"/>
    <mergeCell ref="W201:X201"/>
    <mergeCell ref="Y201:Z201"/>
    <mergeCell ref="AE200:AF201"/>
    <mergeCell ref="AG200:AH201"/>
    <mergeCell ref="AI200:AI202"/>
    <mergeCell ref="AJ200:AJ202"/>
    <mergeCell ref="G201:H201"/>
    <mergeCell ref="I201:J201"/>
    <mergeCell ref="K201:L201"/>
    <mergeCell ref="M201:N201"/>
    <mergeCell ref="O201:P201"/>
    <mergeCell ref="Q201:R201"/>
    <mergeCell ref="AA201:AB201"/>
    <mergeCell ref="AC201:AD201"/>
    <mergeCell ref="B203:B204"/>
    <mergeCell ref="B205:C205"/>
    <mergeCell ref="B207:C209"/>
    <mergeCell ref="D207:F208"/>
    <mergeCell ref="G207:P207"/>
    <mergeCell ref="Q207:S207"/>
    <mergeCell ref="T207:T209"/>
    <mergeCell ref="U207:U209"/>
    <mergeCell ref="R208:R209"/>
    <mergeCell ref="S208:S209"/>
    <mergeCell ref="K208:L208"/>
    <mergeCell ref="M208:N208"/>
    <mergeCell ref="O208:P208"/>
    <mergeCell ref="Q208:Q209"/>
    <mergeCell ref="B210:C210"/>
    <mergeCell ref="B211:C211"/>
    <mergeCell ref="B212:C212"/>
    <mergeCell ref="B214:C215"/>
    <mergeCell ref="D214:E214"/>
    <mergeCell ref="F214:F215"/>
    <mergeCell ref="G214:G215"/>
    <mergeCell ref="G208:H208"/>
    <mergeCell ref="I208:J208"/>
    <mergeCell ref="B237:C239"/>
    <mergeCell ref="D237:F237"/>
    <mergeCell ref="D238:D239"/>
    <mergeCell ref="E238:F238"/>
    <mergeCell ref="B240:C240"/>
    <mergeCell ref="B241:C241"/>
    <mergeCell ref="B216:C216"/>
    <mergeCell ref="B217:C217"/>
    <mergeCell ref="B218:C218"/>
    <mergeCell ref="B219:C219"/>
    <mergeCell ref="B220:B223"/>
    <mergeCell ref="B224:B225"/>
    <mergeCell ref="B227:C228"/>
    <mergeCell ref="D227:E227"/>
    <mergeCell ref="F227:F228"/>
    <mergeCell ref="S247:T247"/>
    <mergeCell ref="U247:V247"/>
    <mergeCell ref="W247:X247"/>
    <mergeCell ref="B242:C242"/>
    <mergeCell ref="B243:C243"/>
    <mergeCell ref="B244:C244"/>
    <mergeCell ref="B245:N245"/>
    <mergeCell ref="B246:C248"/>
    <mergeCell ref="D246:F247"/>
    <mergeCell ref="G246:X246"/>
    <mergeCell ref="G247:H247"/>
    <mergeCell ref="I247:J247"/>
    <mergeCell ref="K247:L247"/>
    <mergeCell ref="B249:C249"/>
    <mergeCell ref="B250:C250"/>
    <mergeCell ref="B251:C251"/>
    <mergeCell ref="B252:C252"/>
    <mergeCell ref="B253:C253"/>
    <mergeCell ref="B254:C254"/>
    <mergeCell ref="M247:N247"/>
    <mergeCell ref="O247:P247"/>
    <mergeCell ref="Q247:R247"/>
    <mergeCell ref="AA271:AB271"/>
    <mergeCell ref="B255:C255"/>
    <mergeCell ref="B256:B258"/>
    <mergeCell ref="B260:C262"/>
    <mergeCell ref="D260:F261"/>
    <mergeCell ref="G260:P260"/>
    <mergeCell ref="G261:H261"/>
    <mergeCell ref="I261:J261"/>
    <mergeCell ref="K261:L261"/>
    <mergeCell ref="M261:N261"/>
    <mergeCell ref="O261:P261"/>
    <mergeCell ref="S261:S262"/>
    <mergeCell ref="Q260:Q262"/>
    <mergeCell ref="C270:C272"/>
    <mergeCell ref="D270:F271"/>
    <mergeCell ref="AO270:AV270"/>
    <mergeCell ref="AW270:AW272"/>
    <mergeCell ref="AX270:AX272"/>
    <mergeCell ref="G271:H271"/>
    <mergeCell ref="I271:J271"/>
    <mergeCell ref="K271:L271"/>
    <mergeCell ref="M271:N271"/>
    <mergeCell ref="O271:P271"/>
    <mergeCell ref="Q271:R271"/>
    <mergeCell ref="S271:T271"/>
    <mergeCell ref="AO271:AP271"/>
    <mergeCell ref="AQ271:AR271"/>
    <mergeCell ref="AS271:AT271"/>
    <mergeCell ref="AU271:AV271"/>
    <mergeCell ref="AC271:AD271"/>
    <mergeCell ref="AE271:AF271"/>
    <mergeCell ref="AG271:AH271"/>
    <mergeCell ref="AI271:AJ271"/>
    <mergeCell ref="AK271:AL271"/>
    <mergeCell ref="AM271:AN271"/>
    <mergeCell ref="G270:AN270"/>
    <mergeCell ref="U271:V271"/>
    <mergeCell ref="W271:X271"/>
    <mergeCell ref="Y271:Z271"/>
    <mergeCell ref="B321:C321"/>
    <mergeCell ref="B323:B325"/>
    <mergeCell ref="C323:C325"/>
    <mergeCell ref="AE323:AE325"/>
    <mergeCell ref="AF323:AF325"/>
    <mergeCell ref="D324:F324"/>
    <mergeCell ref="G324:H324"/>
    <mergeCell ref="I324:J324"/>
    <mergeCell ref="K324:L324"/>
    <mergeCell ref="M324:O324"/>
    <mergeCell ref="AC324:AD324"/>
    <mergeCell ref="P324:Q324"/>
    <mergeCell ref="R324:S324"/>
    <mergeCell ref="T324:U324"/>
    <mergeCell ref="V324:X324"/>
    <mergeCell ref="Y324:Z324"/>
    <mergeCell ref="AA324:AB324"/>
    <mergeCell ref="D323:L323"/>
    <mergeCell ref="M323:U323"/>
    <mergeCell ref="V323:AD323"/>
    <mergeCell ref="B273:B275"/>
    <mergeCell ref="B276:B282"/>
    <mergeCell ref="B283:B289"/>
    <mergeCell ref="B290:B301"/>
    <mergeCell ref="B302:B313"/>
    <mergeCell ref="B314:B320"/>
    <mergeCell ref="B263:B265"/>
    <mergeCell ref="B266:B268"/>
    <mergeCell ref="B270:B272"/>
  </mergeCells>
  <dataValidations count="10">
    <dataValidation type="whole" operator="greaterThanOrEqual" allowBlank="1" showInputMessage="1" showErrorMessage="1" sqref="G273:AN274 G276:AN281 G283:AN288 G290:AN300 G302:AN312 G314:AN319 G326:L333 P326:U326 P328:U328 P330:U330 P332:U332 Y326:AF333" xr:uid="{00000000-0002-0000-0300-000000000000}">
      <formula1>0</formula1>
    </dataValidation>
    <dataValidation type="whole" operator="greaterThanOrEqual" allowBlank="1" showErrorMessage="1" error="Error - Favor ingresar Números." sqref="G256:X258 G249:H249 I250:J250 K251:L251 I253:L254 M252:N254 O252:R252" xr:uid="{00000000-0002-0000-0300-000001000000}">
      <formula1>0</formula1>
    </dataValidation>
    <dataValidation type="whole" allowBlank="1" showInputMessage="1" showErrorMessage="1" sqref="AQ273:AX274" xr:uid="{00000000-0002-0000-0300-000002000000}">
      <formula1>0</formula1>
      <formula2>9.99999999999999E+39</formula2>
    </dataValidation>
    <dataValidation type="decimal" allowBlank="1" showErrorMessage="1" error="Error - Favor ingresar Números." sqref="S255:X255" xr:uid="{00000000-0002-0000-0300-000003000000}">
      <formula1>0</formula1>
      <formula2>9.99999999999999E+40</formula2>
    </dataValidation>
    <dataValidation type="whole" allowBlank="1" showInputMessage="1" showErrorMessage="1" sqref="D270:F320 AQ275:AX320 AQ272:AV272 AW270:AX272 AO272:AP320 G275:AN275 G282:AN282 G272:AN272 G320:AN320 G313:AN313 G289:AN289 G301:AN301" xr:uid="{00000000-0002-0000-0300-000004000000}">
      <formula1>0</formula1>
      <formula2>1E+30</formula2>
    </dataValidation>
    <dataValidation type="decimal" allowBlank="1" showErrorMessage="1" error="Error - Favor ingresar Números." sqref="G250:H255 S249:X254 I251:J252 I255:N255 O253:R255 M249:R251 K252:L252 K249:L250 I249:J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G203:AJ204 G13:Z15 E61:I63 I64:K67 L61:M67 E67:H67 F72:K74 C80:C83 C86:F87 D90:D93 E92:E93 F90:G91 G92:G93 G98:J102 G112:J116 I108:J108 K108:V111 K114:V116 G121:AB150 G152:AB161 G167:AN172 G177:P182 G187:R189 D240:F244 G263:P268 G196:V197 F55:K57 F46:S49 G210:U212 G20:T41 D217:G235 R263:S265" xr:uid="{00000000-0002-0000-0300-000006000000}">
      <formula1>0</formula1>
    </dataValidation>
    <dataValidation type="whole" allowBlank="1" showInputMessage="1" showErrorMessage="1" sqref="G201:AD202 AE202:AH202 AJ202 G205:AJ205 D200:F205 U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F92:F93 D259:F268 K112:V113 G151:AB151 G108:H111 J61:K63 D72:E74 E64:H66 I109:J111 E90:E91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Q263:Q268" xr:uid="{58624FA5-B05D-42A8-AB02-4F4028ADB3EC}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V297"/>
  <sheetViews>
    <sheetView showGridLines="0" workbookViewId="0"/>
  </sheetViews>
  <sheetFormatPr baseColWidth="10" defaultColWidth="11.44140625" defaultRowHeight="14.4" x14ac:dyDescent="0.3"/>
  <cols>
    <col min="1" max="1" width="16.44140625" customWidth="1"/>
    <col min="2" max="2" width="45.6640625" customWidth="1"/>
    <col min="3" max="3" width="31.5546875" customWidth="1"/>
    <col min="4" max="5" width="16.33203125" customWidth="1"/>
    <col min="6" max="6" width="17.88671875" customWidth="1"/>
    <col min="7" max="7" width="15.33203125" customWidth="1"/>
    <col min="8" max="8" width="12.33203125" customWidth="1"/>
    <col min="9" max="9" width="13.44140625" customWidth="1"/>
    <col min="10" max="10" width="13.33203125" customWidth="1"/>
    <col min="11" max="11" width="12.44140625" customWidth="1"/>
    <col min="12" max="12" width="13.33203125" customWidth="1"/>
    <col min="14" max="14" width="11.88671875" customWidth="1"/>
    <col min="15" max="15" width="13.88671875" customWidth="1"/>
    <col min="16" max="16" width="13.44140625" customWidth="1"/>
    <col min="19" max="19" width="12.5546875" customWidth="1"/>
    <col min="20" max="20" width="13.5546875" customWidth="1"/>
    <col min="42" max="42" width="11.33203125" customWidth="1"/>
    <col min="43" max="43" width="12" customWidth="1"/>
    <col min="67" max="67" width="11.44140625" customWidth="1"/>
    <col min="68" max="72" width="11.44140625" style="1723" hidden="1" customWidth="1"/>
    <col min="73" max="73" width="11.44140625" hidden="1" customWidth="1"/>
    <col min="74" max="76" width="11.44140625" style="1725" hidden="1" customWidth="1"/>
    <col min="77" max="78" width="11.44140625" hidden="1" customWidth="1"/>
    <col min="79" max="79" width="11.44140625" customWidth="1"/>
    <col min="98" max="98" width="11.33203125" customWidth="1"/>
    <col min="99" max="99" width="11.88671875" customWidth="1"/>
    <col min="100" max="100" width="10.88671875" customWidth="1"/>
    <col min="101" max="152" width="11.44140625" customWidth="1"/>
  </cols>
  <sheetData>
    <row r="1" spans="1:152" x14ac:dyDescent="0.3">
      <c r="B1" s="774" t="s">
        <v>3879</v>
      </c>
      <c r="BP1"/>
      <c r="BQ1"/>
      <c r="BR1"/>
      <c r="BS1"/>
      <c r="BT1"/>
      <c r="BV1"/>
      <c r="BW1"/>
      <c r="BX1"/>
    </row>
    <row r="2" spans="1:152" x14ac:dyDescent="0.3">
      <c r="B2" s="774" t="str">
        <f>CONCATENATE("COMUNA: ",NOMBRE!B2," - ","( ",NOMBRE!C2,NOMBRE!D2,NOMBRE!E2,NOMBRE!F2,NOMBRE!G2," )")</f>
        <v>COMUNA:  - (  )</v>
      </c>
      <c r="BP2"/>
      <c r="BQ2"/>
      <c r="BR2"/>
      <c r="BS2"/>
      <c r="BT2"/>
      <c r="BV2"/>
      <c r="BW2"/>
      <c r="BX2"/>
    </row>
    <row r="3" spans="1:152" x14ac:dyDescent="0.3">
      <c r="B3" s="774" t="str">
        <f>CONCATENATE("ESTABLECIMIENTO/ESTRATEGIA: ",NOMBRE!B3," - ","( ",NOMBRE!C3,NOMBRE!D3,NOMBRE!E3,NOMBRE!F3,NOMBRE!G3,NOMBRE!H3," )")</f>
        <v>ESTABLECIMIENTO/ESTRATEGIA:  - (  )</v>
      </c>
      <c r="BP3"/>
      <c r="BQ3"/>
      <c r="BR3"/>
      <c r="BS3"/>
      <c r="BT3"/>
      <c r="BV3"/>
      <c r="BW3"/>
      <c r="BX3"/>
    </row>
    <row r="4" spans="1:152" x14ac:dyDescent="0.3">
      <c r="B4" s="774" t="str">
        <f>CONCATENATE("MES: ",NOMBRE!B6," - ","( ",NOMBRE!C6,NOMBRE!D6," )")</f>
        <v>MES:  - (  )</v>
      </c>
      <c r="BP4"/>
      <c r="BQ4"/>
      <c r="BR4"/>
      <c r="BS4"/>
      <c r="BT4"/>
      <c r="BV4"/>
      <c r="BW4"/>
      <c r="BX4"/>
    </row>
    <row r="5" spans="1:152" x14ac:dyDescent="0.3">
      <c r="B5" s="774" t="str">
        <f>CONCATENATE("AÑO: ",NOMBRE!B7)</f>
        <v>AÑO: 2024</v>
      </c>
      <c r="BP5"/>
      <c r="BQ5"/>
      <c r="BR5"/>
      <c r="BS5"/>
      <c r="BT5"/>
      <c r="BV5"/>
      <c r="BW5"/>
      <c r="BX5"/>
    </row>
    <row r="6" spans="1:152" s="777" customFormat="1" ht="18" customHeight="1" x14ac:dyDescent="0.25">
      <c r="B6" s="6671" t="s">
        <v>1744</v>
      </c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Q6" s="6671"/>
      <c r="R6" s="6671"/>
      <c r="S6" s="6671"/>
      <c r="T6" s="6671"/>
      <c r="U6" s="6671"/>
      <c r="V6" s="6671"/>
      <c r="W6" s="6671"/>
      <c r="X6" s="6671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CW6" s="2572"/>
      <c r="CX6" s="2572"/>
      <c r="CY6" s="2572"/>
      <c r="CZ6" s="2572"/>
      <c r="DA6" s="2572"/>
      <c r="DB6" s="2572"/>
      <c r="DC6" s="2572"/>
      <c r="DD6" s="2572"/>
      <c r="DE6" s="2572"/>
      <c r="DF6" s="2572"/>
      <c r="DG6" s="2572"/>
      <c r="DH6" s="2572"/>
      <c r="DI6" s="2572"/>
      <c r="DJ6" s="2572"/>
      <c r="DK6" s="2572"/>
      <c r="DL6" s="2572"/>
      <c r="DM6" s="2572"/>
      <c r="DN6" s="2572"/>
      <c r="DO6" s="2572"/>
      <c r="DP6" s="2572"/>
      <c r="DQ6" s="2572"/>
      <c r="DR6" s="2572"/>
      <c r="DS6" s="2572"/>
      <c r="DT6" s="2572"/>
      <c r="DU6" s="2572"/>
      <c r="DV6" s="2572"/>
      <c r="DW6" s="2572"/>
      <c r="DX6" s="2572"/>
      <c r="DY6" s="2572"/>
      <c r="DZ6" s="2572"/>
      <c r="EA6" s="2572"/>
      <c r="EB6" s="2572"/>
      <c r="EC6" s="2572"/>
      <c r="ED6" s="2572"/>
      <c r="EE6" s="2572"/>
      <c r="EF6" s="2572"/>
      <c r="EG6" s="2572"/>
      <c r="EH6" s="2572"/>
      <c r="EI6" s="2572"/>
      <c r="EJ6" s="2572"/>
      <c r="EK6" s="2572"/>
      <c r="EL6" s="2572"/>
      <c r="EM6" s="2572"/>
      <c r="EN6" s="2572"/>
      <c r="EO6" s="2572"/>
      <c r="EP6" s="2572"/>
      <c r="EQ6" s="2572"/>
      <c r="ER6" s="2572"/>
      <c r="ES6" s="2572"/>
      <c r="ET6" s="2572"/>
      <c r="EU6" s="2572"/>
      <c r="EV6" s="2572"/>
    </row>
    <row r="7" spans="1:152" x14ac:dyDescent="0.3">
      <c r="BP7"/>
      <c r="BQ7"/>
      <c r="BR7"/>
      <c r="BS7"/>
      <c r="BT7"/>
      <c r="BV7"/>
      <c r="BW7"/>
      <c r="BX7"/>
    </row>
    <row r="8" spans="1:152" ht="18" customHeight="1" x14ac:dyDescent="0.3">
      <c r="B8" s="122" t="s">
        <v>1745</v>
      </c>
      <c r="C8" s="1052"/>
      <c r="D8" s="1052"/>
      <c r="E8" s="1052"/>
      <c r="F8" s="1052"/>
      <c r="G8" s="1052"/>
      <c r="H8" s="1052"/>
      <c r="I8" s="1052"/>
      <c r="J8" s="1052"/>
      <c r="K8" s="1052"/>
      <c r="L8" s="1052"/>
      <c r="M8" s="1052"/>
      <c r="N8" s="1052"/>
      <c r="O8" s="1052"/>
      <c r="P8" s="1052"/>
      <c r="Q8" s="1052"/>
      <c r="R8" s="1052"/>
      <c r="S8" s="1052"/>
      <c r="T8" s="1052"/>
      <c r="U8" s="1052"/>
      <c r="V8" s="1052"/>
      <c r="W8" s="1052"/>
      <c r="X8" s="1052"/>
      <c r="Y8" s="1052"/>
      <c r="Z8" s="2573"/>
      <c r="AA8" s="2573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112"/>
      <c r="AT8" s="777"/>
      <c r="BP8"/>
      <c r="BQ8"/>
      <c r="BR8"/>
      <c r="BS8"/>
      <c r="BT8"/>
      <c r="BV8"/>
      <c r="BW8"/>
      <c r="BX8"/>
    </row>
    <row r="9" spans="1:152" x14ac:dyDescent="0.3">
      <c r="B9" s="6337" t="s">
        <v>1746</v>
      </c>
      <c r="C9" s="6340" t="s">
        <v>1</v>
      </c>
      <c r="D9" s="6341"/>
      <c r="E9" s="6673"/>
      <c r="F9" s="6677" t="s">
        <v>30</v>
      </c>
      <c r="G9" s="6678"/>
      <c r="H9" s="6678"/>
      <c r="I9" s="6678"/>
      <c r="J9" s="6678"/>
      <c r="K9" s="6678"/>
      <c r="L9" s="6678"/>
      <c r="M9" s="6678"/>
      <c r="N9" s="6678"/>
      <c r="O9" s="6678"/>
      <c r="P9" s="6678"/>
      <c r="Q9" s="6678"/>
      <c r="R9" s="6678"/>
      <c r="S9" s="6678"/>
      <c r="T9" s="6678"/>
      <c r="U9" s="6678"/>
      <c r="V9" s="6678"/>
      <c r="W9" s="6678"/>
      <c r="X9" s="6678"/>
      <c r="Y9" s="6678"/>
      <c r="Z9" s="6678"/>
      <c r="AA9" s="6678"/>
      <c r="AB9" s="6678"/>
      <c r="AC9" s="6678"/>
      <c r="AD9" s="6678"/>
      <c r="AE9" s="6678"/>
      <c r="AF9" s="6678"/>
      <c r="AG9" s="6678"/>
      <c r="AH9" s="6678"/>
      <c r="AI9" s="6678"/>
      <c r="AJ9" s="6678"/>
      <c r="AK9" s="6678"/>
      <c r="AL9" s="6678"/>
      <c r="AM9" s="6678"/>
      <c r="AN9" s="6678"/>
      <c r="AO9" s="6376"/>
      <c r="AP9" s="6323" t="s">
        <v>2</v>
      </c>
      <c r="AQ9" s="6323" t="s">
        <v>3</v>
      </c>
      <c r="AR9" s="6673" t="s">
        <v>49</v>
      </c>
      <c r="AS9" s="6673" t="s">
        <v>45</v>
      </c>
      <c r="AT9" s="6673" t="s">
        <v>267</v>
      </c>
      <c r="BP9"/>
      <c r="BQ9"/>
      <c r="BR9"/>
      <c r="BS9"/>
      <c r="BT9"/>
      <c r="BV9"/>
      <c r="BW9"/>
      <c r="BX9"/>
    </row>
    <row r="10" spans="1:152" ht="24" customHeight="1" x14ac:dyDescent="0.3">
      <c r="B10" s="6338"/>
      <c r="C10" s="6674"/>
      <c r="D10" s="6675"/>
      <c r="E10" s="6676"/>
      <c r="F10" s="6680" t="s">
        <v>682</v>
      </c>
      <c r="G10" s="6682"/>
      <c r="H10" s="6680" t="s">
        <v>3727</v>
      </c>
      <c r="I10" s="6681"/>
      <c r="J10" s="6680" t="s">
        <v>37</v>
      </c>
      <c r="K10" s="6681"/>
      <c r="L10" s="6680" t="s">
        <v>38</v>
      </c>
      <c r="M10" s="6681"/>
      <c r="N10" s="6680" t="s">
        <v>4</v>
      </c>
      <c r="O10" s="6681"/>
      <c r="P10" s="6680" t="s">
        <v>5</v>
      </c>
      <c r="Q10" s="6681"/>
      <c r="R10" s="6680" t="s">
        <v>6</v>
      </c>
      <c r="S10" s="6681"/>
      <c r="T10" s="6680" t="s">
        <v>7</v>
      </c>
      <c r="U10" s="6681"/>
      <c r="V10" s="6680" t="s">
        <v>8</v>
      </c>
      <c r="W10" s="6681"/>
      <c r="X10" s="6680" t="s">
        <v>9</v>
      </c>
      <c r="Y10" s="6681"/>
      <c r="Z10" s="6680" t="s">
        <v>10</v>
      </c>
      <c r="AA10" s="6681"/>
      <c r="AB10" s="6680" t="s">
        <v>11</v>
      </c>
      <c r="AC10" s="6681"/>
      <c r="AD10" s="6680" t="s">
        <v>18</v>
      </c>
      <c r="AE10" s="6681"/>
      <c r="AF10" s="6680" t="s">
        <v>19</v>
      </c>
      <c r="AG10" s="6681"/>
      <c r="AH10" s="6680" t="s">
        <v>20</v>
      </c>
      <c r="AI10" s="6681"/>
      <c r="AJ10" s="6680" t="s">
        <v>70</v>
      </c>
      <c r="AK10" s="6681"/>
      <c r="AL10" s="6680" t="s">
        <v>71</v>
      </c>
      <c r="AM10" s="6681"/>
      <c r="AN10" s="6677" t="s">
        <v>72</v>
      </c>
      <c r="AO10" s="6376"/>
      <c r="AP10" s="6373"/>
      <c r="AQ10" s="6373"/>
      <c r="AR10" s="6324"/>
      <c r="AS10" s="6324"/>
      <c r="AT10" s="6324"/>
      <c r="BP10"/>
      <c r="BQ10"/>
      <c r="BR10"/>
      <c r="BS10"/>
      <c r="BT10"/>
      <c r="BV10"/>
      <c r="BW10"/>
      <c r="BX10"/>
    </row>
    <row r="11" spans="1:152" x14ac:dyDescent="0.3">
      <c r="B11" s="6672"/>
      <c r="C11" s="1938" t="s">
        <v>26</v>
      </c>
      <c r="D11" s="2574" t="s">
        <v>22</v>
      </c>
      <c r="E11" s="1381" t="s">
        <v>27</v>
      </c>
      <c r="F11" s="2081" t="s">
        <v>22</v>
      </c>
      <c r="G11" s="1716" t="s">
        <v>27</v>
      </c>
      <c r="H11" s="2081" t="s">
        <v>22</v>
      </c>
      <c r="I11" s="1716" t="s">
        <v>27</v>
      </c>
      <c r="J11" s="2081" t="s">
        <v>22</v>
      </c>
      <c r="K11" s="1716" t="s">
        <v>27</v>
      </c>
      <c r="L11" s="2081" t="s">
        <v>22</v>
      </c>
      <c r="M11" s="1716" t="s">
        <v>27</v>
      </c>
      <c r="N11" s="2081" t="s">
        <v>22</v>
      </c>
      <c r="O11" s="1716" t="s">
        <v>27</v>
      </c>
      <c r="P11" s="2081" t="s">
        <v>22</v>
      </c>
      <c r="Q11" s="1716" t="s">
        <v>27</v>
      </c>
      <c r="R11" s="2081" t="s">
        <v>22</v>
      </c>
      <c r="S11" s="1716" t="s">
        <v>27</v>
      </c>
      <c r="T11" s="2081" t="s">
        <v>22</v>
      </c>
      <c r="U11" s="1716" t="s">
        <v>27</v>
      </c>
      <c r="V11" s="2081" t="s">
        <v>22</v>
      </c>
      <c r="W11" s="1716" t="s">
        <v>27</v>
      </c>
      <c r="X11" s="2081" t="s">
        <v>22</v>
      </c>
      <c r="Y11" s="1716" t="s">
        <v>27</v>
      </c>
      <c r="Z11" s="2081" t="s">
        <v>22</v>
      </c>
      <c r="AA11" s="1716" t="s">
        <v>27</v>
      </c>
      <c r="AB11" s="2081" t="s">
        <v>22</v>
      </c>
      <c r="AC11" s="1716" t="s">
        <v>27</v>
      </c>
      <c r="AD11" s="2081" t="s">
        <v>22</v>
      </c>
      <c r="AE11" s="1716" t="s">
        <v>27</v>
      </c>
      <c r="AF11" s="2081" t="s">
        <v>22</v>
      </c>
      <c r="AG11" s="1716" t="s">
        <v>27</v>
      </c>
      <c r="AH11" s="2081" t="s">
        <v>22</v>
      </c>
      <c r="AI11" s="1716" t="s">
        <v>27</v>
      </c>
      <c r="AJ11" s="2081" t="s">
        <v>22</v>
      </c>
      <c r="AK11" s="1716" t="s">
        <v>27</v>
      </c>
      <c r="AL11" s="2081" t="s">
        <v>22</v>
      </c>
      <c r="AM11" s="1716" t="s">
        <v>27</v>
      </c>
      <c r="AN11" s="2081" t="s">
        <v>22</v>
      </c>
      <c r="AO11" s="2558" t="s">
        <v>27</v>
      </c>
      <c r="AP11" s="6679"/>
      <c r="AQ11" s="6679"/>
      <c r="AR11" s="6676"/>
      <c r="AS11" s="6676"/>
      <c r="AT11" s="6676"/>
      <c r="BP11"/>
      <c r="BQ11"/>
      <c r="BR11"/>
      <c r="BS11"/>
      <c r="BT11"/>
      <c r="BV11"/>
      <c r="BW11"/>
      <c r="BX11"/>
    </row>
    <row r="12" spans="1:152" x14ac:dyDescent="0.3">
      <c r="A12" s="6238"/>
      <c r="B12" s="1937" t="s">
        <v>24</v>
      </c>
      <c r="C12" s="2575">
        <f>SUM(C13:C26)</f>
        <v>0</v>
      </c>
      <c r="D12" s="2576">
        <f>SUM(D13:D26)</f>
        <v>0</v>
      </c>
      <c r="E12" s="2577">
        <f>SUM(E13:E26)</f>
        <v>0</v>
      </c>
      <c r="F12" s="2578">
        <f>SUM(F13:F26)</f>
        <v>0</v>
      </c>
      <c r="G12" s="2579">
        <f t="shared" ref="G12:AO12" si="0">SUM(G13:G26)</f>
        <v>0</v>
      </c>
      <c r="H12" s="2580">
        <f>SUM(H13:H26)</f>
        <v>0</v>
      </c>
      <c r="I12" s="2579">
        <f t="shared" si="0"/>
        <v>0</v>
      </c>
      <c r="J12" s="2578">
        <f t="shared" si="0"/>
        <v>0</v>
      </c>
      <c r="K12" s="2579">
        <f t="shared" si="0"/>
        <v>0</v>
      </c>
      <c r="L12" s="2578">
        <f t="shared" si="0"/>
        <v>0</v>
      </c>
      <c r="M12" s="2579">
        <f t="shared" si="0"/>
        <v>0</v>
      </c>
      <c r="N12" s="2578">
        <f t="shared" si="0"/>
        <v>0</v>
      </c>
      <c r="O12" s="2579">
        <f t="shared" si="0"/>
        <v>0</v>
      </c>
      <c r="P12" s="2578">
        <f t="shared" si="0"/>
        <v>0</v>
      </c>
      <c r="Q12" s="2579">
        <f t="shared" si="0"/>
        <v>0</v>
      </c>
      <c r="R12" s="2578">
        <f t="shared" si="0"/>
        <v>0</v>
      </c>
      <c r="S12" s="2579">
        <f t="shared" si="0"/>
        <v>0</v>
      </c>
      <c r="T12" s="2578">
        <f t="shared" si="0"/>
        <v>0</v>
      </c>
      <c r="U12" s="2579">
        <f t="shared" si="0"/>
        <v>0</v>
      </c>
      <c r="V12" s="2578">
        <f>SUM(V13:V26)</f>
        <v>0</v>
      </c>
      <c r="W12" s="2579">
        <f>SUM(W13:W26)</f>
        <v>0</v>
      </c>
      <c r="X12" s="2578">
        <f t="shared" si="0"/>
        <v>0</v>
      </c>
      <c r="Y12" s="2579">
        <f t="shared" si="0"/>
        <v>0</v>
      </c>
      <c r="Z12" s="2578">
        <f t="shared" si="0"/>
        <v>0</v>
      </c>
      <c r="AA12" s="2579">
        <f t="shared" si="0"/>
        <v>0</v>
      </c>
      <c r="AB12" s="2578">
        <f t="shared" si="0"/>
        <v>0</v>
      </c>
      <c r="AC12" s="2579">
        <f t="shared" si="0"/>
        <v>0</v>
      </c>
      <c r="AD12" s="2578">
        <f t="shared" si="0"/>
        <v>0</v>
      </c>
      <c r="AE12" s="2579">
        <f t="shared" si="0"/>
        <v>0</v>
      </c>
      <c r="AF12" s="2578">
        <f t="shared" si="0"/>
        <v>0</v>
      </c>
      <c r="AG12" s="2579">
        <f t="shared" si="0"/>
        <v>0</v>
      </c>
      <c r="AH12" s="2578">
        <f t="shared" si="0"/>
        <v>0</v>
      </c>
      <c r="AI12" s="2579">
        <f t="shared" si="0"/>
        <v>0</v>
      </c>
      <c r="AJ12" s="2578">
        <f t="shared" si="0"/>
        <v>0</v>
      </c>
      <c r="AK12" s="2579">
        <f t="shared" si="0"/>
        <v>0</v>
      </c>
      <c r="AL12" s="2578">
        <f t="shared" si="0"/>
        <v>0</v>
      </c>
      <c r="AM12" s="2579">
        <f t="shared" si="0"/>
        <v>0</v>
      </c>
      <c r="AN12" s="2578">
        <f t="shared" si="0"/>
        <v>0</v>
      </c>
      <c r="AO12" s="2581">
        <f t="shared" si="0"/>
        <v>0</v>
      </c>
      <c r="AP12" s="1679">
        <f>SUM(AP13:AP26)</f>
        <v>0</v>
      </c>
      <c r="AQ12" s="2582">
        <f>SUM(AQ13:AQ26)</f>
        <v>0</v>
      </c>
      <c r="AR12" s="2583">
        <f>SUM(AR13:AR26)</f>
        <v>0</v>
      </c>
      <c r="AS12" s="2583">
        <f>SUM(AS13:AS26)</f>
        <v>0</v>
      </c>
      <c r="AT12" s="2583">
        <f>SUM(AT13:AT26)</f>
        <v>0</v>
      </c>
      <c r="BP12"/>
      <c r="BQ12"/>
      <c r="BR12"/>
      <c r="BS12"/>
      <c r="BT12"/>
      <c r="BV12"/>
      <c r="BW12"/>
      <c r="BX12"/>
    </row>
    <row r="13" spans="1:152" ht="15" customHeight="1" x14ac:dyDescent="0.3">
      <c r="A13" s="6233" t="s">
        <v>4196</v>
      </c>
      <c r="B13" s="1939" t="s">
        <v>1747</v>
      </c>
      <c r="C13" s="1682" t="s">
        <v>5292</v>
      </c>
      <c r="D13" s="1940" t="s">
        <v>5293</v>
      </c>
      <c r="E13" s="1941" t="s">
        <v>5294</v>
      </c>
      <c r="F13" s="1836" t="s">
        <v>5295</v>
      </c>
      <c r="G13" s="1920" t="s">
        <v>5296</v>
      </c>
      <c r="H13" s="1836" t="s">
        <v>5297</v>
      </c>
      <c r="I13" s="1920" t="s">
        <v>5298</v>
      </c>
      <c r="J13" s="1836" t="s">
        <v>5299</v>
      </c>
      <c r="K13" s="1918" t="s">
        <v>5300</v>
      </c>
      <c r="L13" s="1836" t="s">
        <v>5301</v>
      </c>
      <c r="M13" s="1918" t="s">
        <v>5302</v>
      </c>
      <c r="N13" s="1836" t="s">
        <v>5303</v>
      </c>
      <c r="O13" s="1918" t="s">
        <v>5304</v>
      </c>
      <c r="P13" s="1836" t="s">
        <v>5305</v>
      </c>
      <c r="Q13" s="1918" t="s">
        <v>5306</v>
      </c>
      <c r="R13" s="1836" t="s">
        <v>5307</v>
      </c>
      <c r="S13" s="1918" t="s">
        <v>5308</v>
      </c>
      <c r="T13" s="1836" t="s">
        <v>5309</v>
      </c>
      <c r="U13" s="1918" t="s">
        <v>5310</v>
      </c>
      <c r="V13" s="1836" t="s">
        <v>5311</v>
      </c>
      <c r="W13" s="1918" t="s">
        <v>5312</v>
      </c>
      <c r="X13" s="1836" t="s">
        <v>5313</v>
      </c>
      <c r="Y13" s="1918" t="s">
        <v>5314</v>
      </c>
      <c r="Z13" s="1836" t="s">
        <v>5315</v>
      </c>
      <c r="AA13" s="1918" t="s">
        <v>5316</v>
      </c>
      <c r="AB13" s="1836" t="s">
        <v>5317</v>
      </c>
      <c r="AC13" s="1918" t="s">
        <v>5318</v>
      </c>
      <c r="AD13" s="1836" t="s">
        <v>5319</v>
      </c>
      <c r="AE13" s="1918" t="s">
        <v>5320</v>
      </c>
      <c r="AF13" s="1836" t="s">
        <v>5321</v>
      </c>
      <c r="AG13" s="1918" t="s">
        <v>5322</v>
      </c>
      <c r="AH13" s="1836" t="s">
        <v>5323</v>
      </c>
      <c r="AI13" s="1918" t="s">
        <v>5324</v>
      </c>
      <c r="AJ13" s="1836" t="s">
        <v>5325</v>
      </c>
      <c r="AK13" s="1918" t="s">
        <v>5326</v>
      </c>
      <c r="AL13" s="1836" t="s">
        <v>5327</v>
      </c>
      <c r="AM13" s="1918" t="s">
        <v>5328</v>
      </c>
      <c r="AN13" s="1919" t="s">
        <v>5329</v>
      </c>
      <c r="AO13" s="1686" t="s">
        <v>5330</v>
      </c>
      <c r="AP13" s="1796" t="s">
        <v>5331</v>
      </c>
      <c r="AQ13" s="1796" t="s">
        <v>5332</v>
      </c>
      <c r="AR13" s="1838" t="s">
        <v>5333</v>
      </c>
      <c r="AS13" s="1838" t="s">
        <v>5334</v>
      </c>
      <c r="AT13" s="1838" t="s">
        <v>5335</v>
      </c>
      <c r="AU13" t="str">
        <f>BP13&amp;BQ13&amp;BR13&amp;BS13&amp;BT13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3" s="2465" t="str">
        <f>IF(AND(C13&gt;0,AP13="")," * No olvide digitar la variable Pueblos originarios. Digite Cero si no tiene.",IF(AP13&gt;C13," *  La variable Pueblos originarios No puede ser mayor al Total.",""))</f>
        <v xml:space="preserve"> *  La variable Pueblos originarios No puede ser mayor al Total.</v>
      </c>
      <c r="BQ13" s="2465" t="str">
        <f>IF(AND(C13&gt;0,AQ13="")," * No olvide digitar la variable Migrantes. Digite Cero si no tiene.",IF(AQ13&gt;C13," *  La variable Migrantes No puede ser mayor al Total.",""))</f>
        <v xml:space="preserve"> *  La variable Migrantes No puede ser mayor al Total.</v>
      </c>
      <c r="BR13" s="2465" t="str">
        <f>IF(AND(C13&gt;0,AR13="")," * No olvide digitar la variable Niños, niñas, adolescentes y jóvenes SENAME. Digite Cero si no tiene.",IF(AR13&gt;C13," *  La variable Niños, niñas, adolescentes y jóvenes SENAME No puede ser mayor al Total.",""))</f>
        <v xml:space="preserve"> *  La variable Niños, niñas, adolescentes y jóvenes SENAME No puede ser mayor al Total.</v>
      </c>
      <c r="BS13" s="2465" t="str">
        <f>IF(AND(C13&gt;0,AS13="")," * No olvide digitar la variable Niños, niñas, adolescentes y jóvenes Mejor niñez. Digite Cero si no tiene.",IF(AS13&gt;C13," *  La variable Niños, niñas, adolescentes y jóvenes Mejor Niñez No puede ser mayor al Total.",""))</f>
        <v xml:space="preserve"> *  La variable Niños, niñas, adolescentes y jóvenes Mejor Niñez No puede ser mayor al Total.</v>
      </c>
      <c r="BT13" s="2465" t="str">
        <f>IF(AND(C13&gt;0,AT13="")," * No olvide digitar la variable Por campaña de invierno. Digite Cero si no tiene.",IF(AT13&gt;C13," *  La variable Por campaña de invierno No puede ser mayor al Total.",""))</f>
        <v xml:space="preserve"> *  La variable Por campaña de invierno No puede ser mayor al Total.</v>
      </c>
      <c r="BV13" s="1725">
        <f>IF(AND(C13&gt;0,AP13=""),1,IF(AP13&gt;C13,1,0))</f>
        <v>1</v>
      </c>
      <c r="BW13" s="1725">
        <f>IF(AND(C13&gt;0,AQ13=""),1,IF(AQ13&gt;C13,1,0))</f>
        <v>1</v>
      </c>
      <c r="BX13" s="1725">
        <f>IF(AND(C13&gt;0,AR13=""),1,IF(AR13&gt;C13,1,0))</f>
        <v>1</v>
      </c>
      <c r="BY13" s="1725">
        <f>IF(AND(C13&gt;0,AS13=""),1,IF(AS13&gt;C13,1,0))</f>
        <v>1</v>
      </c>
      <c r="BZ13" s="1725">
        <f>IF(AND(C13&gt;0,AT13=""),1,IF(AT13&gt;C13,1,0))</f>
        <v>1</v>
      </c>
    </row>
    <row r="14" spans="1:152" ht="15" customHeight="1" x14ac:dyDescent="0.3">
      <c r="A14" s="6233" t="s">
        <v>4197</v>
      </c>
      <c r="B14" s="1942" t="s">
        <v>1748</v>
      </c>
      <c r="C14" s="1943" t="s">
        <v>5292</v>
      </c>
      <c r="D14" s="1944" t="s">
        <v>5293</v>
      </c>
      <c r="E14" s="352" t="s">
        <v>5294</v>
      </c>
      <c r="F14" s="1072" t="s">
        <v>5295</v>
      </c>
      <c r="G14" s="83" t="s">
        <v>5296</v>
      </c>
      <c r="H14" s="1072" t="s">
        <v>5297</v>
      </c>
      <c r="I14" s="83" t="s">
        <v>5298</v>
      </c>
      <c r="J14" s="1072" t="s">
        <v>5299</v>
      </c>
      <c r="K14" s="1060" t="s">
        <v>5300</v>
      </c>
      <c r="L14" s="1070" t="s">
        <v>5301</v>
      </c>
      <c r="M14" s="1071" t="s">
        <v>5302</v>
      </c>
      <c r="N14" s="1070" t="s">
        <v>5303</v>
      </c>
      <c r="O14" s="1071" t="s">
        <v>5304</v>
      </c>
      <c r="P14" s="1070" t="s">
        <v>5305</v>
      </c>
      <c r="Q14" s="1071" t="s">
        <v>5306</v>
      </c>
      <c r="R14" s="1070" t="s">
        <v>5307</v>
      </c>
      <c r="S14" s="1071" t="s">
        <v>5308</v>
      </c>
      <c r="T14" s="1070" t="s">
        <v>5309</v>
      </c>
      <c r="U14" s="1071" t="s">
        <v>5310</v>
      </c>
      <c r="V14" s="1070" t="s">
        <v>5311</v>
      </c>
      <c r="W14" s="1071" t="s">
        <v>5312</v>
      </c>
      <c r="X14" s="1070" t="s">
        <v>5313</v>
      </c>
      <c r="Y14" s="1071" t="s">
        <v>5314</v>
      </c>
      <c r="Z14" s="1070" t="s">
        <v>5315</v>
      </c>
      <c r="AA14" s="1071" t="s">
        <v>5316</v>
      </c>
      <c r="AB14" s="1070" t="s">
        <v>5317</v>
      </c>
      <c r="AC14" s="1071" t="s">
        <v>5318</v>
      </c>
      <c r="AD14" s="1070" t="s">
        <v>5319</v>
      </c>
      <c r="AE14" s="1071" t="s">
        <v>5320</v>
      </c>
      <c r="AF14" s="1070" t="s">
        <v>5321</v>
      </c>
      <c r="AG14" s="1071" t="s">
        <v>5322</v>
      </c>
      <c r="AH14" s="1070" t="s">
        <v>5323</v>
      </c>
      <c r="AI14" s="1071" t="s">
        <v>5324</v>
      </c>
      <c r="AJ14" s="1070" t="s">
        <v>5325</v>
      </c>
      <c r="AK14" s="1071" t="s">
        <v>5326</v>
      </c>
      <c r="AL14" s="1070" t="s">
        <v>5327</v>
      </c>
      <c r="AM14" s="1071" t="s">
        <v>5328</v>
      </c>
      <c r="AN14" s="1070" t="s">
        <v>5329</v>
      </c>
      <c r="AO14" s="1945" t="s">
        <v>5330</v>
      </c>
      <c r="AP14" s="1075" t="s">
        <v>5331</v>
      </c>
      <c r="AQ14" s="1075" t="s">
        <v>5332</v>
      </c>
      <c r="AR14" s="960" t="s">
        <v>5333</v>
      </c>
      <c r="AS14" s="960" t="s">
        <v>5334</v>
      </c>
      <c r="AT14" s="960" t="s">
        <v>5335</v>
      </c>
      <c r="AU14" t="str">
        <f t="shared" ref="AU14:AU26" si="1">BP14&amp;BQ14&amp;BR14&amp;BS14&amp;BT14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4" s="2465" t="str">
        <f t="shared" ref="BP14:BP26" si="2">IF(AND(C14&gt;0,AP14="")," * No olvide digitar la variable Pueblos originarios. Digite Cero si no tiene.",IF(AP14&gt;C14," *  La variable Pueblos originarios No puede ser mayor al Total.",""))</f>
        <v xml:space="preserve"> *  La variable Pueblos originarios No puede ser mayor al Total.</v>
      </c>
      <c r="BQ14" s="2465" t="str">
        <f t="shared" ref="BQ14:BQ26" si="3">IF(AND(C14&gt;0,AQ14="")," * No olvide digitar la variable Migrantes. Digite Cero si no tiene.",IF(AQ14&gt;C14," *  La variable Migrantes No puede ser mayor al Total.",""))</f>
        <v xml:space="preserve"> *  La variable Migrantes No puede ser mayor al Total.</v>
      </c>
      <c r="BR14" s="2465" t="str">
        <f t="shared" ref="BR14:BR26" si="4">IF(AND(C14&gt;0,AR14="")," * No olvide digitar la variable Niños, niñas, adolescentes y jóvenes SENAME. Digite Cero si no tiene.",IF(AR14&gt;C14," *  La variable Niños, niñas, adolescentes y jóvenes SENAME No puede ser mayor al Total.",""))</f>
        <v xml:space="preserve"> *  La variable Niños, niñas, adolescentes y jóvenes SENAME No puede ser mayor al Total.</v>
      </c>
      <c r="BS14" s="2465" t="str">
        <f t="shared" ref="BS14:BS26" si="5">IF(AND(C14&gt;0,AS14="")," * No olvide digitar la variable Niños, niñas, adolescentes y jóvenes Mejor niñez. Digite Cero si no tiene.",IF(AS14&gt;C14," *  La variable Niños, niñas, adolescentes y jóvenes Mejor Niñez No puede ser mayor al Total.",""))</f>
        <v xml:space="preserve"> *  La variable Niños, niñas, adolescentes y jóvenes Mejor Niñez No puede ser mayor al Total.</v>
      </c>
      <c r="BT14" s="2465" t="str">
        <f t="shared" ref="BT14:BT26" si="6">IF(AND(C14&gt;0,AT14="")," * No olvide digitar la variable Por campaña de invierno. Digite Cero si no tiene.",IF(AT14&gt;C14," *  La variable Por campaña de invierno No puede ser mayor al Total.",""))</f>
        <v xml:space="preserve"> *  La variable Por campaña de invierno No puede ser mayor al Total.</v>
      </c>
      <c r="BV14" s="1725">
        <f t="shared" ref="BV14:BV26" si="7">IF(AND(C14&gt;0,AP14=""),1,IF(AP14&gt;C14,1,0))</f>
        <v>1</v>
      </c>
      <c r="BW14" s="1725">
        <f t="shared" ref="BW14:BW26" si="8">IF(AND(C14&gt;0,AQ14=""),1,IF(AQ14&gt;C14,1,0))</f>
        <v>1</v>
      </c>
      <c r="BX14" s="1725">
        <f t="shared" ref="BX14:BX26" si="9">IF(AND(C14&gt;0,AR14=""),1,IF(AR14&gt;C14,1,0))</f>
        <v>1</v>
      </c>
      <c r="BY14" s="1725">
        <f t="shared" ref="BY14:BY26" si="10">IF(AND(C14&gt;0,AS14=""),1,IF(AS14&gt;C14,1,0))</f>
        <v>1</v>
      </c>
      <c r="BZ14" s="1725">
        <f t="shared" ref="BZ14:BZ26" si="11">IF(AND(C14&gt;0,AT14=""),1,IF(AT14&gt;C14,1,0))</f>
        <v>1</v>
      </c>
    </row>
    <row r="15" spans="1:152" ht="15" customHeight="1" x14ac:dyDescent="0.3">
      <c r="A15" s="6233" t="s">
        <v>4198</v>
      </c>
      <c r="B15" s="1933" t="s">
        <v>1007</v>
      </c>
      <c r="C15" s="1943" t="s">
        <v>5292</v>
      </c>
      <c r="D15" s="1944" t="s">
        <v>5293</v>
      </c>
      <c r="E15" s="352" t="s">
        <v>5294</v>
      </c>
      <c r="F15" s="1072" t="s">
        <v>5295</v>
      </c>
      <c r="G15" s="83" t="s">
        <v>5296</v>
      </c>
      <c r="H15" s="1072" t="s">
        <v>5297</v>
      </c>
      <c r="I15" s="83" t="s">
        <v>5298</v>
      </c>
      <c r="J15" s="1072" t="s">
        <v>5299</v>
      </c>
      <c r="K15" s="1060" t="s">
        <v>5300</v>
      </c>
      <c r="L15" s="1072" t="s">
        <v>5301</v>
      </c>
      <c r="M15" s="1060" t="s">
        <v>5302</v>
      </c>
      <c r="N15" s="1072" t="s">
        <v>5303</v>
      </c>
      <c r="O15" s="1060" t="s">
        <v>5304</v>
      </c>
      <c r="P15" s="1072" t="s">
        <v>5305</v>
      </c>
      <c r="Q15" s="1060" t="s">
        <v>5306</v>
      </c>
      <c r="R15" s="1072" t="s">
        <v>5307</v>
      </c>
      <c r="S15" s="1060" t="s">
        <v>5308</v>
      </c>
      <c r="T15" s="1072" t="s">
        <v>5309</v>
      </c>
      <c r="U15" s="1060" t="s">
        <v>5310</v>
      </c>
      <c r="V15" s="1072" t="s">
        <v>5311</v>
      </c>
      <c r="W15" s="1060" t="s">
        <v>5312</v>
      </c>
      <c r="X15" s="1072" t="s">
        <v>5313</v>
      </c>
      <c r="Y15" s="1060" t="s">
        <v>5314</v>
      </c>
      <c r="Z15" s="1072" t="s">
        <v>5315</v>
      </c>
      <c r="AA15" s="1060" t="s">
        <v>5316</v>
      </c>
      <c r="AB15" s="1072" t="s">
        <v>5317</v>
      </c>
      <c r="AC15" s="1060" t="s">
        <v>5318</v>
      </c>
      <c r="AD15" s="1072" t="s">
        <v>5319</v>
      </c>
      <c r="AE15" s="1060" t="s">
        <v>5320</v>
      </c>
      <c r="AF15" s="1072" t="s">
        <v>5321</v>
      </c>
      <c r="AG15" s="1060" t="s">
        <v>5322</v>
      </c>
      <c r="AH15" s="1072" t="s">
        <v>5323</v>
      </c>
      <c r="AI15" s="1060" t="s">
        <v>5324</v>
      </c>
      <c r="AJ15" s="1072" t="s">
        <v>5325</v>
      </c>
      <c r="AK15" s="1060" t="s">
        <v>5326</v>
      </c>
      <c r="AL15" s="1072" t="s">
        <v>5327</v>
      </c>
      <c r="AM15" s="1060" t="s">
        <v>5328</v>
      </c>
      <c r="AN15" s="1391" t="s">
        <v>5329</v>
      </c>
      <c r="AO15" s="1061" t="s">
        <v>5330</v>
      </c>
      <c r="AP15" s="1075" t="s">
        <v>5331</v>
      </c>
      <c r="AQ15" s="1075" t="s">
        <v>5332</v>
      </c>
      <c r="AR15" s="960" t="s">
        <v>5333</v>
      </c>
      <c r="AS15" s="960" t="s">
        <v>5334</v>
      </c>
      <c r="AT15" s="960" t="s">
        <v>5335</v>
      </c>
      <c r="AU1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5" s="2465" t="str">
        <f t="shared" si="2"/>
        <v xml:space="preserve"> *  La variable Pueblos originarios No puede ser mayor al Total.</v>
      </c>
      <c r="BQ15" s="2465" t="str">
        <f t="shared" si="3"/>
        <v xml:space="preserve"> *  La variable Migrantes No puede ser mayor al Total.</v>
      </c>
      <c r="BR15" s="2465" t="str">
        <f t="shared" si="4"/>
        <v xml:space="preserve"> *  La variable Niños, niñas, adolescentes y jóvenes SENAME No puede ser mayor al Total.</v>
      </c>
      <c r="BS15" s="2465" t="str">
        <f t="shared" si="5"/>
        <v xml:space="preserve"> *  La variable Niños, niñas, adolescentes y jóvenes Mejor Niñez No puede ser mayor al Total.</v>
      </c>
      <c r="BT15" s="2465" t="str">
        <f t="shared" si="6"/>
        <v xml:space="preserve"> *  La variable Por campaña de invierno No puede ser mayor al Total.</v>
      </c>
      <c r="BV15" s="1725">
        <f t="shared" si="7"/>
        <v>1</v>
      </c>
      <c r="BW15" s="1725">
        <f t="shared" si="8"/>
        <v>1</v>
      </c>
      <c r="BX15" s="1725">
        <f t="shared" si="9"/>
        <v>1</v>
      </c>
      <c r="BY15" s="1725">
        <f t="shared" si="10"/>
        <v>1</v>
      </c>
      <c r="BZ15" s="1725">
        <f t="shared" si="11"/>
        <v>1</v>
      </c>
    </row>
    <row r="16" spans="1:152" ht="15" customHeight="1" x14ac:dyDescent="0.3">
      <c r="A16" s="6233" t="s">
        <v>4199</v>
      </c>
      <c r="B16" s="1675" t="s">
        <v>1749</v>
      </c>
      <c r="C16" s="1946" t="s">
        <v>5292</v>
      </c>
      <c r="D16" s="946" t="s">
        <v>5293</v>
      </c>
      <c r="E16" s="902" t="s">
        <v>5294</v>
      </c>
      <c r="F16" s="1070" t="s">
        <v>5295</v>
      </c>
      <c r="G16" s="1071" t="s">
        <v>5296</v>
      </c>
      <c r="H16" s="808" t="s">
        <v>5297</v>
      </c>
      <c r="I16" s="809" t="s">
        <v>5298</v>
      </c>
      <c r="J16" s="1072" t="s">
        <v>5299</v>
      </c>
      <c r="K16" s="1060" t="s">
        <v>5300</v>
      </c>
      <c r="L16" s="1072" t="s">
        <v>5301</v>
      </c>
      <c r="M16" s="1060" t="s">
        <v>5302</v>
      </c>
      <c r="N16" s="1072" t="s">
        <v>5303</v>
      </c>
      <c r="O16" s="1060" t="s">
        <v>5304</v>
      </c>
      <c r="P16" s="1072" t="s">
        <v>5305</v>
      </c>
      <c r="Q16" s="1060" t="s">
        <v>5306</v>
      </c>
      <c r="R16" s="1072" t="s">
        <v>5307</v>
      </c>
      <c r="S16" s="1060" t="s">
        <v>5308</v>
      </c>
      <c r="T16" s="1072" t="s">
        <v>5309</v>
      </c>
      <c r="U16" s="1060" t="s">
        <v>5310</v>
      </c>
      <c r="V16" s="1072" t="s">
        <v>5311</v>
      </c>
      <c r="W16" s="1060" t="s">
        <v>5312</v>
      </c>
      <c r="X16" s="1072" t="s">
        <v>5313</v>
      </c>
      <c r="Y16" s="1060" t="s">
        <v>5314</v>
      </c>
      <c r="Z16" s="1072" t="s">
        <v>5315</v>
      </c>
      <c r="AA16" s="1060" t="s">
        <v>5316</v>
      </c>
      <c r="AB16" s="1072" t="s">
        <v>5317</v>
      </c>
      <c r="AC16" s="1060" t="s">
        <v>5318</v>
      </c>
      <c r="AD16" s="1072" t="s">
        <v>5319</v>
      </c>
      <c r="AE16" s="1060" t="s">
        <v>5320</v>
      </c>
      <c r="AF16" s="1072" t="s">
        <v>5321</v>
      </c>
      <c r="AG16" s="1060" t="s">
        <v>5322</v>
      </c>
      <c r="AH16" s="1072" t="s">
        <v>5323</v>
      </c>
      <c r="AI16" s="1060" t="s">
        <v>5324</v>
      </c>
      <c r="AJ16" s="1072" t="s">
        <v>5325</v>
      </c>
      <c r="AK16" s="1060" t="s">
        <v>5326</v>
      </c>
      <c r="AL16" s="1072" t="s">
        <v>5327</v>
      </c>
      <c r="AM16" s="1060" t="s">
        <v>5328</v>
      </c>
      <c r="AN16" s="1391" t="s">
        <v>5329</v>
      </c>
      <c r="AO16" s="1061" t="s">
        <v>5330</v>
      </c>
      <c r="AP16" s="1075" t="s">
        <v>5331</v>
      </c>
      <c r="AQ16" s="1075" t="s">
        <v>5332</v>
      </c>
      <c r="AR16" s="960" t="s">
        <v>5333</v>
      </c>
      <c r="AS16" s="960" t="s">
        <v>5334</v>
      </c>
      <c r="AT16" s="960" t="s">
        <v>5335</v>
      </c>
      <c r="AU1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6" s="2465" t="str">
        <f t="shared" si="2"/>
        <v xml:space="preserve"> *  La variable Pueblos originarios No puede ser mayor al Total.</v>
      </c>
      <c r="BQ16" s="2465" t="str">
        <f t="shared" si="3"/>
        <v xml:space="preserve"> *  La variable Migrantes No puede ser mayor al Total.</v>
      </c>
      <c r="BR16" s="2465" t="str">
        <f>IF(AND(C16&gt;0,AR16="")," * No olvide digitar la variable Niños, niñas, adolescentes y jóvenes SENAME. Digite Cero si no tiene.",IF(AR16&gt;C16," *  La variable Niños, niñas, adolescentes y jóvenes SENAME No puede ser mayor al Total.",""))</f>
        <v xml:space="preserve"> *  La variable Niños, niñas, adolescentes y jóvenes SENAME No puede ser mayor al Total.</v>
      </c>
      <c r="BS16" s="2465" t="str">
        <f t="shared" si="5"/>
        <v xml:space="preserve"> *  La variable Niños, niñas, adolescentes y jóvenes Mejor Niñez No puede ser mayor al Total.</v>
      </c>
      <c r="BT16" s="2465" t="str">
        <f t="shared" si="6"/>
        <v xml:space="preserve"> *  La variable Por campaña de invierno No puede ser mayor al Total.</v>
      </c>
      <c r="BV16" s="1725">
        <f t="shared" si="7"/>
        <v>1</v>
      </c>
      <c r="BW16" s="1725">
        <f t="shared" si="8"/>
        <v>1</v>
      </c>
      <c r="BX16" s="1725">
        <f t="shared" si="9"/>
        <v>1</v>
      </c>
      <c r="BY16" s="1725">
        <f t="shared" si="10"/>
        <v>1</v>
      </c>
      <c r="BZ16" s="1725">
        <f t="shared" si="11"/>
        <v>1</v>
      </c>
    </row>
    <row r="17" spans="1:78" ht="15" customHeight="1" x14ac:dyDescent="0.3">
      <c r="A17" s="6233" t="s">
        <v>4200</v>
      </c>
      <c r="B17" s="1680" t="s">
        <v>1750</v>
      </c>
      <c r="C17" s="1943" t="s">
        <v>5292</v>
      </c>
      <c r="D17" s="1944" t="s">
        <v>5293</v>
      </c>
      <c r="E17" s="352" t="s">
        <v>5294</v>
      </c>
      <c r="F17" s="1070" t="s">
        <v>5295</v>
      </c>
      <c r="G17" s="194" t="s">
        <v>5296</v>
      </c>
      <c r="H17" s="1070" t="s">
        <v>5297</v>
      </c>
      <c r="I17" s="194" t="s">
        <v>5298</v>
      </c>
      <c r="J17" s="1070" t="s">
        <v>5299</v>
      </c>
      <c r="K17" s="1071" t="s">
        <v>5300</v>
      </c>
      <c r="L17" s="1070" t="s">
        <v>5301</v>
      </c>
      <c r="M17" s="1071" t="s">
        <v>5302</v>
      </c>
      <c r="N17" s="1070" t="s">
        <v>5303</v>
      </c>
      <c r="O17" s="1071" t="s">
        <v>5304</v>
      </c>
      <c r="P17" s="1070" t="s">
        <v>5305</v>
      </c>
      <c r="Q17" s="1071" t="s">
        <v>5306</v>
      </c>
      <c r="R17" s="1070" t="s">
        <v>5307</v>
      </c>
      <c r="S17" s="1071" t="s">
        <v>5308</v>
      </c>
      <c r="T17" s="1070" t="s">
        <v>5309</v>
      </c>
      <c r="U17" s="1071" t="s">
        <v>5310</v>
      </c>
      <c r="V17" s="1072" t="s">
        <v>5311</v>
      </c>
      <c r="W17" s="1060" t="s">
        <v>5312</v>
      </c>
      <c r="X17" s="1072" t="s">
        <v>5313</v>
      </c>
      <c r="Y17" s="1060" t="s">
        <v>5314</v>
      </c>
      <c r="Z17" s="1072" t="s">
        <v>5315</v>
      </c>
      <c r="AA17" s="1060" t="s">
        <v>5316</v>
      </c>
      <c r="AB17" s="1072" t="s">
        <v>5317</v>
      </c>
      <c r="AC17" s="1060" t="s">
        <v>5318</v>
      </c>
      <c r="AD17" s="1072" t="s">
        <v>5319</v>
      </c>
      <c r="AE17" s="1060" t="s">
        <v>5320</v>
      </c>
      <c r="AF17" s="1072" t="s">
        <v>5321</v>
      </c>
      <c r="AG17" s="1060" t="s">
        <v>5322</v>
      </c>
      <c r="AH17" s="1072" t="s">
        <v>5323</v>
      </c>
      <c r="AI17" s="1060" t="s">
        <v>5324</v>
      </c>
      <c r="AJ17" s="1072" t="s">
        <v>5325</v>
      </c>
      <c r="AK17" s="1060" t="s">
        <v>5326</v>
      </c>
      <c r="AL17" s="1072" t="s">
        <v>5327</v>
      </c>
      <c r="AM17" s="1060" t="s">
        <v>5328</v>
      </c>
      <c r="AN17" s="1391" t="s">
        <v>5329</v>
      </c>
      <c r="AO17" s="1061" t="s">
        <v>5330</v>
      </c>
      <c r="AP17" s="1075" t="s">
        <v>5331</v>
      </c>
      <c r="AQ17" s="1075" t="s">
        <v>5332</v>
      </c>
      <c r="AR17" s="960" t="s">
        <v>5333</v>
      </c>
      <c r="AS17" s="960" t="s">
        <v>5334</v>
      </c>
      <c r="AT17" s="960" t="s">
        <v>5335</v>
      </c>
      <c r="AU17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7" s="2465" t="str">
        <f t="shared" si="2"/>
        <v xml:space="preserve"> *  La variable Pueblos originarios No puede ser mayor al Total.</v>
      </c>
      <c r="BQ17" s="2465" t="str">
        <f t="shared" si="3"/>
        <v xml:space="preserve"> *  La variable Migrantes No puede ser mayor al Total.</v>
      </c>
      <c r="BR17" s="2465" t="str">
        <f t="shared" ref="BR17:BR21" si="12">IF(AND(C17&gt;0,AR17="")," * No olvide digitar la variable Niños, niñas, adolescentes y jóvenes SENAME. Digite Cero si no tiene.",IF(AR17&gt;C17," *  La variable Niños, niñas, adolescentes y jóvenes SENAME No puede ser mayor al Total.",""))</f>
        <v xml:space="preserve"> *  La variable Niños, niñas, adolescentes y jóvenes SENAME No puede ser mayor al Total.</v>
      </c>
      <c r="BS17" s="2465" t="str">
        <f t="shared" si="5"/>
        <v xml:space="preserve"> *  La variable Niños, niñas, adolescentes y jóvenes Mejor Niñez No puede ser mayor al Total.</v>
      </c>
      <c r="BT17" s="2465" t="str">
        <f t="shared" si="6"/>
        <v xml:space="preserve"> *  La variable Por campaña de invierno No puede ser mayor al Total.</v>
      </c>
      <c r="BV17" s="1725">
        <f t="shared" si="7"/>
        <v>1</v>
      </c>
      <c r="BW17" s="1725">
        <f t="shared" si="8"/>
        <v>1</v>
      </c>
      <c r="BX17" s="1725">
        <f t="shared" ref="BX17:BX21" si="13">IF(AND(C17&gt;0,AR17=""),1,IF(AR17&gt;C17,1,0))</f>
        <v>1</v>
      </c>
      <c r="BY17" s="1725">
        <f t="shared" ref="BY17:BY21" si="14">IF(AND(C17&gt;0,AS17=""),1,IF(AS17&gt;C17,1,0))</f>
        <v>1</v>
      </c>
      <c r="BZ17" s="1725">
        <f t="shared" si="11"/>
        <v>1</v>
      </c>
    </row>
    <row r="18" spans="1:78" ht="15" customHeight="1" x14ac:dyDescent="0.3">
      <c r="A18" s="6233" t="s">
        <v>4201</v>
      </c>
      <c r="B18" s="1947" t="s">
        <v>1751</v>
      </c>
      <c r="C18" s="1943" t="s">
        <v>5292</v>
      </c>
      <c r="D18" s="1944" t="s">
        <v>5293</v>
      </c>
      <c r="E18" s="352" t="s">
        <v>5294</v>
      </c>
      <c r="F18" s="1072" t="s">
        <v>5295</v>
      </c>
      <c r="G18" s="83" t="s">
        <v>5296</v>
      </c>
      <c r="H18" s="1072" t="s">
        <v>5297</v>
      </c>
      <c r="I18" s="83" t="s">
        <v>5298</v>
      </c>
      <c r="J18" s="1072" t="s">
        <v>5299</v>
      </c>
      <c r="K18" s="1060" t="s">
        <v>5300</v>
      </c>
      <c r="L18" s="106" t="s">
        <v>5301</v>
      </c>
      <c r="M18" s="1060" t="s">
        <v>5302</v>
      </c>
      <c r="N18" s="1072" t="s">
        <v>5303</v>
      </c>
      <c r="O18" s="1060" t="s">
        <v>5304</v>
      </c>
      <c r="P18" s="1072" t="s">
        <v>5305</v>
      </c>
      <c r="Q18" s="1060" t="s">
        <v>5306</v>
      </c>
      <c r="R18" s="1072" t="s">
        <v>5307</v>
      </c>
      <c r="S18" s="1060" t="s">
        <v>5308</v>
      </c>
      <c r="T18" s="1072" t="s">
        <v>5309</v>
      </c>
      <c r="U18" s="1060" t="s">
        <v>5310</v>
      </c>
      <c r="V18" s="1072" t="s">
        <v>5311</v>
      </c>
      <c r="W18" s="1060" t="s">
        <v>5312</v>
      </c>
      <c r="X18" s="1072" t="s">
        <v>5313</v>
      </c>
      <c r="Y18" s="1060" t="s">
        <v>5314</v>
      </c>
      <c r="Z18" s="1072" t="s">
        <v>5315</v>
      </c>
      <c r="AA18" s="1060" t="s">
        <v>5316</v>
      </c>
      <c r="AB18" s="1072" t="s">
        <v>5317</v>
      </c>
      <c r="AC18" s="1060" t="s">
        <v>5318</v>
      </c>
      <c r="AD18" s="1072" t="s">
        <v>5319</v>
      </c>
      <c r="AE18" s="1060" t="s">
        <v>5320</v>
      </c>
      <c r="AF18" s="1072" t="s">
        <v>5321</v>
      </c>
      <c r="AG18" s="1060" t="s">
        <v>5322</v>
      </c>
      <c r="AH18" s="1072" t="s">
        <v>5323</v>
      </c>
      <c r="AI18" s="1060" t="s">
        <v>5324</v>
      </c>
      <c r="AJ18" s="1072" t="s">
        <v>5325</v>
      </c>
      <c r="AK18" s="1060" t="s">
        <v>5326</v>
      </c>
      <c r="AL18" s="1072" t="s">
        <v>5327</v>
      </c>
      <c r="AM18" s="1060" t="s">
        <v>5328</v>
      </c>
      <c r="AN18" s="1391" t="s">
        <v>5329</v>
      </c>
      <c r="AO18" s="1061" t="s">
        <v>5330</v>
      </c>
      <c r="AP18" s="1075" t="s">
        <v>5331</v>
      </c>
      <c r="AQ18" s="1075" t="s">
        <v>5332</v>
      </c>
      <c r="AR18" s="960" t="s">
        <v>5333</v>
      </c>
      <c r="AS18" s="960" t="s">
        <v>5334</v>
      </c>
      <c r="AT18" s="960" t="s">
        <v>5335</v>
      </c>
      <c r="AU18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8" s="2465" t="str">
        <f t="shared" si="2"/>
        <v xml:space="preserve"> *  La variable Pueblos originarios No puede ser mayor al Total.</v>
      </c>
      <c r="BQ18" s="2465" t="str">
        <f t="shared" si="3"/>
        <v xml:space="preserve"> *  La variable Migrantes No puede ser mayor al Total.</v>
      </c>
      <c r="BR18" s="2465" t="str">
        <f t="shared" si="12"/>
        <v xml:space="preserve"> *  La variable Niños, niñas, adolescentes y jóvenes SENAME No puede ser mayor al Total.</v>
      </c>
      <c r="BS18" s="2465" t="str">
        <f t="shared" si="5"/>
        <v xml:space="preserve"> *  La variable Niños, niñas, adolescentes y jóvenes Mejor Niñez No puede ser mayor al Total.</v>
      </c>
      <c r="BT18" s="2465" t="str">
        <f t="shared" si="6"/>
        <v xml:space="preserve"> *  La variable Por campaña de invierno No puede ser mayor al Total.</v>
      </c>
      <c r="BV18" s="1725">
        <f t="shared" si="7"/>
        <v>1</v>
      </c>
      <c r="BW18" s="1725">
        <f t="shared" si="8"/>
        <v>1</v>
      </c>
      <c r="BX18" s="1725">
        <f t="shared" si="13"/>
        <v>1</v>
      </c>
      <c r="BY18" s="1725">
        <f t="shared" si="14"/>
        <v>1</v>
      </c>
      <c r="BZ18" s="1725">
        <f t="shared" si="11"/>
        <v>1</v>
      </c>
    </row>
    <row r="19" spans="1:78" ht="15" customHeight="1" x14ac:dyDescent="0.3">
      <c r="A19" s="6233" t="s">
        <v>4202</v>
      </c>
      <c r="B19" s="1948" t="s">
        <v>1752</v>
      </c>
      <c r="C19" s="1943" t="s">
        <v>5292</v>
      </c>
      <c r="D19" s="638" t="s">
        <v>5293</v>
      </c>
      <c r="E19" s="1949" t="s">
        <v>5294</v>
      </c>
      <c r="F19" s="808" t="s">
        <v>5295</v>
      </c>
      <c r="G19" s="809" t="s">
        <v>5296</v>
      </c>
      <c r="H19" s="808" t="s">
        <v>5297</v>
      </c>
      <c r="I19" s="809" t="s">
        <v>5298</v>
      </c>
      <c r="J19" s="808" t="s">
        <v>5299</v>
      </c>
      <c r="K19" s="868" t="s">
        <v>5300</v>
      </c>
      <c r="L19" s="1070" t="s">
        <v>5301</v>
      </c>
      <c r="M19" s="92" t="s">
        <v>5302</v>
      </c>
      <c r="N19" s="1950" t="s">
        <v>5303</v>
      </c>
      <c r="O19" s="92" t="s">
        <v>5304</v>
      </c>
      <c r="P19" s="1950" t="s">
        <v>5305</v>
      </c>
      <c r="Q19" s="92" t="s">
        <v>5306</v>
      </c>
      <c r="R19" s="1950" t="s">
        <v>5307</v>
      </c>
      <c r="S19" s="92" t="s">
        <v>5308</v>
      </c>
      <c r="T19" s="1950" t="s">
        <v>5309</v>
      </c>
      <c r="U19" s="92" t="s">
        <v>5310</v>
      </c>
      <c r="V19" s="1950" t="s">
        <v>5311</v>
      </c>
      <c r="W19" s="92" t="s">
        <v>5312</v>
      </c>
      <c r="X19" s="1950" t="s">
        <v>5313</v>
      </c>
      <c r="Y19" s="92" t="s">
        <v>5314</v>
      </c>
      <c r="Z19" s="1950" t="s">
        <v>5315</v>
      </c>
      <c r="AA19" s="92" t="s">
        <v>5316</v>
      </c>
      <c r="AB19" s="1950" t="s">
        <v>5317</v>
      </c>
      <c r="AC19" s="92" t="s">
        <v>5318</v>
      </c>
      <c r="AD19" s="1950" t="s">
        <v>5319</v>
      </c>
      <c r="AE19" s="92" t="s">
        <v>5320</v>
      </c>
      <c r="AF19" s="1950" t="s">
        <v>5321</v>
      </c>
      <c r="AG19" s="92" t="s">
        <v>5322</v>
      </c>
      <c r="AH19" s="808" t="s">
        <v>5323</v>
      </c>
      <c r="AI19" s="868" t="s">
        <v>5324</v>
      </c>
      <c r="AJ19" s="808" t="s">
        <v>5325</v>
      </c>
      <c r="AK19" s="868" t="s">
        <v>5326</v>
      </c>
      <c r="AL19" s="808" t="s">
        <v>5327</v>
      </c>
      <c r="AM19" s="868" t="s">
        <v>5328</v>
      </c>
      <c r="AN19" s="1951" t="s">
        <v>5329</v>
      </c>
      <c r="AO19" s="1945" t="s">
        <v>5330</v>
      </c>
      <c r="AP19" s="1952" t="s">
        <v>5331</v>
      </c>
      <c r="AQ19" s="1952" t="s">
        <v>5332</v>
      </c>
      <c r="AR19" s="967" t="s">
        <v>5333</v>
      </c>
      <c r="AS19" s="967" t="s">
        <v>5334</v>
      </c>
      <c r="AT19" s="967" t="s">
        <v>5335</v>
      </c>
      <c r="AU19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9" s="2465" t="str">
        <f t="shared" si="2"/>
        <v xml:space="preserve"> *  La variable Pueblos originarios No puede ser mayor al Total.</v>
      </c>
      <c r="BQ19" s="2465" t="str">
        <f t="shared" si="3"/>
        <v xml:space="preserve"> *  La variable Migrantes No puede ser mayor al Total.</v>
      </c>
      <c r="BR19" s="2465" t="str">
        <f t="shared" si="12"/>
        <v xml:space="preserve"> *  La variable Niños, niñas, adolescentes y jóvenes SENAME No puede ser mayor al Total.</v>
      </c>
      <c r="BS19" s="2465" t="str">
        <f t="shared" si="5"/>
        <v xml:space="preserve"> *  La variable Niños, niñas, adolescentes y jóvenes Mejor Niñez No puede ser mayor al Total.</v>
      </c>
      <c r="BT19" s="2465" t="str">
        <f t="shared" si="6"/>
        <v xml:space="preserve"> *  La variable Por campaña de invierno No puede ser mayor al Total.</v>
      </c>
      <c r="BV19" s="1725">
        <f t="shared" si="7"/>
        <v>1</v>
      </c>
      <c r="BW19" s="1725">
        <f t="shared" si="8"/>
        <v>1</v>
      </c>
      <c r="BX19" s="1725">
        <f t="shared" si="13"/>
        <v>1</v>
      </c>
      <c r="BY19" s="1725">
        <f t="shared" si="14"/>
        <v>1</v>
      </c>
      <c r="BZ19" s="1725">
        <f t="shared" si="11"/>
        <v>1</v>
      </c>
    </row>
    <row r="20" spans="1:78" ht="15" customHeight="1" x14ac:dyDescent="0.3">
      <c r="A20" s="6233" t="s">
        <v>4203</v>
      </c>
      <c r="B20" s="1948" t="s">
        <v>1753</v>
      </c>
      <c r="C20" s="1943" t="s">
        <v>5292</v>
      </c>
      <c r="D20" s="638" t="s">
        <v>5293</v>
      </c>
      <c r="E20" s="352" t="s">
        <v>5294</v>
      </c>
      <c r="F20" s="808" t="s">
        <v>5295</v>
      </c>
      <c r="G20" s="83" t="s">
        <v>5296</v>
      </c>
      <c r="H20" s="808" t="s">
        <v>5297</v>
      </c>
      <c r="I20" s="83" t="s">
        <v>5298</v>
      </c>
      <c r="J20" s="808" t="s">
        <v>5299</v>
      </c>
      <c r="K20" s="92" t="s">
        <v>5300</v>
      </c>
      <c r="L20" s="808" t="s">
        <v>5301</v>
      </c>
      <c r="M20" s="92" t="s">
        <v>5302</v>
      </c>
      <c r="N20" s="1950" t="s">
        <v>5303</v>
      </c>
      <c r="O20" s="92" t="s">
        <v>5304</v>
      </c>
      <c r="P20" s="1950" t="s">
        <v>5305</v>
      </c>
      <c r="Q20" s="92" t="s">
        <v>5306</v>
      </c>
      <c r="R20" s="1950" t="s">
        <v>5307</v>
      </c>
      <c r="S20" s="92" t="s">
        <v>5308</v>
      </c>
      <c r="T20" s="1950" t="s">
        <v>5309</v>
      </c>
      <c r="U20" s="92" t="s">
        <v>5310</v>
      </c>
      <c r="V20" s="1950" t="s">
        <v>5311</v>
      </c>
      <c r="W20" s="92" t="s">
        <v>5312</v>
      </c>
      <c r="X20" s="1950" t="s">
        <v>5313</v>
      </c>
      <c r="Y20" s="92" t="s">
        <v>5314</v>
      </c>
      <c r="Z20" s="1950" t="s">
        <v>5315</v>
      </c>
      <c r="AA20" s="92" t="s">
        <v>5316</v>
      </c>
      <c r="AB20" s="1950" t="s">
        <v>5317</v>
      </c>
      <c r="AC20" s="92" t="s">
        <v>5318</v>
      </c>
      <c r="AD20" s="1950" t="s">
        <v>5319</v>
      </c>
      <c r="AE20" s="92" t="s">
        <v>5320</v>
      </c>
      <c r="AF20" s="1950" t="s">
        <v>5321</v>
      </c>
      <c r="AG20" s="92" t="s">
        <v>5322</v>
      </c>
      <c r="AH20" s="1950" t="s">
        <v>5323</v>
      </c>
      <c r="AI20" s="92" t="s">
        <v>5324</v>
      </c>
      <c r="AJ20" s="1950" t="s">
        <v>5325</v>
      </c>
      <c r="AK20" s="92" t="s">
        <v>5326</v>
      </c>
      <c r="AL20" s="1950" t="s">
        <v>5327</v>
      </c>
      <c r="AM20" s="92" t="s">
        <v>5328</v>
      </c>
      <c r="AN20" s="1950" t="s">
        <v>5329</v>
      </c>
      <c r="AO20" s="94" t="s">
        <v>5330</v>
      </c>
      <c r="AP20" s="1952" t="s">
        <v>5331</v>
      </c>
      <c r="AQ20" s="1952" t="s">
        <v>5332</v>
      </c>
      <c r="AR20" s="967" t="s">
        <v>5333</v>
      </c>
      <c r="AS20" s="967" t="s">
        <v>5334</v>
      </c>
      <c r="AT20" s="967" t="s">
        <v>5335</v>
      </c>
      <c r="AU20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0" s="2465" t="str">
        <f t="shared" si="2"/>
        <v xml:space="preserve"> *  La variable Pueblos originarios No puede ser mayor al Total.</v>
      </c>
      <c r="BQ20" s="2465" t="str">
        <f t="shared" si="3"/>
        <v xml:space="preserve"> *  La variable Migrantes No puede ser mayor al Total.</v>
      </c>
      <c r="BR20" s="2465" t="str">
        <f t="shared" si="12"/>
        <v xml:space="preserve"> *  La variable Niños, niñas, adolescentes y jóvenes SENAME No puede ser mayor al Total.</v>
      </c>
      <c r="BS20" s="2465" t="str">
        <f t="shared" si="5"/>
        <v xml:space="preserve"> *  La variable Niños, niñas, adolescentes y jóvenes Mejor Niñez No puede ser mayor al Total.</v>
      </c>
      <c r="BT20" s="2465" t="str">
        <f t="shared" si="6"/>
        <v xml:space="preserve"> *  La variable Por campaña de invierno No puede ser mayor al Total.</v>
      </c>
      <c r="BV20" s="1725">
        <f t="shared" si="7"/>
        <v>1</v>
      </c>
      <c r="BW20" s="1725">
        <f t="shared" si="8"/>
        <v>1</v>
      </c>
      <c r="BX20" s="1725">
        <f t="shared" si="13"/>
        <v>1</v>
      </c>
      <c r="BY20" s="1725">
        <f t="shared" si="14"/>
        <v>1</v>
      </c>
      <c r="BZ20" s="1725">
        <f t="shared" si="11"/>
        <v>1</v>
      </c>
    </row>
    <row r="21" spans="1:78" ht="15" customHeight="1" x14ac:dyDescent="0.3">
      <c r="A21" s="6233" t="s">
        <v>4204</v>
      </c>
      <c r="B21" s="1948" t="s">
        <v>1754</v>
      </c>
      <c r="C21" s="642" t="s">
        <v>5292</v>
      </c>
      <c r="D21" s="1953" t="s">
        <v>5293</v>
      </c>
      <c r="E21" s="352" t="s">
        <v>5294</v>
      </c>
      <c r="F21" s="808" t="s">
        <v>5295</v>
      </c>
      <c r="G21" s="809" t="s">
        <v>5296</v>
      </c>
      <c r="H21" s="808" t="s">
        <v>5297</v>
      </c>
      <c r="I21" s="809" t="s">
        <v>5298</v>
      </c>
      <c r="J21" s="808" t="s">
        <v>5299</v>
      </c>
      <c r="K21" s="868" t="s">
        <v>5300</v>
      </c>
      <c r="L21" s="1070" t="s">
        <v>5301</v>
      </c>
      <c r="M21" s="868" t="s">
        <v>5302</v>
      </c>
      <c r="N21" s="808" t="s">
        <v>5303</v>
      </c>
      <c r="O21" s="868" t="s">
        <v>5304</v>
      </c>
      <c r="P21" s="90" t="s">
        <v>5305</v>
      </c>
      <c r="Q21" s="92" t="s">
        <v>5306</v>
      </c>
      <c r="R21" s="90" t="s">
        <v>5307</v>
      </c>
      <c r="S21" s="92" t="s">
        <v>5308</v>
      </c>
      <c r="T21" s="90" t="s">
        <v>5309</v>
      </c>
      <c r="U21" s="92" t="s">
        <v>5310</v>
      </c>
      <c r="V21" s="90" t="s">
        <v>5311</v>
      </c>
      <c r="W21" s="92" t="s">
        <v>5312</v>
      </c>
      <c r="X21" s="90" t="s">
        <v>5313</v>
      </c>
      <c r="Y21" s="92" t="s">
        <v>5314</v>
      </c>
      <c r="Z21" s="90" t="s">
        <v>5315</v>
      </c>
      <c r="AA21" s="92" t="s">
        <v>5316</v>
      </c>
      <c r="AB21" s="90" t="s">
        <v>5317</v>
      </c>
      <c r="AC21" s="92" t="s">
        <v>5318</v>
      </c>
      <c r="AD21" s="808" t="s">
        <v>5319</v>
      </c>
      <c r="AE21" s="868" t="s">
        <v>5320</v>
      </c>
      <c r="AF21" s="808" t="s">
        <v>5321</v>
      </c>
      <c r="AG21" s="868" t="s">
        <v>5322</v>
      </c>
      <c r="AH21" s="1950" t="s">
        <v>5323</v>
      </c>
      <c r="AI21" s="868" t="s">
        <v>5324</v>
      </c>
      <c r="AJ21" s="808" t="s">
        <v>5325</v>
      </c>
      <c r="AK21" s="868" t="s">
        <v>5326</v>
      </c>
      <c r="AL21" s="808" t="s">
        <v>5327</v>
      </c>
      <c r="AM21" s="868" t="s">
        <v>5328</v>
      </c>
      <c r="AN21" s="1951" t="s">
        <v>5329</v>
      </c>
      <c r="AO21" s="1945" t="s">
        <v>5330</v>
      </c>
      <c r="AP21" s="1952" t="s">
        <v>5331</v>
      </c>
      <c r="AQ21" s="1952" t="s">
        <v>5332</v>
      </c>
      <c r="AR21" s="967" t="s">
        <v>5333</v>
      </c>
      <c r="AS21" s="967" t="s">
        <v>5334</v>
      </c>
      <c r="AT21" s="967" t="s">
        <v>5335</v>
      </c>
      <c r="AU21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1" s="2465" t="str">
        <f t="shared" si="2"/>
        <v xml:space="preserve"> *  La variable Pueblos originarios No puede ser mayor al Total.</v>
      </c>
      <c r="BQ21" s="2465" t="str">
        <f t="shared" si="3"/>
        <v xml:space="preserve"> *  La variable Migrantes No puede ser mayor al Total.</v>
      </c>
      <c r="BR21" s="2465" t="str">
        <f t="shared" si="12"/>
        <v xml:space="preserve"> *  La variable Niños, niñas, adolescentes y jóvenes SENAME No puede ser mayor al Total.</v>
      </c>
      <c r="BS21" s="2465" t="str">
        <f t="shared" si="5"/>
        <v xml:space="preserve"> *  La variable Niños, niñas, adolescentes y jóvenes Mejor Niñez No puede ser mayor al Total.</v>
      </c>
      <c r="BT21" s="2465" t="str">
        <f t="shared" si="6"/>
        <v xml:space="preserve"> *  La variable Por campaña de invierno No puede ser mayor al Total.</v>
      </c>
      <c r="BV21" s="1725">
        <f t="shared" si="7"/>
        <v>1</v>
      </c>
      <c r="BW21" s="1725">
        <f t="shared" si="8"/>
        <v>1</v>
      </c>
      <c r="BX21" s="1725">
        <f t="shared" si="13"/>
        <v>1</v>
      </c>
      <c r="BY21" s="1725">
        <f t="shared" si="14"/>
        <v>1</v>
      </c>
      <c r="BZ21" s="1725">
        <f t="shared" si="11"/>
        <v>1</v>
      </c>
    </row>
    <row r="22" spans="1:78" ht="15" customHeight="1" x14ac:dyDescent="0.3">
      <c r="A22" s="6233" t="s">
        <v>4205</v>
      </c>
      <c r="B22" s="1948" t="s">
        <v>1755</v>
      </c>
      <c r="C22" s="642" t="s">
        <v>5292</v>
      </c>
      <c r="D22" s="1953" t="s">
        <v>5293</v>
      </c>
      <c r="E22" s="1949" t="s">
        <v>5294</v>
      </c>
      <c r="F22" s="90" t="s">
        <v>5295</v>
      </c>
      <c r="G22" s="91" t="s">
        <v>5296</v>
      </c>
      <c r="H22" s="90" t="s">
        <v>5297</v>
      </c>
      <c r="I22" s="91" t="s">
        <v>5298</v>
      </c>
      <c r="J22" s="90" t="s">
        <v>5299</v>
      </c>
      <c r="K22" s="92" t="s">
        <v>5300</v>
      </c>
      <c r="L22" s="106" t="s">
        <v>5301</v>
      </c>
      <c r="M22" s="92" t="s">
        <v>5302</v>
      </c>
      <c r="N22" s="90" t="s">
        <v>5303</v>
      </c>
      <c r="O22" s="92" t="s">
        <v>5304</v>
      </c>
      <c r="P22" s="90" t="s">
        <v>5305</v>
      </c>
      <c r="Q22" s="92" t="s">
        <v>5306</v>
      </c>
      <c r="R22" s="90" t="s">
        <v>5307</v>
      </c>
      <c r="S22" s="92" t="s">
        <v>5308</v>
      </c>
      <c r="T22" s="90" t="s">
        <v>5309</v>
      </c>
      <c r="U22" s="92" t="s">
        <v>5310</v>
      </c>
      <c r="V22" s="90" t="s">
        <v>5311</v>
      </c>
      <c r="W22" s="92" t="s">
        <v>5312</v>
      </c>
      <c r="X22" s="90" t="s">
        <v>5313</v>
      </c>
      <c r="Y22" s="92" t="s">
        <v>5314</v>
      </c>
      <c r="Z22" s="90" t="s">
        <v>5315</v>
      </c>
      <c r="AA22" s="92" t="s">
        <v>5316</v>
      </c>
      <c r="AB22" s="90" t="s">
        <v>5317</v>
      </c>
      <c r="AC22" s="92" t="s">
        <v>5318</v>
      </c>
      <c r="AD22" s="90" t="s">
        <v>5319</v>
      </c>
      <c r="AE22" s="92" t="s">
        <v>5320</v>
      </c>
      <c r="AF22" s="90" t="s">
        <v>5321</v>
      </c>
      <c r="AG22" s="92" t="s">
        <v>5322</v>
      </c>
      <c r="AH22" s="90" t="s">
        <v>5323</v>
      </c>
      <c r="AI22" s="92" t="s">
        <v>5324</v>
      </c>
      <c r="AJ22" s="90" t="s">
        <v>5325</v>
      </c>
      <c r="AK22" s="92" t="s">
        <v>5326</v>
      </c>
      <c r="AL22" s="90" t="s">
        <v>5327</v>
      </c>
      <c r="AM22" s="92" t="s">
        <v>5328</v>
      </c>
      <c r="AN22" s="93" t="s">
        <v>5329</v>
      </c>
      <c r="AO22" s="94" t="s">
        <v>5330</v>
      </c>
      <c r="AP22" s="1952" t="s">
        <v>5331</v>
      </c>
      <c r="AQ22" s="1952" t="s">
        <v>5332</v>
      </c>
      <c r="AR22" s="967" t="s">
        <v>5333</v>
      </c>
      <c r="AS22" s="967" t="s">
        <v>5334</v>
      </c>
      <c r="AT22" s="967" t="s">
        <v>5335</v>
      </c>
      <c r="AU22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2" s="2465" t="str">
        <f t="shared" si="2"/>
        <v xml:space="preserve"> *  La variable Pueblos originarios No puede ser mayor al Total.</v>
      </c>
      <c r="BQ22" s="2465" t="str">
        <f t="shared" si="3"/>
        <v xml:space="preserve"> *  La variable Migrantes No puede ser mayor al Total.</v>
      </c>
      <c r="BR22" s="2465" t="str">
        <f t="shared" si="4"/>
        <v xml:space="preserve"> *  La variable Niños, niñas, adolescentes y jóvenes SENAME No puede ser mayor al Total.</v>
      </c>
      <c r="BS22" s="2465" t="str">
        <f t="shared" si="5"/>
        <v xml:space="preserve"> *  La variable Niños, niñas, adolescentes y jóvenes Mejor Niñez No puede ser mayor al Total.</v>
      </c>
      <c r="BT22" s="2465" t="str">
        <f t="shared" si="6"/>
        <v xml:space="preserve"> *  La variable Por campaña de invierno No puede ser mayor al Total.</v>
      </c>
      <c r="BV22" s="1725">
        <f t="shared" si="7"/>
        <v>1</v>
      </c>
      <c r="BW22" s="1725">
        <f t="shared" si="8"/>
        <v>1</v>
      </c>
      <c r="BX22" s="1725">
        <f t="shared" si="9"/>
        <v>1</v>
      </c>
      <c r="BY22" s="1725">
        <f t="shared" si="10"/>
        <v>1</v>
      </c>
      <c r="BZ22" s="1725">
        <f t="shared" si="11"/>
        <v>1</v>
      </c>
    </row>
    <row r="23" spans="1:78" ht="15" customHeight="1" x14ac:dyDescent="0.3">
      <c r="A23" s="6233" t="s">
        <v>4206</v>
      </c>
      <c r="B23" s="1680" t="s">
        <v>1756</v>
      </c>
      <c r="C23" s="642" t="s">
        <v>5292</v>
      </c>
      <c r="D23" s="1953" t="s">
        <v>5293</v>
      </c>
      <c r="E23" s="1949" t="s">
        <v>5294</v>
      </c>
      <c r="F23" s="90" t="s">
        <v>5295</v>
      </c>
      <c r="G23" s="91" t="s">
        <v>5296</v>
      </c>
      <c r="H23" s="90" t="s">
        <v>5297</v>
      </c>
      <c r="I23" s="91" t="s">
        <v>5298</v>
      </c>
      <c r="J23" s="90" t="s">
        <v>5299</v>
      </c>
      <c r="K23" s="92" t="s">
        <v>5300</v>
      </c>
      <c r="L23" s="106" t="s">
        <v>5301</v>
      </c>
      <c r="M23" s="92" t="s">
        <v>5302</v>
      </c>
      <c r="N23" s="90" t="s">
        <v>5303</v>
      </c>
      <c r="O23" s="92" t="s">
        <v>5304</v>
      </c>
      <c r="P23" s="90" t="s">
        <v>5305</v>
      </c>
      <c r="Q23" s="92" t="s">
        <v>5306</v>
      </c>
      <c r="R23" s="90" t="s">
        <v>5307</v>
      </c>
      <c r="S23" s="92" t="s">
        <v>5308</v>
      </c>
      <c r="T23" s="90" t="s">
        <v>5309</v>
      </c>
      <c r="U23" s="92" t="s">
        <v>5310</v>
      </c>
      <c r="V23" s="90" t="s">
        <v>5311</v>
      </c>
      <c r="W23" s="92" t="s">
        <v>5312</v>
      </c>
      <c r="X23" s="90" t="s">
        <v>5313</v>
      </c>
      <c r="Y23" s="92" t="s">
        <v>5314</v>
      </c>
      <c r="Z23" s="90" t="s">
        <v>5315</v>
      </c>
      <c r="AA23" s="92" t="s">
        <v>5316</v>
      </c>
      <c r="AB23" s="90" t="s">
        <v>5317</v>
      </c>
      <c r="AC23" s="92" t="s">
        <v>5318</v>
      </c>
      <c r="AD23" s="90" t="s">
        <v>5319</v>
      </c>
      <c r="AE23" s="92" t="s">
        <v>5320</v>
      </c>
      <c r="AF23" s="90" t="s">
        <v>5321</v>
      </c>
      <c r="AG23" s="92" t="s">
        <v>5322</v>
      </c>
      <c r="AH23" s="90" t="s">
        <v>5323</v>
      </c>
      <c r="AI23" s="92" t="s">
        <v>5324</v>
      </c>
      <c r="AJ23" s="90" t="s">
        <v>5325</v>
      </c>
      <c r="AK23" s="92" t="s">
        <v>5326</v>
      </c>
      <c r="AL23" s="90" t="s">
        <v>5327</v>
      </c>
      <c r="AM23" s="92" t="s">
        <v>5328</v>
      </c>
      <c r="AN23" s="93" t="s">
        <v>5329</v>
      </c>
      <c r="AO23" s="94" t="s">
        <v>5330</v>
      </c>
      <c r="AP23" s="1952" t="s">
        <v>5331</v>
      </c>
      <c r="AQ23" s="1952" t="s">
        <v>5332</v>
      </c>
      <c r="AR23" s="967" t="s">
        <v>5333</v>
      </c>
      <c r="AS23" s="967" t="s">
        <v>5334</v>
      </c>
      <c r="AT23" s="967" t="s">
        <v>5335</v>
      </c>
      <c r="AU23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3" s="2465" t="str">
        <f t="shared" si="2"/>
        <v xml:space="preserve"> *  La variable Pueblos originarios No puede ser mayor al Total.</v>
      </c>
      <c r="BQ23" s="2465" t="str">
        <f t="shared" si="3"/>
        <v xml:space="preserve"> *  La variable Migrantes No puede ser mayor al Total.</v>
      </c>
      <c r="BR23" s="2465" t="str">
        <f t="shared" si="4"/>
        <v xml:space="preserve"> *  La variable Niños, niñas, adolescentes y jóvenes SENAME No puede ser mayor al Total.</v>
      </c>
      <c r="BS23" s="2465" t="str">
        <f t="shared" si="5"/>
        <v xml:space="preserve"> *  La variable Niños, niñas, adolescentes y jóvenes Mejor Niñez No puede ser mayor al Total.</v>
      </c>
      <c r="BT23" s="2465" t="str">
        <f t="shared" si="6"/>
        <v xml:space="preserve"> *  La variable Por campaña de invierno No puede ser mayor al Total.</v>
      </c>
      <c r="BV23" s="1725">
        <f t="shared" si="7"/>
        <v>1</v>
      </c>
      <c r="BW23" s="1725">
        <f t="shared" si="8"/>
        <v>1</v>
      </c>
      <c r="BX23" s="1725">
        <f t="shared" si="9"/>
        <v>1</v>
      </c>
      <c r="BY23" s="1725">
        <f t="shared" si="10"/>
        <v>1</v>
      </c>
      <c r="BZ23" s="1725">
        <f t="shared" si="11"/>
        <v>1</v>
      </c>
    </row>
    <row r="24" spans="1:78" ht="15" customHeight="1" x14ac:dyDescent="0.3">
      <c r="A24" s="6233" t="s">
        <v>4207</v>
      </c>
      <c r="B24" s="1680" t="s">
        <v>1757</v>
      </c>
      <c r="C24" s="1943" t="s">
        <v>5292</v>
      </c>
      <c r="D24" s="1944" t="s">
        <v>5293</v>
      </c>
      <c r="E24" s="352" t="s">
        <v>5294</v>
      </c>
      <c r="F24" s="1070" t="s">
        <v>5295</v>
      </c>
      <c r="G24" s="1071" t="s">
        <v>5296</v>
      </c>
      <c r="H24" s="90" t="s">
        <v>5297</v>
      </c>
      <c r="I24" s="91" t="s">
        <v>5298</v>
      </c>
      <c r="J24" s="90" t="s">
        <v>5299</v>
      </c>
      <c r="K24" s="92" t="s">
        <v>5300</v>
      </c>
      <c r="L24" s="106" t="s">
        <v>5301</v>
      </c>
      <c r="M24" s="92" t="s">
        <v>5302</v>
      </c>
      <c r="N24" s="90" t="s">
        <v>5303</v>
      </c>
      <c r="O24" s="92" t="s">
        <v>5304</v>
      </c>
      <c r="P24" s="90" t="s">
        <v>5305</v>
      </c>
      <c r="Q24" s="92" t="s">
        <v>5306</v>
      </c>
      <c r="R24" s="90" t="s">
        <v>5307</v>
      </c>
      <c r="S24" s="92" t="s">
        <v>5308</v>
      </c>
      <c r="T24" s="90" t="s">
        <v>5309</v>
      </c>
      <c r="U24" s="92" t="s">
        <v>5310</v>
      </c>
      <c r="V24" s="90" t="s">
        <v>5311</v>
      </c>
      <c r="W24" s="92" t="s">
        <v>5312</v>
      </c>
      <c r="X24" s="90" t="s">
        <v>5313</v>
      </c>
      <c r="Y24" s="92" t="s">
        <v>5314</v>
      </c>
      <c r="Z24" s="90" t="s">
        <v>5315</v>
      </c>
      <c r="AA24" s="92" t="s">
        <v>5316</v>
      </c>
      <c r="AB24" s="90" t="s">
        <v>5317</v>
      </c>
      <c r="AC24" s="92" t="s">
        <v>5318</v>
      </c>
      <c r="AD24" s="90" t="s">
        <v>5319</v>
      </c>
      <c r="AE24" s="92" t="s">
        <v>5320</v>
      </c>
      <c r="AF24" s="90" t="s">
        <v>5321</v>
      </c>
      <c r="AG24" s="92" t="s">
        <v>5322</v>
      </c>
      <c r="AH24" s="90" t="s">
        <v>5323</v>
      </c>
      <c r="AI24" s="92" t="s">
        <v>5324</v>
      </c>
      <c r="AJ24" s="90" t="s">
        <v>5325</v>
      </c>
      <c r="AK24" s="92" t="s">
        <v>5326</v>
      </c>
      <c r="AL24" s="90" t="s">
        <v>5327</v>
      </c>
      <c r="AM24" s="92" t="s">
        <v>5328</v>
      </c>
      <c r="AN24" s="93" t="s">
        <v>5329</v>
      </c>
      <c r="AO24" s="94" t="s">
        <v>5330</v>
      </c>
      <c r="AP24" s="1952" t="s">
        <v>5331</v>
      </c>
      <c r="AQ24" s="1952" t="s">
        <v>5332</v>
      </c>
      <c r="AR24" s="967" t="s">
        <v>5333</v>
      </c>
      <c r="AS24" s="967" t="s">
        <v>5334</v>
      </c>
      <c r="AT24" s="967" t="s">
        <v>5335</v>
      </c>
      <c r="AU24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4" s="2465" t="str">
        <f t="shared" si="2"/>
        <v xml:space="preserve"> *  La variable Pueblos originarios No puede ser mayor al Total.</v>
      </c>
      <c r="BQ24" s="2465" t="str">
        <f t="shared" si="3"/>
        <v xml:space="preserve"> *  La variable Migrantes No puede ser mayor al Total.</v>
      </c>
      <c r="BR24" s="2465" t="str">
        <f t="shared" si="4"/>
        <v xml:space="preserve"> *  La variable Niños, niñas, adolescentes y jóvenes SENAME No puede ser mayor al Total.</v>
      </c>
      <c r="BS24" s="2465" t="str">
        <f t="shared" si="5"/>
        <v xml:space="preserve"> *  La variable Niños, niñas, adolescentes y jóvenes Mejor Niñez No puede ser mayor al Total.</v>
      </c>
      <c r="BT24" s="2465" t="str">
        <f t="shared" si="6"/>
        <v xml:space="preserve"> *  La variable Por campaña de invierno No puede ser mayor al Total.</v>
      </c>
      <c r="BV24" s="1725">
        <f t="shared" si="7"/>
        <v>1</v>
      </c>
      <c r="BW24" s="1725">
        <f t="shared" si="8"/>
        <v>1</v>
      </c>
      <c r="BX24" s="1725">
        <f t="shared" si="9"/>
        <v>1</v>
      </c>
      <c r="BY24" s="1725">
        <f t="shared" si="10"/>
        <v>1</v>
      </c>
      <c r="BZ24" s="1725">
        <f t="shared" si="11"/>
        <v>1</v>
      </c>
    </row>
    <row r="25" spans="1:78" ht="15" customHeight="1" x14ac:dyDescent="0.3">
      <c r="A25" s="6233" t="s">
        <v>4208</v>
      </c>
      <c r="B25" s="1680" t="s">
        <v>1758</v>
      </c>
      <c r="C25" s="1943" t="s">
        <v>5292</v>
      </c>
      <c r="D25" s="1944" t="s">
        <v>5293</v>
      </c>
      <c r="E25" s="352" t="s">
        <v>5294</v>
      </c>
      <c r="F25" s="1954" t="s">
        <v>5295</v>
      </c>
      <c r="G25" s="868" t="s">
        <v>5296</v>
      </c>
      <c r="H25" s="808" t="s">
        <v>5297</v>
      </c>
      <c r="I25" s="809" t="s">
        <v>5298</v>
      </c>
      <c r="J25" s="808" t="s">
        <v>5299</v>
      </c>
      <c r="K25" s="809" t="s">
        <v>5300</v>
      </c>
      <c r="L25" s="808" t="s">
        <v>5301</v>
      </c>
      <c r="M25" s="809" t="s">
        <v>5302</v>
      </c>
      <c r="N25" s="90" t="s">
        <v>5303</v>
      </c>
      <c r="O25" s="92" t="s">
        <v>5304</v>
      </c>
      <c r="P25" s="90" t="s">
        <v>5305</v>
      </c>
      <c r="Q25" s="92" t="s">
        <v>5306</v>
      </c>
      <c r="R25" s="90" t="s">
        <v>5307</v>
      </c>
      <c r="S25" s="92" t="s">
        <v>5308</v>
      </c>
      <c r="T25" s="90" t="s">
        <v>5309</v>
      </c>
      <c r="U25" s="92" t="s">
        <v>5310</v>
      </c>
      <c r="V25" s="90" t="s">
        <v>5311</v>
      </c>
      <c r="W25" s="92" t="s">
        <v>5312</v>
      </c>
      <c r="X25" s="90" t="s">
        <v>5313</v>
      </c>
      <c r="Y25" s="92" t="s">
        <v>5314</v>
      </c>
      <c r="Z25" s="90" t="s">
        <v>5315</v>
      </c>
      <c r="AA25" s="92" t="s">
        <v>5316</v>
      </c>
      <c r="AB25" s="90" t="s">
        <v>5317</v>
      </c>
      <c r="AC25" s="92" t="s">
        <v>5318</v>
      </c>
      <c r="AD25" s="90" t="s">
        <v>5319</v>
      </c>
      <c r="AE25" s="92" t="s">
        <v>5320</v>
      </c>
      <c r="AF25" s="90" t="s">
        <v>5321</v>
      </c>
      <c r="AG25" s="92" t="s">
        <v>5322</v>
      </c>
      <c r="AH25" s="90" t="s">
        <v>5323</v>
      </c>
      <c r="AI25" s="92" t="s">
        <v>5324</v>
      </c>
      <c r="AJ25" s="90" t="s">
        <v>5325</v>
      </c>
      <c r="AK25" s="92" t="s">
        <v>5326</v>
      </c>
      <c r="AL25" s="90" t="s">
        <v>5327</v>
      </c>
      <c r="AM25" s="92" t="s">
        <v>5328</v>
      </c>
      <c r="AN25" s="93" t="s">
        <v>5329</v>
      </c>
      <c r="AO25" s="94" t="s">
        <v>5330</v>
      </c>
      <c r="AP25" s="1952" t="s">
        <v>5331</v>
      </c>
      <c r="AQ25" s="1952" t="s">
        <v>5332</v>
      </c>
      <c r="AR25" s="967" t="s">
        <v>5333</v>
      </c>
      <c r="AS25" s="967" t="s">
        <v>5334</v>
      </c>
      <c r="AT25" s="967" t="s">
        <v>5335</v>
      </c>
      <c r="AU2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5" s="2465" t="str">
        <f t="shared" si="2"/>
        <v xml:space="preserve"> *  La variable Pueblos originarios No puede ser mayor al Total.</v>
      </c>
      <c r="BQ25" s="2465" t="str">
        <f t="shared" si="3"/>
        <v xml:space="preserve"> *  La variable Migrantes No puede ser mayor al Total.</v>
      </c>
      <c r="BR25" s="2465" t="str">
        <f t="shared" si="4"/>
        <v xml:space="preserve"> *  La variable Niños, niñas, adolescentes y jóvenes SENAME No puede ser mayor al Total.</v>
      </c>
      <c r="BS25" s="2465" t="str">
        <f t="shared" si="5"/>
        <v xml:space="preserve"> *  La variable Niños, niñas, adolescentes y jóvenes Mejor Niñez No puede ser mayor al Total.</v>
      </c>
      <c r="BT25" s="2465" t="str">
        <f t="shared" si="6"/>
        <v xml:space="preserve"> *  La variable Por campaña de invierno No puede ser mayor al Total.</v>
      </c>
      <c r="BV25" s="1725">
        <f t="shared" si="7"/>
        <v>1</v>
      </c>
      <c r="BW25" s="1725">
        <f t="shared" si="8"/>
        <v>1</v>
      </c>
      <c r="BX25" s="1725">
        <f t="shared" si="9"/>
        <v>1</v>
      </c>
      <c r="BY25" s="1725">
        <f t="shared" si="10"/>
        <v>1</v>
      </c>
      <c r="BZ25" s="1725">
        <f t="shared" si="11"/>
        <v>1</v>
      </c>
    </row>
    <row r="26" spans="1:78" ht="15" customHeight="1" x14ac:dyDescent="0.3">
      <c r="A26" s="6233" t="s">
        <v>4209</v>
      </c>
      <c r="B26" s="584" t="s">
        <v>1759</v>
      </c>
      <c r="C26" s="1955" t="s">
        <v>5292</v>
      </c>
      <c r="D26" s="1956" t="s">
        <v>5293</v>
      </c>
      <c r="E26" s="1957" t="s">
        <v>5294</v>
      </c>
      <c r="F26" s="1916" t="s">
        <v>5295</v>
      </c>
      <c r="G26" s="116" t="s">
        <v>5296</v>
      </c>
      <c r="H26" s="114" t="s">
        <v>5297</v>
      </c>
      <c r="I26" s="117" t="s">
        <v>5298</v>
      </c>
      <c r="J26" s="114" t="s">
        <v>5299</v>
      </c>
      <c r="K26" s="116" t="s">
        <v>5300</v>
      </c>
      <c r="L26" s="1833" t="s">
        <v>5301</v>
      </c>
      <c r="M26" s="116" t="s">
        <v>5302</v>
      </c>
      <c r="N26" s="114" t="s">
        <v>5303</v>
      </c>
      <c r="O26" s="116" t="s">
        <v>5304</v>
      </c>
      <c r="P26" s="114" t="s">
        <v>5305</v>
      </c>
      <c r="Q26" s="116" t="s">
        <v>5306</v>
      </c>
      <c r="R26" s="114" t="s">
        <v>5307</v>
      </c>
      <c r="S26" s="116" t="s">
        <v>5308</v>
      </c>
      <c r="T26" s="114" t="s">
        <v>5309</v>
      </c>
      <c r="U26" s="116" t="s">
        <v>5310</v>
      </c>
      <c r="V26" s="114" t="s">
        <v>5311</v>
      </c>
      <c r="W26" s="116" t="s">
        <v>5312</v>
      </c>
      <c r="X26" s="114" t="s">
        <v>5313</v>
      </c>
      <c r="Y26" s="116" t="s">
        <v>5314</v>
      </c>
      <c r="Z26" s="114" t="s">
        <v>5315</v>
      </c>
      <c r="AA26" s="116" t="s">
        <v>5316</v>
      </c>
      <c r="AB26" s="114" t="s">
        <v>5317</v>
      </c>
      <c r="AC26" s="116" t="s">
        <v>5318</v>
      </c>
      <c r="AD26" s="114" t="s">
        <v>5319</v>
      </c>
      <c r="AE26" s="116" t="s">
        <v>5320</v>
      </c>
      <c r="AF26" s="114" t="s">
        <v>5321</v>
      </c>
      <c r="AG26" s="116" t="s">
        <v>5322</v>
      </c>
      <c r="AH26" s="114" t="s">
        <v>5323</v>
      </c>
      <c r="AI26" s="116" t="s">
        <v>5324</v>
      </c>
      <c r="AJ26" s="114" t="s">
        <v>5325</v>
      </c>
      <c r="AK26" s="116" t="s">
        <v>5326</v>
      </c>
      <c r="AL26" s="114" t="s">
        <v>5327</v>
      </c>
      <c r="AM26" s="116" t="s">
        <v>5328</v>
      </c>
      <c r="AN26" s="118" t="s">
        <v>5329</v>
      </c>
      <c r="AO26" s="162" t="s">
        <v>5330</v>
      </c>
      <c r="AP26" s="1789" t="s">
        <v>5331</v>
      </c>
      <c r="AQ26" s="1789" t="s">
        <v>5332</v>
      </c>
      <c r="AR26" s="941" t="s">
        <v>5333</v>
      </c>
      <c r="AS26" s="941" t="s">
        <v>5334</v>
      </c>
      <c r="AT26" s="941" t="s">
        <v>5335</v>
      </c>
      <c r="AU2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6" s="2465" t="str">
        <f t="shared" si="2"/>
        <v xml:space="preserve"> *  La variable Pueblos originarios No puede ser mayor al Total.</v>
      </c>
      <c r="BQ26" s="2465" t="str">
        <f t="shared" si="3"/>
        <v xml:space="preserve"> *  La variable Migrantes No puede ser mayor al Total.</v>
      </c>
      <c r="BR26" s="2465" t="str">
        <f t="shared" si="4"/>
        <v xml:space="preserve"> *  La variable Niños, niñas, adolescentes y jóvenes SENAME No puede ser mayor al Total.</v>
      </c>
      <c r="BS26" s="2465" t="str">
        <f t="shared" si="5"/>
        <v xml:space="preserve"> *  La variable Niños, niñas, adolescentes y jóvenes Mejor Niñez No puede ser mayor al Total.</v>
      </c>
      <c r="BT26" s="2465" t="str">
        <f t="shared" si="6"/>
        <v xml:space="preserve"> *  La variable Por campaña de invierno No puede ser mayor al Total.</v>
      </c>
      <c r="BV26" s="1725">
        <f t="shared" si="7"/>
        <v>1</v>
      </c>
      <c r="BW26" s="1725">
        <f t="shared" si="8"/>
        <v>1</v>
      </c>
      <c r="BX26" s="1725">
        <f t="shared" si="9"/>
        <v>1</v>
      </c>
      <c r="BY26" s="1725">
        <f t="shared" si="10"/>
        <v>1</v>
      </c>
      <c r="BZ26" s="1725">
        <f t="shared" si="11"/>
        <v>1</v>
      </c>
    </row>
    <row r="27" spans="1:78" ht="18" customHeight="1" x14ac:dyDescent="0.3">
      <c r="B27" s="122" t="s">
        <v>1760</v>
      </c>
      <c r="C27" s="1052"/>
      <c r="D27" s="1052"/>
      <c r="E27" s="1052"/>
      <c r="F27" s="1052"/>
      <c r="G27" s="2584"/>
      <c r="H27" s="2584" t="s">
        <v>1761</v>
      </c>
      <c r="I27" s="2585"/>
      <c r="J27" s="2585"/>
      <c r="K27" s="2584"/>
      <c r="L27" s="2584"/>
      <c r="M27" s="2584"/>
      <c r="N27" s="2584"/>
      <c r="O27" s="2584"/>
      <c r="P27" s="2584"/>
      <c r="Q27" s="2584"/>
      <c r="R27" s="2584"/>
      <c r="S27" s="2584"/>
      <c r="T27" s="2584"/>
      <c r="U27" s="2584"/>
      <c r="V27" s="2584"/>
      <c r="W27" s="2584"/>
      <c r="X27" s="2584"/>
      <c r="Y27" s="2584"/>
      <c r="Z27" s="1873"/>
      <c r="AA27" s="1873"/>
      <c r="AB27" s="1873"/>
      <c r="AC27" s="1873"/>
      <c r="AD27" s="1873"/>
      <c r="AE27" s="1873"/>
      <c r="AF27" s="1873"/>
      <c r="AG27" s="1873"/>
      <c r="AH27" s="1873"/>
      <c r="AI27" s="1873"/>
      <c r="AJ27" s="1873"/>
      <c r="AK27" s="1873"/>
      <c r="AL27" s="1873"/>
      <c r="AM27" s="1873"/>
      <c r="AN27" s="1873"/>
      <c r="AO27" s="1873"/>
      <c r="AP27" s="1873"/>
      <c r="AQ27" s="2586"/>
      <c r="AR27" s="2586"/>
      <c r="AS27" s="112"/>
      <c r="AT27" s="777"/>
      <c r="BP27"/>
      <c r="BQ27"/>
      <c r="BR27"/>
      <c r="BS27"/>
      <c r="BT27"/>
      <c r="BV27"/>
      <c r="BW27"/>
      <c r="BX27"/>
    </row>
    <row r="28" spans="1:78" ht="18.75" customHeight="1" x14ac:dyDescent="0.3">
      <c r="B28" s="6337" t="s">
        <v>61</v>
      </c>
      <c r="C28" s="6340" t="s">
        <v>1</v>
      </c>
      <c r="D28" s="6341"/>
      <c r="E28" s="6673"/>
      <c r="F28" s="6677" t="s">
        <v>30</v>
      </c>
      <c r="G28" s="6678"/>
      <c r="H28" s="6678"/>
      <c r="I28" s="6678"/>
      <c r="J28" s="6678"/>
      <c r="K28" s="6678"/>
      <c r="L28" s="6678"/>
      <c r="M28" s="6678"/>
      <c r="N28" s="6678"/>
      <c r="O28" s="6678"/>
      <c r="P28" s="6678"/>
      <c r="Q28" s="6678"/>
      <c r="R28" s="6678"/>
      <c r="S28" s="6678"/>
      <c r="T28" s="6678"/>
      <c r="U28" s="6678"/>
      <c r="V28" s="6678"/>
      <c r="W28" s="6678"/>
      <c r="X28" s="6678"/>
      <c r="Y28" s="6678"/>
      <c r="Z28" s="6678"/>
      <c r="AA28" s="6678"/>
      <c r="AB28" s="6678"/>
      <c r="AC28" s="6678"/>
      <c r="AD28" s="6678"/>
      <c r="AE28" s="6678"/>
      <c r="AF28" s="6678"/>
      <c r="AG28" s="6678"/>
      <c r="AH28" s="6678"/>
      <c r="AI28" s="6678"/>
      <c r="AJ28" s="6678"/>
      <c r="AK28" s="6678"/>
      <c r="AL28" s="6678"/>
      <c r="AM28" s="6678"/>
      <c r="AN28" s="6678"/>
      <c r="AO28" s="6376"/>
      <c r="AP28" s="6323" t="s">
        <v>2</v>
      </c>
      <c r="AQ28" s="6323" t="s">
        <v>3</v>
      </c>
      <c r="AR28" s="6323" t="s">
        <v>1762</v>
      </c>
      <c r="AS28" s="6673" t="s">
        <v>49</v>
      </c>
      <c r="AT28" s="6673" t="s">
        <v>45</v>
      </c>
      <c r="BP28"/>
      <c r="BQ28"/>
      <c r="BR28"/>
      <c r="BS28"/>
      <c r="BT28"/>
      <c r="BV28"/>
      <c r="BW28"/>
      <c r="BX28"/>
    </row>
    <row r="29" spans="1:78" ht="15.75" customHeight="1" x14ac:dyDescent="0.3">
      <c r="B29" s="6338"/>
      <c r="C29" s="6674"/>
      <c r="D29" s="6675"/>
      <c r="E29" s="6676"/>
      <c r="F29" s="6680" t="s">
        <v>682</v>
      </c>
      <c r="G29" s="6682"/>
      <c r="H29" s="6680" t="s">
        <v>3727</v>
      </c>
      <c r="I29" s="6681"/>
      <c r="J29" s="6680" t="s">
        <v>37</v>
      </c>
      <c r="K29" s="6681"/>
      <c r="L29" s="6680" t="s">
        <v>38</v>
      </c>
      <c r="M29" s="6681"/>
      <c r="N29" s="6680" t="s">
        <v>4</v>
      </c>
      <c r="O29" s="6681"/>
      <c r="P29" s="6680" t="s">
        <v>5</v>
      </c>
      <c r="Q29" s="6681"/>
      <c r="R29" s="6680" t="s">
        <v>6</v>
      </c>
      <c r="S29" s="6681"/>
      <c r="T29" s="6680" t="s">
        <v>7</v>
      </c>
      <c r="U29" s="6681"/>
      <c r="V29" s="6680" t="s">
        <v>8</v>
      </c>
      <c r="W29" s="6681"/>
      <c r="X29" s="6680" t="s">
        <v>9</v>
      </c>
      <c r="Y29" s="6681"/>
      <c r="Z29" s="6680" t="s">
        <v>10</v>
      </c>
      <c r="AA29" s="6681"/>
      <c r="AB29" s="6680" t="s">
        <v>11</v>
      </c>
      <c r="AC29" s="6681"/>
      <c r="AD29" s="6680" t="s">
        <v>18</v>
      </c>
      <c r="AE29" s="6681"/>
      <c r="AF29" s="6680" t="s">
        <v>19</v>
      </c>
      <c r="AG29" s="6681"/>
      <c r="AH29" s="6680" t="s">
        <v>20</v>
      </c>
      <c r="AI29" s="6681"/>
      <c r="AJ29" s="6680" t="s">
        <v>70</v>
      </c>
      <c r="AK29" s="6681"/>
      <c r="AL29" s="6680" t="s">
        <v>71</v>
      </c>
      <c r="AM29" s="6681"/>
      <c r="AN29" s="6677" t="s">
        <v>72</v>
      </c>
      <c r="AO29" s="6376"/>
      <c r="AP29" s="6373"/>
      <c r="AQ29" s="6373"/>
      <c r="AR29" s="6373"/>
      <c r="AS29" s="6324"/>
      <c r="AT29" s="6324"/>
      <c r="BP29"/>
      <c r="BQ29"/>
      <c r="BR29"/>
      <c r="BS29"/>
      <c r="BT29"/>
      <c r="BV29"/>
      <c r="BW29"/>
      <c r="BX29"/>
    </row>
    <row r="30" spans="1:78" ht="16.5" customHeight="1" x14ac:dyDescent="0.3">
      <c r="B30" s="6672"/>
      <c r="C30" s="1938" t="s">
        <v>26</v>
      </c>
      <c r="D30" s="2574" t="s">
        <v>22</v>
      </c>
      <c r="E30" s="2557" t="s">
        <v>27</v>
      </c>
      <c r="F30" s="2587" t="s">
        <v>22</v>
      </c>
      <c r="G30" s="1714" t="s">
        <v>27</v>
      </c>
      <c r="H30" s="2587" t="s">
        <v>22</v>
      </c>
      <c r="I30" s="1714" t="s">
        <v>27</v>
      </c>
      <c r="J30" s="2587" t="s">
        <v>22</v>
      </c>
      <c r="K30" s="1714" t="s">
        <v>27</v>
      </c>
      <c r="L30" s="2587" t="s">
        <v>22</v>
      </c>
      <c r="M30" s="1714" t="s">
        <v>27</v>
      </c>
      <c r="N30" s="2587" t="s">
        <v>22</v>
      </c>
      <c r="O30" s="1714" t="s">
        <v>27</v>
      </c>
      <c r="P30" s="2587" t="s">
        <v>22</v>
      </c>
      <c r="Q30" s="1714" t="s">
        <v>27</v>
      </c>
      <c r="R30" s="2587" t="s">
        <v>22</v>
      </c>
      <c r="S30" s="1714" t="s">
        <v>27</v>
      </c>
      <c r="T30" s="2587" t="s">
        <v>22</v>
      </c>
      <c r="U30" s="1714" t="s">
        <v>27</v>
      </c>
      <c r="V30" s="2587" t="s">
        <v>22</v>
      </c>
      <c r="W30" s="1714" t="s">
        <v>27</v>
      </c>
      <c r="X30" s="2587" t="s">
        <v>22</v>
      </c>
      <c r="Y30" s="1714" t="s">
        <v>27</v>
      </c>
      <c r="Z30" s="2587" t="s">
        <v>22</v>
      </c>
      <c r="AA30" s="1714" t="s">
        <v>27</v>
      </c>
      <c r="AB30" s="2587" t="s">
        <v>22</v>
      </c>
      <c r="AC30" s="1714" t="s">
        <v>27</v>
      </c>
      <c r="AD30" s="2587" t="s">
        <v>22</v>
      </c>
      <c r="AE30" s="1714" t="s">
        <v>27</v>
      </c>
      <c r="AF30" s="2587" t="s">
        <v>22</v>
      </c>
      <c r="AG30" s="1714" t="s">
        <v>27</v>
      </c>
      <c r="AH30" s="2587" t="s">
        <v>22</v>
      </c>
      <c r="AI30" s="1714" t="s">
        <v>27</v>
      </c>
      <c r="AJ30" s="2587" t="s">
        <v>22</v>
      </c>
      <c r="AK30" s="1714" t="s">
        <v>27</v>
      </c>
      <c r="AL30" s="2574" t="s">
        <v>22</v>
      </c>
      <c r="AM30" s="1714" t="s">
        <v>27</v>
      </c>
      <c r="AN30" s="2587" t="s">
        <v>22</v>
      </c>
      <c r="AO30" s="2588" t="s">
        <v>27</v>
      </c>
      <c r="AP30" s="6679"/>
      <c r="AQ30" s="6679"/>
      <c r="AR30" s="6679"/>
      <c r="AS30" s="6676"/>
      <c r="AT30" s="6676"/>
      <c r="BP30"/>
      <c r="BQ30"/>
      <c r="BR30"/>
      <c r="BS30"/>
      <c r="BT30"/>
      <c r="BV30"/>
      <c r="BW30"/>
      <c r="BX30"/>
    </row>
    <row r="31" spans="1:78" ht="15" customHeight="1" x14ac:dyDescent="0.3">
      <c r="A31" s="6233" t="s">
        <v>4210</v>
      </c>
      <c r="B31" s="1958" t="s">
        <v>76</v>
      </c>
      <c r="C31" s="1959" t="s">
        <v>5292</v>
      </c>
      <c r="D31" s="1940" t="s">
        <v>5293</v>
      </c>
      <c r="E31" s="1941" t="s">
        <v>5294</v>
      </c>
      <c r="F31" s="1960" t="s">
        <v>5295</v>
      </c>
      <c r="G31" s="1920" t="s">
        <v>5296</v>
      </c>
      <c r="H31" s="1960" t="s">
        <v>5297</v>
      </c>
      <c r="I31" s="1918" t="s">
        <v>5298</v>
      </c>
      <c r="J31" s="1960" t="s">
        <v>5299</v>
      </c>
      <c r="K31" s="1918" t="s">
        <v>5300</v>
      </c>
      <c r="L31" s="1960" t="s">
        <v>5301</v>
      </c>
      <c r="M31" s="1918" t="s">
        <v>5302</v>
      </c>
      <c r="N31" s="1960" t="s">
        <v>5303</v>
      </c>
      <c r="O31" s="1918" t="s">
        <v>5304</v>
      </c>
      <c r="P31" s="1960" t="s">
        <v>5305</v>
      </c>
      <c r="Q31" s="1918" t="s">
        <v>5306</v>
      </c>
      <c r="R31" s="1961" t="s">
        <v>5307</v>
      </c>
      <c r="S31" s="1918" t="s">
        <v>5308</v>
      </c>
      <c r="T31" s="1960" t="s">
        <v>5309</v>
      </c>
      <c r="U31" s="1918" t="s">
        <v>5310</v>
      </c>
      <c r="V31" s="1960" t="s">
        <v>5311</v>
      </c>
      <c r="W31" s="1918" t="s">
        <v>5312</v>
      </c>
      <c r="X31" s="1960" t="s">
        <v>5313</v>
      </c>
      <c r="Y31" s="1918" t="s">
        <v>5314</v>
      </c>
      <c r="Z31" s="1960" t="s">
        <v>5315</v>
      </c>
      <c r="AA31" s="1918" t="s">
        <v>5316</v>
      </c>
      <c r="AB31" s="1960" t="s">
        <v>5317</v>
      </c>
      <c r="AC31" s="1918" t="s">
        <v>5318</v>
      </c>
      <c r="AD31" s="1961" t="s">
        <v>5319</v>
      </c>
      <c r="AE31" s="1918" t="s">
        <v>5320</v>
      </c>
      <c r="AF31" s="1960" t="s">
        <v>5321</v>
      </c>
      <c r="AG31" s="1918" t="s">
        <v>5322</v>
      </c>
      <c r="AH31" s="1961" t="s">
        <v>5323</v>
      </c>
      <c r="AI31" s="1918" t="s">
        <v>5324</v>
      </c>
      <c r="AJ31" s="1960" t="s">
        <v>5325</v>
      </c>
      <c r="AK31" s="1918" t="s">
        <v>5326</v>
      </c>
      <c r="AL31" s="1961" t="s">
        <v>5327</v>
      </c>
      <c r="AM31" s="1918" t="s">
        <v>5328</v>
      </c>
      <c r="AN31" s="1962" t="s">
        <v>5329</v>
      </c>
      <c r="AO31" s="1686" t="s">
        <v>5330</v>
      </c>
      <c r="AP31" s="1796" t="s">
        <v>5331</v>
      </c>
      <c r="AQ31" s="1796" t="s">
        <v>5332</v>
      </c>
      <c r="AR31" s="1796" t="s">
        <v>5333</v>
      </c>
      <c r="AS31" s="1838" t="s">
        <v>5334</v>
      </c>
      <c r="AT31" s="1838" t="s">
        <v>5335</v>
      </c>
      <c r="AU31" t="str">
        <f>BP31&amp;BQ31&amp;BR31&amp;BS31&amp;BT31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1" s="2465" t="str">
        <f>IF(AND(C31&gt;0,AP31="")," * No olvide digitar la variable Pueblos originarios. Digite Cero si no tiene.",IF(AP31&gt;C31," * La variable Pueblos originarios No puede ser mayor al Total.",""))</f>
        <v xml:space="preserve"> * La variable Pueblos originarios No puede ser mayor al Total.</v>
      </c>
      <c r="BQ31" s="2465" t="str">
        <f>IF(AND(C31&gt;0,AQ31="")," * No olvide digitar la variable Migrantes. Digite Cero si no tiene.",IF(AQ31&gt;C31," * La variable Migrantes No puede ser mayor al Total.",""))</f>
        <v xml:space="preserve"> * La variable Migrantes No puede ser mayor al Total.</v>
      </c>
      <c r="BR31" s="2465" t="str">
        <f>IF(AND(C31&gt;0,AR31="")," * No olvide digitar la variable Espacios Amigables. Digite Cero si no tiene.",IF(AR31&gt;C31," * La variable Espacios Amigables No puede ser mayor al Total.",""))</f>
        <v xml:space="preserve"> * La variable Espacios Amigables No puede ser mayor al Total.</v>
      </c>
      <c r="BS31" s="2465" t="str">
        <f>IF(AND(C31&gt;0,AS31="")," * No olvide digitar la variable Niños, Niñas, Adolescentes y Jóvenes SENAME. Digite Cero si no tiene.",IF(AS31&gt;C31," * La variable Niños, Niñas, Adolescentes y Jóvenes SENAME No puede ser mayor al Total.",""))</f>
        <v xml:space="preserve"> * La variable Niños, Niñas, Adolescentes y Jóvenes SENAME No puede ser mayor al Total.</v>
      </c>
      <c r="BT31" s="2465" t="str">
        <f>IF(AND(C31&gt;0,AT31="")," * No olvide digitar la variable Niños, Niñas, Adolescentes y Jóvenes Mejor Niñez. Digite Cero si no tiene.",IF(AT31&gt;C31," * La variable Niños, Niñas, Adolescentes y Jóvenes Mejor Niñez No puede ser mayor al Total.",""))</f>
        <v xml:space="preserve"> * La variable Niños, Niñas, Adolescentes y Jóvenes Mejor Niñez No puede ser mayor al Total.</v>
      </c>
      <c r="BV31" s="1725">
        <f>IF(AND(C31&gt;0,AP31=""),1,IF(AP31&gt;C31,1,0))</f>
        <v>1</v>
      </c>
      <c r="BW31" s="1725">
        <f>IF(AND(C31&gt;0,AQ31=""),1,IF(AQ31&gt;C31,1,0))</f>
        <v>1</v>
      </c>
      <c r="BX31" s="1725">
        <f>IF(AND(C31&gt;0,AR31=""),1,IF(AR31&gt;C31,1,0))</f>
        <v>1</v>
      </c>
      <c r="BY31" s="1725">
        <f>IF(AND(C31&gt;0,AS31=""),1,IF(AS31&gt;C31,1,0))</f>
        <v>1</v>
      </c>
      <c r="BZ31" s="1725">
        <f>IF(AND(C31&gt;0,AT31=""),1,IF(AT31&gt;C31,1,0))</f>
        <v>1</v>
      </c>
    </row>
    <row r="32" spans="1:78" ht="15" customHeight="1" x14ac:dyDescent="0.3">
      <c r="A32" s="6233" t="s">
        <v>4211</v>
      </c>
      <c r="B32" s="1058" t="s">
        <v>1763</v>
      </c>
      <c r="C32" s="1943" t="s">
        <v>5292</v>
      </c>
      <c r="D32" s="1944" t="s">
        <v>5293</v>
      </c>
      <c r="E32" s="352" t="s">
        <v>5294</v>
      </c>
      <c r="F32" s="1072" t="s">
        <v>5295</v>
      </c>
      <c r="G32" s="83" t="s">
        <v>5296</v>
      </c>
      <c r="H32" s="1072" t="s">
        <v>5297</v>
      </c>
      <c r="I32" s="1060" t="s">
        <v>5298</v>
      </c>
      <c r="J32" s="1072" t="s">
        <v>5299</v>
      </c>
      <c r="K32" s="1060" t="s">
        <v>5300</v>
      </c>
      <c r="L32" s="1072" t="s">
        <v>5301</v>
      </c>
      <c r="M32" s="1060" t="s">
        <v>5302</v>
      </c>
      <c r="N32" s="1072" t="s">
        <v>5303</v>
      </c>
      <c r="O32" s="1060" t="s">
        <v>5304</v>
      </c>
      <c r="P32" s="1072" t="s">
        <v>5305</v>
      </c>
      <c r="Q32" s="1060" t="s">
        <v>5306</v>
      </c>
      <c r="R32" s="1059" t="s">
        <v>5307</v>
      </c>
      <c r="S32" s="1060" t="s">
        <v>5308</v>
      </c>
      <c r="T32" s="1072" t="s">
        <v>5309</v>
      </c>
      <c r="U32" s="1060" t="s">
        <v>5310</v>
      </c>
      <c r="V32" s="1072" t="s">
        <v>5311</v>
      </c>
      <c r="W32" s="1060" t="s">
        <v>5312</v>
      </c>
      <c r="X32" s="1072" t="s">
        <v>5313</v>
      </c>
      <c r="Y32" s="1060" t="s">
        <v>5314</v>
      </c>
      <c r="Z32" s="1072" t="s">
        <v>5315</v>
      </c>
      <c r="AA32" s="1060" t="s">
        <v>5316</v>
      </c>
      <c r="AB32" s="1072" t="s">
        <v>5317</v>
      </c>
      <c r="AC32" s="1060" t="s">
        <v>5318</v>
      </c>
      <c r="AD32" s="1059" t="s">
        <v>5319</v>
      </c>
      <c r="AE32" s="1060" t="s">
        <v>5320</v>
      </c>
      <c r="AF32" s="1072" t="s">
        <v>5321</v>
      </c>
      <c r="AG32" s="1060" t="s">
        <v>5322</v>
      </c>
      <c r="AH32" s="1059" t="s">
        <v>5323</v>
      </c>
      <c r="AI32" s="1060" t="s">
        <v>5324</v>
      </c>
      <c r="AJ32" s="1072" t="s">
        <v>5325</v>
      </c>
      <c r="AK32" s="1060" t="s">
        <v>5326</v>
      </c>
      <c r="AL32" s="1059" t="s">
        <v>5327</v>
      </c>
      <c r="AM32" s="1060" t="s">
        <v>5328</v>
      </c>
      <c r="AN32" s="126" t="s">
        <v>5329</v>
      </c>
      <c r="AO32" s="1061" t="s">
        <v>5330</v>
      </c>
      <c r="AP32" s="1792" t="s">
        <v>5331</v>
      </c>
      <c r="AQ32" s="1792" t="s">
        <v>5332</v>
      </c>
      <c r="AR32" s="1792" t="s">
        <v>5333</v>
      </c>
      <c r="AS32" s="950" t="s">
        <v>5334</v>
      </c>
      <c r="AT32" s="950" t="s">
        <v>5335</v>
      </c>
      <c r="AU32" t="str">
        <f t="shared" ref="AU32:AU46" si="15">BP32&amp;BQ32&amp;BR32&amp;BS32&amp;BT32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2" s="2465" t="str">
        <f t="shared" ref="BP32:BP46" si="16">IF(AND(C32&gt;0,AP32="")," * No olvide digitar la variable Pueblos originarios. Digite Cero si no tiene.",IF(AP32&gt;C32," * La variable Pueblos originarios No puede ser mayor al Total.",""))</f>
        <v xml:space="preserve"> * La variable Pueblos originarios No puede ser mayor al Total.</v>
      </c>
      <c r="BQ32" s="2465" t="str">
        <f t="shared" ref="BQ32:BQ46" si="17">IF(AND(C32&gt;0,AQ32="")," * No olvide digitar la variable Migrantes. Digite Cero si no tiene.",IF(AQ32&gt;C32," * La variable Migrantes No puede ser mayor al Total.",""))</f>
        <v xml:space="preserve"> * La variable Migrantes No puede ser mayor al Total.</v>
      </c>
      <c r="BR32" s="2465" t="str">
        <f t="shared" ref="BR32:BR46" si="18">IF(AND(C32&gt;0,AR32="")," * No olvide digitar la variable Espacios Amigables. Digite Cero si no tiene.",IF(AR32&gt;C32," * La variable Espacios Amigables No puede ser mayor al Total.",""))</f>
        <v xml:space="preserve"> * La variable Espacios Amigables No puede ser mayor al Total.</v>
      </c>
      <c r="BS32" s="2465" t="str">
        <f t="shared" ref="BS32:BS46" si="19">IF(AND(C32&gt;0,AS32="")," * No olvide digitar la variable Niños, Niñas, Adolescentes y Jóvenes SENAME. Digite Cero si no tiene.",IF(AS32&gt;C32," * La variable Niños, Niñas, Adolescentes y Jóvenes SENAME No puede ser mayor al Total.",""))</f>
        <v xml:space="preserve"> * La variable Niños, Niñas, Adolescentes y Jóvenes SENAME No puede ser mayor al Total.</v>
      </c>
      <c r="BT32" s="2465" t="str">
        <f t="shared" ref="BT32:BT46" si="20">IF(AND(C32&gt;0,AT32="")," * No olvide digitar la variable Niños, Niñas, Adolescentes y Jóvenes Mejor Niñez. Digite Cero si no tiene.",IF(AT32&gt;C32," * La variable Niños, Niñas, Adolescentes y Jóvenes Mejor Niñez No puede ser mayor al Total.",""))</f>
        <v xml:space="preserve"> * La variable Niños, Niñas, Adolescentes y Jóvenes Mejor Niñez No puede ser mayor al Total.</v>
      </c>
      <c r="BV32" s="1725">
        <f t="shared" ref="BV32:BV46" si="21">IF(AND(C32&gt;0,AP32=""),1,IF(AP32&gt;C32,1,0))</f>
        <v>1</v>
      </c>
      <c r="BW32" s="1725">
        <f t="shared" ref="BW32:BW46" si="22">IF(AND(C32&gt;0,AQ32=""),1,IF(AQ32&gt;C32,1,0))</f>
        <v>1</v>
      </c>
      <c r="BX32" s="1725">
        <f t="shared" ref="BX32:BX46" si="23">IF(AND(C32&gt;0,AR32=""),1,IF(AR32&gt;C32,1,0))</f>
        <v>1</v>
      </c>
      <c r="BY32" s="1725">
        <f t="shared" ref="BY32:BY46" si="24">IF(AND(C32&gt;0,AS32=""),1,IF(AS32&gt;C32,1,0))</f>
        <v>1</v>
      </c>
      <c r="BZ32" s="1725">
        <f t="shared" ref="BZ32:BZ46" si="25">IF(AND(C32&gt;0,AT32=""),1,IF(AT32&gt;C32,1,0))</f>
        <v>1</v>
      </c>
    </row>
    <row r="33" spans="1:78" ht="15" customHeight="1" x14ac:dyDescent="0.3">
      <c r="A33" s="6233" t="s">
        <v>4212</v>
      </c>
      <c r="B33" s="1692" t="s">
        <v>1764</v>
      </c>
      <c r="C33" s="1943" t="s">
        <v>5292</v>
      </c>
      <c r="D33" s="1944" t="s">
        <v>5293</v>
      </c>
      <c r="E33" s="1949" t="s">
        <v>5294</v>
      </c>
      <c r="F33" s="1072" t="s">
        <v>5295</v>
      </c>
      <c r="G33" s="83" t="s">
        <v>5296</v>
      </c>
      <c r="H33" s="1072" t="s">
        <v>5297</v>
      </c>
      <c r="I33" s="1060" t="s">
        <v>5298</v>
      </c>
      <c r="J33" s="1072" t="s">
        <v>5299</v>
      </c>
      <c r="K33" s="1060" t="s">
        <v>5300</v>
      </c>
      <c r="L33" s="1072" t="s">
        <v>5301</v>
      </c>
      <c r="M33" s="1060" t="s">
        <v>5302</v>
      </c>
      <c r="N33" s="1072" t="s">
        <v>5303</v>
      </c>
      <c r="O33" s="1060" t="s">
        <v>5304</v>
      </c>
      <c r="P33" s="1072" t="s">
        <v>5305</v>
      </c>
      <c r="Q33" s="1060" t="s">
        <v>5306</v>
      </c>
      <c r="R33" s="1059" t="s">
        <v>5307</v>
      </c>
      <c r="S33" s="1060" t="s">
        <v>5308</v>
      </c>
      <c r="T33" s="1072" t="s">
        <v>5309</v>
      </c>
      <c r="U33" s="1060" t="s">
        <v>5310</v>
      </c>
      <c r="V33" s="1072" t="s">
        <v>5311</v>
      </c>
      <c r="W33" s="1060" t="s">
        <v>5312</v>
      </c>
      <c r="X33" s="1072" t="s">
        <v>5313</v>
      </c>
      <c r="Y33" s="1060" t="s">
        <v>5314</v>
      </c>
      <c r="Z33" s="1072" t="s">
        <v>5315</v>
      </c>
      <c r="AA33" s="1060" t="s">
        <v>5316</v>
      </c>
      <c r="AB33" s="1072" t="s">
        <v>5317</v>
      </c>
      <c r="AC33" s="1060" t="s">
        <v>5318</v>
      </c>
      <c r="AD33" s="1059" t="s">
        <v>5319</v>
      </c>
      <c r="AE33" s="1060" t="s">
        <v>5320</v>
      </c>
      <c r="AF33" s="1072" t="s">
        <v>5321</v>
      </c>
      <c r="AG33" s="1060" t="s">
        <v>5322</v>
      </c>
      <c r="AH33" s="1059" t="s">
        <v>5323</v>
      </c>
      <c r="AI33" s="1060" t="s">
        <v>5324</v>
      </c>
      <c r="AJ33" s="1072" t="s">
        <v>5325</v>
      </c>
      <c r="AK33" s="1060" t="s">
        <v>5326</v>
      </c>
      <c r="AL33" s="1059" t="s">
        <v>5327</v>
      </c>
      <c r="AM33" s="1060" t="s">
        <v>5328</v>
      </c>
      <c r="AN33" s="126" t="s">
        <v>5329</v>
      </c>
      <c r="AO33" s="1061" t="s">
        <v>5330</v>
      </c>
      <c r="AP33" s="1075" t="s">
        <v>5331</v>
      </c>
      <c r="AQ33" s="1075" t="s">
        <v>5332</v>
      </c>
      <c r="AR33" s="1075" t="s">
        <v>5333</v>
      </c>
      <c r="AS33" s="960" t="s">
        <v>5334</v>
      </c>
      <c r="AT33" s="960" t="s">
        <v>5335</v>
      </c>
      <c r="AU3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3" s="2465" t="str">
        <f t="shared" si="16"/>
        <v xml:space="preserve"> * La variable Pueblos originarios No puede ser mayor al Total.</v>
      </c>
      <c r="BQ33" s="2465" t="str">
        <f t="shared" si="17"/>
        <v xml:space="preserve"> * La variable Migrantes No puede ser mayor al Total.</v>
      </c>
      <c r="BR33" s="2465" t="str">
        <f t="shared" si="18"/>
        <v xml:space="preserve"> * La variable Espacios Amigables No puede ser mayor al Total.</v>
      </c>
      <c r="BS33" s="2465" t="str">
        <f t="shared" si="19"/>
        <v xml:space="preserve"> * La variable Niños, Niñas, Adolescentes y Jóvenes SENAME No puede ser mayor al Total.</v>
      </c>
      <c r="BT33" s="2465" t="str">
        <f t="shared" si="20"/>
        <v xml:space="preserve"> * La variable Niños, Niñas, Adolescentes y Jóvenes Mejor Niñez No puede ser mayor al Total.</v>
      </c>
      <c r="BV33" s="1725">
        <f t="shared" si="21"/>
        <v>1</v>
      </c>
      <c r="BW33" s="1725">
        <f t="shared" si="22"/>
        <v>1</v>
      </c>
      <c r="BX33" s="1725">
        <f t="shared" si="23"/>
        <v>1</v>
      </c>
      <c r="BY33" s="1725">
        <f t="shared" si="24"/>
        <v>1</v>
      </c>
      <c r="BZ33" s="1725">
        <f t="shared" si="25"/>
        <v>1</v>
      </c>
    </row>
    <row r="34" spans="1:78" ht="15" customHeight="1" x14ac:dyDescent="0.3">
      <c r="A34" s="6233" t="s">
        <v>4213</v>
      </c>
      <c r="B34" s="1692" t="s">
        <v>1765</v>
      </c>
      <c r="C34" s="1943" t="s">
        <v>5292</v>
      </c>
      <c r="D34" s="1944" t="s">
        <v>5293</v>
      </c>
      <c r="E34" s="1949" t="s">
        <v>5294</v>
      </c>
      <c r="F34" s="808" t="s">
        <v>5295</v>
      </c>
      <c r="G34" s="809" t="s">
        <v>5296</v>
      </c>
      <c r="H34" s="808" t="s">
        <v>5297</v>
      </c>
      <c r="I34" s="868" t="s">
        <v>5298</v>
      </c>
      <c r="J34" s="808" t="s">
        <v>5299</v>
      </c>
      <c r="K34" s="868" t="s">
        <v>5300</v>
      </c>
      <c r="L34" s="808" t="s">
        <v>5301</v>
      </c>
      <c r="M34" s="868" t="s">
        <v>5302</v>
      </c>
      <c r="N34" s="808" t="s">
        <v>5303</v>
      </c>
      <c r="O34" s="868" t="s">
        <v>5304</v>
      </c>
      <c r="P34" s="1072" t="s">
        <v>5305</v>
      </c>
      <c r="Q34" s="1060" t="s">
        <v>5306</v>
      </c>
      <c r="R34" s="1059" t="s">
        <v>5307</v>
      </c>
      <c r="S34" s="1060" t="s">
        <v>5308</v>
      </c>
      <c r="T34" s="1072" t="s">
        <v>5309</v>
      </c>
      <c r="U34" s="1060" t="s">
        <v>5310</v>
      </c>
      <c r="V34" s="1072" t="s">
        <v>5311</v>
      </c>
      <c r="W34" s="1060" t="s">
        <v>5312</v>
      </c>
      <c r="X34" s="1072" t="s">
        <v>5313</v>
      </c>
      <c r="Y34" s="1060" t="s">
        <v>5314</v>
      </c>
      <c r="Z34" s="1072" t="s">
        <v>5315</v>
      </c>
      <c r="AA34" s="1060" t="s">
        <v>5316</v>
      </c>
      <c r="AB34" s="1072" t="s">
        <v>5317</v>
      </c>
      <c r="AC34" s="92" t="s">
        <v>5318</v>
      </c>
      <c r="AD34" s="909" t="s">
        <v>5319</v>
      </c>
      <c r="AE34" s="868" t="s">
        <v>5320</v>
      </c>
      <c r="AF34" s="808" t="s">
        <v>5321</v>
      </c>
      <c r="AG34" s="868" t="s">
        <v>5322</v>
      </c>
      <c r="AH34" s="909" t="s">
        <v>5323</v>
      </c>
      <c r="AI34" s="868" t="s">
        <v>5324</v>
      </c>
      <c r="AJ34" s="808" t="s">
        <v>5325</v>
      </c>
      <c r="AK34" s="868" t="s">
        <v>5326</v>
      </c>
      <c r="AL34" s="909" t="s">
        <v>5327</v>
      </c>
      <c r="AM34" s="868" t="s">
        <v>5328</v>
      </c>
      <c r="AN34" s="1963" t="s">
        <v>5329</v>
      </c>
      <c r="AO34" s="1945" t="s">
        <v>5330</v>
      </c>
      <c r="AP34" s="1075" t="s">
        <v>5331</v>
      </c>
      <c r="AQ34" s="1075" t="s">
        <v>5332</v>
      </c>
      <c r="AR34" s="1075" t="s">
        <v>5333</v>
      </c>
      <c r="AS34" s="960" t="s">
        <v>5334</v>
      </c>
      <c r="AT34" s="960" t="s">
        <v>5335</v>
      </c>
      <c r="AU3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4" s="2465" t="str">
        <f t="shared" si="16"/>
        <v xml:space="preserve"> * La variable Pueblos originarios No puede ser mayor al Total.</v>
      </c>
      <c r="BQ34" s="2465" t="str">
        <f t="shared" si="17"/>
        <v xml:space="preserve"> * La variable Migrantes No puede ser mayor al Total.</v>
      </c>
      <c r="BR34" s="2465" t="str">
        <f t="shared" ref="BR34" si="26">IF(AND(C34&gt;0,AR34="")," * No olvide digitar la variable Espacios Amigables. Digite Cero si no tiene.",IF(AR34&gt;C34," * La variable Espacios Amigables No puede ser mayor al Total.",""))</f>
        <v xml:space="preserve"> * La variable Espacios Amigables No puede ser mayor al Total.</v>
      </c>
      <c r="BS34" s="2465" t="str">
        <f t="shared" ref="BS34" si="27">IF(AND(C34&gt;0,AS34="")," * No olvide digitar la variable Niños, Niñas, Adolescentes y Jóvenes SENAME. Digite Cero si no tiene.",IF(AS34&gt;C34," * La variable Niños, Niñas, Adolescentes y Jóvenes SENAME No puede ser mayor al Total.",""))</f>
        <v xml:space="preserve"> * La variable Niños, Niñas, Adolescentes y Jóvenes SENAME No puede ser mayor al Total.</v>
      </c>
      <c r="BT34" s="2465" t="str">
        <f t="shared" ref="BT34" si="28">IF(AND(C34&gt;0,AT34="")," * No olvide digitar la variable Niños, Niñas, Adolescentes y Jóvenes Mejor Niñez. Digite Cero si no tiene.",IF(AT34&gt;C34," * La variable Niños, Niñas, Adolescentes y Jóvenes Mejor Niñez No puede ser mayor al Total.",""))</f>
        <v xml:space="preserve"> * La variable Niños, Niñas, Adolescentes y Jóvenes Mejor Niñez No puede ser mayor al Total.</v>
      </c>
      <c r="BV34" s="1725">
        <f t="shared" si="21"/>
        <v>1</v>
      </c>
      <c r="BW34" s="1725">
        <f t="shared" si="22"/>
        <v>1</v>
      </c>
      <c r="BX34" s="1725">
        <f t="shared" ref="BX34" si="29">IF(AND(C34&gt;0,AR34=""),1,IF(AR34&gt;C34,1,0))</f>
        <v>1</v>
      </c>
      <c r="BY34" s="1725">
        <f t="shared" ref="BY34" si="30">IF(AND(C34&gt;0,AS34=""),1,IF(AS34&gt;C34,1,0))</f>
        <v>1</v>
      </c>
      <c r="BZ34" s="1725">
        <f t="shared" ref="BZ34" si="31">IF(AND(C34&gt;0,AT34=""),1,IF(AT34&gt;C34,1,0))</f>
        <v>1</v>
      </c>
    </row>
    <row r="35" spans="1:78" ht="15" customHeight="1" x14ac:dyDescent="0.3">
      <c r="A35" s="6233" t="s">
        <v>4214</v>
      </c>
      <c r="B35" s="1692" t="s">
        <v>1766</v>
      </c>
      <c r="C35" s="1943" t="s">
        <v>5292</v>
      </c>
      <c r="D35" s="1944" t="s">
        <v>5293</v>
      </c>
      <c r="E35" s="1949" t="s">
        <v>5294</v>
      </c>
      <c r="F35" s="1072" t="s">
        <v>5295</v>
      </c>
      <c r="G35" s="83" t="s">
        <v>5296</v>
      </c>
      <c r="H35" s="1072" t="s">
        <v>5297</v>
      </c>
      <c r="I35" s="1060" t="s">
        <v>5298</v>
      </c>
      <c r="J35" s="1072" t="s">
        <v>5299</v>
      </c>
      <c r="K35" s="1060" t="s">
        <v>5300</v>
      </c>
      <c r="L35" s="1072" t="s">
        <v>5301</v>
      </c>
      <c r="M35" s="1060" t="s">
        <v>5302</v>
      </c>
      <c r="N35" s="1072" t="s">
        <v>5303</v>
      </c>
      <c r="O35" s="1060" t="s">
        <v>5304</v>
      </c>
      <c r="P35" s="1072" t="s">
        <v>5305</v>
      </c>
      <c r="Q35" s="1060" t="s">
        <v>5306</v>
      </c>
      <c r="R35" s="1059" t="s">
        <v>5307</v>
      </c>
      <c r="S35" s="1060" t="s">
        <v>5308</v>
      </c>
      <c r="T35" s="1072" t="s">
        <v>5309</v>
      </c>
      <c r="U35" s="1060" t="s">
        <v>5310</v>
      </c>
      <c r="V35" s="1072" t="s">
        <v>5311</v>
      </c>
      <c r="W35" s="1060" t="s">
        <v>5312</v>
      </c>
      <c r="X35" s="1072" t="s">
        <v>5313</v>
      </c>
      <c r="Y35" s="1060" t="s">
        <v>5314</v>
      </c>
      <c r="Z35" s="1072" t="s">
        <v>5315</v>
      </c>
      <c r="AA35" s="1060" t="s">
        <v>5316</v>
      </c>
      <c r="AB35" s="1072" t="s">
        <v>5317</v>
      </c>
      <c r="AC35" s="1060" t="s">
        <v>5318</v>
      </c>
      <c r="AD35" s="1059" t="s">
        <v>5319</v>
      </c>
      <c r="AE35" s="1060" t="s">
        <v>5320</v>
      </c>
      <c r="AF35" s="1072" t="s">
        <v>5321</v>
      </c>
      <c r="AG35" s="1060" t="s">
        <v>5322</v>
      </c>
      <c r="AH35" s="1059" t="s">
        <v>5323</v>
      </c>
      <c r="AI35" s="1060" t="s">
        <v>5324</v>
      </c>
      <c r="AJ35" s="1072" t="s">
        <v>5325</v>
      </c>
      <c r="AK35" s="1060" t="s">
        <v>5326</v>
      </c>
      <c r="AL35" s="1059" t="s">
        <v>5327</v>
      </c>
      <c r="AM35" s="1060" t="s">
        <v>5328</v>
      </c>
      <c r="AN35" s="126" t="s">
        <v>5329</v>
      </c>
      <c r="AO35" s="1061" t="s">
        <v>5330</v>
      </c>
      <c r="AP35" s="1792" t="s">
        <v>5331</v>
      </c>
      <c r="AQ35" s="1792" t="s">
        <v>5332</v>
      </c>
      <c r="AR35" s="1792" t="s">
        <v>5333</v>
      </c>
      <c r="AS35" s="950" t="s">
        <v>5334</v>
      </c>
      <c r="AT35" s="950" t="s">
        <v>5335</v>
      </c>
      <c r="AU3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5" s="2465" t="str">
        <f t="shared" si="16"/>
        <v xml:space="preserve"> * La variable Pueblos originarios No puede ser mayor al Total.</v>
      </c>
      <c r="BQ35" s="2465" t="str">
        <f t="shared" si="17"/>
        <v xml:space="preserve"> * La variable Migrantes No puede ser mayor al Total.</v>
      </c>
      <c r="BR35" s="2465" t="str">
        <f t="shared" si="18"/>
        <v xml:space="preserve"> * La variable Espacios Amigables No puede ser mayor al Total.</v>
      </c>
      <c r="BS35" s="2465" t="str">
        <f t="shared" si="19"/>
        <v xml:space="preserve"> * La variable Niños, Niñas, Adolescentes y Jóvenes SENAME No puede ser mayor al Total.</v>
      </c>
      <c r="BT35" s="2465" t="str">
        <f t="shared" si="20"/>
        <v xml:space="preserve"> * La variable Niños, Niñas, Adolescentes y Jóvenes Mejor Niñez No puede ser mayor al Total.</v>
      </c>
      <c r="BV35" s="1725">
        <f t="shared" si="21"/>
        <v>1</v>
      </c>
      <c r="BW35" s="1725">
        <f t="shared" si="22"/>
        <v>1</v>
      </c>
      <c r="BX35" s="1725">
        <f t="shared" si="23"/>
        <v>1</v>
      </c>
      <c r="BY35" s="1725">
        <f t="shared" si="24"/>
        <v>1</v>
      </c>
      <c r="BZ35" s="1725">
        <f t="shared" si="25"/>
        <v>1</v>
      </c>
    </row>
    <row r="36" spans="1:78" ht="15" customHeight="1" x14ac:dyDescent="0.3">
      <c r="A36" s="6233" t="s">
        <v>4215</v>
      </c>
      <c r="B36" s="1692" t="s">
        <v>1767</v>
      </c>
      <c r="C36" s="1943" t="s">
        <v>5292</v>
      </c>
      <c r="D36" s="1944" t="s">
        <v>5293</v>
      </c>
      <c r="E36" s="1949" t="s">
        <v>5294</v>
      </c>
      <c r="F36" s="1964" t="s">
        <v>5295</v>
      </c>
      <c r="G36" s="580" t="s">
        <v>5296</v>
      </c>
      <c r="H36" s="1964" t="s">
        <v>5297</v>
      </c>
      <c r="I36" s="1965" t="s">
        <v>5298</v>
      </c>
      <c r="J36" s="1964" t="s">
        <v>5299</v>
      </c>
      <c r="K36" s="1965" t="s">
        <v>5300</v>
      </c>
      <c r="L36" s="1072" t="s">
        <v>5301</v>
      </c>
      <c r="M36" s="1060" t="s">
        <v>5302</v>
      </c>
      <c r="N36" s="1072" t="s">
        <v>5303</v>
      </c>
      <c r="O36" s="1060" t="s">
        <v>5304</v>
      </c>
      <c r="P36" s="1072" t="s">
        <v>5305</v>
      </c>
      <c r="Q36" s="1060" t="s">
        <v>5306</v>
      </c>
      <c r="R36" s="1059" t="s">
        <v>5307</v>
      </c>
      <c r="S36" s="1060" t="s">
        <v>5308</v>
      </c>
      <c r="T36" s="1072" t="s">
        <v>5309</v>
      </c>
      <c r="U36" s="1060" t="s">
        <v>5310</v>
      </c>
      <c r="V36" s="1072" t="s">
        <v>5311</v>
      </c>
      <c r="W36" s="1060" t="s">
        <v>5312</v>
      </c>
      <c r="X36" s="1072" t="s">
        <v>5313</v>
      </c>
      <c r="Y36" s="1060" t="s">
        <v>5314</v>
      </c>
      <c r="Z36" s="1072" t="s">
        <v>5315</v>
      </c>
      <c r="AA36" s="1060" t="s">
        <v>5316</v>
      </c>
      <c r="AB36" s="1072" t="s">
        <v>5317</v>
      </c>
      <c r="AC36" s="1060" t="s">
        <v>5318</v>
      </c>
      <c r="AD36" s="1059" t="s">
        <v>5319</v>
      </c>
      <c r="AE36" s="1060" t="s">
        <v>5320</v>
      </c>
      <c r="AF36" s="1072" t="s">
        <v>5321</v>
      </c>
      <c r="AG36" s="1060" t="s">
        <v>5322</v>
      </c>
      <c r="AH36" s="1059" t="s">
        <v>5323</v>
      </c>
      <c r="AI36" s="1060" t="s">
        <v>5324</v>
      </c>
      <c r="AJ36" s="1072" t="s">
        <v>5325</v>
      </c>
      <c r="AK36" s="1060" t="s">
        <v>5326</v>
      </c>
      <c r="AL36" s="1059" t="s">
        <v>5327</v>
      </c>
      <c r="AM36" s="1060" t="s">
        <v>5328</v>
      </c>
      <c r="AN36" s="126" t="s">
        <v>5329</v>
      </c>
      <c r="AO36" s="1061" t="s">
        <v>5330</v>
      </c>
      <c r="AP36" s="1792" t="s">
        <v>5331</v>
      </c>
      <c r="AQ36" s="1792" t="s">
        <v>5332</v>
      </c>
      <c r="AR36" s="1792" t="s">
        <v>5333</v>
      </c>
      <c r="AS36" s="950" t="s">
        <v>5334</v>
      </c>
      <c r="AT36" s="950" t="s">
        <v>5335</v>
      </c>
      <c r="AU3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6" s="2465" t="str">
        <f t="shared" si="16"/>
        <v xml:space="preserve"> * La variable Pueblos originarios No puede ser mayor al Total.</v>
      </c>
      <c r="BQ36" s="2465" t="str">
        <f t="shared" si="17"/>
        <v xml:space="preserve"> * La variable Migrantes No puede ser mayor al Total.</v>
      </c>
      <c r="BR36" s="2465" t="str">
        <f t="shared" si="18"/>
        <v xml:space="preserve"> * La variable Espacios Amigables No puede ser mayor al Total.</v>
      </c>
      <c r="BS36" s="2465" t="str">
        <f t="shared" si="19"/>
        <v xml:space="preserve"> * La variable Niños, Niñas, Adolescentes y Jóvenes SENAME No puede ser mayor al Total.</v>
      </c>
      <c r="BT36" s="2465" t="str">
        <f t="shared" si="20"/>
        <v xml:space="preserve"> * La variable Niños, Niñas, Adolescentes y Jóvenes Mejor Niñez No puede ser mayor al Total.</v>
      </c>
      <c r="BV36" s="1725">
        <f t="shared" si="21"/>
        <v>1</v>
      </c>
      <c r="BW36" s="1725">
        <f t="shared" si="22"/>
        <v>1</v>
      </c>
      <c r="BX36" s="1725">
        <f t="shared" si="23"/>
        <v>1</v>
      </c>
      <c r="BY36" s="1725">
        <f t="shared" si="24"/>
        <v>1</v>
      </c>
      <c r="BZ36" s="1725">
        <f t="shared" si="25"/>
        <v>1</v>
      </c>
    </row>
    <row r="37" spans="1:78" ht="15" customHeight="1" x14ac:dyDescent="0.3">
      <c r="A37" s="6233" t="s">
        <v>4216</v>
      </c>
      <c r="B37" s="1692" t="s">
        <v>1768</v>
      </c>
      <c r="C37" s="1966" t="s">
        <v>5292</v>
      </c>
      <c r="D37" s="1944" t="s">
        <v>5293</v>
      </c>
      <c r="E37" s="1949" t="s">
        <v>5294</v>
      </c>
      <c r="F37" s="1964" t="s">
        <v>5295</v>
      </c>
      <c r="G37" s="580" t="s">
        <v>5296</v>
      </c>
      <c r="H37" s="1964" t="s">
        <v>5297</v>
      </c>
      <c r="I37" s="1965" t="s">
        <v>5298</v>
      </c>
      <c r="J37" s="1964" t="s">
        <v>5299</v>
      </c>
      <c r="K37" s="1965" t="s">
        <v>5300</v>
      </c>
      <c r="L37" s="1072" t="s">
        <v>5301</v>
      </c>
      <c r="M37" s="1060" t="s">
        <v>5302</v>
      </c>
      <c r="N37" s="1072" t="s">
        <v>5303</v>
      </c>
      <c r="O37" s="1060" t="s">
        <v>5304</v>
      </c>
      <c r="P37" s="1072" t="s">
        <v>5305</v>
      </c>
      <c r="Q37" s="1060" t="s">
        <v>5306</v>
      </c>
      <c r="R37" s="1059" t="s">
        <v>5307</v>
      </c>
      <c r="S37" s="1060" t="s">
        <v>5308</v>
      </c>
      <c r="T37" s="1072" t="s">
        <v>5309</v>
      </c>
      <c r="U37" s="1060" t="s">
        <v>5310</v>
      </c>
      <c r="V37" s="1072" t="s">
        <v>5311</v>
      </c>
      <c r="W37" s="1060" t="s">
        <v>5312</v>
      </c>
      <c r="X37" s="1072" t="s">
        <v>5313</v>
      </c>
      <c r="Y37" s="1060" t="s">
        <v>5314</v>
      </c>
      <c r="Z37" s="1072" t="s">
        <v>5315</v>
      </c>
      <c r="AA37" s="1060" t="s">
        <v>5316</v>
      </c>
      <c r="AB37" s="1072" t="s">
        <v>5317</v>
      </c>
      <c r="AC37" s="1060" t="s">
        <v>5318</v>
      </c>
      <c r="AD37" s="1059" t="s">
        <v>5319</v>
      </c>
      <c r="AE37" s="1060" t="s">
        <v>5320</v>
      </c>
      <c r="AF37" s="1072" t="s">
        <v>5321</v>
      </c>
      <c r="AG37" s="1060" t="s">
        <v>5322</v>
      </c>
      <c r="AH37" s="1059" t="s">
        <v>5323</v>
      </c>
      <c r="AI37" s="1060" t="s">
        <v>5324</v>
      </c>
      <c r="AJ37" s="1072" t="s">
        <v>5325</v>
      </c>
      <c r="AK37" s="1060" t="s">
        <v>5326</v>
      </c>
      <c r="AL37" s="1059" t="s">
        <v>5327</v>
      </c>
      <c r="AM37" s="1060" t="s">
        <v>5328</v>
      </c>
      <c r="AN37" s="126" t="s">
        <v>5329</v>
      </c>
      <c r="AO37" s="1061" t="s">
        <v>5330</v>
      </c>
      <c r="AP37" s="1792" t="s">
        <v>5331</v>
      </c>
      <c r="AQ37" s="1792" t="s">
        <v>5332</v>
      </c>
      <c r="AR37" s="1792" t="s">
        <v>5333</v>
      </c>
      <c r="AS37" s="950" t="s">
        <v>5334</v>
      </c>
      <c r="AT37" s="950" t="s">
        <v>5335</v>
      </c>
      <c r="AU37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7" s="2465" t="str">
        <f t="shared" si="16"/>
        <v xml:space="preserve"> * La variable Pueblos originarios No puede ser mayor al Total.</v>
      </c>
      <c r="BQ37" s="2465" t="str">
        <f t="shared" si="17"/>
        <v xml:space="preserve"> * La variable Migrantes No puede ser mayor al Total.</v>
      </c>
      <c r="BR37" s="2465" t="str">
        <f t="shared" si="18"/>
        <v xml:space="preserve"> * La variable Espacios Amigables No puede ser mayor al Total.</v>
      </c>
      <c r="BS37" s="2465" t="str">
        <f t="shared" si="19"/>
        <v xml:space="preserve"> * La variable Niños, Niñas, Adolescentes y Jóvenes SENAME No puede ser mayor al Total.</v>
      </c>
      <c r="BT37" s="2465" t="str">
        <f t="shared" si="20"/>
        <v xml:space="preserve"> * La variable Niños, Niñas, Adolescentes y Jóvenes Mejor Niñez No puede ser mayor al Total.</v>
      </c>
      <c r="BV37" s="1725">
        <f t="shared" si="21"/>
        <v>1</v>
      </c>
      <c r="BW37" s="1725">
        <f t="shared" si="22"/>
        <v>1</v>
      </c>
      <c r="BX37" s="1725">
        <f t="shared" si="23"/>
        <v>1</v>
      </c>
      <c r="BY37" s="1725">
        <f t="shared" si="24"/>
        <v>1</v>
      </c>
      <c r="BZ37" s="1725">
        <f t="shared" si="25"/>
        <v>1</v>
      </c>
    </row>
    <row r="38" spans="1:78" ht="15" customHeight="1" x14ac:dyDescent="0.3">
      <c r="A38" s="6233" t="s">
        <v>4217</v>
      </c>
      <c r="B38" s="1680" t="s">
        <v>1769</v>
      </c>
      <c r="C38" s="1943" t="s">
        <v>5292</v>
      </c>
      <c r="D38" s="1944" t="s">
        <v>5293</v>
      </c>
      <c r="E38" s="352" t="s">
        <v>5294</v>
      </c>
      <c r="F38" s="1072" t="s">
        <v>5295</v>
      </c>
      <c r="G38" s="83" t="s">
        <v>5296</v>
      </c>
      <c r="H38" s="1072" t="s">
        <v>5297</v>
      </c>
      <c r="I38" s="1060" t="s">
        <v>5298</v>
      </c>
      <c r="J38" s="1072" t="s">
        <v>5299</v>
      </c>
      <c r="K38" s="1060" t="s">
        <v>5300</v>
      </c>
      <c r="L38" s="1072" t="s">
        <v>5301</v>
      </c>
      <c r="M38" s="1060" t="s">
        <v>5302</v>
      </c>
      <c r="N38" s="1072" t="s">
        <v>5303</v>
      </c>
      <c r="O38" s="1060" t="s">
        <v>5304</v>
      </c>
      <c r="P38" s="1072" t="s">
        <v>5305</v>
      </c>
      <c r="Q38" s="1060" t="s">
        <v>5306</v>
      </c>
      <c r="R38" s="1059" t="s">
        <v>5307</v>
      </c>
      <c r="S38" s="1060" t="s">
        <v>5308</v>
      </c>
      <c r="T38" s="1072" t="s">
        <v>5309</v>
      </c>
      <c r="U38" s="1060" t="s">
        <v>5310</v>
      </c>
      <c r="V38" s="1072" t="s">
        <v>5311</v>
      </c>
      <c r="W38" s="1060" t="s">
        <v>5312</v>
      </c>
      <c r="X38" s="1072" t="s">
        <v>5313</v>
      </c>
      <c r="Y38" s="1060" t="s">
        <v>5314</v>
      </c>
      <c r="Z38" s="1072" t="s">
        <v>5315</v>
      </c>
      <c r="AA38" s="1060" t="s">
        <v>5316</v>
      </c>
      <c r="AB38" s="1072" t="s">
        <v>5317</v>
      </c>
      <c r="AC38" s="1060" t="s">
        <v>5318</v>
      </c>
      <c r="AD38" s="1059" t="s">
        <v>5319</v>
      </c>
      <c r="AE38" s="1060" t="s">
        <v>5320</v>
      </c>
      <c r="AF38" s="1072" t="s">
        <v>5321</v>
      </c>
      <c r="AG38" s="1060" t="s">
        <v>5322</v>
      </c>
      <c r="AH38" s="1059" t="s">
        <v>5323</v>
      </c>
      <c r="AI38" s="1060" t="s">
        <v>5324</v>
      </c>
      <c r="AJ38" s="1072" t="s">
        <v>5325</v>
      </c>
      <c r="AK38" s="1060" t="s">
        <v>5326</v>
      </c>
      <c r="AL38" s="1059" t="s">
        <v>5327</v>
      </c>
      <c r="AM38" s="1060" t="s">
        <v>5328</v>
      </c>
      <c r="AN38" s="126" t="s">
        <v>5329</v>
      </c>
      <c r="AO38" s="1061" t="s">
        <v>5330</v>
      </c>
      <c r="AP38" s="1075" t="s">
        <v>5331</v>
      </c>
      <c r="AQ38" s="1075" t="s">
        <v>5332</v>
      </c>
      <c r="AR38" s="1075" t="s">
        <v>5333</v>
      </c>
      <c r="AS38" s="960" t="s">
        <v>5334</v>
      </c>
      <c r="AT38" s="960" t="s">
        <v>5335</v>
      </c>
      <c r="AU38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8" s="2465" t="str">
        <f t="shared" si="16"/>
        <v xml:space="preserve"> * La variable Pueblos originarios No puede ser mayor al Total.</v>
      </c>
      <c r="BQ38" s="2465" t="str">
        <f t="shared" si="17"/>
        <v xml:space="preserve"> * La variable Migrantes No puede ser mayor al Total.</v>
      </c>
      <c r="BR38" s="2465" t="str">
        <f t="shared" si="18"/>
        <v xml:space="preserve"> * La variable Espacios Amigables No puede ser mayor al Total.</v>
      </c>
      <c r="BS38" s="2465" t="str">
        <f t="shared" si="19"/>
        <v xml:space="preserve"> * La variable Niños, Niñas, Adolescentes y Jóvenes SENAME No puede ser mayor al Total.</v>
      </c>
      <c r="BT38" s="2465" t="str">
        <f t="shared" si="20"/>
        <v xml:space="preserve"> * La variable Niños, Niñas, Adolescentes y Jóvenes Mejor Niñez No puede ser mayor al Total.</v>
      </c>
      <c r="BV38" s="1725">
        <f t="shared" si="21"/>
        <v>1</v>
      </c>
      <c r="BW38" s="1725">
        <f t="shared" si="22"/>
        <v>1</v>
      </c>
      <c r="BX38" s="1725">
        <f t="shared" si="23"/>
        <v>1</v>
      </c>
      <c r="BY38" s="1725">
        <f t="shared" si="24"/>
        <v>1</v>
      </c>
      <c r="BZ38" s="1725">
        <f t="shared" si="25"/>
        <v>1</v>
      </c>
    </row>
    <row r="39" spans="1:78" ht="15" customHeight="1" x14ac:dyDescent="0.3">
      <c r="A39" s="6233" t="s">
        <v>4218</v>
      </c>
      <c r="B39" s="1680" t="s">
        <v>1770</v>
      </c>
      <c r="C39" s="1943" t="s">
        <v>5292</v>
      </c>
      <c r="D39" s="1944" t="s">
        <v>5293</v>
      </c>
      <c r="E39" s="352" t="s">
        <v>5294</v>
      </c>
      <c r="F39" s="1072" t="s">
        <v>5295</v>
      </c>
      <c r="G39" s="83" t="s">
        <v>5296</v>
      </c>
      <c r="H39" s="1072" t="s">
        <v>5297</v>
      </c>
      <c r="I39" s="1060" t="s">
        <v>5298</v>
      </c>
      <c r="J39" s="1072" t="s">
        <v>5299</v>
      </c>
      <c r="K39" s="1060" t="s">
        <v>5300</v>
      </c>
      <c r="L39" s="1072" t="s">
        <v>5301</v>
      </c>
      <c r="M39" s="1060" t="s">
        <v>5302</v>
      </c>
      <c r="N39" s="1072" t="s">
        <v>5303</v>
      </c>
      <c r="O39" s="1060" t="s">
        <v>5304</v>
      </c>
      <c r="P39" s="1072" t="s">
        <v>5305</v>
      </c>
      <c r="Q39" s="1060" t="s">
        <v>5306</v>
      </c>
      <c r="R39" s="1059" t="s">
        <v>5307</v>
      </c>
      <c r="S39" s="1060" t="s">
        <v>5308</v>
      </c>
      <c r="T39" s="1072" t="s">
        <v>5309</v>
      </c>
      <c r="U39" s="1060" t="s">
        <v>5310</v>
      </c>
      <c r="V39" s="1072" t="s">
        <v>5311</v>
      </c>
      <c r="W39" s="1060" t="s">
        <v>5312</v>
      </c>
      <c r="X39" s="1072" t="s">
        <v>5313</v>
      </c>
      <c r="Y39" s="1060" t="s">
        <v>5314</v>
      </c>
      <c r="Z39" s="1072" t="s">
        <v>5315</v>
      </c>
      <c r="AA39" s="1060" t="s">
        <v>5316</v>
      </c>
      <c r="AB39" s="1072" t="s">
        <v>5317</v>
      </c>
      <c r="AC39" s="1060" t="s">
        <v>5318</v>
      </c>
      <c r="AD39" s="1059" t="s">
        <v>5319</v>
      </c>
      <c r="AE39" s="1060" t="s">
        <v>5320</v>
      </c>
      <c r="AF39" s="1072" t="s">
        <v>5321</v>
      </c>
      <c r="AG39" s="1060" t="s">
        <v>5322</v>
      </c>
      <c r="AH39" s="1059" t="s">
        <v>5323</v>
      </c>
      <c r="AI39" s="1060" t="s">
        <v>5324</v>
      </c>
      <c r="AJ39" s="1072" t="s">
        <v>5325</v>
      </c>
      <c r="AK39" s="1060" t="s">
        <v>5326</v>
      </c>
      <c r="AL39" s="1059" t="s">
        <v>5327</v>
      </c>
      <c r="AM39" s="1060" t="s">
        <v>5328</v>
      </c>
      <c r="AN39" s="126" t="s">
        <v>5329</v>
      </c>
      <c r="AO39" s="1061" t="s">
        <v>5330</v>
      </c>
      <c r="AP39" s="1075" t="s">
        <v>5331</v>
      </c>
      <c r="AQ39" s="1075" t="s">
        <v>5332</v>
      </c>
      <c r="AR39" s="1075" t="s">
        <v>5333</v>
      </c>
      <c r="AS39" s="960" t="s">
        <v>5334</v>
      </c>
      <c r="AT39" s="960" t="s">
        <v>5335</v>
      </c>
      <c r="AU39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9" s="2465" t="str">
        <f t="shared" si="16"/>
        <v xml:space="preserve"> * La variable Pueblos originarios No puede ser mayor al Total.</v>
      </c>
      <c r="BQ39" s="2465" t="str">
        <f t="shared" si="17"/>
        <v xml:space="preserve"> * La variable Migrantes No puede ser mayor al Total.</v>
      </c>
      <c r="BR39" s="2465" t="str">
        <f t="shared" si="18"/>
        <v xml:space="preserve"> * La variable Espacios Amigables No puede ser mayor al Total.</v>
      </c>
      <c r="BS39" s="2465" t="str">
        <f t="shared" si="19"/>
        <v xml:space="preserve"> * La variable Niños, Niñas, Adolescentes y Jóvenes SENAME No puede ser mayor al Total.</v>
      </c>
      <c r="BT39" s="2465" t="str">
        <f t="shared" si="20"/>
        <v xml:space="preserve"> * La variable Niños, Niñas, Adolescentes y Jóvenes Mejor Niñez No puede ser mayor al Total.</v>
      </c>
      <c r="BV39" s="1725">
        <f t="shared" si="21"/>
        <v>1</v>
      </c>
      <c r="BW39" s="1725">
        <f t="shared" si="22"/>
        <v>1</v>
      </c>
      <c r="BX39" s="1725">
        <f t="shared" si="23"/>
        <v>1</v>
      </c>
      <c r="BY39" s="1725">
        <f t="shared" si="24"/>
        <v>1</v>
      </c>
      <c r="BZ39" s="1725">
        <f t="shared" si="25"/>
        <v>1</v>
      </c>
    </row>
    <row r="40" spans="1:78" ht="15" customHeight="1" x14ac:dyDescent="0.3">
      <c r="A40" s="6233" t="s">
        <v>4219</v>
      </c>
      <c r="B40" s="1680" t="s">
        <v>1771</v>
      </c>
      <c r="C40" s="1943" t="s">
        <v>5292</v>
      </c>
      <c r="D40" s="1944" t="s">
        <v>5293</v>
      </c>
      <c r="E40" s="352" t="s">
        <v>5294</v>
      </c>
      <c r="F40" s="1072" t="s">
        <v>5295</v>
      </c>
      <c r="G40" s="83" t="s">
        <v>5296</v>
      </c>
      <c r="H40" s="1072" t="s">
        <v>5297</v>
      </c>
      <c r="I40" s="1060" t="s">
        <v>5298</v>
      </c>
      <c r="J40" s="1072" t="s">
        <v>5299</v>
      </c>
      <c r="K40" s="1060" t="s">
        <v>5300</v>
      </c>
      <c r="L40" s="1072" t="s">
        <v>5301</v>
      </c>
      <c r="M40" s="1060" t="s">
        <v>5302</v>
      </c>
      <c r="N40" s="1072" t="s">
        <v>5303</v>
      </c>
      <c r="O40" s="1060" t="s">
        <v>5304</v>
      </c>
      <c r="P40" s="1072" t="s">
        <v>5305</v>
      </c>
      <c r="Q40" s="1060" t="s">
        <v>5306</v>
      </c>
      <c r="R40" s="1059" t="s">
        <v>5307</v>
      </c>
      <c r="S40" s="1060" t="s">
        <v>5308</v>
      </c>
      <c r="T40" s="1072" t="s">
        <v>5309</v>
      </c>
      <c r="U40" s="1060" t="s">
        <v>5310</v>
      </c>
      <c r="V40" s="1072" t="s">
        <v>5311</v>
      </c>
      <c r="W40" s="1060" t="s">
        <v>5312</v>
      </c>
      <c r="X40" s="1072" t="s">
        <v>5313</v>
      </c>
      <c r="Y40" s="1060" t="s">
        <v>5314</v>
      </c>
      <c r="Z40" s="1072" t="s">
        <v>5315</v>
      </c>
      <c r="AA40" s="1060" t="s">
        <v>5316</v>
      </c>
      <c r="AB40" s="1072" t="s">
        <v>5317</v>
      </c>
      <c r="AC40" s="1060" t="s">
        <v>5318</v>
      </c>
      <c r="AD40" s="1059" t="s">
        <v>5319</v>
      </c>
      <c r="AE40" s="1060" t="s">
        <v>5320</v>
      </c>
      <c r="AF40" s="1072" t="s">
        <v>5321</v>
      </c>
      <c r="AG40" s="1060" t="s">
        <v>5322</v>
      </c>
      <c r="AH40" s="1059" t="s">
        <v>5323</v>
      </c>
      <c r="AI40" s="1060" t="s">
        <v>5324</v>
      </c>
      <c r="AJ40" s="1072" t="s">
        <v>5325</v>
      </c>
      <c r="AK40" s="1060" t="s">
        <v>5326</v>
      </c>
      <c r="AL40" s="1059" t="s">
        <v>5327</v>
      </c>
      <c r="AM40" s="1060" t="s">
        <v>5328</v>
      </c>
      <c r="AN40" s="126" t="s">
        <v>5329</v>
      </c>
      <c r="AO40" s="1061" t="s">
        <v>5330</v>
      </c>
      <c r="AP40" s="1075" t="s">
        <v>5331</v>
      </c>
      <c r="AQ40" s="1075" t="s">
        <v>5332</v>
      </c>
      <c r="AR40" s="1075" t="s">
        <v>5333</v>
      </c>
      <c r="AS40" s="960" t="s">
        <v>5334</v>
      </c>
      <c r="AT40" s="960" t="s">
        <v>5335</v>
      </c>
      <c r="AU40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0" s="2465" t="str">
        <f t="shared" si="16"/>
        <v xml:space="preserve"> * La variable Pueblos originarios No puede ser mayor al Total.</v>
      </c>
      <c r="BQ40" s="2465" t="str">
        <f t="shared" si="17"/>
        <v xml:space="preserve"> * La variable Migrantes No puede ser mayor al Total.</v>
      </c>
      <c r="BR40" s="2465" t="str">
        <f t="shared" si="18"/>
        <v xml:space="preserve"> * La variable Espacios Amigables No puede ser mayor al Total.</v>
      </c>
      <c r="BS40" s="2465" t="str">
        <f t="shared" si="19"/>
        <v xml:space="preserve"> * La variable Niños, Niñas, Adolescentes y Jóvenes SENAME No puede ser mayor al Total.</v>
      </c>
      <c r="BT40" s="2465" t="str">
        <f t="shared" si="20"/>
        <v xml:space="preserve"> * La variable Niños, Niñas, Adolescentes y Jóvenes Mejor Niñez No puede ser mayor al Total.</v>
      </c>
      <c r="BV40" s="1725">
        <f t="shared" si="21"/>
        <v>1</v>
      </c>
      <c r="BW40" s="1725">
        <f t="shared" si="22"/>
        <v>1</v>
      </c>
      <c r="BX40" s="1725">
        <f t="shared" si="23"/>
        <v>1</v>
      </c>
      <c r="BY40" s="1725">
        <f t="shared" si="24"/>
        <v>1</v>
      </c>
      <c r="BZ40" s="1725">
        <f t="shared" si="25"/>
        <v>1</v>
      </c>
    </row>
    <row r="41" spans="1:78" ht="15" customHeight="1" x14ac:dyDescent="0.3">
      <c r="A41" s="6233" t="s">
        <v>4220</v>
      </c>
      <c r="B41" s="1680" t="s">
        <v>1772</v>
      </c>
      <c r="C41" s="1943" t="s">
        <v>5292</v>
      </c>
      <c r="D41" s="1944" t="s">
        <v>5293</v>
      </c>
      <c r="E41" s="352" t="s">
        <v>5294</v>
      </c>
      <c r="F41" s="1072" t="s">
        <v>5295</v>
      </c>
      <c r="G41" s="83" t="s">
        <v>5296</v>
      </c>
      <c r="H41" s="1072" t="s">
        <v>5297</v>
      </c>
      <c r="I41" s="1060" t="s">
        <v>5298</v>
      </c>
      <c r="J41" s="1072" t="s">
        <v>5299</v>
      </c>
      <c r="K41" s="1060" t="s">
        <v>5300</v>
      </c>
      <c r="L41" s="1072" t="s">
        <v>5301</v>
      </c>
      <c r="M41" s="1060" t="s">
        <v>5302</v>
      </c>
      <c r="N41" s="1072" t="s">
        <v>5303</v>
      </c>
      <c r="O41" s="1060" t="s">
        <v>5304</v>
      </c>
      <c r="P41" s="1072" t="s">
        <v>5305</v>
      </c>
      <c r="Q41" s="1060" t="s">
        <v>5306</v>
      </c>
      <c r="R41" s="1059" t="s">
        <v>5307</v>
      </c>
      <c r="S41" s="1060" t="s">
        <v>5308</v>
      </c>
      <c r="T41" s="1072" t="s">
        <v>5309</v>
      </c>
      <c r="U41" s="1060" t="s">
        <v>5310</v>
      </c>
      <c r="V41" s="1072" t="s">
        <v>5311</v>
      </c>
      <c r="W41" s="1060" t="s">
        <v>5312</v>
      </c>
      <c r="X41" s="1072" t="s">
        <v>5313</v>
      </c>
      <c r="Y41" s="1060" t="s">
        <v>5314</v>
      </c>
      <c r="Z41" s="1072" t="s">
        <v>5315</v>
      </c>
      <c r="AA41" s="1060" t="s">
        <v>5316</v>
      </c>
      <c r="AB41" s="1072" t="s">
        <v>5317</v>
      </c>
      <c r="AC41" s="1060" t="s">
        <v>5318</v>
      </c>
      <c r="AD41" s="1059" t="s">
        <v>5319</v>
      </c>
      <c r="AE41" s="1060" t="s">
        <v>5320</v>
      </c>
      <c r="AF41" s="1072" t="s">
        <v>5321</v>
      </c>
      <c r="AG41" s="1060" t="s">
        <v>5322</v>
      </c>
      <c r="AH41" s="1059" t="s">
        <v>5323</v>
      </c>
      <c r="AI41" s="1060" t="s">
        <v>5324</v>
      </c>
      <c r="AJ41" s="1072" t="s">
        <v>5325</v>
      </c>
      <c r="AK41" s="1060" t="s">
        <v>5326</v>
      </c>
      <c r="AL41" s="1059" t="s">
        <v>5327</v>
      </c>
      <c r="AM41" s="1060" t="s">
        <v>5328</v>
      </c>
      <c r="AN41" s="126" t="s">
        <v>5329</v>
      </c>
      <c r="AO41" s="1061" t="s">
        <v>5330</v>
      </c>
      <c r="AP41" s="1075" t="s">
        <v>5331</v>
      </c>
      <c r="AQ41" s="1075" t="s">
        <v>5332</v>
      </c>
      <c r="AR41" s="1075" t="s">
        <v>5333</v>
      </c>
      <c r="AS41" s="960" t="s">
        <v>5334</v>
      </c>
      <c r="AT41" s="960" t="s">
        <v>5335</v>
      </c>
      <c r="AU41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1" s="2465" t="str">
        <f t="shared" si="16"/>
        <v xml:space="preserve"> * La variable Pueblos originarios No puede ser mayor al Total.</v>
      </c>
      <c r="BQ41" s="2465" t="str">
        <f t="shared" si="17"/>
        <v xml:space="preserve"> * La variable Migrantes No puede ser mayor al Total.</v>
      </c>
      <c r="BR41" s="2465" t="str">
        <f t="shared" si="18"/>
        <v xml:space="preserve"> * La variable Espacios Amigables No puede ser mayor al Total.</v>
      </c>
      <c r="BS41" s="2465" t="str">
        <f t="shared" si="19"/>
        <v xml:space="preserve"> * La variable Niños, Niñas, Adolescentes y Jóvenes SENAME No puede ser mayor al Total.</v>
      </c>
      <c r="BT41" s="2465" t="str">
        <f t="shared" si="20"/>
        <v xml:space="preserve"> * La variable Niños, Niñas, Adolescentes y Jóvenes Mejor Niñez No puede ser mayor al Total.</v>
      </c>
      <c r="BV41" s="1725">
        <f t="shared" si="21"/>
        <v>1</v>
      </c>
      <c r="BW41" s="1725">
        <f t="shared" si="22"/>
        <v>1</v>
      </c>
      <c r="BX41" s="1725">
        <f t="shared" si="23"/>
        <v>1</v>
      </c>
      <c r="BY41" s="1725">
        <f t="shared" si="24"/>
        <v>1</v>
      </c>
      <c r="BZ41" s="1725">
        <f t="shared" si="25"/>
        <v>1</v>
      </c>
    </row>
    <row r="42" spans="1:78" ht="15" customHeight="1" x14ac:dyDescent="0.3">
      <c r="A42" s="6233" t="s">
        <v>4221</v>
      </c>
      <c r="B42" s="1680" t="s">
        <v>249</v>
      </c>
      <c r="C42" s="1943" t="s">
        <v>5292</v>
      </c>
      <c r="D42" s="1944" t="s">
        <v>5293</v>
      </c>
      <c r="E42" s="352" t="s">
        <v>5294</v>
      </c>
      <c r="F42" s="1072" t="s">
        <v>5295</v>
      </c>
      <c r="G42" s="83" t="s">
        <v>5296</v>
      </c>
      <c r="H42" s="1072" t="s">
        <v>5297</v>
      </c>
      <c r="I42" s="1060" t="s">
        <v>5298</v>
      </c>
      <c r="J42" s="1072" t="s">
        <v>5299</v>
      </c>
      <c r="K42" s="1060" t="s">
        <v>5300</v>
      </c>
      <c r="L42" s="1072" t="s">
        <v>5301</v>
      </c>
      <c r="M42" s="1060" t="s">
        <v>5302</v>
      </c>
      <c r="N42" s="1072" t="s">
        <v>5303</v>
      </c>
      <c r="O42" s="1060" t="s">
        <v>5304</v>
      </c>
      <c r="P42" s="1072" t="s">
        <v>5305</v>
      </c>
      <c r="Q42" s="1060" t="s">
        <v>5306</v>
      </c>
      <c r="R42" s="1059" t="s">
        <v>5307</v>
      </c>
      <c r="S42" s="1060" t="s">
        <v>5308</v>
      </c>
      <c r="T42" s="1072" t="s">
        <v>5309</v>
      </c>
      <c r="U42" s="1060" t="s">
        <v>5310</v>
      </c>
      <c r="V42" s="1072" t="s">
        <v>5311</v>
      </c>
      <c r="W42" s="1060" t="s">
        <v>5312</v>
      </c>
      <c r="X42" s="1072" t="s">
        <v>5313</v>
      </c>
      <c r="Y42" s="1060" t="s">
        <v>5314</v>
      </c>
      <c r="Z42" s="1072" t="s">
        <v>5315</v>
      </c>
      <c r="AA42" s="1060" t="s">
        <v>5316</v>
      </c>
      <c r="AB42" s="1072" t="s">
        <v>5317</v>
      </c>
      <c r="AC42" s="1060" t="s">
        <v>5318</v>
      </c>
      <c r="AD42" s="1059" t="s">
        <v>5319</v>
      </c>
      <c r="AE42" s="1060" t="s">
        <v>5320</v>
      </c>
      <c r="AF42" s="1072" t="s">
        <v>5321</v>
      </c>
      <c r="AG42" s="1060" t="s">
        <v>5322</v>
      </c>
      <c r="AH42" s="1059" t="s">
        <v>5323</v>
      </c>
      <c r="AI42" s="1060" t="s">
        <v>5324</v>
      </c>
      <c r="AJ42" s="1072" t="s">
        <v>5325</v>
      </c>
      <c r="AK42" s="1060" t="s">
        <v>5326</v>
      </c>
      <c r="AL42" s="1059" t="s">
        <v>5327</v>
      </c>
      <c r="AM42" s="1060" t="s">
        <v>5328</v>
      </c>
      <c r="AN42" s="126" t="s">
        <v>5329</v>
      </c>
      <c r="AO42" s="1061" t="s">
        <v>5330</v>
      </c>
      <c r="AP42" s="1952" t="s">
        <v>5331</v>
      </c>
      <c r="AQ42" s="1952" t="s">
        <v>5332</v>
      </c>
      <c r="AR42" s="1952" t="s">
        <v>5333</v>
      </c>
      <c r="AS42" s="967" t="s">
        <v>5334</v>
      </c>
      <c r="AT42" s="967" t="s">
        <v>5335</v>
      </c>
      <c r="AU42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2" s="2465" t="str">
        <f t="shared" si="16"/>
        <v xml:space="preserve"> * La variable Pueblos originarios No puede ser mayor al Total.</v>
      </c>
      <c r="BQ42" s="2465" t="str">
        <f t="shared" si="17"/>
        <v xml:space="preserve"> * La variable Migrantes No puede ser mayor al Total.</v>
      </c>
      <c r="BR42" s="2465" t="str">
        <f t="shared" si="18"/>
        <v xml:space="preserve"> * La variable Espacios Amigables No puede ser mayor al Total.</v>
      </c>
      <c r="BS42" s="2465" t="str">
        <f t="shared" si="19"/>
        <v xml:space="preserve"> * La variable Niños, Niñas, Adolescentes y Jóvenes SENAME No puede ser mayor al Total.</v>
      </c>
      <c r="BT42" s="2465" t="str">
        <f t="shared" si="20"/>
        <v xml:space="preserve"> * La variable Niños, Niñas, Adolescentes y Jóvenes Mejor Niñez No puede ser mayor al Total.</v>
      </c>
      <c r="BV42" s="1725">
        <f t="shared" si="21"/>
        <v>1</v>
      </c>
      <c r="BW42" s="1725">
        <f t="shared" si="22"/>
        <v>1</v>
      </c>
      <c r="BX42" s="1725">
        <f t="shared" si="23"/>
        <v>1</v>
      </c>
      <c r="BY42" s="1725">
        <f t="shared" si="24"/>
        <v>1</v>
      </c>
      <c r="BZ42" s="1725">
        <f t="shared" si="25"/>
        <v>1</v>
      </c>
    </row>
    <row r="43" spans="1:78" ht="15" customHeight="1" x14ac:dyDescent="0.3">
      <c r="A43" s="6233" t="s">
        <v>4222</v>
      </c>
      <c r="B43" s="1680" t="s">
        <v>1773</v>
      </c>
      <c r="C43" s="1943" t="s">
        <v>5292</v>
      </c>
      <c r="D43" s="1944" t="s">
        <v>5293</v>
      </c>
      <c r="E43" s="352" t="s">
        <v>5294</v>
      </c>
      <c r="F43" s="1072" t="s">
        <v>5295</v>
      </c>
      <c r="G43" s="83" t="s">
        <v>5296</v>
      </c>
      <c r="H43" s="1072" t="s">
        <v>5297</v>
      </c>
      <c r="I43" s="1060" t="s">
        <v>5298</v>
      </c>
      <c r="J43" s="1072" t="s">
        <v>5299</v>
      </c>
      <c r="K43" s="1060" t="s">
        <v>5300</v>
      </c>
      <c r="L43" s="1072" t="s">
        <v>5301</v>
      </c>
      <c r="M43" s="1060" t="s">
        <v>5302</v>
      </c>
      <c r="N43" s="1072" t="s">
        <v>5303</v>
      </c>
      <c r="O43" s="1060" t="s">
        <v>5304</v>
      </c>
      <c r="P43" s="1072" t="s">
        <v>5305</v>
      </c>
      <c r="Q43" s="1060" t="s">
        <v>5306</v>
      </c>
      <c r="R43" s="1059" t="s">
        <v>5307</v>
      </c>
      <c r="S43" s="1060" t="s">
        <v>5308</v>
      </c>
      <c r="T43" s="1072" t="s">
        <v>5309</v>
      </c>
      <c r="U43" s="1060" t="s">
        <v>5310</v>
      </c>
      <c r="V43" s="1072" t="s">
        <v>5311</v>
      </c>
      <c r="W43" s="1060" t="s">
        <v>5312</v>
      </c>
      <c r="X43" s="1072" t="s">
        <v>5313</v>
      </c>
      <c r="Y43" s="1060" t="s">
        <v>5314</v>
      </c>
      <c r="Z43" s="1072" t="s">
        <v>5315</v>
      </c>
      <c r="AA43" s="1060" t="s">
        <v>5316</v>
      </c>
      <c r="AB43" s="1072" t="s">
        <v>5317</v>
      </c>
      <c r="AC43" s="1060" t="s">
        <v>5318</v>
      </c>
      <c r="AD43" s="1059" t="s">
        <v>5319</v>
      </c>
      <c r="AE43" s="1060" t="s">
        <v>5320</v>
      </c>
      <c r="AF43" s="1072" t="s">
        <v>5321</v>
      </c>
      <c r="AG43" s="1060" t="s">
        <v>5322</v>
      </c>
      <c r="AH43" s="1059" t="s">
        <v>5323</v>
      </c>
      <c r="AI43" s="1060" t="s">
        <v>5324</v>
      </c>
      <c r="AJ43" s="1072" t="s">
        <v>5325</v>
      </c>
      <c r="AK43" s="1060" t="s">
        <v>5326</v>
      </c>
      <c r="AL43" s="1059" t="s">
        <v>5327</v>
      </c>
      <c r="AM43" s="1060" t="s">
        <v>5328</v>
      </c>
      <c r="AN43" s="126" t="s">
        <v>5329</v>
      </c>
      <c r="AO43" s="1061" t="s">
        <v>5330</v>
      </c>
      <c r="AP43" s="1952" t="s">
        <v>5331</v>
      </c>
      <c r="AQ43" s="1952" t="s">
        <v>5332</v>
      </c>
      <c r="AR43" s="1952" t="s">
        <v>5333</v>
      </c>
      <c r="AS43" s="967" t="s">
        <v>5334</v>
      </c>
      <c r="AT43" s="967" t="s">
        <v>5335</v>
      </c>
      <c r="AU4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3" s="2465" t="str">
        <f t="shared" si="16"/>
        <v xml:space="preserve"> * La variable Pueblos originarios No puede ser mayor al Total.</v>
      </c>
      <c r="BQ43" s="2465" t="str">
        <f t="shared" si="17"/>
        <v xml:space="preserve"> * La variable Migrantes No puede ser mayor al Total.</v>
      </c>
      <c r="BR43" s="2465" t="str">
        <f t="shared" si="18"/>
        <v xml:space="preserve"> * La variable Espacios Amigables No puede ser mayor al Total.</v>
      </c>
      <c r="BS43" s="2465" t="str">
        <f t="shared" si="19"/>
        <v xml:space="preserve"> * La variable Niños, Niñas, Adolescentes y Jóvenes SENAME No puede ser mayor al Total.</v>
      </c>
      <c r="BT43" s="2465" t="str">
        <f t="shared" si="20"/>
        <v xml:space="preserve"> * La variable Niños, Niñas, Adolescentes y Jóvenes Mejor Niñez No puede ser mayor al Total.</v>
      </c>
      <c r="BV43" s="1725">
        <f t="shared" si="21"/>
        <v>1</v>
      </c>
      <c r="BW43" s="1725">
        <f t="shared" si="22"/>
        <v>1</v>
      </c>
      <c r="BX43" s="1725">
        <f t="shared" si="23"/>
        <v>1</v>
      </c>
      <c r="BY43" s="1725">
        <f t="shared" si="24"/>
        <v>1</v>
      </c>
      <c r="BZ43" s="1725">
        <f t="shared" si="25"/>
        <v>1</v>
      </c>
    </row>
    <row r="44" spans="1:78" ht="15" customHeight="1" x14ac:dyDescent="0.3">
      <c r="A44" s="6233" t="s">
        <v>4223</v>
      </c>
      <c r="B44" s="1680" t="s">
        <v>1774</v>
      </c>
      <c r="C44" s="1943" t="s">
        <v>5292</v>
      </c>
      <c r="D44" s="1944" t="s">
        <v>5293</v>
      </c>
      <c r="E44" s="352" t="s">
        <v>5294</v>
      </c>
      <c r="F44" s="1072" t="s">
        <v>5295</v>
      </c>
      <c r="G44" s="83" t="s">
        <v>5296</v>
      </c>
      <c r="H44" s="1072" t="s">
        <v>5297</v>
      </c>
      <c r="I44" s="1060" t="s">
        <v>5298</v>
      </c>
      <c r="J44" s="1072" t="s">
        <v>5299</v>
      </c>
      <c r="K44" s="1060" t="s">
        <v>5300</v>
      </c>
      <c r="L44" s="1072" t="s">
        <v>5301</v>
      </c>
      <c r="M44" s="1060" t="s">
        <v>5302</v>
      </c>
      <c r="N44" s="1072" t="s">
        <v>5303</v>
      </c>
      <c r="O44" s="1060" t="s">
        <v>5304</v>
      </c>
      <c r="P44" s="1072" t="s">
        <v>5305</v>
      </c>
      <c r="Q44" s="1060" t="s">
        <v>5306</v>
      </c>
      <c r="R44" s="1059" t="s">
        <v>5307</v>
      </c>
      <c r="S44" s="1060" t="s">
        <v>5308</v>
      </c>
      <c r="T44" s="1072" t="s">
        <v>5309</v>
      </c>
      <c r="U44" s="1060" t="s">
        <v>5310</v>
      </c>
      <c r="V44" s="1072" t="s">
        <v>5311</v>
      </c>
      <c r="W44" s="1060" t="s">
        <v>5312</v>
      </c>
      <c r="X44" s="1072" t="s">
        <v>5313</v>
      </c>
      <c r="Y44" s="1060" t="s">
        <v>5314</v>
      </c>
      <c r="Z44" s="1072" t="s">
        <v>5315</v>
      </c>
      <c r="AA44" s="1060" t="s">
        <v>5316</v>
      </c>
      <c r="AB44" s="1072" t="s">
        <v>5317</v>
      </c>
      <c r="AC44" s="1060" t="s">
        <v>5318</v>
      </c>
      <c r="AD44" s="1059" t="s">
        <v>5319</v>
      </c>
      <c r="AE44" s="1060" t="s">
        <v>5320</v>
      </c>
      <c r="AF44" s="1072" t="s">
        <v>5321</v>
      </c>
      <c r="AG44" s="1060" t="s">
        <v>5322</v>
      </c>
      <c r="AH44" s="1059" t="s">
        <v>5323</v>
      </c>
      <c r="AI44" s="1060" t="s">
        <v>5324</v>
      </c>
      <c r="AJ44" s="1072" t="s">
        <v>5325</v>
      </c>
      <c r="AK44" s="1060" t="s">
        <v>5326</v>
      </c>
      <c r="AL44" s="1059" t="s">
        <v>5327</v>
      </c>
      <c r="AM44" s="1060" t="s">
        <v>5328</v>
      </c>
      <c r="AN44" s="126" t="s">
        <v>5329</v>
      </c>
      <c r="AO44" s="1061" t="s">
        <v>5330</v>
      </c>
      <c r="AP44" s="1952" t="s">
        <v>5331</v>
      </c>
      <c r="AQ44" s="1952" t="s">
        <v>5332</v>
      </c>
      <c r="AR44" s="1952" t="s">
        <v>5333</v>
      </c>
      <c r="AS44" s="967" t="s">
        <v>5334</v>
      </c>
      <c r="AT44" s="967" t="s">
        <v>5335</v>
      </c>
      <c r="AU4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4" s="2465" t="str">
        <f t="shared" si="16"/>
        <v xml:space="preserve"> * La variable Pueblos originarios No puede ser mayor al Total.</v>
      </c>
      <c r="BQ44" s="2465" t="str">
        <f t="shared" si="17"/>
        <v xml:space="preserve"> * La variable Migrantes No puede ser mayor al Total.</v>
      </c>
      <c r="BR44" s="2465" t="str">
        <f t="shared" si="18"/>
        <v xml:space="preserve"> * La variable Espacios Amigables No puede ser mayor al Total.</v>
      </c>
      <c r="BS44" s="2465" t="str">
        <f t="shared" si="19"/>
        <v xml:space="preserve"> * La variable Niños, Niñas, Adolescentes y Jóvenes SENAME No puede ser mayor al Total.</v>
      </c>
      <c r="BT44" s="2465" t="str">
        <f t="shared" si="20"/>
        <v xml:space="preserve"> * La variable Niños, Niñas, Adolescentes y Jóvenes Mejor Niñez No puede ser mayor al Total.</v>
      </c>
      <c r="BV44" s="1725">
        <f t="shared" si="21"/>
        <v>1</v>
      </c>
      <c r="BW44" s="1725">
        <f t="shared" si="22"/>
        <v>1</v>
      </c>
      <c r="BX44" s="1725">
        <f t="shared" si="23"/>
        <v>1</v>
      </c>
      <c r="BY44" s="1725">
        <f t="shared" si="24"/>
        <v>1</v>
      </c>
      <c r="BZ44" s="1725">
        <f t="shared" si="25"/>
        <v>1</v>
      </c>
    </row>
    <row r="45" spans="1:78" ht="15" customHeight="1" x14ac:dyDescent="0.3">
      <c r="A45" s="6233" t="s">
        <v>4224</v>
      </c>
      <c r="B45" s="1948" t="s">
        <v>1775</v>
      </c>
      <c r="C45" s="1943" t="s">
        <v>5292</v>
      </c>
      <c r="D45" s="1944" t="s">
        <v>5293</v>
      </c>
      <c r="E45" s="352" t="s">
        <v>5294</v>
      </c>
      <c r="F45" s="90" t="s">
        <v>5295</v>
      </c>
      <c r="G45" s="91" t="s">
        <v>5296</v>
      </c>
      <c r="H45" s="90" t="s">
        <v>5297</v>
      </c>
      <c r="I45" s="92" t="s">
        <v>5298</v>
      </c>
      <c r="J45" s="90" t="s">
        <v>5299</v>
      </c>
      <c r="K45" s="92" t="s">
        <v>5300</v>
      </c>
      <c r="L45" s="90" t="s">
        <v>5301</v>
      </c>
      <c r="M45" s="92" t="s">
        <v>5302</v>
      </c>
      <c r="N45" s="90" t="s">
        <v>5303</v>
      </c>
      <c r="O45" s="92" t="s">
        <v>5304</v>
      </c>
      <c r="P45" s="90" t="s">
        <v>5305</v>
      </c>
      <c r="Q45" s="92" t="s">
        <v>5306</v>
      </c>
      <c r="R45" s="129" t="s">
        <v>5307</v>
      </c>
      <c r="S45" s="92" t="s">
        <v>5308</v>
      </c>
      <c r="T45" s="90" t="s">
        <v>5309</v>
      </c>
      <c r="U45" s="92" t="s">
        <v>5310</v>
      </c>
      <c r="V45" s="90" t="s">
        <v>5311</v>
      </c>
      <c r="W45" s="92" t="s">
        <v>5312</v>
      </c>
      <c r="X45" s="90" t="s">
        <v>5313</v>
      </c>
      <c r="Y45" s="92" t="s">
        <v>5314</v>
      </c>
      <c r="Z45" s="90" t="s">
        <v>5315</v>
      </c>
      <c r="AA45" s="92" t="s">
        <v>5316</v>
      </c>
      <c r="AB45" s="90" t="s">
        <v>5317</v>
      </c>
      <c r="AC45" s="92" t="s">
        <v>5318</v>
      </c>
      <c r="AD45" s="129" t="s">
        <v>5319</v>
      </c>
      <c r="AE45" s="92" t="s">
        <v>5320</v>
      </c>
      <c r="AF45" s="90" t="s">
        <v>5321</v>
      </c>
      <c r="AG45" s="92" t="s">
        <v>5322</v>
      </c>
      <c r="AH45" s="129" t="s">
        <v>5323</v>
      </c>
      <c r="AI45" s="92" t="s">
        <v>5324</v>
      </c>
      <c r="AJ45" s="90" t="s">
        <v>5325</v>
      </c>
      <c r="AK45" s="92" t="s">
        <v>5326</v>
      </c>
      <c r="AL45" s="129" t="s">
        <v>5327</v>
      </c>
      <c r="AM45" s="92" t="s">
        <v>5328</v>
      </c>
      <c r="AN45" s="1967" t="s">
        <v>5329</v>
      </c>
      <c r="AO45" s="94" t="s">
        <v>5330</v>
      </c>
      <c r="AP45" s="1952" t="s">
        <v>5331</v>
      </c>
      <c r="AQ45" s="1952" t="s">
        <v>5332</v>
      </c>
      <c r="AR45" s="1952" t="s">
        <v>5333</v>
      </c>
      <c r="AS45" s="967" t="s">
        <v>5334</v>
      </c>
      <c r="AT45" s="967" t="s">
        <v>5335</v>
      </c>
      <c r="AU4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5" s="2465" t="str">
        <f t="shared" si="16"/>
        <v xml:space="preserve"> * La variable Pueblos originarios No puede ser mayor al Total.</v>
      </c>
      <c r="BQ45" s="2465" t="str">
        <f t="shared" si="17"/>
        <v xml:space="preserve"> * La variable Migrantes No puede ser mayor al Total.</v>
      </c>
      <c r="BR45" s="2465" t="str">
        <f t="shared" si="18"/>
        <v xml:space="preserve"> * La variable Espacios Amigables No puede ser mayor al Total.</v>
      </c>
      <c r="BS45" s="2465" t="str">
        <f t="shared" si="19"/>
        <v xml:space="preserve"> * La variable Niños, Niñas, Adolescentes y Jóvenes SENAME No puede ser mayor al Total.</v>
      </c>
      <c r="BT45" s="2465" t="str">
        <f t="shared" si="20"/>
        <v xml:space="preserve"> * La variable Niños, Niñas, Adolescentes y Jóvenes Mejor Niñez No puede ser mayor al Total.</v>
      </c>
      <c r="BV45" s="1725">
        <f t="shared" si="21"/>
        <v>1</v>
      </c>
      <c r="BW45" s="1725">
        <f t="shared" si="22"/>
        <v>1</v>
      </c>
      <c r="BX45" s="1725">
        <f t="shared" si="23"/>
        <v>1</v>
      </c>
      <c r="BY45" s="1725">
        <f t="shared" si="24"/>
        <v>1</v>
      </c>
      <c r="BZ45" s="1725">
        <f t="shared" si="25"/>
        <v>1</v>
      </c>
    </row>
    <row r="46" spans="1:78" ht="15" customHeight="1" x14ac:dyDescent="0.3">
      <c r="A46" s="6247" t="s">
        <v>4225</v>
      </c>
      <c r="B46" s="560" t="s">
        <v>1776</v>
      </c>
      <c r="C46" s="629" t="s">
        <v>5292</v>
      </c>
      <c r="D46" s="613" t="s">
        <v>5293</v>
      </c>
      <c r="E46" s="901" t="s">
        <v>5294</v>
      </c>
      <c r="F46" s="114" t="s">
        <v>5295</v>
      </c>
      <c r="G46" s="117" t="s">
        <v>5296</v>
      </c>
      <c r="H46" s="114" t="s">
        <v>5297</v>
      </c>
      <c r="I46" s="116" t="s">
        <v>5298</v>
      </c>
      <c r="J46" s="114" t="s">
        <v>5299</v>
      </c>
      <c r="K46" s="116" t="s">
        <v>5300</v>
      </c>
      <c r="L46" s="114" t="s">
        <v>5301</v>
      </c>
      <c r="M46" s="116" t="s">
        <v>5302</v>
      </c>
      <c r="N46" s="114" t="s">
        <v>5303</v>
      </c>
      <c r="O46" s="116" t="s">
        <v>5304</v>
      </c>
      <c r="P46" s="114" t="s">
        <v>5305</v>
      </c>
      <c r="Q46" s="116" t="s">
        <v>5306</v>
      </c>
      <c r="R46" s="121" t="s">
        <v>5307</v>
      </c>
      <c r="S46" s="116" t="s">
        <v>5308</v>
      </c>
      <c r="T46" s="114" t="s">
        <v>5309</v>
      </c>
      <c r="U46" s="116" t="s">
        <v>5310</v>
      </c>
      <c r="V46" s="114" t="s">
        <v>5311</v>
      </c>
      <c r="W46" s="116" t="s">
        <v>5312</v>
      </c>
      <c r="X46" s="114" t="s">
        <v>5313</v>
      </c>
      <c r="Y46" s="116" t="s">
        <v>5314</v>
      </c>
      <c r="Z46" s="114" t="s">
        <v>5315</v>
      </c>
      <c r="AA46" s="116" t="s">
        <v>5316</v>
      </c>
      <c r="AB46" s="114" t="s">
        <v>5317</v>
      </c>
      <c r="AC46" s="116" t="s">
        <v>5318</v>
      </c>
      <c r="AD46" s="121" t="s">
        <v>5319</v>
      </c>
      <c r="AE46" s="116" t="s">
        <v>5320</v>
      </c>
      <c r="AF46" s="114" t="s">
        <v>5321</v>
      </c>
      <c r="AG46" s="116" t="s">
        <v>5322</v>
      </c>
      <c r="AH46" s="121" t="s">
        <v>5323</v>
      </c>
      <c r="AI46" s="116" t="s">
        <v>5324</v>
      </c>
      <c r="AJ46" s="114" t="s">
        <v>5325</v>
      </c>
      <c r="AK46" s="116" t="s">
        <v>5326</v>
      </c>
      <c r="AL46" s="121" t="s">
        <v>5327</v>
      </c>
      <c r="AM46" s="116" t="s">
        <v>5328</v>
      </c>
      <c r="AN46" s="138" t="s">
        <v>5329</v>
      </c>
      <c r="AO46" s="162" t="s">
        <v>5330</v>
      </c>
      <c r="AP46" s="1789" t="s">
        <v>5331</v>
      </c>
      <c r="AQ46" s="1789" t="s">
        <v>5332</v>
      </c>
      <c r="AR46" s="1789" t="s">
        <v>5333</v>
      </c>
      <c r="AS46" s="941" t="s">
        <v>5334</v>
      </c>
      <c r="AT46" s="941" t="s">
        <v>5335</v>
      </c>
      <c r="AU4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6" s="2465" t="str">
        <f t="shared" si="16"/>
        <v xml:space="preserve"> * La variable Pueblos originarios No puede ser mayor al Total.</v>
      </c>
      <c r="BQ46" s="2465" t="str">
        <f t="shared" si="17"/>
        <v xml:space="preserve"> * La variable Migrantes No puede ser mayor al Total.</v>
      </c>
      <c r="BR46" s="2465" t="str">
        <f t="shared" si="18"/>
        <v xml:space="preserve"> * La variable Espacios Amigables No puede ser mayor al Total.</v>
      </c>
      <c r="BS46" s="2465" t="str">
        <f t="shared" si="19"/>
        <v xml:space="preserve"> * La variable Niños, Niñas, Adolescentes y Jóvenes SENAME No puede ser mayor al Total.</v>
      </c>
      <c r="BT46" s="2465" t="str">
        <f t="shared" si="20"/>
        <v xml:space="preserve"> * La variable Niños, Niñas, Adolescentes y Jóvenes Mejor Niñez No puede ser mayor al Total.</v>
      </c>
      <c r="BV46" s="1725">
        <f t="shared" si="21"/>
        <v>1</v>
      </c>
      <c r="BW46" s="1725">
        <f t="shared" si="22"/>
        <v>1</v>
      </c>
      <c r="BX46" s="1725">
        <f t="shared" si="23"/>
        <v>1</v>
      </c>
      <c r="BY46" s="1725">
        <f t="shared" si="24"/>
        <v>1</v>
      </c>
      <c r="BZ46" s="1725">
        <f t="shared" si="25"/>
        <v>1</v>
      </c>
    </row>
    <row r="47" spans="1:78" ht="18" customHeight="1" x14ac:dyDescent="0.3">
      <c r="B47" s="122" t="s">
        <v>1777</v>
      </c>
      <c r="C47" s="1052"/>
      <c r="D47" s="1052"/>
      <c r="E47" s="1052"/>
      <c r="F47" s="1052"/>
      <c r="G47" s="1052"/>
      <c r="H47" s="1052"/>
      <c r="I47" s="1052"/>
      <c r="J47" s="1052"/>
      <c r="K47" s="1052"/>
      <c r="L47" s="1052"/>
      <c r="M47" s="1052"/>
      <c r="N47" s="1052"/>
      <c r="BP47"/>
      <c r="BQ47"/>
      <c r="BR47"/>
      <c r="BS47"/>
      <c r="BT47"/>
      <c r="BV47"/>
      <c r="BW47"/>
      <c r="BX47"/>
    </row>
    <row r="48" spans="1:78" ht="14.4" customHeight="1" x14ac:dyDescent="0.3">
      <c r="B48" s="6337" t="s">
        <v>61</v>
      </c>
      <c r="C48" s="6323" t="s">
        <v>1</v>
      </c>
      <c r="D48" s="6680" t="s">
        <v>1778</v>
      </c>
      <c r="E48" s="6683"/>
      <c r="F48" s="6683"/>
      <c r="G48" s="6681"/>
      <c r="H48" s="6683" t="s">
        <v>1779</v>
      </c>
      <c r="I48" s="6683"/>
      <c r="J48" s="6683"/>
      <c r="K48" s="6382"/>
      <c r="L48" s="6673" t="s">
        <v>2</v>
      </c>
      <c r="M48" s="6673" t="s">
        <v>3</v>
      </c>
      <c r="N48" s="6673" t="s">
        <v>17</v>
      </c>
      <c r="BP48"/>
      <c r="BQ48"/>
      <c r="BR48"/>
      <c r="BS48"/>
      <c r="BT48"/>
      <c r="BV48"/>
      <c r="BW48"/>
      <c r="BX48"/>
    </row>
    <row r="49" spans="1:76" ht="21.6" customHeight="1" x14ac:dyDescent="0.3">
      <c r="B49" s="6672"/>
      <c r="C49" s="6679"/>
      <c r="D49" s="1968" t="s">
        <v>38</v>
      </c>
      <c r="E49" s="1968" t="s">
        <v>4</v>
      </c>
      <c r="F49" s="1969" t="s">
        <v>5</v>
      </c>
      <c r="G49" s="1381" t="s">
        <v>1780</v>
      </c>
      <c r="H49" s="1968" t="s">
        <v>38</v>
      </c>
      <c r="I49" s="1968" t="s">
        <v>4</v>
      </c>
      <c r="J49" s="1969" t="s">
        <v>5</v>
      </c>
      <c r="K49" s="2589" t="s">
        <v>1780</v>
      </c>
      <c r="L49" s="6676"/>
      <c r="M49" s="6676"/>
      <c r="N49" s="6676"/>
      <c r="BP49"/>
      <c r="BQ49"/>
      <c r="BR49"/>
      <c r="BS49"/>
      <c r="BT49"/>
      <c r="BV49"/>
      <c r="BW49"/>
      <c r="BX49"/>
    </row>
    <row r="50" spans="1:76" ht="15" customHeight="1" x14ac:dyDescent="0.3">
      <c r="A50" s="6233" t="s">
        <v>4226</v>
      </c>
      <c r="B50" s="1970" t="s">
        <v>74</v>
      </c>
      <c r="C50" s="1085" t="s">
        <v>5292</v>
      </c>
      <c r="D50" s="1960" t="s">
        <v>5293</v>
      </c>
      <c r="E50" s="1971" t="s">
        <v>5294</v>
      </c>
      <c r="F50" s="1971" t="s">
        <v>5295</v>
      </c>
      <c r="G50" s="1920" t="s">
        <v>5296</v>
      </c>
      <c r="H50" s="1960" t="s">
        <v>5297</v>
      </c>
      <c r="I50" s="1971" t="s">
        <v>5298</v>
      </c>
      <c r="J50" s="1971" t="s">
        <v>5299</v>
      </c>
      <c r="K50" s="1686" t="s">
        <v>5300</v>
      </c>
      <c r="L50" s="1920" t="s">
        <v>5301</v>
      </c>
      <c r="M50" s="1920" t="s">
        <v>5302</v>
      </c>
      <c r="N50" s="1920" t="s">
        <v>5303</v>
      </c>
      <c r="O50" t="str">
        <f>BP50&amp;BQ50&amp;BR50</f>
        <v xml:space="preserve">  * La variable Pueblos originarios No puede ser mayor al Total.  * La variable Migrantes No puede ser mayor al Total.  * La variable Espacios Amigables/Adolescentes No puede ser mayor al Total.</v>
      </c>
      <c r="BP50" s="2465" t="str">
        <f>IF(AND(C50&gt;0,L50=""),"  * No olvide digitar la variable Pueblos originarios. Digite Cero si no tiene.",IF(L50&gt;C50,"  * La variable Pueblos originarios No puede ser mayor al Total.",""))</f>
        <v xml:space="preserve">  * La variable Pueblos originarios No puede ser mayor al Total.</v>
      </c>
      <c r="BQ50" s="2465" t="str">
        <f>IF(AND(C50&gt;0,M50=""),"  * No olvide digitar la variable Migrantes. Digite Cero si no tiene.",IF(M50&gt;C50,"  * La variable Migrantes No puede ser mayor al Total.",""))</f>
        <v xml:space="preserve">  * La variable Migrantes No puede ser mayor al Total.</v>
      </c>
      <c r="BR50" s="2465" t="str">
        <f>IF(AND(C50&gt;0,N50=""),"  * No olvide digitar la variable Espacios Amigables/Adolescentes. Digite Cero si no tiene.",IF(N50&gt;C50,"  * La variable Espacios Amigables/Adolescentes No puede ser mayor al Total.",""))</f>
        <v xml:space="preserve">  * La variable Espacios Amigables/Adolescentes No puede ser mayor al Total.</v>
      </c>
      <c r="BV50" s="1725">
        <f>IF(AND(C50&gt;0,L50=""),1,IF(L50&gt;C50,1,0))</f>
        <v>1</v>
      </c>
      <c r="BW50" s="1725">
        <f>IF(AND(C50&gt;0,M50=""),1,IF(M50&gt;C50,1,0))</f>
        <v>1</v>
      </c>
      <c r="BX50" s="1725">
        <f>IF(AND(C50&gt;0,N50=""),1,IF(N50&gt;C50,1,0))</f>
        <v>1</v>
      </c>
    </row>
    <row r="51" spans="1:76" ht="15" customHeight="1" x14ac:dyDescent="0.3">
      <c r="A51" s="6233" t="s">
        <v>4227</v>
      </c>
      <c r="B51" s="584" t="s">
        <v>77</v>
      </c>
      <c r="C51" s="590" t="s">
        <v>5292</v>
      </c>
      <c r="D51" s="114" t="s">
        <v>5293</v>
      </c>
      <c r="E51" s="115" t="s">
        <v>5294</v>
      </c>
      <c r="F51" s="115" t="s">
        <v>5295</v>
      </c>
      <c r="G51" s="117" t="s">
        <v>5296</v>
      </c>
      <c r="H51" s="114" t="s">
        <v>5297</v>
      </c>
      <c r="I51" s="115" t="s">
        <v>5298</v>
      </c>
      <c r="J51" s="115" t="s">
        <v>5299</v>
      </c>
      <c r="K51" s="162" t="s">
        <v>5300</v>
      </c>
      <c r="L51" s="117" t="s">
        <v>5301</v>
      </c>
      <c r="M51" s="117" t="s">
        <v>5302</v>
      </c>
      <c r="N51" s="117" t="s">
        <v>5303</v>
      </c>
      <c r="O51" t="str">
        <f>BP51&amp;BQ51&amp;BR51</f>
        <v xml:space="preserve">  * La variable Pueblos originarios No puede ser mayor al Total.  * La variable Migrantes No puede ser mayor al Total.  * La variable Espacios Amigables/Adolescentes No puede ser mayor al Total.</v>
      </c>
      <c r="BP51" s="2465" t="str">
        <f>IF(AND(C51&gt;0,L51=""),"  * No olvide digitar la variable Pueblos originarios. Digite Cero si no tiene.",IF(L51&gt;C51,"  * La variable Pueblos originarios No puede ser mayor al Total.",""))</f>
        <v xml:space="preserve">  * La variable Pueblos originarios No puede ser mayor al Total.</v>
      </c>
      <c r="BQ51" s="2465" t="str">
        <f>IF(AND(C51&gt;0,M51=""),"  * No olvide digitar la variable Migrantes. Digite Cero si no tiene.",IF(M51&gt;C51,"  * La variable Migrantes No puede ser mayor al Total.",""))</f>
        <v xml:space="preserve">  * La variable Migrantes No puede ser mayor al Total.</v>
      </c>
      <c r="BR51" s="2465" t="str">
        <f>IF(AND(C51&gt;0,N51=""),"  * No olvide digitar la variable Espacios Amigables/Adolescentes. Digite Cero si no tiene.",IF(N51&gt;C51,"  * La variable Espacios Amigables/Adolescentes No puede ser mayor al Total.",""))</f>
        <v xml:space="preserve">  * La variable Espacios Amigables/Adolescentes No puede ser mayor al Total.</v>
      </c>
      <c r="BV51" s="1725">
        <f>IF(AND(C51&gt;0,L51=""),1,IF(L51&gt;C51,1,0))</f>
        <v>1</v>
      </c>
      <c r="BW51" s="1725">
        <f t="shared" ref="BW51" si="32">IF(AND(C51&gt;0,M51=""),1,IF(M51&gt;C51,1,0))</f>
        <v>1</v>
      </c>
      <c r="BX51" s="1725">
        <f>IF(AND(C51&gt;0,N51=""),1,IF(N51&gt;C51,1,0))</f>
        <v>1</v>
      </c>
    </row>
    <row r="52" spans="1:76" ht="18" customHeight="1" x14ac:dyDescent="0.3">
      <c r="A52" s="103"/>
      <c r="B52" s="2590" t="s">
        <v>1781</v>
      </c>
      <c r="C52" s="2591"/>
      <c r="D52" s="2591"/>
      <c r="E52" s="2591"/>
      <c r="F52" s="2591"/>
      <c r="G52" s="2591"/>
      <c r="H52" s="2592"/>
      <c r="I52" s="2592"/>
      <c r="J52" s="2592"/>
      <c r="K52" s="2592"/>
      <c r="L52" s="2592"/>
      <c r="M52" s="2592"/>
      <c r="N52" s="2592"/>
      <c r="O52" s="2592"/>
      <c r="P52" s="2593"/>
      <c r="Q52" s="2591"/>
      <c r="R52" s="2592"/>
      <c r="S52" s="2592"/>
      <c r="T52" s="2593"/>
      <c r="U52" s="2591"/>
      <c r="V52" s="2592"/>
      <c r="W52" s="2593"/>
      <c r="X52" s="2594"/>
      <c r="Y52" s="112"/>
      <c r="BP52"/>
      <c r="BQ52"/>
      <c r="BR52"/>
      <c r="BS52"/>
      <c r="BT52"/>
      <c r="BV52"/>
      <c r="BW52"/>
      <c r="BX52"/>
    </row>
    <row r="53" spans="1:76" x14ac:dyDescent="0.3">
      <c r="A53" s="103"/>
      <c r="B53" s="6688" t="s">
        <v>1782</v>
      </c>
      <c r="C53" s="6689" t="s">
        <v>24</v>
      </c>
      <c r="D53" s="6341"/>
      <c r="E53" s="6673"/>
      <c r="F53" s="6677" t="s">
        <v>12</v>
      </c>
      <c r="G53" s="6678"/>
      <c r="H53" s="6678"/>
      <c r="I53" s="6678"/>
      <c r="J53" s="6678"/>
      <c r="K53" s="6678"/>
      <c r="L53" s="6678"/>
      <c r="M53" s="6678"/>
      <c r="N53" s="6678"/>
      <c r="O53" s="6678"/>
      <c r="P53" s="6678"/>
      <c r="Q53" s="6678"/>
      <c r="R53" s="6678"/>
      <c r="S53" s="6678"/>
      <c r="T53" s="6678"/>
      <c r="U53" s="6678"/>
      <c r="V53" s="6678"/>
      <c r="W53" s="6376"/>
      <c r="X53" s="6673" t="s">
        <v>2</v>
      </c>
      <c r="Y53" s="6323" t="s">
        <v>3</v>
      </c>
      <c r="BP53"/>
      <c r="BQ53"/>
      <c r="BR53"/>
      <c r="BS53"/>
      <c r="BT53"/>
      <c r="BV53"/>
      <c r="BW53"/>
      <c r="BX53"/>
    </row>
    <row r="54" spans="1:76" x14ac:dyDescent="0.3">
      <c r="A54" s="103"/>
      <c r="B54" s="6338"/>
      <c r="C54" s="6674"/>
      <c r="D54" s="6675"/>
      <c r="E54" s="6676"/>
      <c r="F54" s="6323" t="s">
        <v>682</v>
      </c>
      <c r="G54" s="6323" t="s">
        <v>3727</v>
      </c>
      <c r="H54" s="6673" t="s">
        <v>37</v>
      </c>
      <c r="I54" s="6337" t="s">
        <v>38</v>
      </c>
      <c r="J54" s="6337" t="s">
        <v>4</v>
      </c>
      <c r="K54" s="6673" t="s">
        <v>5</v>
      </c>
      <c r="L54" s="6673" t="s">
        <v>6</v>
      </c>
      <c r="M54" s="6673" t="s">
        <v>7</v>
      </c>
      <c r="N54" s="6673" t="s">
        <v>8</v>
      </c>
      <c r="O54" s="6673" t="s">
        <v>9</v>
      </c>
      <c r="P54" s="6673" t="s">
        <v>10</v>
      </c>
      <c r="Q54" s="6673" t="s">
        <v>11</v>
      </c>
      <c r="R54" s="6673" t="s">
        <v>18</v>
      </c>
      <c r="S54" s="6673" t="s">
        <v>19</v>
      </c>
      <c r="T54" s="6673" t="s">
        <v>20</v>
      </c>
      <c r="U54" s="6673" t="s">
        <v>70</v>
      </c>
      <c r="V54" s="6673" t="s">
        <v>71</v>
      </c>
      <c r="W54" s="6684" t="s">
        <v>72</v>
      </c>
      <c r="X54" s="6324"/>
      <c r="Y54" s="6373"/>
      <c r="BP54"/>
      <c r="BQ54"/>
      <c r="BR54"/>
      <c r="BS54"/>
      <c r="BT54"/>
      <c r="BV54"/>
      <c r="BW54"/>
      <c r="BX54"/>
    </row>
    <row r="55" spans="1:76" x14ac:dyDescent="0.3">
      <c r="A55" s="103"/>
      <c r="B55" s="6672"/>
      <c r="C55" s="1938" t="s">
        <v>26</v>
      </c>
      <c r="D55" s="2587" t="s">
        <v>22</v>
      </c>
      <c r="E55" s="1381" t="s">
        <v>27</v>
      </c>
      <c r="F55" s="6679"/>
      <c r="G55" s="6679"/>
      <c r="H55" s="6676"/>
      <c r="I55" s="6672"/>
      <c r="J55" s="6672"/>
      <c r="K55" s="6676"/>
      <c r="L55" s="6676"/>
      <c r="M55" s="6676"/>
      <c r="N55" s="6676"/>
      <c r="O55" s="6676"/>
      <c r="P55" s="6676"/>
      <c r="Q55" s="6676"/>
      <c r="R55" s="6676"/>
      <c r="S55" s="6676"/>
      <c r="T55" s="6676"/>
      <c r="U55" s="6676"/>
      <c r="V55" s="6676"/>
      <c r="W55" s="6685"/>
      <c r="X55" s="6676"/>
      <c r="Y55" s="6679"/>
      <c r="BP55"/>
      <c r="BQ55"/>
      <c r="BR55"/>
      <c r="BS55"/>
      <c r="BT55"/>
      <c r="BV55"/>
      <c r="BW55"/>
      <c r="BX55"/>
    </row>
    <row r="56" spans="1:76" ht="15" customHeight="1" x14ac:dyDescent="0.3">
      <c r="A56" s="6238"/>
      <c r="B56" s="2595" t="s">
        <v>1783</v>
      </c>
      <c r="C56" s="2596">
        <f>SUM(C57:C58)</f>
        <v>0</v>
      </c>
      <c r="D56" s="1972">
        <f>SUM(D57:D58)</f>
        <v>0</v>
      </c>
      <c r="E56" s="1826">
        <f t="shared" ref="E56:W56" si="33">SUM(E57:E58)</f>
        <v>0</v>
      </c>
      <c r="F56" s="2597">
        <f t="shared" si="33"/>
        <v>0</v>
      </c>
      <c r="G56" s="2597">
        <f t="shared" si="33"/>
        <v>0</v>
      </c>
      <c r="H56" s="1402">
        <f t="shared" si="33"/>
        <v>0</v>
      </c>
      <c r="I56" s="2597">
        <f t="shared" si="33"/>
        <v>0</v>
      </c>
      <c r="J56" s="2597">
        <f t="shared" si="33"/>
        <v>0</v>
      </c>
      <c r="K56" s="1873">
        <f t="shared" si="33"/>
        <v>0</v>
      </c>
      <c r="L56" s="2597">
        <f t="shared" si="33"/>
        <v>0</v>
      </c>
      <c r="M56" s="1873">
        <f t="shared" si="33"/>
        <v>0</v>
      </c>
      <c r="N56" s="2597">
        <f t="shared" si="33"/>
        <v>0</v>
      </c>
      <c r="O56" s="1873">
        <f t="shared" si="33"/>
        <v>0</v>
      </c>
      <c r="P56" s="2597">
        <f t="shared" si="33"/>
        <v>0</v>
      </c>
      <c r="Q56" s="1873">
        <f t="shared" si="33"/>
        <v>0</v>
      </c>
      <c r="R56" s="2597">
        <f t="shared" si="33"/>
        <v>0</v>
      </c>
      <c r="S56" s="1873">
        <f t="shared" si="33"/>
        <v>0</v>
      </c>
      <c r="T56" s="2597">
        <f t="shared" si="33"/>
        <v>0</v>
      </c>
      <c r="U56" s="1873">
        <f t="shared" si="33"/>
        <v>0</v>
      </c>
      <c r="V56" s="2597">
        <f t="shared" si="33"/>
        <v>0</v>
      </c>
      <c r="W56" s="2598">
        <f t="shared" si="33"/>
        <v>0</v>
      </c>
      <c r="X56" s="1402">
        <f>SUM(X57:X58)</f>
        <v>0</v>
      </c>
      <c r="Y56" s="2597">
        <f>SUM(Y57:Y58)</f>
        <v>0</v>
      </c>
      <c r="BP56"/>
      <c r="BQ56"/>
      <c r="BR56"/>
      <c r="BS56"/>
      <c r="BT56"/>
      <c r="BV56"/>
      <c r="BW56"/>
      <c r="BX56"/>
    </row>
    <row r="57" spans="1:76" ht="15" customHeight="1" x14ac:dyDescent="0.3">
      <c r="A57" s="6233" t="s">
        <v>4228</v>
      </c>
      <c r="B57" s="1973" t="s">
        <v>74</v>
      </c>
      <c r="C57" s="1974" t="s">
        <v>5292</v>
      </c>
      <c r="D57" s="1975" t="s">
        <v>5293</v>
      </c>
      <c r="E57" s="1976" t="s">
        <v>5294</v>
      </c>
      <c r="F57" s="148" t="s">
        <v>5295</v>
      </c>
      <c r="G57" s="135" t="s">
        <v>5296</v>
      </c>
      <c r="H57" s="148" t="s">
        <v>5297</v>
      </c>
      <c r="I57" s="135" t="s">
        <v>5298</v>
      </c>
      <c r="J57" s="148" t="s">
        <v>5299</v>
      </c>
      <c r="K57" s="135" t="s">
        <v>5300</v>
      </c>
      <c r="L57" s="148" t="s">
        <v>5301</v>
      </c>
      <c r="M57" s="135" t="s">
        <v>5302</v>
      </c>
      <c r="N57" s="148" t="s">
        <v>5303</v>
      </c>
      <c r="O57" s="135" t="s">
        <v>5304</v>
      </c>
      <c r="P57" s="148" t="s">
        <v>5305</v>
      </c>
      <c r="Q57" s="135" t="s">
        <v>5306</v>
      </c>
      <c r="R57" s="148" t="s">
        <v>5307</v>
      </c>
      <c r="S57" s="135" t="s">
        <v>5308</v>
      </c>
      <c r="T57" s="148" t="s">
        <v>5309</v>
      </c>
      <c r="U57" s="135" t="s">
        <v>5310</v>
      </c>
      <c r="V57" s="148" t="s">
        <v>5311</v>
      </c>
      <c r="W57" s="1083" t="s">
        <v>5312</v>
      </c>
      <c r="X57" s="105" t="s">
        <v>5313</v>
      </c>
      <c r="Y57" s="148" t="s">
        <v>5314</v>
      </c>
      <c r="Z57" t="e">
        <f>BP57&amp;BQ57&amp;BR57</f>
        <v>#VALUE!</v>
      </c>
      <c r="BP57" s="2465" t="str">
        <f>IF(AND(C57&gt;0,X57="")," * No olvide digitar la variable Pueblos originarios. Digite Cero si no tiene.",IF(X57&gt;C57,"  * La variable Pueblos originarios No puede ser mayor al Total.",""))</f>
        <v xml:space="preserve">  * La variable Pueblos originarios No puede ser mayor al Total.</v>
      </c>
      <c r="BQ57" s="2465" t="str">
        <f>IF(AND(C57&gt;0,Y57="")," * No olvide digitar la variable Migrantes. Digite Cero si no tiene.",IF(Y57&gt;C57,"  * La variable Migrantes No puede ser mayor al Total.",""))</f>
        <v xml:space="preserve">  * La variable Migrantes No puede ser mayor al Total.</v>
      </c>
      <c r="BR57" s="1723" t="e">
        <f>IF((D57+E57)&lt;&gt;SUM(F57:W57)," * Los datos desglosados por edad debe ser igual al total de ambos sexos.","")</f>
        <v>#VALUE!</v>
      </c>
      <c r="BV57" s="1725">
        <f>IF(AND(C57&gt;0,X57=""),1,IF(X57&gt;C57,1,0))</f>
        <v>1</v>
      </c>
      <c r="BW57" s="1725">
        <f>IF(AND(C57&gt;0,Y57=""),1,IF(Y57&gt;C57,1,0))</f>
        <v>1</v>
      </c>
      <c r="BX57" s="1725" t="e">
        <f>IF((D57+E57)&lt;&gt;SUM(F57:W57),1,0)</f>
        <v>#VALUE!</v>
      </c>
    </row>
    <row r="58" spans="1:76" ht="15" customHeight="1" x14ac:dyDescent="0.3">
      <c r="A58" s="6233" t="s">
        <v>4229</v>
      </c>
      <c r="B58" s="1932" t="s">
        <v>1784</v>
      </c>
      <c r="C58" s="1977" t="s">
        <v>5292</v>
      </c>
      <c r="D58" s="1978" t="s">
        <v>5293</v>
      </c>
      <c r="E58" s="1979" t="s">
        <v>5294</v>
      </c>
      <c r="F58" s="153" t="s">
        <v>5295</v>
      </c>
      <c r="G58" s="138" t="s">
        <v>5296</v>
      </c>
      <c r="H58" s="153" t="s">
        <v>5297</v>
      </c>
      <c r="I58" s="138" t="s">
        <v>5298</v>
      </c>
      <c r="J58" s="153" t="s">
        <v>5299</v>
      </c>
      <c r="K58" s="138" t="s">
        <v>5300</v>
      </c>
      <c r="L58" s="153" t="s">
        <v>5301</v>
      </c>
      <c r="M58" s="138" t="s">
        <v>5302</v>
      </c>
      <c r="N58" s="153" t="s">
        <v>5303</v>
      </c>
      <c r="O58" s="138" t="s">
        <v>5304</v>
      </c>
      <c r="P58" s="153" t="s">
        <v>5305</v>
      </c>
      <c r="Q58" s="138" t="s">
        <v>5306</v>
      </c>
      <c r="R58" s="153" t="s">
        <v>5307</v>
      </c>
      <c r="S58" s="138" t="s">
        <v>5308</v>
      </c>
      <c r="T58" s="153" t="s">
        <v>5309</v>
      </c>
      <c r="U58" s="138" t="s">
        <v>5310</v>
      </c>
      <c r="V58" s="153" t="s">
        <v>5311</v>
      </c>
      <c r="W58" s="1688" t="s">
        <v>5312</v>
      </c>
      <c r="X58" s="117" t="s">
        <v>5313</v>
      </c>
      <c r="Y58" s="153" t="s">
        <v>5314</v>
      </c>
      <c r="Z58" t="e">
        <f>BP58&amp;BQ58&amp;BR58</f>
        <v>#VALUE!</v>
      </c>
      <c r="BP58" s="2465" t="str">
        <f>IF(AND(C58&gt;0,X58="")," * No olvide digitar la variable Pueblos originarios. Digite Cero si no tiene.",IF(X58&gt;C58,"  * La variable Pueblos originarios No puede ser mayor al Total.",""))</f>
        <v xml:space="preserve">  * La variable Pueblos originarios No puede ser mayor al Total.</v>
      </c>
      <c r="BQ58" s="2465" t="str">
        <f>IF(AND(C58&gt;0,Y58="")," * No olvide digitar la variable Migrantes. Digite Cero si no tiene.",IF(Y58&gt;C58,"  * La variable Migrantes No puede ser mayor al Total.",""))</f>
        <v xml:space="preserve">  * La variable Migrantes No puede ser mayor al Total.</v>
      </c>
      <c r="BR58" s="1723" t="e">
        <f>IF((D58+E58)&lt;&gt;SUM(F58:W58)," * Los datos desglosados por edad debe ser igual al total de ambos sexos.","")</f>
        <v>#VALUE!</v>
      </c>
      <c r="BV58" s="1725">
        <f>IF(AND(C58&gt;0,X58=""),1,IF(X58&gt;C58,1,0))</f>
        <v>1</v>
      </c>
      <c r="BW58" s="1725">
        <f>IF(AND(C58&gt;0,Y58=""),1,IF(Y58&gt;C58,1,0))</f>
        <v>1</v>
      </c>
      <c r="BX58" s="1725" t="e">
        <f>IF((D58+E58)&lt;&gt;SUM(F58:W58),1,0)</f>
        <v>#VALUE!</v>
      </c>
    </row>
    <row r="59" spans="1:76" ht="15" customHeight="1" x14ac:dyDescent="0.3">
      <c r="A59" s="6238"/>
      <c r="B59" s="2599" t="s">
        <v>1785</v>
      </c>
      <c r="C59" s="2600">
        <v>0</v>
      </c>
      <c r="D59" s="2601">
        <v>0</v>
      </c>
      <c r="E59" s="1826">
        <v>0</v>
      </c>
      <c r="F59" s="2597">
        <v>0</v>
      </c>
      <c r="G59" s="1873">
        <v>0</v>
      </c>
      <c r="H59" s="2597">
        <v>0</v>
      </c>
      <c r="I59" s="1873">
        <v>0</v>
      </c>
      <c r="J59" s="2597">
        <v>0</v>
      </c>
      <c r="K59" s="1873">
        <v>0</v>
      </c>
      <c r="L59" s="2597">
        <v>0</v>
      </c>
      <c r="M59" s="1873">
        <v>0</v>
      </c>
      <c r="N59" s="2597">
        <v>0</v>
      </c>
      <c r="O59" s="1873">
        <v>0</v>
      </c>
      <c r="P59" s="2597">
        <v>0</v>
      </c>
      <c r="Q59" s="1873">
        <v>0</v>
      </c>
      <c r="R59" s="2597">
        <v>0</v>
      </c>
      <c r="S59" s="1873">
        <v>0</v>
      </c>
      <c r="T59" s="2597">
        <v>0</v>
      </c>
      <c r="U59" s="1873">
        <v>0</v>
      </c>
      <c r="V59" s="2597">
        <v>0</v>
      </c>
      <c r="W59" s="2598">
        <v>0</v>
      </c>
      <c r="X59" s="1402">
        <v>0</v>
      </c>
      <c r="Y59" s="2597">
        <v>0</v>
      </c>
      <c r="BP59"/>
      <c r="BQ59"/>
      <c r="BR59"/>
      <c r="BS59"/>
      <c r="BT59"/>
      <c r="BV59"/>
      <c r="BW59"/>
      <c r="BX59"/>
    </row>
    <row r="60" spans="1:76" ht="15" customHeight="1" x14ac:dyDescent="0.3">
      <c r="A60" s="6233" t="s">
        <v>4230</v>
      </c>
      <c r="B60" s="1973" t="s">
        <v>74</v>
      </c>
      <c r="C60" s="1974" t="s">
        <v>5292</v>
      </c>
      <c r="D60" s="1975" t="s">
        <v>5293</v>
      </c>
      <c r="E60" s="1976" t="s">
        <v>5294</v>
      </c>
      <c r="F60" s="148" t="s">
        <v>5295</v>
      </c>
      <c r="G60" s="135" t="s">
        <v>5296</v>
      </c>
      <c r="H60" s="148" t="s">
        <v>5297</v>
      </c>
      <c r="I60" s="135" t="s">
        <v>5298</v>
      </c>
      <c r="J60" s="148" t="s">
        <v>5299</v>
      </c>
      <c r="K60" s="135" t="s">
        <v>5300</v>
      </c>
      <c r="L60" s="148" t="s">
        <v>5301</v>
      </c>
      <c r="M60" s="135" t="s">
        <v>5302</v>
      </c>
      <c r="N60" s="148" t="s">
        <v>5303</v>
      </c>
      <c r="O60" s="135" t="s">
        <v>5304</v>
      </c>
      <c r="P60" s="148" t="s">
        <v>5305</v>
      </c>
      <c r="Q60" s="135" t="s">
        <v>5306</v>
      </c>
      <c r="R60" s="148" t="s">
        <v>5307</v>
      </c>
      <c r="S60" s="135" t="s">
        <v>5308</v>
      </c>
      <c r="T60" s="148" t="s">
        <v>5309</v>
      </c>
      <c r="U60" s="135" t="s">
        <v>5310</v>
      </c>
      <c r="V60" s="148" t="s">
        <v>5311</v>
      </c>
      <c r="W60" s="1083" t="s">
        <v>5312</v>
      </c>
      <c r="X60" s="105" t="s">
        <v>5313</v>
      </c>
      <c r="Y60" s="148" t="s">
        <v>5314</v>
      </c>
      <c r="Z60" t="e">
        <f t="shared" ref="Z60:Z61" si="34">BP60&amp;BQ60&amp;BR60</f>
        <v>#VALUE!</v>
      </c>
      <c r="BP60" s="2465" t="str">
        <f t="shared" ref="BP60:BP61" si="35">IF(AND(C60&gt;0,X60="")," * No olvide digitar la variable Pueblos originarios. Digite Cero si no tiene.",IF(X60&gt;C60,"  * La variable Pueblos originarios No puede ser mayor al Total.",""))</f>
        <v xml:space="preserve">  * La variable Pueblos originarios No puede ser mayor al Total.</v>
      </c>
      <c r="BQ60" s="2465" t="str">
        <f t="shared" ref="BQ60:BQ61" si="36">IF(AND(C60&gt;0,Y60="")," * No olvide digitar la variable Migrantes. Digite Cero si no tiene.",IF(Y60&gt;C60,"  * La variable Migrantes No puede ser mayor al Total.",""))</f>
        <v xml:space="preserve">  * La variable Migrantes No puede ser mayor al Total.</v>
      </c>
      <c r="BR60" s="1723" t="e">
        <f>IF((D60+E60)&lt;&gt;SUM(F60:W60)," * Los datos desglosados por edad debe ser igual al total de ambos sexos.","")</f>
        <v>#VALUE!</v>
      </c>
      <c r="BV60" s="1725">
        <f t="shared" ref="BV60:BV61" si="37">IF(AND(C60&gt;0,X60=""),1,IF(X60&gt;C60,1,0))</f>
        <v>1</v>
      </c>
      <c r="BW60" s="1725">
        <f t="shared" ref="BW60:BW61" si="38">IF(AND(C60&gt;0,Y60=""),1,IF(Y60&gt;C60,1,0))</f>
        <v>1</v>
      </c>
      <c r="BX60" s="1725" t="e">
        <f t="shared" ref="BX60:BX61" si="39">IF((D60+E60)&lt;&gt;SUM(F60:W60),1,0)</f>
        <v>#VALUE!</v>
      </c>
    </row>
    <row r="61" spans="1:76" ht="15" customHeight="1" x14ac:dyDescent="0.3">
      <c r="A61" s="6233" t="s">
        <v>4231</v>
      </c>
      <c r="B61" s="1932" t="s">
        <v>1784</v>
      </c>
      <c r="C61" s="1977" t="s">
        <v>5292</v>
      </c>
      <c r="D61" s="1980" t="s">
        <v>5293</v>
      </c>
      <c r="E61" s="1981" t="s">
        <v>5294</v>
      </c>
      <c r="F61" s="153" t="s">
        <v>5295</v>
      </c>
      <c r="G61" s="138" t="s">
        <v>5296</v>
      </c>
      <c r="H61" s="153" t="s">
        <v>5297</v>
      </c>
      <c r="I61" s="138" t="s">
        <v>5298</v>
      </c>
      <c r="J61" s="153" t="s">
        <v>5299</v>
      </c>
      <c r="K61" s="138" t="s">
        <v>5300</v>
      </c>
      <c r="L61" s="153" t="s">
        <v>5301</v>
      </c>
      <c r="M61" s="138" t="s">
        <v>5302</v>
      </c>
      <c r="N61" s="153" t="s">
        <v>5303</v>
      </c>
      <c r="O61" s="138" t="s">
        <v>5304</v>
      </c>
      <c r="P61" s="153" t="s">
        <v>5305</v>
      </c>
      <c r="Q61" s="138" t="s">
        <v>5306</v>
      </c>
      <c r="R61" s="153" t="s">
        <v>5307</v>
      </c>
      <c r="S61" s="138" t="s">
        <v>5308</v>
      </c>
      <c r="T61" s="153" t="s">
        <v>5309</v>
      </c>
      <c r="U61" s="138" t="s">
        <v>5310</v>
      </c>
      <c r="V61" s="153" t="s">
        <v>5311</v>
      </c>
      <c r="W61" s="1688" t="s">
        <v>5312</v>
      </c>
      <c r="X61" s="117" t="s">
        <v>5313</v>
      </c>
      <c r="Y61" s="153" t="s">
        <v>5314</v>
      </c>
      <c r="Z61" t="e">
        <f t="shared" si="34"/>
        <v>#VALUE!</v>
      </c>
      <c r="BP61" s="2465" t="str">
        <f t="shared" si="35"/>
        <v xml:space="preserve">  * La variable Pueblos originarios No puede ser mayor al Total.</v>
      </c>
      <c r="BQ61" s="2465" t="str">
        <f t="shared" si="36"/>
        <v xml:space="preserve">  * La variable Migrantes No puede ser mayor al Total.</v>
      </c>
      <c r="BR61" s="1723" t="e">
        <f>IF((D61+E61)&lt;&gt;SUM(F61:W61)," * Los datos desglosados por edad debe ser igual al total de ambos sexos.","")</f>
        <v>#VALUE!</v>
      </c>
      <c r="BV61" s="1725">
        <f t="shared" si="37"/>
        <v>1</v>
      </c>
      <c r="BW61" s="1725">
        <f t="shared" si="38"/>
        <v>1</v>
      </c>
      <c r="BX61" s="1725" t="e">
        <f t="shared" si="39"/>
        <v>#VALUE!</v>
      </c>
    </row>
    <row r="62" spans="1:76" ht="18" customHeight="1" x14ac:dyDescent="0.3">
      <c r="B62" s="2590" t="s">
        <v>1786</v>
      </c>
      <c r="C62" s="1052"/>
      <c r="BP62"/>
      <c r="BQ62"/>
      <c r="BR62"/>
      <c r="BS62"/>
      <c r="BT62"/>
      <c r="BV62"/>
      <c r="BW62"/>
      <c r="BX62"/>
    </row>
    <row r="63" spans="1:76" ht="15" customHeight="1" x14ac:dyDescent="0.3">
      <c r="B63" s="1982" t="s">
        <v>61</v>
      </c>
      <c r="C63" s="1982" t="s">
        <v>24</v>
      </c>
      <c r="BP63"/>
      <c r="BQ63"/>
      <c r="BR63"/>
      <c r="BS63"/>
      <c r="BT63"/>
      <c r="BV63"/>
      <c r="BW63"/>
      <c r="BX63"/>
    </row>
    <row r="64" spans="1:76" ht="15" customHeight="1" x14ac:dyDescent="0.3">
      <c r="A64" s="6233" t="s">
        <v>4232</v>
      </c>
      <c r="B64" s="1983" t="s">
        <v>74</v>
      </c>
      <c r="C64" s="1984" t="s">
        <v>5292</v>
      </c>
      <c r="BP64"/>
      <c r="BQ64"/>
      <c r="BR64"/>
      <c r="BS64"/>
      <c r="BT64"/>
      <c r="BV64"/>
      <c r="BW64"/>
      <c r="BX64"/>
    </row>
    <row r="65" spans="1:76" ht="15" customHeight="1" x14ac:dyDescent="0.3">
      <c r="A65" s="6233" t="s">
        <v>4233</v>
      </c>
      <c r="B65" s="584" t="s">
        <v>77</v>
      </c>
      <c r="C65" s="1789" t="s">
        <v>5292</v>
      </c>
      <c r="BP65"/>
      <c r="BQ65"/>
      <c r="BR65"/>
      <c r="BS65"/>
      <c r="BT65"/>
      <c r="BV65"/>
      <c r="BW65"/>
      <c r="BX65"/>
    </row>
    <row r="66" spans="1:76" ht="18" customHeight="1" x14ac:dyDescent="0.3">
      <c r="B66" s="5923" t="s">
        <v>1787</v>
      </c>
      <c r="C66" s="5924"/>
      <c r="BP66"/>
      <c r="BQ66"/>
      <c r="BR66"/>
      <c r="BS66"/>
      <c r="BT66"/>
      <c r="BV66"/>
      <c r="BW66"/>
      <c r="BX66"/>
    </row>
    <row r="67" spans="1:76" ht="15" customHeight="1" x14ac:dyDescent="0.3">
      <c r="B67" s="6067" t="s">
        <v>61</v>
      </c>
      <c r="C67" s="6067" t="s">
        <v>24</v>
      </c>
      <c r="BP67"/>
      <c r="BQ67"/>
      <c r="BR67"/>
      <c r="BS67"/>
      <c r="BT67"/>
      <c r="BV67"/>
      <c r="BW67"/>
      <c r="BX67"/>
    </row>
    <row r="68" spans="1:76" ht="15" customHeight="1" x14ac:dyDescent="0.3">
      <c r="B68" s="6068" t="s">
        <v>1788</v>
      </c>
      <c r="C68" s="6069"/>
      <c r="BP68"/>
      <c r="BQ68"/>
      <c r="BR68"/>
      <c r="BS68"/>
      <c r="BT68"/>
      <c r="BV68"/>
      <c r="BW68"/>
      <c r="BX68"/>
    </row>
    <row r="69" spans="1:76" ht="15" customHeight="1" x14ac:dyDescent="0.3">
      <c r="B69" s="6070" t="s">
        <v>75</v>
      </c>
      <c r="C69" s="6071"/>
      <c r="BP69"/>
      <c r="BQ69"/>
      <c r="BR69"/>
      <c r="BS69"/>
      <c r="BT69"/>
      <c r="BV69"/>
      <c r="BW69"/>
      <c r="BX69"/>
    </row>
    <row r="70" spans="1:76" ht="15" customHeight="1" x14ac:dyDescent="0.3">
      <c r="B70" s="6070" t="s">
        <v>76</v>
      </c>
      <c r="C70" s="6072"/>
      <c r="BP70"/>
      <c r="BQ70"/>
      <c r="BR70"/>
      <c r="BS70"/>
      <c r="BT70"/>
      <c r="BV70"/>
      <c r="BW70"/>
      <c r="BX70"/>
    </row>
    <row r="71" spans="1:76" ht="15" customHeight="1" x14ac:dyDescent="0.3">
      <c r="B71" s="6070" t="s">
        <v>277</v>
      </c>
      <c r="C71" s="6071"/>
      <c r="BP71"/>
      <c r="BQ71"/>
      <c r="BR71"/>
      <c r="BS71"/>
      <c r="BT71"/>
      <c r="BV71"/>
      <c r="BW71"/>
      <c r="BX71"/>
    </row>
    <row r="72" spans="1:76" ht="15" customHeight="1" x14ac:dyDescent="0.3">
      <c r="B72" s="6070" t="s">
        <v>1773</v>
      </c>
      <c r="C72" s="6071"/>
      <c r="BP72"/>
      <c r="BQ72"/>
      <c r="BR72"/>
      <c r="BS72"/>
      <c r="BT72"/>
      <c r="BV72"/>
      <c r="BW72"/>
      <c r="BX72"/>
    </row>
    <row r="73" spans="1:76" ht="15" customHeight="1" x14ac:dyDescent="0.3">
      <c r="B73" s="6070" t="s">
        <v>632</v>
      </c>
      <c r="C73" s="6071"/>
      <c r="BP73"/>
      <c r="BQ73"/>
      <c r="BR73"/>
      <c r="BS73"/>
      <c r="BT73"/>
      <c r="BV73"/>
      <c r="BW73"/>
      <c r="BX73"/>
    </row>
    <row r="74" spans="1:76" ht="15" customHeight="1" x14ac:dyDescent="0.3">
      <c r="B74" s="6070" t="s">
        <v>81</v>
      </c>
      <c r="C74" s="6071"/>
      <c r="BP74"/>
      <c r="BQ74"/>
      <c r="BR74"/>
      <c r="BS74"/>
      <c r="BT74"/>
      <c r="BV74"/>
      <c r="BW74"/>
      <c r="BX74"/>
    </row>
    <row r="75" spans="1:76" ht="15" customHeight="1" x14ac:dyDescent="0.3">
      <c r="B75" s="6073" t="s">
        <v>1789</v>
      </c>
      <c r="C75" s="6074"/>
      <c r="BP75"/>
      <c r="BQ75"/>
      <c r="BR75"/>
      <c r="BS75"/>
      <c r="BT75"/>
      <c r="BV75"/>
      <c r="BW75"/>
      <c r="BX75"/>
    </row>
    <row r="76" spans="1:76" ht="18" customHeight="1" x14ac:dyDescent="0.3">
      <c r="B76" s="122" t="s">
        <v>1790</v>
      </c>
      <c r="C76" s="1052"/>
      <c r="D76" s="2602"/>
      <c r="E76" s="2602"/>
      <c r="F76" s="112"/>
      <c r="G76" s="112"/>
      <c r="H76" s="112"/>
      <c r="I76" s="112"/>
      <c r="J76" s="112"/>
      <c r="K76" s="2603"/>
      <c r="L76" s="2603"/>
      <c r="M76" s="2603"/>
      <c r="N76" s="2603"/>
      <c r="O76" s="2603"/>
      <c r="P76" s="2603"/>
      <c r="Q76" s="2603"/>
      <c r="R76" s="2603"/>
      <c r="S76" s="2603"/>
      <c r="T76" s="2603"/>
      <c r="U76" s="2604"/>
      <c r="V76" s="2604"/>
      <c r="BP76"/>
      <c r="BQ76"/>
      <c r="BR76"/>
      <c r="BS76"/>
      <c r="BT76"/>
      <c r="BV76"/>
      <c r="BW76"/>
      <c r="BX76"/>
    </row>
    <row r="77" spans="1:76" ht="15" customHeight="1" x14ac:dyDescent="0.3">
      <c r="B77" s="6337" t="s">
        <v>453</v>
      </c>
      <c r="C77" s="6323" t="s">
        <v>24</v>
      </c>
      <c r="D77" s="6680" t="s">
        <v>12</v>
      </c>
      <c r="E77" s="6683"/>
      <c r="F77" s="6683"/>
      <c r="G77" s="6683"/>
      <c r="H77" s="6683"/>
      <c r="I77" s="6683"/>
      <c r="J77" s="6683"/>
      <c r="K77" s="6683"/>
      <c r="L77" s="6683"/>
      <c r="M77" s="6683"/>
      <c r="N77" s="6683"/>
      <c r="O77" s="6683"/>
      <c r="P77" s="6683"/>
      <c r="Q77" s="6683"/>
      <c r="R77" s="6683"/>
      <c r="S77" s="6683"/>
      <c r="T77" s="6382"/>
      <c r="U77" s="6342" t="s">
        <v>2</v>
      </c>
      <c r="V77" s="6342" t="s">
        <v>1791</v>
      </c>
      <c r="BP77"/>
      <c r="BQ77"/>
      <c r="BR77"/>
      <c r="BS77"/>
      <c r="BT77"/>
      <c r="BV77"/>
      <c r="BW77"/>
      <c r="BX77"/>
    </row>
    <row r="78" spans="1:76" ht="15" customHeight="1" x14ac:dyDescent="0.3">
      <c r="B78" s="6686"/>
      <c r="C78" s="6687"/>
      <c r="D78" s="2587" t="s">
        <v>36</v>
      </c>
      <c r="E78" s="1969" t="s">
        <v>3728</v>
      </c>
      <c r="F78" s="1969" t="s">
        <v>38</v>
      </c>
      <c r="G78" s="2605" t="s">
        <v>4</v>
      </c>
      <c r="H78" s="2606" t="s">
        <v>5</v>
      </c>
      <c r="I78" s="2606" t="s">
        <v>6</v>
      </c>
      <c r="J78" s="2606" t="s">
        <v>7</v>
      </c>
      <c r="K78" s="1969" t="s">
        <v>8</v>
      </c>
      <c r="L78" s="1969" t="s">
        <v>9</v>
      </c>
      <c r="M78" s="2607" t="s">
        <v>10</v>
      </c>
      <c r="N78" s="1969" t="s">
        <v>11</v>
      </c>
      <c r="O78" s="1969" t="s">
        <v>18</v>
      </c>
      <c r="P78" s="1969" t="s">
        <v>19</v>
      </c>
      <c r="Q78" s="1969" t="s">
        <v>20</v>
      </c>
      <c r="R78" s="1969" t="s">
        <v>70</v>
      </c>
      <c r="S78" s="1969" t="s">
        <v>71</v>
      </c>
      <c r="T78" s="2608" t="s">
        <v>72</v>
      </c>
      <c r="U78" s="6676"/>
      <c r="V78" s="6676"/>
      <c r="BP78"/>
      <c r="BQ78"/>
      <c r="BR78"/>
      <c r="BS78"/>
      <c r="BT78"/>
      <c r="BV78"/>
      <c r="BW78"/>
      <c r="BX78"/>
    </row>
    <row r="79" spans="1:76" ht="15" customHeight="1" x14ac:dyDescent="0.3">
      <c r="A79" s="6233" t="s">
        <v>4234</v>
      </c>
      <c r="B79" s="1986" t="s">
        <v>1792</v>
      </c>
      <c r="C79" s="150" t="s">
        <v>5292</v>
      </c>
      <c r="D79" s="1987" t="s">
        <v>5293</v>
      </c>
      <c r="E79" s="1988" t="s">
        <v>5294</v>
      </c>
      <c r="F79" s="1988" t="s">
        <v>5295</v>
      </c>
      <c r="G79" s="1988" t="s">
        <v>5296</v>
      </c>
      <c r="H79" s="1988" t="s">
        <v>5297</v>
      </c>
      <c r="I79" s="1988" t="s">
        <v>5298</v>
      </c>
      <c r="J79" s="1988" t="s">
        <v>5299</v>
      </c>
      <c r="K79" s="1988" t="s">
        <v>5300</v>
      </c>
      <c r="L79" s="1988" t="s">
        <v>5301</v>
      </c>
      <c r="M79" s="1988" t="s">
        <v>5302</v>
      </c>
      <c r="N79" s="1988" t="s">
        <v>5303</v>
      </c>
      <c r="O79" s="1988" t="s">
        <v>5304</v>
      </c>
      <c r="P79" s="1988" t="s">
        <v>5305</v>
      </c>
      <c r="Q79" s="1988" t="s">
        <v>5306</v>
      </c>
      <c r="R79" s="1988" t="s">
        <v>5307</v>
      </c>
      <c r="S79" s="1988" t="s">
        <v>5308</v>
      </c>
      <c r="T79" s="1989" t="s">
        <v>5309</v>
      </c>
      <c r="U79" s="1990" t="s">
        <v>5310</v>
      </c>
      <c r="V79" s="1990" t="s">
        <v>5311</v>
      </c>
      <c r="W79" t="str">
        <f>BP79&amp;BQ79</f>
        <v xml:space="preserve">  * La variable Pueblos originarios No puede ser mayor al Total.  * La variable Pueblos No originarios No puede ser mayor al Total.</v>
      </c>
      <c r="BP79" s="2465" t="str">
        <f>IF(AND(C79&gt;0,U79=""),"  * No olvide digitar la variable Pueblos originarios. Digite Cero si no tiene.",IF(U79&gt;C79,"  * La variable Pueblos originarios No puede ser mayor al Total.",""))</f>
        <v xml:space="preserve">  * La variable Pueblos originarios No puede ser mayor al Total.</v>
      </c>
      <c r="BQ79" s="2465" t="str">
        <f>IF(AND(C79&gt;0,V79=""),"  * No olvide digitar la variable Pueblos No originarios. Digite Cero si no tiene.",IF(V79&gt;C79,"  * La variable Pueblos No originarios No puede ser mayor al Total.",""))</f>
        <v xml:space="preserve">  * La variable Pueblos No originarios No puede ser mayor al Total.</v>
      </c>
      <c r="BV79" s="1725">
        <f>IF(AND(C79&gt;0,U79=""),1,IF(U79&gt;C79,1,0))</f>
        <v>1</v>
      </c>
      <c r="BW79" s="1725">
        <f>IF(AND(C79&gt;0,V79=""),1,IF(V79&gt;C79,1,0))</f>
        <v>1</v>
      </c>
    </row>
    <row r="80" spans="1:76" ht="18" customHeight="1" x14ac:dyDescent="0.3">
      <c r="A80" s="103"/>
      <c r="B80" s="6690" t="s">
        <v>1793</v>
      </c>
      <c r="C80" s="6690"/>
      <c r="D80" s="6690"/>
      <c r="E80" s="6690"/>
      <c r="F80" s="6690"/>
      <c r="G80" s="6690"/>
      <c r="H80" s="6690"/>
      <c r="I80" s="1052"/>
      <c r="J80" s="1052"/>
      <c r="K80" s="1052"/>
      <c r="L80" s="1052"/>
      <c r="M80" s="1052"/>
      <c r="N80" s="1052"/>
      <c r="O80" s="112"/>
      <c r="P80" s="112"/>
      <c r="Q80" s="112"/>
      <c r="R80" s="2609"/>
      <c r="S80" s="2609"/>
      <c r="T80" s="2609"/>
      <c r="U80" s="2609"/>
      <c r="V80" s="2609"/>
      <c r="W80" s="2609"/>
      <c r="X80" s="112"/>
      <c r="Y80" s="2609"/>
      <c r="Z80" s="2609"/>
      <c r="AA80" s="2609"/>
      <c r="AB80" s="2610"/>
      <c r="AC80" s="2610"/>
      <c r="AD80" s="2610"/>
      <c r="AE80" s="2610"/>
      <c r="AF80" s="2611"/>
      <c r="AG80" s="2611"/>
      <c r="AH80" s="2611"/>
      <c r="AI80" s="2612"/>
      <c r="AJ80" s="2613"/>
      <c r="AK80" s="2613"/>
      <c r="AL80" s="2613"/>
      <c r="AM80" s="2613"/>
      <c r="AN80" s="2613"/>
      <c r="AO80" s="2613"/>
      <c r="BP80"/>
      <c r="BQ80"/>
      <c r="BR80"/>
      <c r="BS80"/>
      <c r="BT80"/>
      <c r="BV80"/>
      <c r="BW80"/>
      <c r="BX80"/>
    </row>
    <row r="81" spans="1:78" ht="15" customHeight="1" x14ac:dyDescent="0.3">
      <c r="A81" s="103"/>
      <c r="B81" s="6691" t="s">
        <v>61</v>
      </c>
      <c r="C81" s="6692" t="s">
        <v>1794</v>
      </c>
      <c r="D81" s="6692" t="s">
        <v>24</v>
      </c>
      <c r="E81" s="6341"/>
      <c r="F81" s="6342"/>
      <c r="G81" s="6694" t="s">
        <v>30</v>
      </c>
      <c r="H81" s="6695"/>
      <c r="I81" s="6695"/>
      <c r="J81" s="6695"/>
      <c r="K81" s="6695"/>
      <c r="L81" s="6695"/>
      <c r="M81" s="6695"/>
      <c r="N81" s="6695"/>
      <c r="O81" s="6695"/>
      <c r="P81" s="6695"/>
      <c r="Q81" s="6695"/>
      <c r="R81" s="6695"/>
      <c r="S81" s="6695"/>
      <c r="T81" s="6695"/>
      <c r="U81" s="6695"/>
      <c r="V81" s="6695"/>
      <c r="W81" s="6695"/>
      <c r="X81" s="6695"/>
      <c r="Y81" s="6695"/>
      <c r="Z81" s="6695"/>
      <c r="AA81" s="6695"/>
      <c r="AB81" s="6695"/>
      <c r="AC81" s="6695"/>
      <c r="AD81" s="6695"/>
      <c r="AE81" s="6695"/>
      <c r="AF81" s="6695"/>
      <c r="AG81" s="6695"/>
      <c r="AH81" s="6695"/>
      <c r="AI81" s="6695"/>
      <c r="AJ81" s="6696"/>
      <c r="AK81" s="6697" t="s">
        <v>39</v>
      </c>
      <c r="AL81" s="6701" t="s">
        <v>1113</v>
      </c>
      <c r="AM81" s="6342" t="s">
        <v>2</v>
      </c>
      <c r="AN81" s="6342" t="s">
        <v>3</v>
      </c>
      <c r="AO81" s="6342" t="s">
        <v>17</v>
      </c>
      <c r="BP81"/>
      <c r="BQ81"/>
      <c r="BR81"/>
      <c r="BS81"/>
      <c r="BT81"/>
      <c r="BV81"/>
      <c r="BW81"/>
      <c r="BX81"/>
    </row>
    <row r="82" spans="1:78" ht="15" customHeight="1" x14ac:dyDescent="0.3">
      <c r="A82" s="103"/>
      <c r="B82" s="6338"/>
      <c r="C82" s="6693"/>
      <c r="D82" s="6674"/>
      <c r="E82" s="6675"/>
      <c r="F82" s="6676"/>
      <c r="G82" s="6694" t="s">
        <v>3764</v>
      </c>
      <c r="H82" s="6702"/>
      <c r="I82" s="6694" t="s">
        <v>1452</v>
      </c>
      <c r="J82" s="6702"/>
      <c r="K82" s="6699" t="s">
        <v>37</v>
      </c>
      <c r="L82" s="6700"/>
      <c r="M82" s="6699" t="s">
        <v>38</v>
      </c>
      <c r="N82" s="6700"/>
      <c r="O82" s="6694" t="s">
        <v>3729</v>
      </c>
      <c r="P82" s="6702"/>
      <c r="Q82" s="6694" t="s">
        <v>1795</v>
      </c>
      <c r="R82" s="6702"/>
      <c r="S82" s="6699" t="s">
        <v>5</v>
      </c>
      <c r="T82" s="6700"/>
      <c r="U82" s="6699" t="s">
        <v>6</v>
      </c>
      <c r="V82" s="6700"/>
      <c r="W82" s="6699" t="s">
        <v>7</v>
      </c>
      <c r="X82" s="6700"/>
      <c r="Y82" s="6699" t="s">
        <v>8</v>
      </c>
      <c r="Z82" s="6700"/>
      <c r="AA82" s="6699" t="s">
        <v>9</v>
      </c>
      <c r="AB82" s="6700"/>
      <c r="AC82" s="6699" t="s">
        <v>10</v>
      </c>
      <c r="AD82" s="6700"/>
      <c r="AE82" s="6699" t="s">
        <v>11</v>
      </c>
      <c r="AF82" s="6700"/>
      <c r="AG82" s="6699" t="s">
        <v>18</v>
      </c>
      <c r="AH82" s="6700"/>
      <c r="AI82" s="6699" t="s">
        <v>19</v>
      </c>
      <c r="AJ82" s="6700"/>
      <c r="AK82" s="6668"/>
      <c r="AL82" s="6373"/>
      <c r="AM82" s="6324"/>
      <c r="AN82" s="6324"/>
      <c r="AO82" s="6324"/>
      <c r="BP82"/>
      <c r="BQ82"/>
      <c r="BR82"/>
      <c r="BS82"/>
      <c r="BT82"/>
      <c r="BV82"/>
      <c r="BW82"/>
      <c r="BX82"/>
    </row>
    <row r="83" spans="1:78" ht="15" customHeight="1" x14ac:dyDescent="0.3">
      <c r="A83" s="103"/>
      <c r="B83" s="6686"/>
      <c r="C83" s="6674"/>
      <c r="D83" s="2615" t="s">
        <v>26</v>
      </c>
      <c r="E83" s="2616" t="s">
        <v>22</v>
      </c>
      <c r="F83" s="2614" t="s">
        <v>27</v>
      </c>
      <c r="G83" s="2615" t="s">
        <v>22</v>
      </c>
      <c r="H83" s="2614" t="s">
        <v>27</v>
      </c>
      <c r="I83" s="2617" t="s">
        <v>22</v>
      </c>
      <c r="J83" s="2614" t="s">
        <v>27</v>
      </c>
      <c r="K83" s="2615" t="s">
        <v>22</v>
      </c>
      <c r="L83" s="2614" t="s">
        <v>27</v>
      </c>
      <c r="M83" s="2615" t="s">
        <v>22</v>
      </c>
      <c r="N83" s="2614" t="s">
        <v>27</v>
      </c>
      <c r="O83" s="2615" t="s">
        <v>22</v>
      </c>
      <c r="P83" s="2614" t="s">
        <v>27</v>
      </c>
      <c r="Q83" s="2615" t="s">
        <v>22</v>
      </c>
      <c r="R83" s="2614" t="s">
        <v>27</v>
      </c>
      <c r="S83" s="2615" t="s">
        <v>22</v>
      </c>
      <c r="T83" s="2614" t="s">
        <v>27</v>
      </c>
      <c r="U83" s="2615" t="s">
        <v>22</v>
      </c>
      <c r="V83" s="2614" t="s">
        <v>27</v>
      </c>
      <c r="W83" s="2615" t="s">
        <v>22</v>
      </c>
      <c r="X83" s="2614" t="s">
        <v>27</v>
      </c>
      <c r="Y83" s="2615" t="s">
        <v>22</v>
      </c>
      <c r="Z83" s="2614" t="s">
        <v>27</v>
      </c>
      <c r="AA83" s="2615" t="s">
        <v>22</v>
      </c>
      <c r="AB83" s="2614" t="s">
        <v>27</v>
      </c>
      <c r="AC83" s="2615" t="s">
        <v>22</v>
      </c>
      <c r="AD83" s="2614" t="s">
        <v>27</v>
      </c>
      <c r="AE83" s="2615" t="s">
        <v>22</v>
      </c>
      <c r="AF83" s="2614" t="s">
        <v>27</v>
      </c>
      <c r="AG83" s="2615" t="s">
        <v>22</v>
      </c>
      <c r="AH83" s="2614" t="s">
        <v>27</v>
      </c>
      <c r="AI83" s="2615" t="s">
        <v>22</v>
      </c>
      <c r="AJ83" s="2618" t="s">
        <v>27</v>
      </c>
      <c r="AK83" s="6698"/>
      <c r="AL83" s="6687"/>
      <c r="AM83" s="6676"/>
      <c r="AN83" s="6676"/>
      <c r="AO83" s="6676"/>
      <c r="BP83"/>
      <c r="BQ83"/>
      <c r="BR83"/>
      <c r="BS83"/>
      <c r="BT83"/>
      <c r="BV83"/>
      <c r="BW83"/>
      <c r="BX83"/>
    </row>
    <row r="84" spans="1:78" ht="15" customHeight="1" x14ac:dyDescent="0.3">
      <c r="A84" s="6233" t="s">
        <v>4235</v>
      </c>
      <c r="B84" s="1991" t="s">
        <v>1796</v>
      </c>
      <c r="C84" s="1992" t="s">
        <v>1797</v>
      </c>
      <c r="D84" s="1993" t="s">
        <v>5292</v>
      </c>
      <c r="E84" s="1994" t="s">
        <v>5293</v>
      </c>
      <c r="F84" s="1995" t="s">
        <v>5294</v>
      </c>
      <c r="G84" s="1996" t="s">
        <v>5295</v>
      </c>
      <c r="H84" s="1997" t="s">
        <v>5296</v>
      </c>
      <c r="I84" s="1998" t="s">
        <v>5297</v>
      </c>
      <c r="J84" s="1997" t="s">
        <v>5298</v>
      </c>
      <c r="K84" s="1996" t="s">
        <v>5299</v>
      </c>
      <c r="L84" s="1999" t="s">
        <v>5300</v>
      </c>
      <c r="M84" s="1996" t="s">
        <v>5301</v>
      </c>
      <c r="N84" s="1999" t="s">
        <v>5302</v>
      </c>
      <c r="O84" s="1996" t="s">
        <v>5303</v>
      </c>
      <c r="P84" s="1999" t="s">
        <v>5304</v>
      </c>
      <c r="Q84" s="1996" t="s">
        <v>5305</v>
      </c>
      <c r="R84" s="1999" t="s">
        <v>5306</v>
      </c>
      <c r="S84" s="1996" t="s">
        <v>5307</v>
      </c>
      <c r="T84" s="1999" t="s">
        <v>5308</v>
      </c>
      <c r="U84" s="1996" t="s">
        <v>5309</v>
      </c>
      <c r="V84" s="1999" t="s">
        <v>5310</v>
      </c>
      <c r="W84" s="1996" t="s">
        <v>5311</v>
      </c>
      <c r="X84" s="1999" t="s">
        <v>5312</v>
      </c>
      <c r="Y84" s="1996" t="s">
        <v>5313</v>
      </c>
      <c r="Z84" s="1999" t="s">
        <v>5314</v>
      </c>
      <c r="AA84" s="1996" t="s">
        <v>5315</v>
      </c>
      <c r="AB84" s="1999" t="s">
        <v>5316</v>
      </c>
      <c r="AC84" s="1996" t="s">
        <v>5317</v>
      </c>
      <c r="AD84" s="1999" t="s">
        <v>5318</v>
      </c>
      <c r="AE84" s="1996" t="s">
        <v>5319</v>
      </c>
      <c r="AF84" s="1999" t="s">
        <v>5320</v>
      </c>
      <c r="AG84" s="1996" t="s">
        <v>5321</v>
      </c>
      <c r="AH84" s="1999" t="s">
        <v>5322</v>
      </c>
      <c r="AI84" s="1996" t="s">
        <v>5323</v>
      </c>
      <c r="AJ84" s="2000" t="s">
        <v>5324</v>
      </c>
      <c r="AK84" s="2001" t="s">
        <v>5325</v>
      </c>
      <c r="AL84" s="2002" t="s">
        <v>5326</v>
      </c>
      <c r="AM84" s="1997" t="s">
        <v>5327</v>
      </c>
      <c r="AN84" s="1997" t="s">
        <v>5328</v>
      </c>
      <c r="AO84" s="1997" t="s">
        <v>5329</v>
      </c>
      <c r="AP84" t="str">
        <f>BP84&amp;BQ84&amp;BR84&amp;BS84&amp;BT84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4" s="2465" t="str">
        <f>IF(AND(F84&gt;0,AK84="")," *  No olvide digitar la variable Gestantes. Digite Cero si no tiene.",IF(AK84&gt;F84,"  * La variable Gestantes No puede ser mayor al Total Mujeres.",""))</f>
        <v xml:space="preserve">  * La variable Gestantes No puede ser mayor al Total Mujeres.</v>
      </c>
      <c r="BQ84" s="2465" t="str">
        <f>IF(AND(F84&gt;0,AL84="")," *  No olvide digitar la variable Postparto. Digite Cero si no tiene.",IF(AL84&gt;F84,"  * La variable Postparto No puede ser mayor al Total Mujeres.",""))</f>
        <v xml:space="preserve">  * La variable Postparto No puede ser mayor al Total Mujeres.</v>
      </c>
      <c r="BR84" s="2465" t="str">
        <f>IF(AND(D84&gt;0,AM84="")," *  No olvide digitar la variable Pueblos originarios. Digite Cero si no tiene.",IF(AM84&gt;D84,"  * La variable Pueblos originarios No puede ser mayor al Total.",""))</f>
        <v xml:space="preserve">  * La variable Pueblos originarios No puede ser mayor al Total.</v>
      </c>
      <c r="BS84" s="2465" t="str">
        <f>IF(AND(D84&gt;0,AN84="")," *  No olvide digitar la variable Migrantes. Digite Cero si no tiene.",IF(AN84&gt;D84,"  * La variable Migrantes No puede ser mayor al Total.",""))</f>
        <v xml:space="preserve">  * La variable Migrantes No puede ser mayor al Total.</v>
      </c>
      <c r="BT84" s="2465" t="str">
        <f>IF(AND(D84&gt;0,AO84="")," *  No olvide digitar la variable Espacios Amigables/adolescentes. Digite Cero si no tiene.",IF(AO84&gt;D84,"  * La variable Espacios Amigables/adolescentes No puede ser mayor al Total.",""))</f>
        <v xml:space="preserve">  * La variable Espacios Amigables/adolescentes No puede ser mayor al Total.</v>
      </c>
      <c r="BV84" s="1725">
        <f>IF(AND(F84&gt;0,AK84=""),1,IF(AK84&gt;F84,1,0))</f>
        <v>1</v>
      </c>
      <c r="BW84" s="1725">
        <f>IF(AND(F84&gt;0,AL84=""),1,IF(AL84&gt;F84,1,0))</f>
        <v>1</v>
      </c>
      <c r="BX84" s="1725">
        <f>IF(AND(D84&gt;0,AM84=""),1,IF(AM84&gt;D84,1,0))</f>
        <v>1</v>
      </c>
      <c r="BY84" s="1725">
        <f>IF(AND(D84&gt;0,AN84=""),1,IF(AN84&gt;D84,1,0))</f>
        <v>1</v>
      </c>
      <c r="BZ84" s="1725">
        <f>IF(AND(D84&gt;0,AO84=""),1,IF(AO84&gt;D84,1,0))</f>
        <v>1</v>
      </c>
    </row>
    <row r="85" spans="1:78" ht="15" customHeight="1" x14ac:dyDescent="0.3">
      <c r="A85" s="6233" t="s">
        <v>4236</v>
      </c>
      <c r="B85" s="6706" t="s">
        <v>1798</v>
      </c>
      <c r="C85" s="2003" t="s">
        <v>1799</v>
      </c>
      <c r="D85" s="2004" t="s">
        <v>5292</v>
      </c>
      <c r="E85" s="2005" t="s">
        <v>5293</v>
      </c>
      <c r="F85" s="2005" t="s">
        <v>5294</v>
      </c>
      <c r="G85" s="276" t="s">
        <v>5295</v>
      </c>
      <c r="H85" s="280" t="s">
        <v>5296</v>
      </c>
      <c r="I85" s="612" t="s">
        <v>5297</v>
      </c>
      <c r="J85" s="280" t="s">
        <v>5298</v>
      </c>
      <c r="K85" s="276" t="s">
        <v>5299</v>
      </c>
      <c r="L85" s="608" t="s">
        <v>5300</v>
      </c>
      <c r="M85" s="276" t="s">
        <v>5301</v>
      </c>
      <c r="N85" s="608" t="s">
        <v>5302</v>
      </c>
      <c r="O85" s="276" t="s">
        <v>5303</v>
      </c>
      <c r="P85" s="608" t="s">
        <v>5304</v>
      </c>
      <c r="Q85" s="276" t="s">
        <v>5305</v>
      </c>
      <c r="R85" s="608" t="s">
        <v>5306</v>
      </c>
      <c r="S85" s="276" t="s">
        <v>5307</v>
      </c>
      <c r="T85" s="608" t="s">
        <v>5308</v>
      </c>
      <c r="U85" s="276" t="s">
        <v>5309</v>
      </c>
      <c r="V85" s="608" t="s">
        <v>5310</v>
      </c>
      <c r="W85" s="276" t="s">
        <v>5311</v>
      </c>
      <c r="X85" s="608" t="s">
        <v>5312</v>
      </c>
      <c r="Y85" s="276" t="s">
        <v>5313</v>
      </c>
      <c r="Z85" s="608" t="s">
        <v>5314</v>
      </c>
      <c r="AA85" s="276" t="s">
        <v>5315</v>
      </c>
      <c r="AB85" s="608" t="s">
        <v>5316</v>
      </c>
      <c r="AC85" s="276" t="s">
        <v>5317</v>
      </c>
      <c r="AD85" s="608" t="s">
        <v>5318</v>
      </c>
      <c r="AE85" s="276" t="s">
        <v>5319</v>
      </c>
      <c r="AF85" s="608" t="s">
        <v>5320</v>
      </c>
      <c r="AG85" s="276" t="s">
        <v>5321</v>
      </c>
      <c r="AH85" s="608" t="s">
        <v>5322</v>
      </c>
      <c r="AI85" s="276" t="s">
        <v>5323</v>
      </c>
      <c r="AJ85" s="614" t="s">
        <v>5324</v>
      </c>
      <c r="AK85" s="636" t="s">
        <v>5325</v>
      </c>
      <c r="AL85" s="1893" t="s">
        <v>5326</v>
      </c>
      <c r="AM85" s="280" t="s">
        <v>5327</v>
      </c>
      <c r="AN85" s="280" t="s">
        <v>5328</v>
      </c>
      <c r="AO85" s="280" t="s">
        <v>5329</v>
      </c>
      <c r="AP85" t="str">
        <f t="shared" ref="AP85:AP87" si="40">BP85&amp;BQ85&amp;BR85&amp;BS85&amp;BT85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5" s="2465" t="str">
        <f t="shared" ref="BP85:BP87" si="41">IF(AND(F85&gt;0,AK85="")," *  No olvide digitar la variable Gestantes. Digite Cero si no tiene.",IF(AK85&gt;F85,"  * La variable Gestantes No puede ser mayor al Total Mujeres.",""))</f>
        <v xml:space="preserve">  * La variable Gestantes No puede ser mayor al Total Mujeres.</v>
      </c>
      <c r="BQ85" s="2465" t="str">
        <f t="shared" ref="BQ85:BQ87" si="42">IF(AND(F85&gt;0,AL85="")," *  No olvide digitar la variable Postparto. Digite Cero si no tiene.",IF(AL85&gt;F85,"  * La variable Postparto No puede ser mayor al Total Mujeres.",""))</f>
        <v xml:space="preserve">  * La variable Postparto No puede ser mayor al Total Mujeres.</v>
      </c>
      <c r="BR85" s="2465" t="str">
        <f t="shared" ref="BR85:BR87" si="43">IF(AND(D85&gt;0,AM85="")," *  No olvide digitar la variable Pueblos originarios. Digite Cero si no tiene.",IF(AM85&gt;D85,"  * La variable Pueblos originarios No puede ser mayor al Total.",""))</f>
        <v xml:space="preserve">  * La variable Pueblos originarios No puede ser mayor al Total.</v>
      </c>
      <c r="BS85" s="2465" t="str">
        <f t="shared" ref="BS85:BS87" si="44">IF(AND(D85&gt;0,AN85="")," *  No olvide digitar la variable Migrantes. Digite Cero si no tiene.",IF(AN85&gt;D85,"  * La variable Migrantes No puede ser mayor al Total.",""))</f>
        <v xml:space="preserve">  * La variable Migrantes No puede ser mayor al Total.</v>
      </c>
      <c r="BT85" s="2465" t="str">
        <f t="shared" ref="BT85:BT87" si="45">IF(AND(D85&gt;0,AO85="")," *  No olvide digitar la variable Espacios Amigables/adolescentes. Digite Cero si no tiene.",IF(AO85&gt;D85,"  * La variable Espacios Amigables/adolescentes No puede ser mayor al Total.",""))</f>
        <v xml:space="preserve">  * La variable Espacios Amigables/adolescentes No puede ser mayor al Total.</v>
      </c>
      <c r="BV85" s="1725">
        <f t="shared" ref="BV85:BV87" si="46">IF(AND(F85&gt;0,AK85=""),1,IF(AK85&gt;F85,1,0))</f>
        <v>1</v>
      </c>
      <c r="BW85" s="1725">
        <f t="shared" ref="BW85:BW87" si="47">IF(AND(F85&gt;0,AL85=""),1,IF(AL85&gt;F85,1,0))</f>
        <v>1</v>
      </c>
      <c r="BX85" s="1725">
        <f t="shared" ref="BX85:BX87" si="48">IF(AND(D85&gt;0,AM85=""),1,IF(AM85&gt;D85,1,0))</f>
        <v>1</v>
      </c>
      <c r="BY85" s="1725">
        <f t="shared" ref="BY85:BY87" si="49">IF(AND(D85&gt;0,AN85=""),1,IF(AN85&gt;D85,1,0))</f>
        <v>1</v>
      </c>
      <c r="BZ85" s="1725">
        <f t="shared" ref="BZ85:BZ87" si="50">IF(AND(D85&gt;0,AO85=""),1,IF(AO85&gt;D85,1,0))</f>
        <v>1</v>
      </c>
    </row>
    <row r="86" spans="1:78" ht="15" customHeight="1" x14ac:dyDescent="0.3">
      <c r="A86" s="6233" t="s">
        <v>4237</v>
      </c>
      <c r="B86" s="6706"/>
      <c r="C86" s="1076" t="s">
        <v>1800</v>
      </c>
      <c r="D86" s="156" t="s">
        <v>5292</v>
      </c>
      <c r="E86" s="2005" t="s">
        <v>5293</v>
      </c>
      <c r="F86" s="2005" t="s">
        <v>5294</v>
      </c>
      <c r="G86" s="410" t="s">
        <v>5295</v>
      </c>
      <c r="H86" s="411" t="s">
        <v>5296</v>
      </c>
      <c r="I86" s="414" t="s">
        <v>5297</v>
      </c>
      <c r="J86" s="411" t="s">
        <v>5298</v>
      </c>
      <c r="K86" s="410" t="s">
        <v>5299</v>
      </c>
      <c r="L86" s="412" t="s">
        <v>5300</v>
      </c>
      <c r="M86" s="410" t="s">
        <v>5301</v>
      </c>
      <c r="N86" s="412" t="s">
        <v>5302</v>
      </c>
      <c r="O86" s="410" t="s">
        <v>5303</v>
      </c>
      <c r="P86" s="412" t="s">
        <v>5304</v>
      </c>
      <c r="Q86" s="410" t="s">
        <v>5305</v>
      </c>
      <c r="R86" s="412" t="s">
        <v>5306</v>
      </c>
      <c r="S86" s="410" t="s">
        <v>5307</v>
      </c>
      <c r="T86" s="412" t="s">
        <v>5308</v>
      </c>
      <c r="U86" s="410" t="s">
        <v>5309</v>
      </c>
      <c r="V86" s="412" t="s">
        <v>5310</v>
      </c>
      <c r="W86" s="410" t="s">
        <v>5311</v>
      </c>
      <c r="X86" s="412" t="s">
        <v>5312</v>
      </c>
      <c r="Y86" s="410" t="s">
        <v>5313</v>
      </c>
      <c r="Z86" s="412" t="s">
        <v>5314</v>
      </c>
      <c r="AA86" s="410" t="s">
        <v>5315</v>
      </c>
      <c r="AB86" s="412" t="s">
        <v>5316</v>
      </c>
      <c r="AC86" s="410" t="s">
        <v>5317</v>
      </c>
      <c r="AD86" s="412" t="s">
        <v>5318</v>
      </c>
      <c r="AE86" s="410" t="s">
        <v>5319</v>
      </c>
      <c r="AF86" s="412" t="s">
        <v>5320</v>
      </c>
      <c r="AG86" s="410" t="s">
        <v>5321</v>
      </c>
      <c r="AH86" s="412" t="s">
        <v>5322</v>
      </c>
      <c r="AI86" s="410" t="s">
        <v>5323</v>
      </c>
      <c r="AJ86" s="630" t="s">
        <v>5324</v>
      </c>
      <c r="AK86" s="415" t="s">
        <v>5325</v>
      </c>
      <c r="AL86" s="637" t="s">
        <v>5326</v>
      </c>
      <c r="AM86" s="411" t="s">
        <v>5327</v>
      </c>
      <c r="AN86" s="411" t="s">
        <v>5328</v>
      </c>
      <c r="AO86" s="411" t="s">
        <v>5329</v>
      </c>
      <c r="AP86" t="str">
        <f t="shared" si="40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6" s="2465" t="str">
        <f t="shared" si="41"/>
        <v xml:space="preserve">  * La variable Gestantes No puede ser mayor al Total Mujeres.</v>
      </c>
      <c r="BQ86" s="2465" t="str">
        <f t="shared" si="42"/>
        <v xml:space="preserve">  * La variable Postparto No puede ser mayor al Total Mujeres.</v>
      </c>
      <c r="BR86" s="2465" t="str">
        <f t="shared" si="43"/>
        <v xml:space="preserve">  * La variable Pueblos originarios No puede ser mayor al Total.</v>
      </c>
      <c r="BS86" s="2465" t="str">
        <f t="shared" si="44"/>
        <v xml:space="preserve">  * La variable Migrantes No puede ser mayor al Total.</v>
      </c>
      <c r="BT86" s="2465" t="str">
        <f t="shared" si="45"/>
        <v xml:space="preserve">  * La variable Espacios Amigables/adolescentes No puede ser mayor al Total.</v>
      </c>
      <c r="BV86" s="1725">
        <f t="shared" si="46"/>
        <v>1</v>
      </c>
      <c r="BW86" s="1725">
        <f t="shared" si="47"/>
        <v>1</v>
      </c>
      <c r="BX86" s="1725">
        <f t="shared" si="48"/>
        <v>1</v>
      </c>
      <c r="BY86" s="1725">
        <f t="shared" si="49"/>
        <v>1</v>
      </c>
      <c r="BZ86" s="1725">
        <f t="shared" si="50"/>
        <v>1</v>
      </c>
    </row>
    <row r="87" spans="1:78" ht="15" customHeight="1" x14ac:dyDescent="0.3">
      <c r="A87" s="6233" t="s">
        <v>4238</v>
      </c>
      <c r="B87" s="2006" t="s">
        <v>1772</v>
      </c>
      <c r="C87" s="2007" t="s">
        <v>1801</v>
      </c>
      <c r="D87" s="1972" t="s">
        <v>5292</v>
      </c>
      <c r="E87" s="2008" t="s">
        <v>5293</v>
      </c>
      <c r="F87" s="2009" t="s">
        <v>5294</v>
      </c>
      <c r="G87" s="2010" t="s">
        <v>5295</v>
      </c>
      <c r="H87" s="2011" t="s">
        <v>5296</v>
      </c>
      <c r="I87" s="2012" t="s">
        <v>5297</v>
      </c>
      <c r="J87" s="2011" t="s">
        <v>5298</v>
      </c>
      <c r="K87" s="2010" t="s">
        <v>5299</v>
      </c>
      <c r="L87" s="2013" t="s">
        <v>5300</v>
      </c>
      <c r="M87" s="2010" t="s">
        <v>5301</v>
      </c>
      <c r="N87" s="2013" t="s">
        <v>5302</v>
      </c>
      <c r="O87" s="2010" t="s">
        <v>5303</v>
      </c>
      <c r="P87" s="2013" t="s">
        <v>5304</v>
      </c>
      <c r="Q87" s="2010" t="s">
        <v>5305</v>
      </c>
      <c r="R87" s="2013" t="s">
        <v>5306</v>
      </c>
      <c r="S87" s="2010" t="s">
        <v>5307</v>
      </c>
      <c r="T87" s="2013" t="s">
        <v>5308</v>
      </c>
      <c r="U87" s="2010" t="s">
        <v>5309</v>
      </c>
      <c r="V87" s="2013" t="s">
        <v>5310</v>
      </c>
      <c r="W87" s="2010" t="s">
        <v>5311</v>
      </c>
      <c r="X87" s="2013" t="s">
        <v>5312</v>
      </c>
      <c r="Y87" s="2010" t="s">
        <v>5313</v>
      </c>
      <c r="Z87" s="2013" t="s">
        <v>5314</v>
      </c>
      <c r="AA87" s="2010" t="s">
        <v>5315</v>
      </c>
      <c r="AB87" s="2013" t="s">
        <v>5316</v>
      </c>
      <c r="AC87" s="2010" t="s">
        <v>5317</v>
      </c>
      <c r="AD87" s="2013" t="s">
        <v>5318</v>
      </c>
      <c r="AE87" s="2010" t="s">
        <v>5319</v>
      </c>
      <c r="AF87" s="2013" t="s">
        <v>5320</v>
      </c>
      <c r="AG87" s="2010" t="s">
        <v>5321</v>
      </c>
      <c r="AH87" s="2013" t="s">
        <v>5322</v>
      </c>
      <c r="AI87" s="2010" t="s">
        <v>5323</v>
      </c>
      <c r="AJ87" s="2014" t="s">
        <v>5324</v>
      </c>
      <c r="AK87" s="2015" t="s">
        <v>5325</v>
      </c>
      <c r="AL87" s="2016" t="s">
        <v>5326</v>
      </c>
      <c r="AM87" s="2011" t="s">
        <v>5327</v>
      </c>
      <c r="AN87" s="2011" t="s">
        <v>5328</v>
      </c>
      <c r="AO87" s="2011" t="s">
        <v>5329</v>
      </c>
      <c r="AP87" t="str">
        <f t="shared" si="40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7" s="2465" t="str">
        <f t="shared" si="41"/>
        <v xml:space="preserve">  * La variable Gestantes No puede ser mayor al Total Mujeres.</v>
      </c>
      <c r="BQ87" s="2465" t="str">
        <f t="shared" si="42"/>
        <v xml:space="preserve">  * La variable Postparto No puede ser mayor al Total Mujeres.</v>
      </c>
      <c r="BR87" s="2465" t="str">
        <f t="shared" si="43"/>
        <v xml:space="preserve">  * La variable Pueblos originarios No puede ser mayor al Total.</v>
      </c>
      <c r="BS87" s="2465" t="str">
        <f t="shared" si="44"/>
        <v xml:space="preserve">  * La variable Migrantes No puede ser mayor al Total.</v>
      </c>
      <c r="BT87" s="2465" t="str">
        <f t="shared" si="45"/>
        <v xml:space="preserve">  * La variable Espacios Amigables/adolescentes No puede ser mayor al Total.</v>
      </c>
      <c r="BV87" s="1725">
        <f t="shared" si="46"/>
        <v>1</v>
      </c>
      <c r="BW87" s="1725">
        <f t="shared" si="47"/>
        <v>1</v>
      </c>
      <c r="BX87" s="1725">
        <f t="shared" si="48"/>
        <v>1</v>
      </c>
      <c r="BY87" s="1725">
        <f t="shared" si="49"/>
        <v>1</v>
      </c>
      <c r="BZ87" s="1725">
        <f t="shared" si="50"/>
        <v>1</v>
      </c>
    </row>
    <row r="88" spans="1:78" ht="18" customHeight="1" x14ac:dyDescent="0.3">
      <c r="B88" s="122" t="s">
        <v>1802</v>
      </c>
      <c r="C88" s="112"/>
      <c r="D88" s="112"/>
      <c r="E88" s="112"/>
      <c r="F88" s="112"/>
      <c r="G88" s="112"/>
      <c r="BP88"/>
      <c r="BQ88"/>
      <c r="BR88"/>
      <c r="BS88"/>
      <c r="BT88"/>
      <c r="BV88"/>
      <c r="BW88"/>
      <c r="BX88"/>
    </row>
    <row r="89" spans="1:78" ht="31.2" customHeight="1" x14ac:dyDescent="0.3">
      <c r="B89" s="6703" t="s">
        <v>453</v>
      </c>
      <c r="C89" s="6704" t="s">
        <v>24</v>
      </c>
      <c r="D89" s="6704" t="s">
        <v>1803</v>
      </c>
      <c r="E89" s="6705" t="s">
        <v>1804</v>
      </c>
      <c r="F89" s="6375" t="s">
        <v>1805</v>
      </c>
      <c r="G89" s="6704" t="s">
        <v>1806</v>
      </c>
      <c r="BP89"/>
      <c r="BQ89"/>
      <c r="BR89"/>
      <c r="BS89"/>
      <c r="BT89"/>
      <c r="BV89"/>
      <c r="BW89"/>
      <c r="BX89"/>
    </row>
    <row r="90" spans="1:78" ht="24.6" customHeight="1" x14ac:dyDescent="0.3">
      <c r="B90" s="6703"/>
      <c r="C90" s="6704"/>
      <c r="D90" s="6704"/>
      <c r="E90" s="6705"/>
      <c r="F90" s="6375"/>
      <c r="G90" s="6704"/>
      <c r="BP90"/>
      <c r="BQ90"/>
      <c r="BR90"/>
      <c r="BS90"/>
      <c r="BT90"/>
      <c r="BV90"/>
      <c r="BW90"/>
      <c r="BX90"/>
    </row>
    <row r="91" spans="1:78" ht="15" customHeight="1" x14ac:dyDescent="0.3">
      <c r="A91" s="6238"/>
      <c r="B91" s="6722" t="s">
        <v>1807</v>
      </c>
      <c r="C91" s="6723"/>
      <c r="D91" s="6723"/>
      <c r="E91" s="6723"/>
      <c r="F91" s="6723"/>
      <c r="G91" s="6724"/>
      <c r="BP91"/>
      <c r="BQ91"/>
      <c r="BR91"/>
      <c r="BS91"/>
      <c r="BT91"/>
      <c r="BV91"/>
      <c r="BW91"/>
      <c r="BX91"/>
    </row>
    <row r="92" spans="1:78" ht="15" customHeight="1" x14ac:dyDescent="0.3">
      <c r="A92" s="6233" t="s">
        <v>4239</v>
      </c>
      <c r="B92" s="2017" t="s">
        <v>1808</v>
      </c>
      <c r="C92" s="5862" t="s">
        <v>5292</v>
      </c>
      <c r="D92" s="2018" t="s">
        <v>5293</v>
      </c>
      <c r="E92" s="2019" t="s">
        <v>5294</v>
      </c>
      <c r="F92" s="2020" t="s">
        <v>5295</v>
      </c>
      <c r="G92" s="2018" t="s">
        <v>5296</v>
      </c>
    </row>
    <row r="93" spans="1:78" ht="15" customHeight="1" x14ac:dyDescent="0.3">
      <c r="A93" s="6233" t="s">
        <v>4240</v>
      </c>
      <c r="B93" s="1082" t="s">
        <v>1809</v>
      </c>
      <c r="C93" s="1087" t="s">
        <v>5292</v>
      </c>
      <c r="D93" s="1063" t="s">
        <v>5293</v>
      </c>
      <c r="E93" s="1077" t="s">
        <v>5294</v>
      </c>
      <c r="F93" s="83" t="s">
        <v>5295</v>
      </c>
      <c r="G93" s="1063" t="s">
        <v>5296</v>
      </c>
    </row>
    <row r="94" spans="1:78" ht="15" customHeight="1" x14ac:dyDescent="0.3">
      <c r="A94" s="6233" t="s">
        <v>4241</v>
      </c>
      <c r="B94" s="1082" t="s">
        <v>1810</v>
      </c>
      <c r="C94" s="1087" t="s">
        <v>5292</v>
      </c>
      <c r="D94" s="1063" t="s">
        <v>5293</v>
      </c>
      <c r="E94" s="1077" t="s">
        <v>5294</v>
      </c>
      <c r="F94" s="83" t="s">
        <v>5295</v>
      </c>
      <c r="G94" s="1063" t="s">
        <v>5296</v>
      </c>
    </row>
    <row r="95" spans="1:78" ht="15" customHeight="1" x14ac:dyDescent="0.3">
      <c r="A95" s="6233" t="s">
        <v>4242</v>
      </c>
      <c r="B95" s="1082" t="s">
        <v>1811</v>
      </c>
      <c r="C95" s="1087" t="s">
        <v>5292</v>
      </c>
      <c r="D95" s="1063" t="s">
        <v>5293</v>
      </c>
      <c r="E95" s="1077" t="s">
        <v>5294</v>
      </c>
      <c r="F95" s="83" t="s">
        <v>5295</v>
      </c>
      <c r="G95" s="1063" t="s">
        <v>5296</v>
      </c>
    </row>
    <row r="96" spans="1:78" ht="15" customHeight="1" x14ac:dyDescent="0.3">
      <c r="A96" s="6233" t="s">
        <v>4243</v>
      </c>
      <c r="B96" s="1936" t="s">
        <v>1812</v>
      </c>
      <c r="C96" s="388" t="s">
        <v>5292</v>
      </c>
      <c r="D96" s="148" t="s">
        <v>5293</v>
      </c>
      <c r="E96" s="2021" t="s">
        <v>5294</v>
      </c>
      <c r="F96" s="105" t="s">
        <v>5295</v>
      </c>
      <c r="G96" s="148" t="s">
        <v>5296</v>
      </c>
    </row>
    <row r="97" spans="1:19" ht="15" customHeight="1" x14ac:dyDescent="0.3">
      <c r="A97" s="6238"/>
      <c r="B97" s="6722" t="s">
        <v>1813</v>
      </c>
      <c r="C97" s="6723"/>
      <c r="D97" s="6723"/>
      <c r="E97" s="6723"/>
      <c r="F97" s="6723"/>
      <c r="G97" s="6724"/>
    </row>
    <row r="98" spans="1:19" ht="15" customHeight="1" x14ac:dyDescent="0.3">
      <c r="A98" s="6233" t="s">
        <v>4244</v>
      </c>
      <c r="B98" s="2022" t="s">
        <v>1814</v>
      </c>
      <c r="C98" s="5863" t="s">
        <v>5292</v>
      </c>
      <c r="D98" s="2018" t="s">
        <v>5293</v>
      </c>
      <c r="E98" s="2019" t="s">
        <v>5294</v>
      </c>
      <c r="F98" s="2020" t="s">
        <v>5295</v>
      </c>
      <c r="G98" s="2018" t="s">
        <v>5296</v>
      </c>
    </row>
    <row r="99" spans="1:19" ht="15" customHeight="1" x14ac:dyDescent="0.3">
      <c r="A99" s="6233" t="s">
        <v>4245</v>
      </c>
      <c r="B99" s="1076" t="s">
        <v>1815</v>
      </c>
      <c r="C99" s="1943" t="s">
        <v>5292</v>
      </c>
      <c r="D99" s="1063" t="s">
        <v>5293</v>
      </c>
      <c r="E99" s="1077" t="s">
        <v>5294</v>
      </c>
      <c r="F99" s="83" t="s">
        <v>5295</v>
      </c>
      <c r="G99" s="1063" t="s">
        <v>5296</v>
      </c>
    </row>
    <row r="100" spans="1:19" ht="21.6" customHeight="1" x14ac:dyDescent="0.3">
      <c r="A100" s="6233" t="s">
        <v>4246</v>
      </c>
      <c r="B100" s="2023" t="s">
        <v>1816</v>
      </c>
      <c r="C100" s="629" t="s">
        <v>5292</v>
      </c>
      <c r="D100" s="2024" t="s">
        <v>5293</v>
      </c>
      <c r="E100" s="2021" t="s">
        <v>5294</v>
      </c>
      <c r="F100" s="1917" t="s">
        <v>5295</v>
      </c>
      <c r="G100" s="2024" t="s">
        <v>5296</v>
      </c>
    </row>
    <row r="101" spans="1:19" ht="18" customHeight="1" x14ac:dyDescent="0.3">
      <c r="B101" s="6725" t="s">
        <v>1817</v>
      </c>
      <c r="C101" s="6725"/>
      <c r="D101" s="6725"/>
      <c r="E101" s="6725"/>
      <c r="F101" s="6725"/>
      <c r="G101" s="6726"/>
      <c r="H101" s="2025"/>
      <c r="I101" s="2025"/>
      <c r="J101" s="2025"/>
      <c r="K101" s="2025"/>
      <c r="L101" s="2025"/>
      <c r="M101" s="2025"/>
      <c r="N101" s="2025"/>
      <c r="O101" s="2025"/>
      <c r="P101" s="2025"/>
    </row>
    <row r="102" spans="1:19" ht="24" customHeight="1" x14ac:dyDescent="0.3">
      <c r="B102" s="6727" t="s">
        <v>1818</v>
      </c>
      <c r="C102" s="6707" t="s">
        <v>1819</v>
      </c>
      <c r="D102" s="6730"/>
      <c r="E102" s="6731"/>
      <c r="F102" s="6707" t="s">
        <v>1820</v>
      </c>
      <c r="G102" s="6731"/>
      <c r="H102" s="6707" t="s">
        <v>1821</v>
      </c>
      <c r="I102" s="6708"/>
      <c r="J102" s="6711" t="s">
        <v>1822</v>
      </c>
      <c r="K102" s="6712"/>
      <c r="L102" s="6715" t="s">
        <v>1823</v>
      </c>
      <c r="M102" s="6718" t="s">
        <v>1824</v>
      </c>
      <c r="N102" s="6719"/>
      <c r="O102" s="6715"/>
      <c r="P102" s="6718" t="s">
        <v>1825</v>
      </c>
      <c r="Q102" s="6715"/>
      <c r="R102" s="6718" t="s">
        <v>1826</v>
      </c>
      <c r="S102" s="6715"/>
    </row>
    <row r="103" spans="1:19" x14ac:dyDescent="0.3">
      <c r="B103" s="6728"/>
      <c r="C103" s="6709"/>
      <c r="D103" s="6732"/>
      <c r="E103" s="6733"/>
      <c r="F103" s="6709"/>
      <c r="G103" s="6733"/>
      <c r="H103" s="6709"/>
      <c r="I103" s="6710"/>
      <c r="J103" s="6713"/>
      <c r="K103" s="6714"/>
      <c r="L103" s="6716"/>
      <c r="M103" s="6720"/>
      <c r="N103" s="6721"/>
      <c r="O103" s="6717"/>
      <c r="P103" s="6720"/>
      <c r="Q103" s="6717"/>
      <c r="R103" s="6720"/>
      <c r="S103" s="6717"/>
    </row>
    <row r="104" spans="1:19" ht="41.25" customHeight="1" x14ac:dyDescent="0.3">
      <c r="B104" s="6729"/>
      <c r="C104" s="2027" t="s">
        <v>1827</v>
      </c>
      <c r="D104" s="2027" t="s">
        <v>1828</v>
      </c>
      <c r="E104" s="2028" t="s">
        <v>1829</v>
      </c>
      <c r="F104" s="2029" t="s">
        <v>1830</v>
      </c>
      <c r="G104" s="2030" t="s">
        <v>1831</v>
      </c>
      <c r="H104" s="2029" t="s">
        <v>1832</v>
      </c>
      <c r="I104" s="2031" t="s">
        <v>1833</v>
      </c>
      <c r="J104" s="2032" t="s">
        <v>1830</v>
      </c>
      <c r="K104" s="2033" t="s">
        <v>1831</v>
      </c>
      <c r="L104" s="6717"/>
      <c r="M104" s="2026" t="s">
        <v>1834</v>
      </c>
      <c r="N104" s="2034" t="s">
        <v>1828</v>
      </c>
      <c r="O104" s="2035" t="s">
        <v>1835</v>
      </c>
      <c r="P104" s="2027" t="s">
        <v>1832</v>
      </c>
      <c r="Q104" s="2036" t="s">
        <v>1833</v>
      </c>
      <c r="R104" s="2027" t="s">
        <v>3881</v>
      </c>
      <c r="S104" s="2036" t="s">
        <v>3880</v>
      </c>
    </row>
    <row r="105" spans="1:19" ht="15" customHeight="1" x14ac:dyDescent="0.3">
      <c r="A105" s="6233" t="s">
        <v>4247</v>
      </c>
      <c r="B105" s="2037" t="s">
        <v>1836</v>
      </c>
      <c r="C105" s="2038" t="s">
        <v>5292</v>
      </c>
      <c r="D105" s="2039" t="s">
        <v>5293</v>
      </c>
      <c r="E105" s="2040" t="s">
        <v>5294</v>
      </c>
      <c r="F105" s="2039" t="s">
        <v>5295</v>
      </c>
      <c r="G105" s="2040" t="s">
        <v>5296</v>
      </c>
      <c r="H105" s="2039" t="s">
        <v>5297</v>
      </c>
      <c r="I105" s="2041" t="s">
        <v>5298</v>
      </c>
      <c r="J105" s="2042" t="s">
        <v>5299</v>
      </c>
      <c r="K105" s="2043" t="s">
        <v>5300</v>
      </c>
      <c r="L105" s="2040" t="s">
        <v>5301</v>
      </c>
      <c r="M105" s="2039" t="s">
        <v>5302</v>
      </c>
      <c r="N105" s="2044" t="s">
        <v>5303</v>
      </c>
      <c r="O105" s="2045" t="s">
        <v>5304</v>
      </c>
      <c r="P105" s="2039" t="s">
        <v>5305</v>
      </c>
      <c r="Q105" s="2045" t="s">
        <v>5306</v>
      </c>
      <c r="R105" s="2046" t="s">
        <v>5307</v>
      </c>
      <c r="S105" s="2047" t="s">
        <v>5308</v>
      </c>
    </row>
    <row r="106" spans="1:19" ht="15" customHeight="1" x14ac:dyDescent="0.3">
      <c r="A106" s="6233" t="s">
        <v>4248</v>
      </c>
      <c r="B106" s="2048" t="s">
        <v>1837</v>
      </c>
      <c r="C106" s="2038" t="s">
        <v>5292</v>
      </c>
      <c r="D106" s="2049" t="s">
        <v>5293</v>
      </c>
      <c r="E106" s="2050" t="s">
        <v>5294</v>
      </c>
      <c r="F106" s="2049" t="s">
        <v>5295</v>
      </c>
      <c r="G106" s="2050" t="s">
        <v>5296</v>
      </c>
      <c r="H106" s="2049" t="s">
        <v>5297</v>
      </c>
      <c r="I106" s="2051" t="s">
        <v>5298</v>
      </c>
      <c r="J106" s="2052" t="s">
        <v>5299</v>
      </c>
      <c r="K106" s="2053" t="s">
        <v>5300</v>
      </c>
      <c r="L106" s="2050" t="s">
        <v>5301</v>
      </c>
      <c r="M106" s="2046" t="s">
        <v>5302</v>
      </c>
      <c r="N106" s="2054" t="s">
        <v>5303</v>
      </c>
      <c r="O106" s="2047" t="s">
        <v>5304</v>
      </c>
      <c r="P106" s="2046" t="s">
        <v>5305</v>
      </c>
      <c r="Q106" s="2047" t="s">
        <v>5306</v>
      </c>
      <c r="R106" s="2039" t="s">
        <v>5307</v>
      </c>
      <c r="S106" s="2045" t="s">
        <v>5308</v>
      </c>
    </row>
    <row r="107" spans="1:19" ht="15" customHeight="1" x14ac:dyDescent="0.3">
      <c r="A107" s="6233" t="s">
        <v>4249</v>
      </c>
      <c r="B107" s="2048" t="s">
        <v>1838</v>
      </c>
      <c r="C107" s="2055" t="s">
        <v>5292</v>
      </c>
      <c r="D107" s="2056" t="s">
        <v>5293</v>
      </c>
      <c r="E107" s="2057" t="s">
        <v>5294</v>
      </c>
      <c r="F107" s="2058" t="s">
        <v>5295</v>
      </c>
      <c r="G107" s="2057" t="s">
        <v>5296</v>
      </c>
      <c r="H107" s="2056" t="s">
        <v>5297</v>
      </c>
      <c r="I107" s="2059" t="s">
        <v>5298</v>
      </c>
      <c r="J107" s="2060" t="s">
        <v>5299</v>
      </c>
      <c r="K107" s="2061" t="s">
        <v>5300</v>
      </c>
      <c r="L107" s="2057" t="s">
        <v>5301</v>
      </c>
      <c r="M107" s="2062" t="s">
        <v>5302</v>
      </c>
      <c r="N107" s="2063" t="s">
        <v>5303</v>
      </c>
      <c r="O107" s="2064" t="s">
        <v>5304</v>
      </c>
      <c r="P107" s="2065" t="s">
        <v>5305</v>
      </c>
      <c r="Q107" s="2064" t="s">
        <v>5306</v>
      </c>
      <c r="R107" s="2056" t="s">
        <v>5307</v>
      </c>
      <c r="S107" s="2066" t="s">
        <v>5308</v>
      </c>
    </row>
    <row r="108" spans="1:19" ht="15" customHeight="1" x14ac:dyDescent="0.3">
      <c r="A108" s="6238"/>
      <c r="B108" s="2067" t="s">
        <v>24</v>
      </c>
      <c r="C108" s="2068">
        <f>SUM(D108:E108)</f>
        <v>0</v>
      </c>
      <c r="D108" s="2068">
        <f t="shared" ref="D108:L108" si="51">SUM(D105:D107)</f>
        <v>0</v>
      </c>
      <c r="E108" s="2069">
        <f t="shared" si="51"/>
        <v>0</v>
      </c>
      <c r="F108" s="2068">
        <f t="shared" si="51"/>
        <v>0</v>
      </c>
      <c r="G108" s="2069">
        <f t="shared" si="51"/>
        <v>0</v>
      </c>
      <c r="H108" s="2068">
        <f t="shared" si="51"/>
        <v>0</v>
      </c>
      <c r="I108" s="2070">
        <f t="shared" si="51"/>
        <v>0</v>
      </c>
      <c r="J108" s="2071">
        <f t="shared" si="51"/>
        <v>0</v>
      </c>
      <c r="K108" s="2072">
        <f t="shared" si="51"/>
        <v>0</v>
      </c>
      <c r="L108" s="2069">
        <f t="shared" si="51"/>
        <v>0</v>
      </c>
      <c r="M108" s="2073">
        <f>SUM(M105)</f>
        <v>0</v>
      </c>
      <c r="N108" s="2068" t="str">
        <f>+N105</f>
        <v>COL12</v>
      </c>
      <c r="O108" s="2074" t="str">
        <f>+O105</f>
        <v>COL13</v>
      </c>
      <c r="P108" s="2068" t="str">
        <f>+P105</f>
        <v>COL14</v>
      </c>
      <c r="Q108" s="2074" t="str">
        <f>+Q105</f>
        <v>COL15</v>
      </c>
      <c r="R108" s="2068">
        <f>SUM(R106:R107)</f>
        <v>0</v>
      </c>
      <c r="S108" s="2068">
        <f>SUM(S106:S107)</f>
        <v>0</v>
      </c>
    </row>
    <row r="109" spans="1:19" ht="18" customHeight="1" x14ac:dyDescent="0.3">
      <c r="B109" s="2075" t="s">
        <v>1839</v>
      </c>
      <c r="C109" s="2076"/>
      <c r="D109" s="2077"/>
      <c r="E109" s="2078"/>
      <c r="F109" s="2079"/>
      <c r="G109" s="2079"/>
      <c r="H109" s="2079"/>
      <c r="I109" s="2079"/>
      <c r="J109" s="2080"/>
      <c r="K109" s="777"/>
      <c r="L109" s="2080"/>
      <c r="M109" s="777"/>
      <c r="N109" s="102"/>
    </row>
    <row r="110" spans="1:19" ht="15" customHeight="1" x14ac:dyDescent="0.3">
      <c r="B110" s="6734" t="s">
        <v>1840</v>
      </c>
      <c r="C110" s="6736" t="s">
        <v>1841</v>
      </c>
      <c r="D110" s="6737" t="s">
        <v>1842</v>
      </c>
      <c r="E110" s="6738"/>
      <c r="F110" s="6738"/>
      <c r="G110" s="6738"/>
      <c r="H110" s="6738"/>
      <c r="I110" s="6738"/>
      <c r="J110" s="6738"/>
      <c r="K110" s="6738"/>
      <c r="L110" s="6738"/>
      <c r="M110" s="6739"/>
      <c r="N110" s="6736" t="s">
        <v>1843</v>
      </c>
    </row>
    <row r="111" spans="1:19" ht="38.4" customHeight="1" x14ac:dyDescent="0.3">
      <c r="B111" s="6735"/>
      <c r="C111" s="6729"/>
      <c r="D111" s="2081" t="s">
        <v>74</v>
      </c>
      <c r="E111" s="1968" t="s">
        <v>301</v>
      </c>
      <c r="F111" s="1968" t="s">
        <v>76</v>
      </c>
      <c r="G111" s="1968" t="s">
        <v>77</v>
      </c>
      <c r="H111" s="1968" t="s">
        <v>247</v>
      </c>
      <c r="I111" s="1969" t="s">
        <v>632</v>
      </c>
      <c r="J111" s="1969" t="s">
        <v>1844</v>
      </c>
      <c r="K111" s="1968" t="s">
        <v>457</v>
      </c>
      <c r="L111" s="1969" t="s">
        <v>1845</v>
      </c>
      <c r="M111" s="2082" t="s">
        <v>28</v>
      </c>
      <c r="N111" s="6729"/>
    </row>
    <row r="112" spans="1:19" ht="15" customHeight="1" x14ac:dyDescent="0.3">
      <c r="A112" s="6233" t="s">
        <v>4250</v>
      </c>
      <c r="B112" s="2083" t="s">
        <v>375</v>
      </c>
      <c r="C112" s="2040" t="s">
        <v>5292</v>
      </c>
      <c r="D112" s="2039" t="s">
        <v>5293</v>
      </c>
      <c r="E112" s="2044" t="s">
        <v>5294</v>
      </c>
      <c r="F112" s="2044" t="s">
        <v>5295</v>
      </c>
      <c r="G112" s="2044" t="s">
        <v>5296</v>
      </c>
      <c r="H112" s="2044" t="s">
        <v>5297</v>
      </c>
      <c r="I112" s="2044" t="s">
        <v>5298</v>
      </c>
      <c r="J112" s="2044" t="s">
        <v>5299</v>
      </c>
      <c r="K112" s="2044" t="s">
        <v>5300</v>
      </c>
      <c r="L112" s="2044" t="s">
        <v>5301</v>
      </c>
      <c r="M112" s="2040" t="s">
        <v>5302</v>
      </c>
      <c r="N112" s="2084" t="s">
        <v>5303</v>
      </c>
    </row>
    <row r="113" spans="1:77" ht="15" customHeight="1" x14ac:dyDescent="0.3">
      <c r="A113" s="6233" t="s">
        <v>4251</v>
      </c>
      <c r="B113" s="1058" t="s">
        <v>1846</v>
      </c>
      <c r="C113" s="2057" t="s">
        <v>5292</v>
      </c>
      <c r="D113" s="2058" t="s">
        <v>5293</v>
      </c>
      <c r="E113" s="2085" t="s">
        <v>5294</v>
      </c>
      <c r="F113" s="2085" t="s">
        <v>5295</v>
      </c>
      <c r="G113" s="2085" t="s">
        <v>5296</v>
      </c>
      <c r="H113" s="2085" t="s">
        <v>5297</v>
      </c>
      <c r="I113" s="2085" t="s">
        <v>5298</v>
      </c>
      <c r="J113" s="2085" t="s">
        <v>5299</v>
      </c>
      <c r="K113" s="2085" t="s">
        <v>5300</v>
      </c>
      <c r="L113" s="2085" t="s">
        <v>5301</v>
      </c>
      <c r="M113" s="2057" t="s">
        <v>5302</v>
      </c>
      <c r="N113" s="2086" t="s">
        <v>5303</v>
      </c>
    </row>
    <row r="114" spans="1:77" ht="15" customHeight="1" x14ac:dyDescent="0.3">
      <c r="A114" s="6233" t="s">
        <v>4252</v>
      </c>
      <c r="B114" s="150" t="s">
        <v>1847</v>
      </c>
      <c r="C114" s="2087" t="s">
        <v>5292</v>
      </c>
      <c r="D114" s="2056" t="s">
        <v>5293</v>
      </c>
      <c r="E114" s="2088" t="s">
        <v>5294</v>
      </c>
      <c r="F114" s="2088" t="s">
        <v>5295</v>
      </c>
      <c r="G114" s="2088" t="s">
        <v>5296</v>
      </c>
      <c r="H114" s="2088" t="s">
        <v>5297</v>
      </c>
      <c r="I114" s="2088" t="s">
        <v>5298</v>
      </c>
      <c r="J114" s="2088" t="s">
        <v>5299</v>
      </c>
      <c r="K114" s="2088" t="s">
        <v>5300</v>
      </c>
      <c r="L114" s="2088" t="s">
        <v>5301</v>
      </c>
      <c r="M114" s="2087" t="s">
        <v>5302</v>
      </c>
      <c r="N114" s="2089" t="s">
        <v>5303</v>
      </c>
    </row>
    <row r="115" spans="1:77" ht="18" customHeight="1" x14ac:dyDescent="0.3">
      <c r="A115" s="103"/>
      <c r="B115" s="122" t="s">
        <v>1848</v>
      </c>
      <c r="C115" s="2619"/>
      <c r="D115" s="2619"/>
      <c r="E115" s="2619"/>
      <c r="F115" s="2619"/>
      <c r="G115" s="2619"/>
      <c r="H115" s="2619"/>
      <c r="I115" s="2619"/>
      <c r="J115" s="2619"/>
      <c r="K115" s="2619"/>
      <c r="L115" s="2619"/>
      <c r="M115" s="2619"/>
      <c r="N115" s="2619"/>
      <c r="O115" s="2619"/>
      <c r="P115" s="2619"/>
      <c r="Q115" s="2619"/>
      <c r="R115" s="2619"/>
      <c r="S115" s="2619"/>
      <c r="T115" s="2619"/>
      <c r="U115" s="2619"/>
      <c r="V115" s="2619"/>
      <c r="W115" s="2619"/>
      <c r="X115" s="2619"/>
      <c r="Y115" s="2619"/>
      <c r="Z115" s="2619"/>
      <c r="AA115" s="2619"/>
      <c r="AB115" s="2619"/>
      <c r="AC115" s="2619"/>
      <c r="AD115" s="2619"/>
      <c r="AE115" s="2619"/>
      <c r="AF115" s="2619"/>
      <c r="AG115" s="2619"/>
      <c r="AH115" s="2619"/>
      <c r="AI115" s="2619"/>
      <c r="AJ115" s="2619"/>
      <c r="AK115" s="2619"/>
      <c r="AL115" s="2619"/>
      <c r="AM115" s="2619"/>
      <c r="AN115" s="2619"/>
      <c r="AO115" s="2619"/>
      <c r="AP115" s="2620"/>
      <c r="AQ115" s="2620"/>
      <c r="AR115" s="2609"/>
      <c r="AS115" s="2609"/>
      <c r="BP115"/>
      <c r="BQ115"/>
      <c r="BR115"/>
      <c r="BS115"/>
      <c r="BT115"/>
      <c r="BV115"/>
      <c r="BW115"/>
      <c r="BX115"/>
    </row>
    <row r="116" spans="1:77" ht="15" customHeight="1" x14ac:dyDescent="0.3">
      <c r="A116" s="103"/>
      <c r="B116" s="6740" t="s">
        <v>1727</v>
      </c>
      <c r="C116" s="6741" t="s">
        <v>1</v>
      </c>
      <c r="D116" s="6341"/>
      <c r="E116" s="6342"/>
      <c r="F116" s="6742" t="s">
        <v>30</v>
      </c>
      <c r="G116" s="6743"/>
      <c r="H116" s="6743"/>
      <c r="I116" s="6743"/>
      <c r="J116" s="6743"/>
      <c r="K116" s="6743"/>
      <c r="L116" s="6743"/>
      <c r="M116" s="6743"/>
      <c r="N116" s="6743"/>
      <c r="O116" s="6743"/>
      <c r="P116" s="6743"/>
      <c r="Q116" s="6743"/>
      <c r="R116" s="6743"/>
      <c r="S116" s="6743"/>
      <c r="T116" s="6743"/>
      <c r="U116" s="6743"/>
      <c r="V116" s="6743"/>
      <c r="W116" s="6743"/>
      <c r="X116" s="6743"/>
      <c r="Y116" s="6743"/>
      <c r="Z116" s="6743"/>
      <c r="AA116" s="6743"/>
      <c r="AB116" s="6743"/>
      <c r="AC116" s="6743"/>
      <c r="AD116" s="6743"/>
      <c r="AE116" s="6743"/>
      <c r="AF116" s="6743"/>
      <c r="AG116" s="6743"/>
      <c r="AH116" s="6743"/>
      <c r="AI116" s="6743"/>
      <c r="AJ116" s="6743"/>
      <c r="AK116" s="6743"/>
      <c r="AL116" s="6743"/>
      <c r="AM116" s="6743"/>
      <c r="AN116" s="6743"/>
      <c r="AO116" s="6744"/>
      <c r="AP116" s="6324" t="s">
        <v>67</v>
      </c>
      <c r="AQ116" s="6373" t="s">
        <v>327</v>
      </c>
      <c r="AR116" s="6342" t="s">
        <v>49</v>
      </c>
      <c r="AS116" s="6342" t="s">
        <v>45</v>
      </c>
      <c r="BP116"/>
      <c r="BQ116"/>
      <c r="BR116"/>
      <c r="BS116"/>
      <c r="BT116"/>
      <c r="BV116"/>
      <c r="BW116"/>
      <c r="BX116"/>
    </row>
    <row r="117" spans="1:77" ht="21" customHeight="1" x14ac:dyDescent="0.3">
      <c r="A117" s="103"/>
      <c r="B117" s="6338"/>
      <c r="C117" s="6674"/>
      <c r="D117" s="6675"/>
      <c r="E117" s="6676"/>
      <c r="F117" s="6746" t="s">
        <v>682</v>
      </c>
      <c r="G117" s="6745"/>
      <c r="H117" s="6742" t="s">
        <v>3727</v>
      </c>
      <c r="I117" s="6745"/>
      <c r="J117" s="6742" t="s">
        <v>37</v>
      </c>
      <c r="K117" s="6745"/>
      <c r="L117" s="6742" t="s">
        <v>38</v>
      </c>
      <c r="M117" s="6745"/>
      <c r="N117" s="6742" t="s">
        <v>4</v>
      </c>
      <c r="O117" s="6745"/>
      <c r="P117" s="6742" t="s">
        <v>5</v>
      </c>
      <c r="Q117" s="6745"/>
      <c r="R117" s="6743" t="s">
        <v>6</v>
      </c>
      <c r="S117" s="6745"/>
      <c r="T117" s="6742" t="s">
        <v>7</v>
      </c>
      <c r="U117" s="6745"/>
      <c r="V117" s="6742" t="s">
        <v>8</v>
      </c>
      <c r="W117" s="6745"/>
      <c r="X117" s="6742" t="s">
        <v>9</v>
      </c>
      <c r="Y117" s="6745"/>
      <c r="Z117" s="6742" t="s">
        <v>10</v>
      </c>
      <c r="AA117" s="6745"/>
      <c r="AB117" s="6742" t="s">
        <v>11</v>
      </c>
      <c r="AC117" s="6745"/>
      <c r="AD117" s="6742" t="s">
        <v>18</v>
      </c>
      <c r="AE117" s="6745"/>
      <c r="AF117" s="6742" t="s">
        <v>19</v>
      </c>
      <c r="AG117" s="6745"/>
      <c r="AH117" s="6742" t="s">
        <v>20</v>
      </c>
      <c r="AI117" s="6745"/>
      <c r="AJ117" s="6742" t="s">
        <v>70</v>
      </c>
      <c r="AK117" s="6745"/>
      <c r="AL117" s="6742" t="s">
        <v>71</v>
      </c>
      <c r="AM117" s="6745"/>
      <c r="AN117" s="6743" t="s">
        <v>72</v>
      </c>
      <c r="AO117" s="6744"/>
      <c r="AP117" s="6324"/>
      <c r="AQ117" s="6373"/>
      <c r="AR117" s="6324"/>
      <c r="AS117" s="6324"/>
      <c r="BP117"/>
      <c r="BQ117"/>
      <c r="BR117"/>
      <c r="BS117"/>
      <c r="BT117"/>
      <c r="BV117"/>
      <c r="BW117"/>
      <c r="BX117"/>
    </row>
    <row r="118" spans="1:77" ht="15" customHeight="1" x14ac:dyDescent="0.3">
      <c r="A118" s="103"/>
      <c r="B118" s="6686"/>
      <c r="C118" s="2621" t="s">
        <v>26</v>
      </c>
      <c r="D118" s="2622" t="s">
        <v>22</v>
      </c>
      <c r="E118" s="2557" t="s">
        <v>27</v>
      </c>
      <c r="F118" s="2623" t="s">
        <v>22</v>
      </c>
      <c r="G118" s="2624" t="s">
        <v>27</v>
      </c>
      <c r="H118" s="2623" t="s">
        <v>22</v>
      </c>
      <c r="I118" s="2624" t="s">
        <v>27</v>
      </c>
      <c r="J118" s="2623" t="s">
        <v>22</v>
      </c>
      <c r="K118" s="2624" t="s">
        <v>27</v>
      </c>
      <c r="L118" s="2623" t="s">
        <v>22</v>
      </c>
      <c r="M118" s="2624" t="s">
        <v>27</v>
      </c>
      <c r="N118" s="2623" t="s">
        <v>22</v>
      </c>
      <c r="O118" s="2624" t="s">
        <v>27</v>
      </c>
      <c r="P118" s="2623" t="s">
        <v>22</v>
      </c>
      <c r="Q118" s="2624" t="s">
        <v>27</v>
      </c>
      <c r="R118" s="2623" t="s">
        <v>22</v>
      </c>
      <c r="S118" s="2624" t="s">
        <v>27</v>
      </c>
      <c r="T118" s="2623" t="s">
        <v>22</v>
      </c>
      <c r="U118" s="2624" t="s">
        <v>27</v>
      </c>
      <c r="V118" s="2623" t="s">
        <v>22</v>
      </c>
      <c r="W118" s="2624" t="s">
        <v>27</v>
      </c>
      <c r="X118" s="2623" t="s">
        <v>22</v>
      </c>
      <c r="Y118" s="2624" t="s">
        <v>27</v>
      </c>
      <c r="Z118" s="2623" t="s">
        <v>22</v>
      </c>
      <c r="AA118" s="2624" t="s">
        <v>27</v>
      </c>
      <c r="AB118" s="2623" t="s">
        <v>22</v>
      </c>
      <c r="AC118" s="2624" t="s">
        <v>27</v>
      </c>
      <c r="AD118" s="2623" t="s">
        <v>22</v>
      </c>
      <c r="AE118" s="2624" t="s">
        <v>27</v>
      </c>
      <c r="AF118" s="2623" t="s">
        <v>22</v>
      </c>
      <c r="AG118" s="2624" t="s">
        <v>27</v>
      </c>
      <c r="AH118" s="2623" t="s">
        <v>22</v>
      </c>
      <c r="AI118" s="2624" t="s">
        <v>27</v>
      </c>
      <c r="AJ118" s="2623" t="s">
        <v>22</v>
      </c>
      <c r="AK118" s="2624" t="s">
        <v>27</v>
      </c>
      <c r="AL118" s="2623" t="s">
        <v>22</v>
      </c>
      <c r="AM118" s="2624" t="s">
        <v>27</v>
      </c>
      <c r="AN118" s="2623" t="s">
        <v>22</v>
      </c>
      <c r="AO118" s="2625" t="s">
        <v>27</v>
      </c>
      <c r="AP118" s="6676"/>
      <c r="AQ118" s="6687"/>
      <c r="AR118" s="6676"/>
      <c r="AS118" s="6676"/>
      <c r="BP118"/>
      <c r="BQ118"/>
      <c r="BR118"/>
      <c r="BS118"/>
      <c r="BT118"/>
      <c r="BV118"/>
      <c r="BW118"/>
      <c r="BX118"/>
    </row>
    <row r="119" spans="1:77" ht="15" customHeight="1" x14ac:dyDescent="0.3">
      <c r="A119" s="6248" t="s">
        <v>4253</v>
      </c>
      <c r="B119" s="1678" t="s">
        <v>1849</v>
      </c>
      <c r="C119" s="1058" t="s">
        <v>5292</v>
      </c>
      <c r="D119" s="2090" t="s">
        <v>5293</v>
      </c>
      <c r="E119" s="1934" t="s">
        <v>5294</v>
      </c>
      <c r="F119" s="106" t="s">
        <v>5295</v>
      </c>
      <c r="G119" s="105" t="s">
        <v>5296</v>
      </c>
      <c r="H119" s="106" t="s">
        <v>5297</v>
      </c>
      <c r="I119" s="587" t="s">
        <v>5298</v>
      </c>
      <c r="J119" s="106" t="s">
        <v>5299</v>
      </c>
      <c r="K119" s="587" t="s">
        <v>5300</v>
      </c>
      <c r="L119" s="106" t="s">
        <v>5301</v>
      </c>
      <c r="M119" s="587" t="s">
        <v>5302</v>
      </c>
      <c r="N119" s="106" t="s">
        <v>5303</v>
      </c>
      <c r="O119" s="587" t="s">
        <v>5304</v>
      </c>
      <c r="P119" s="106" t="s">
        <v>5305</v>
      </c>
      <c r="Q119" s="587" t="s">
        <v>5306</v>
      </c>
      <c r="R119" s="588" t="s">
        <v>5307</v>
      </c>
      <c r="S119" s="587" t="s">
        <v>5308</v>
      </c>
      <c r="T119" s="106" t="s">
        <v>5309</v>
      </c>
      <c r="U119" s="587" t="s">
        <v>5310</v>
      </c>
      <c r="V119" s="106" t="s">
        <v>5311</v>
      </c>
      <c r="W119" s="587" t="s">
        <v>5312</v>
      </c>
      <c r="X119" s="106" t="s">
        <v>5313</v>
      </c>
      <c r="Y119" s="587" t="s">
        <v>5314</v>
      </c>
      <c r="Z119" s="106" t="s">
        <v>5315</v>
      </c>
      <c r="AA119" s="587" t="s">
        <v>5316</v>
      </c>
      <c r="AB119" s="106" t="s">
        <v>5317</v>
      </c>
      <c r="AC119" s="587" t="s">
        <v>5318</v>
      </c>
      <c r="AD119" s="106" t="s">
        <v>5319</v>
      </c>
      <c r="AE119" s="587" t="s">
        <v>5320</v>
      </c>
      <c r="AF119" s="106" t="s">
        <v>5321</v>
      </c>
      <c r="AG119" s="587" t="s">
        <v>5322</v>
      </c>
      <c r="AH119" s="106" t="s">
        <v>5323</v>
      </c>
      <c r="AI119" s="587" t="s">
        <v>5324</v>
      </c>
      <c r="AJ119" s="106" t="s">
        <v>5325</v>
      </c>
      <c r="AK119" s="587" t="s">
        <v>5326</v>
      </c>
      <c r="AL119" s="106" t="s">
        <v>5327</v>
      </c>
      <c r="AM119" s="587" t="s">
        <v>5328</v>
      </c>
      <c r="AN119" s="135" t="s">
        <v>5329</v>
      </c>
      <c r="AO119" s="772" t="s">
        <v>5330</v>
      </c>
      <c r="AP119" s="950" t="s">
        <v>5331</v>
      </c>
      <c r="AQ119" s="950" t="s">
        <v>5332</v>
      </c>
      <c r="AR119" s="2091" t="s">
        <v>5333</v>
      </c>
      <c r="AS119" s="2091" t="s">
        <v>5334</v>
      </c>
      <c r="AT119" t="str">
        <f>BP119&amp;BQ119&amp;BR119&amp;BS119&amp;BT119</f>
        <v xml:space="preserve">  * La variable Beneficiarios No puede ser mayor al Total.  * La variable Embarazadas No puede ser mayor al Total Mujeres.  * La variable Niños, Niñas, adolescentes y jóvenes SENAME No puede ser mayor al Total.  * La variable Niños, Niñas, adolescentes y jóvenes Mejor Niñez No puede ser mayor al Total.</v>
      </c>
      <c r="BP119" s="2465" t="str">
        <f>IF(AND(C119&gt;0,AP119="")," * No olvide digitar la variable Beneficiarios. Digite Cero si no tiene.",IF(AP119&gt;C119,"  * La variable Beneficiarios No puede ser mayor al Total.",""))</f>
        <v xml:space="preserve">  * La variable Beneficiarios No puede ser mayor al Total.</v>
      </c>
      <c r="BQ119" s="2465" t="str">
        <f>IF(AND(E119&gt;0,AQ119="")," * No olvide digitar la variable Embarazadas. Digite Cero si no tiene.",IF(AQ119&gt;E119,"  * La variable Embarazadas No puede ser mayor al Total Mujeres.",""))</f>
        <v xml:space="preserve">  * La variable Embarazadas No puede ser mayor al Total Mujeres.</v>
      </c>
      <c r="BR119" s="2465" t="str">
        <f>IF(AND(C119&gt;0,AR119="")," * No olvide digitar la variable Niños, Niñas, adolescentes y jóvenes SENAME. Digite Cero si no tiene.",IF(AR119&gt;C119,"  * La variable Niños, Niñas, adolescentes y jóvenes SENAME No puede ser mayor al Total.",""))</f>
        <v xml:space="preserve">  * La variable Niños, Niñas, adolescentes y jóvenes SENAME No puede ser mayor al Total.</v>
      </c>
      <c r="BS119" s="2465" t="str">
        <f>IF(AND(C119&gt;0,AS119="")," * No olvide digitar la variable Niños, Niñas, adolescentes y jóvenes Mejor niñez. Digite Cero si no tiene.",IF(AS119&gt;C119,"  * La variable Niños, Niñas, adolescentes y jóvenes Mejor Niñez No puede ser mayor al Total.",""))</f>
        <v xml:space="preserve">  * La variable Niños, Niñas, adolescentes y jóvenes Mejor Niñez No puede ser mayor al Total.</v>
      </c>
      <c r="BV119" s="1725">
        <f>IF(AND(C119&gt;0,AP119=""),1,IF(AP119&gt;C119,1,0))</f>
        <v>1</v>
      </c>
      <c r="BW119" s="1725">
        <f>IF(AND(E119&gt;0,AQ119=""),1,IF(AQ119&gt;E119,1,0))</f>
        <v>1</v>
      </c>
      <c r="BX119" s="1725">
        <f>IF(AND(C119&gt;0,AR119=""),1,IF(AR119&gt;C119,1,0))</f>
        <v>1</v>
      </c>
      <c r="BY119" s="1725">
        <f>IF(AND(C119&gt;0,AS119=""),1,IF(AS119&gt;C119,1,0))</f>
        <v>1</v>
      </c>
    </row>
    <row r="120" spans="1:77" ht="15" customHeight="1" x14ac:dyDescent="0.3">
      <c r="A120" s="6248" t="s">
        <v>4254</v>
      </c>
      <c r="B120" s="142" t="s">
        <v>1850</v>
      </c>
      <c r="C120" s="1058" t="s">
        <v>5292</v>
      </c>
      <c r="D120" s="2090" t="s">
        <v>5293</v>
      </c>
      <c r="E120" s="1934" t="s">
        <v>5294</v>
      </c>
      <c r="F120" s="1072" t="s">
        <v>5295</v>
      </c>
      <c r="G120" s="83" t="s">
        <v>5296</v>
      </c>
      <c r="H120" s="1072" t="s">
        <v>5297</v>
      </c>
      <c r="I120" s="1060" t="s">
        <v>5298</v>
      </c>
      <c r="J120" s="1072" t="s">
        <v>5299</v>
      </c>
      <c r="K120" s="1060" t="s">
        <v>5300</v>
      </c>
      <c r="L120" s="1072" t="s">
        <v>5301</v>
      </c>
      <c r="M120" s="1060" t="s">
        <v>5302</v>
      </c>
      <c r="N120" s="1072" t="s">
        <v>5303</v>
      </c>
      <c r="O120" s="1060" t="s">
        <v>5304</v>
      </c>
      <c r="P120" s="1072" t="s">
        <v>5305</v>
      </c>
      <c r="Q120" s="1060" t="s">
        <v>5306</v>
      </c>
      <c r="R120" s="2092" t="s">
        <v>5307</v>
      </c>
      <c r="S120" s="1060" t="s">
        <v>5308</v>
      </c>
      <c r="T120" s="1072" t="s">
        <v>5309</v>
      </c>
      <c r="U120" s="1060" t="s">
        <v>5310</v>
      </c>
      <c r="V120" s="1072" t="s">
        <v>5311</v>
      </c>
      <c r="W120" s="1060" t="s">
        <v>5312</v>
      </c>
      <c r="X120" s="1072" t="s">
        <v>5313</v>
      </c>
      <c r="Y120" s="1060" t="s">
        <v>5314</v>
      </c>
      <c r="Z120" s="1072" t="s">
        <v>5315</v>
      </c>
      <c r="AA120" s="1060" t="s">
        <v>5316</v>
      </c>
      <c r="AB120" s="1072" t="s">
        <v>5317</v>
      </c>
      <c r="AC120" s="1060" t="s">
        <v>5318</v>
      </c>
      <c r="AD120" s="1072" t="s">
        <v>5319</v>
      </c>
      <c r="AE120" s="1060" t="s">
        <v>5320</v>
      </c>
      <c r="AF120" s="1072" t="s">
        <v>5321</v>
      </c>
      <c r="AG120" s="1060" t="s">
        <v>5322</v>
      </c>
      <c r="AH120" s="1072" t="s">
        <v>5323</v>
      </c>
      <c r="AI120" s="1060" t="s">
        <v>5324</v>
      </c>
      <c r="AJ120" s="1072" t="s">
        <v>5325</v>
      </c>
      <c r="AK120" s="1060" t="s">
        <v>5326</v>
      </c>
      <c r="AL120" s="1072" t="s">
        <v>5327</v>
      </c>
      <c r="AM120" s="1060" t="s">
        <v>5328</v>
      </c>
      <c r="AN120" s="126" t="s">
        <v>5329</v>
      </c>
      <c r="AO120" s="1061" t="s">
        <v>5330</v>
      </c>
      <c r="AP120" s="960" t="s">
        <v>5331</v>
      </c>
      <c r="AQ120" s="960" t="s">
        <v>5332</v>
      </c>
      <c r="AR120" s="950" t="s">
        <v>5333</v>
      </c>
      <c r="AS120" s="950" t="s">
        <v>5334</v>
      </c>
      <c r="AT120" t="str">
        <f t="shared" ref="AT120:AT121" si="52">BP120&amp;BQ120&amp;BR120&amp;BS120&amp;BT120</f>
        <v xml:space="preserve">  * La variable Beneficiarios No puede ser mayor al Total.  * La variable Embarazadas No puede ser mayor al Total Mujeres.  * La variable Niños, Niñas, adolescentes y jóvenes SENAME No puede ser mayor al Total.  * La variable Niños, Niñas, adolescentes y jóvenes Mejor Niñez No puede ser mayor al Total.</v>
      </c>
      <c r="BP120" s="2465" t="str">
        <f t="shared" ref="BP120:BP121" si="53">IF(AND(C120&gt;0,AP120="")," * No olvide digitar la variable Beneficiarios. Digite Cero si no tiene.",IF(AP120&gt;C120,"  * La variable Beneficiarios No puede ser mayor al Total.",""))</f>
        <v xml:space="preserve">  * La variable Beneficiarios No puede ser mayor al Total.</v>
      </c>
      <c r="BQ120" s="2465" t="str">
        <f t="shared" ref="BQ120:BQ121" si="54">IF(AND(E120&gt;0,AQ120="")," * No olvide digitar la variable Embarazadas. Digite Cero si no tiene.",IF(AQ120&gt;E120,"  * La variable Embarazadas No puede ser mayor al Total Mujeres.",""))</f>
        <v xml:space="preserve">  * La variable Embarazadas No puede ser mayor al Total Mujeres.</v>
      </c>
      <c r="BR120" s="2465" t="str">
        <f t="shared" ref="BR120:BR121" si="55">IF(AND(C120&gt;0,AR120="")," * No olvide digitar la variable Niños, Niñas, adolescentes y jóvenes SENAME. Digite Cero si no tiene.",IF(AR120&gt;C120,"  * La variable Niños, Niñas, adolescentes y jóvenes SENAME No puede ser mayor al Total.",""))</f>
        <v xml:space="preserve">  * La variable Niños, Niñas, adolescentes y jóvenes SENAME No puede ser mayor al Total.</v>
      </c>
      <c r="BS120" s="2465" t="str">
        <f t="shared" ref="BS120:BS121" si="56">IF(AND(C120&gt;0,AS120="")," * No olvide digitar la variable Niños, Niñas, adolescentes y jóvenes Mejor niñez. Digite Cero si no tiene.",IF(AS120&gt;C120,"  * La variable Niños, Niñas, adolescentes y jóvenes Mejor Niñez No puede ser mayor al Total.",""))</f>
        <v xml:space="preserve">  * La variable Niños, Niñas, adolescentes y jóvenes Mejor Niñez No puede ser mayor al Total.</v>
      </c>
      <c r="BV120" s="1725">
        <f t="shared" ref="BV120:BV121" si="57">IF(AND(C120&gt;0,AP120=""),1,IF(AP120&gt;C120,1,0))</f>
        <v>1</v>
      </c>
      <c r="BW120" s="1725">
        <f t="shared" ref="BW120:BW121" si="58">IF(AND(E120&gt;0,AQ120=""),1,IF(AQ120&gt;E120,1,0))</f>
        <v>1</v>
      </c>
      <c r="BX120" s="1725">
        <f t="shared" ref="BX120:BX121" si="59">IF(AND(C120&gt;0,AR120=""),1,IF(AR120&gt;C120,1,0))</f>
        <v>1</v>
      </c>
      <c r="BY120" s="1725">
        <f t="shared" ref="BY120:BY121" si="60">IF(AND(C120&gt;0,AS120=""),1,IF(AS120&gt;C120,1,0))</f>
        <v>1</v>
      </c>
    </row>
    <row r="121" spans="1:77" ht="15" customHeight="1" x14ac:dyDescent="0.3">
      <c r="A121" s="6248" t="s">
        <v>4255</v>
      </c>
      <c r="B121" s="1905" t="s">
        <v>1851</v>
      </c>
      <c r="C121" s="150" t="s">
        <v>5292</v>
      </c>
      <c r="D121" s="583" t="s">
        <v>5293</v>
      </c>
      <c r="E121" s="1935" t="s">
        <v>5294</v>
      </c>
      <c r="F121" s="114" t="s">
        <v>5295</v>
      </c>
      <c r="G121" s="117" t="s">
        <v>5296</v>
      </c>
      <c r="H121" s="114" t="s">
        <v>5297</v>
      </c>
      <c r="I121" s="116" t="s">
        <v>5298</v>
      </c>
      <c r="J121" s="114" t="s">
        <v>5299</v>
      </c>
      <c r="K121" s="116" t="s">
        <v>5300</v>
      </c>
      <c r="L121" s="114" t="s">
        <v>5301</v>
      </c>
      <c r="M121" s="116" t="s">
        <v>5302</v>
      </c>
      <c r="N121" s="114" t="s">
        <v>5303</v>
      </c>
      <c r="O121" s="116" t="s">
        <v>5304</v>
      </c>
      <c r="P121" s="114" t="s">
        <v>5305</v>
      </c>
      <c r="Q121" s="116" t="s">
        <v>5306</v>
      </c>
      <c r="R121" s="121" t="s">
        <v>5307</v>
      </c>
      <c r="S121" s="116" t="s">
        <v>5308</v>
      </c>
      <c r="T121" s="114" t="s">
        <v>5309</v>
      </c>
      <c r="U121" s="116" t="s">
        <v>5310</v>
      </c>
      <c r="V121" s="114" t="s">
        <v>5311</v>
      </c>
      <c r="W121" s="116" t="s">
        <v>5312</v>
      </c>
      <c r="X121" s="114" t="s">
        <v>5313</v>
      </c>
      <c r="Y121" s="116" t="s">
        <v>5314</v>
      </c>
      <c r="Z121" s="114" t="s">
        <v>5315</v>
      </c>
      <c r="AA121" s="116" t="s">
        <v>5316</v>
      </c>
      <c r="AB121" s="114" t="s">
        <v>5317</v>
      </c>
      <c r="AC121" s="116" t="s">
        <v>5318</v>
      </c>
      <c r="AD121" s="114" t="s">
        <v>5319</v>
      </c>
      <c r="AE121" s="116" t="s">
        <v>5320</v>
      </c>
      <c r="AF121" s="114" t="s">
        <v>5321</v>
      </c>
      <c r="AG121" s="116" t="s">
        <v>5322</v>
      </c>
      <c r="AH121" s="114" t="s">
        <v>5323</v>
      </c>
      <c r="AI121" s="116" t="s">
        <v>5324</v>
      </c>
      <c r="AJ121" s="114" t="s">
        <v>5325</v>
      </c>
      <c r="AK121" s="116" t="s">
        <v>5326</v>
      </c>
      <c r="AL121" s="114" t="s">
        <v>5327</v>
      </c>
      <c r="AM121" s="116" t="s">
        <v>5328</v>
      </c>
      <c r="AN121" s="138" t="s">
        <v>5329</v>
      </c>
      <c r="AO121" s="162" t="s">
        <v>5330</v>
      </c>
      <c r="AP121" s="941" t="s">
        <v>5331</v>
      </c>
      <c r="AQ121" s="941" t="s">
        <v>5332</v>
      </c>
      <c r="AR121" s="1789" t="s">
        <v>5333</v>
      </c>
      <c r="AS121" s="941" t="s">
        <v>5334</v>
      </c>
      <c r="AT121" t="str">
        <f t="shared" si="52"/>
        <v xml:space="preserve">  * La variable Beneficiarios No puede ser mayor al Total.  * La variable Embarazadas No puede ser mayor al Total Mujeres.  * La variable Niños, Niñas, adolescentes y jóvenes SENAME No puede ser mayor al Total.  * La variable Niños, Niñas, adolescentes y jóvenes Mejor Niñez No puede ser mayor al Total.</v>
      </c>
      <c r="BP121" s="2465" t="str">
        <f t="shared" si="53"/>
        <v xml:space="preserve">  * La variable Beneficiarios No puede ser mayor al Total.</v>
      </c>
      <c r="BQ121" s="2465" t="str">
        <f t="shared" si="54"/>
        <v xml:space="preserve">  * La variable Embarazadas No puede ser mayor al Total Mujeres.</v>
      </c>
      <c r="BR121" s="2465" t="str">
        <f t="shared" si="55"/>
        <v xml:space="preserve">  * La variable Niños, Niñas, adolescentes y jóvenes SENAME No puede ser mayor al Total.</v>
      </c>
      <c r="BS121" s="2465" t="str">
        <f t="shared" si="56"/>
        <v xml:space="preserve">  * La variable Niños, Niñas, adolescentes y jóvenes Mejor Niñez No puede ser mayor al Total.</v>
      </c>
      <c r="BV121" s="1725">
        <f t="shared" si="57"/>
        <v>1</v>
      </c>
      <c r="BW121" s="1725">
        <f t="shared" si="58"/>
        <v>1</v>
      </c>
      <c r="BX121" s="1725">
        <f t="shared" si="59"/>
        <v>1</v>
      </c>
      <c r="BY121" s="1725">
        <f t="shared" si="60"/>
        <v>1</v>
      </c>
    </row>
    <row r="122" spans="1:77" ht="18" customHeight="1" x14ac:dyDescent="0.3">
      <c r="B122" s="122" t="s">
        <v>1852</v>
      </c>
      <c r="C122" s="2626"/>
      <c r="D122" s="2626"/>
      <c r="E122" s="112"/>
      <c r="F122" s="2626"/>
      <c r="G122" s="112"/>
      <c r="H122" s="112"/>
      <c r="I122" s="112"/>
      <c r="J122" s="112"/>
      <c r="K122" s="112"/>
      <c r="L122" s="112"/>
      <c r="BP122"/>
      <c r="BQ122"/>
      <c r="BR122"/>
      <c r="BS122"/>
      <c r="BT122"/>
      <c r="BV122"/>
      <c r="BW122"/>
      <c r="BX122"/>
    </row>
    <row r="123" spans="1:77" ht="15" customHeight="1" x14ac:dyDescent="0.3">
      <c r="A123" s="6236"/>
      <c r="B123" s="6611" t="s">
        <v>1121</v>
      </c>
      <c r="C123" s="6625"/>
      <c r="D123" s="6740" t="s">
        <v>24</v>
      </c>
      <c r="E123" s="6749" t="s">
        <v>12</v>
      </c>
      <c r="F123" s="6750"/>
      <c r="G123" s="6750"/>
      <c r="H123" s="6750"/>
      <c r="I123" s="6751"/>
      <c r="J123" s="6752" t="s">
        <v>39</v>
      </c>
      <c r="K123" s="6754" t="s">
        <v>2</v>
      </c>
      <c r="L123" s="6756" t="s">
        <v>3</v>
      </c>
      <c r="BP123"/>
      <c r="BQ123"/>
      <c r="BR123"/>
      <c r="BS123"/>
      <c r="BT123"/>
      <c r="BV123"/>
      <c r="BW123"/>
      <c r="BX123"/>
    </row>
    <row r="124" spans="1:77" ht="35.4" customHeight="1" x14ac:dyDescent="0.3">
      <c r="A124" s="6236"/>
      <c r="B124" s="6747"/>
      <c r="C124" s="6748"/>
      <c r="D124" s="6686"/>
      <c r="E124" s="4499" t="s">
        <v>1853</v>
      </c>
      <c r="F124" s="4500" t="s">
        <v>1854</v>
      </c>
      <c r="G124" s="4500" t="s">
        <v>1855</v>
      </c>
      <c r="H124" s="4500" t="s">
        <v>1856</v>
      </c>
      <c r="I124" s="4498" t="s">
        <v>1857</v>
      </c>
      <c r="J124" s="6753"/>
      <c r="K124" s="6755"/>
      <c r="L124" s="6757"/>
      <c r="BP124"/>
      <c r="BQ124"/>
      <c r="BR124"/>
      <c r="BS124"/>
      <c r="BT124"/>
      <c r="BV124"/>
      <c r="BW124"/>
      <c r="BX124"/>
    </row>
    <row r="125" spans="1:77" ht="15" customHeight="1" x14ac:dyDescent="0.3">
      <c r="A125" s="6233" t="s">
        <v>4256</v>
      </c>
      <c r="B125" s="6766" t="s">
        <v>1858</v>
      </c>
      <c r="C125" s="2093" t="s">
        <v>1859</v>
      </c>
      <c r="D125" s="2094" t="s">
        <v>5292</v>
      </c>
      <c r="E125" s="4501" t="s">
        <v>5293</v>
      </c>
      <c r="F125" s="4502" t="s">
        <v>5294</v>
      </c>
      <c r="G125" s="4502" t="s">
        <v>5295</v>
      </c>
      <c r="H125" s="4502" t="s">
        <v>5296</v>
      </c>
      <c r="I125" s="4503" t="s">
        <v>5297</v>
      </c>
      <c r="J125" s="4492" t="s">
        <v>5298</v>
      </c>
      <c r="K125" s="4482" t="s">
        <v>5299</v>
      </c>
      <c r="L125" s="4483" t="s">
        <v>5300</v>
      </c>
      <c r="M125" t="str">
        <f>BP125&amp;BQ125&amp;BR125</f>
        <v xml:space="preserve"> * La variable Pueblos originarios No puede ser mayor al Total. * La variable Migrantes No puede ser mayor al Total.</v>
      </c>
      <c r="BP125" s="170"/>
      <c r="BQ125" s="1723" t="str">
        <f>IF(AND(D125&gt;0,K125="")," * No olvide digitar la variable Pueblos originarios. Digite Cero si no tiene.",IF(K125&gt;D125," * La variable Pueblos originarios No puede ser mayor al Total.",""))</f>
        <v xml:space="preserve"> * La variable Pueblos originarios No puede ser mayor al Total.</v>
      </c>
      <c r="BR125" s="1723" t="str">
        <f>IF(AND(D125&gt;0,L125="")," * No olvide digitar la variable Migrantes. Digite Cero si no tiene.",IF(L125&gt;D125," * La variable Migrantes No puede ser mayor al Total.",""))</f>
        <v xml:space="preserve"> * La variable Migrantes No puede ser mayor al Total.</v>
      </c>
      <c r="BS125"/>
      <c r="BT125"/>
      <c r="BV125"/>
      <c r="BW125" s="1725">
        <f>IF(AND(D125&gt;0,K125=""),1,IF(K125&gt;D125,1,0))</f>
        <v>1</v>
      </c>
      <c r="BX125" s="1725">
        <f>IF(AND(D125&gt;0,L125=""),1,IF(L125&gt;D125,1,0))</f>
        <v>1</v>
      </c>
    </row>
    <row r="126" spans="1:77" ht="24" customHeight="1" x14ac:dyDescent="0.3">
      <c r="A126" s="6233" t="s">
        <v>4257</v>
      </c>
      <c r="B126" s="6349"/>
      <c r="C126" s="326" t="s">
        <v>1860</v>
      </c>
      <c r="D126" s="1113" t="s">
        <v>5292</v>
      </c>
      <c r="E126" s="4504" t="s">
        <v>5293</v>
      </c>
      <c r="F126" s="4505" t="s">
        <v>5294</v>
      </c>
      <c r="G126" s="4505" t="s">
        <v>5295</v>
      </c>
      <c r="H126" s="4505" t="s">
        <v>5296</v>
      </c>
      <c r="I126" s="4481" t="s">
        <v>5297</v>
      </c>
      <c r="J126" s="4492" t="s">
        <v>5298</v>
      </c>
      <c r="K126" s="4484" t="s">
        <v>5299</v>
      </c>
      <c r="L126" s="4485" t="s">
        <v>5300</v>
      </c>
      <c r="M126" t="str">
        <f t="shared" ref="M126:M129" si="61">BP126&amp;BQ126&amp;BR126</f>
        <v xml:space="preserve"> * La variable Pueblos originarios No puede ser mayor al Total. * La variable Migrantes No puede ser mayor al Total.</v>
      </c>
      <c r="BP126" s="170"/>
      <c r="BQ126" s="1723" t="str">
        <f t="shared" ref="BQ126:BQ133" si="62">IF(AND(D126&gt;0,K126="")," * No olvide digitar la variable Pueblos originarios. Digite Cero si no tiene.",IF(K126&gt;D126," * La variable Pueblos originarios No puede ser mayor al Total.",""))</f>
        <v xml:space="preserve"> * La variable Pueblos originarios No puede ser mayor al Total.</v>
      </c>
      <c r="BR126" s="1723" t="str">
        <f t="shared" ref="BR126:BR133" si="63">IF(AND(D126&gt;0,L126="")," * No olvide digitar la variable Migrantes. Digite Cero si no tiene.",IF(L126&gt;D126," * La variable Migrantes No puede ser mayor al Total.",""))</f>
        <v xml:space="preserve"> * La variable Migrantes No puede ser mayor al Total.</v>
      </c>
      <c r="BS126"/>
      <c r="BT126"/>
      <c r="BV126"/>
      <c r="BW126" s="1725">
        <f t="shared" ref="BW126:BW133" si="64">IF(AND(D126&gt;0,K126=""),1,IF(K126&gt;D126,1,0))</f>
        <v>1</v>
      </c>
      <c r="BX126" s="1725">
        <f t="shared" ref="BX126:BX133" si="65">IF(AND(D126&gt;0,L126=""),1,IF(L126&gt;D126,1,0))</f>
        <v>1</v>
      </c>
    </row>
    <row r="127" spans="1:77" ht="15" customHeight="1" x14ac:dyDescent="0.3">
      <c r="A127" s="6233" t="s">
        <v>4258</v>
      </c>
      <c r="B127" s="6767"/>
      <c r="C127" s="322" t="s">
        <v>1861</v>
      </c>
      <c r="D127" s="2095" t="s">
        <v>5292</v>
      </c>
      <c r="E127" s="4506" t="s">
        <v>5293</v>
      </c>
      <c r="F127" s="4507" t="s">
        <v>5294</v>
      </c>
      <c r="G127" s="4507" t="s">
        <v>5295</v>
      </c>
      <c r="H127" s="4507" t="s">
        <v>5296</v>
      </c>
      <c r="I127" s="4508" t="s">
        <v>5297</v>
      </c>
      <c r="J127" s="4492" t="s">
        <v>5298</v>
      </c>
      <c r="K127" s="4486" t="s">
        <v>5299</v>
      </c>
      <c r="L127" s="4487" t="s">
        <v>5300</v>
      </c>
      <c r="M127" t="str">
        <f t="shared" si="61"/>
        <v xml:space="preserve"> * La variable Pueblos originarios No puede ser mayor al Total. * La variable Migrantes No puede ser mayor al Total.</v>
      </c>
      <c r="BP127" s="170"/>
      <c r="BQ127" s="1723" t="str">
        <f t="shared" si="62"/>
        <v xml:space="preserve"> * La variable Pueblos originarios No puede ser mayor al Total.</v>
      </c>
      <c r="BR127" s="1723" t="str">
        <f t="shared" si="63"/>
        <v xml:space="preserve"> * La variable Migrantes No puede ser mayor al Total.</v>
      </c>
      <c r="BS127"/>
      <c r="BT127"/>
      <c r="BV127"/>
      <c r="BW127" s="1725">
        <f t="shared" si="64"/>
        <v>1</v>
      </c>
      <c r="BX127" s="1725">
        <f t="shared" si="65"/>
        <v>1</v>
      </c>
    </row>
    <row r="128" spans="1:77" ht="23.25" customHeight="1" x14ac:dyDescent="0.3">
      <c r="A128" s="6233" t="s">
        <v>4259</v>
      </c>
      <c r="B128" s="6768" t="s">
        <v>1862</v>
      </c>
      <c r="C128" s="2096" t="s">
        <v>1863</v>
      </c>
      <c r="D128" s="2097" t="s">
        <v>5292</v>
      </c>
      <c r="E128" s="4509" t="s">
        <v>5293</v>
      </c>
      <c r="F128" s="2098" t="s">
        <v>5294</v>
      </c>
      <c r="G128" s="2098" t="s">
        <v>5295</v>
      </c>
      <c r="H128" s="2098" t="s">
        <v>5296</v>
      </c>
      <c r="I128" s="4510" t="s">
        <v>5297</v>
      </c>
      <c r="J128" s="4493" t="s">
        <v>5298</v>
      </c>
      <c r="K128" s="4488" t="s">
        <v>5299</v>
      </c>
      <c r="L128" s="4489" t="s">
        <v>5300</v>
      </c>
      <c r="M128" t="str">
        <f t="shared" si="61"/>
        <v xml:space="preserve">  * La variable Pueblos Gestantes No puede ser mayor al Total. * La variable Pueblos originarios No puede ser mayor al Total. * La variable Migrantes No puede ser mayor al Total.</v>
      </c>
      <c r="BP128" s="2466" t="str">
        <f>IF(AND(D128&gt;0,J128="")," * No olvide digitar la variable Gestantes. Digite Cero si no tiene.",IF(J128&gt;D128,"  * La variable Pueblos Gestantes No puede ser mayor al Total.",""))</f>
        <v xml:space="preserve">  * La variable Pueblos Gestantes No puede ser mayor al Total.</v>
      </c>
      <c r="BQ128" s="1723" t="str">
        <f t="shared" si="62"/>
        <v xml:space="preserve"> * La variable Pueblos originarios No puede ser mayor al Total.</v>
      </c>
      <c r="BR128" s="1723" t="str">
        <f t="shared" si="63"/>
        <v xml:space="preserve"> * La variable Migrantes No puede ser mayor al Total.</v>
      </c>
      <c r="BS128"/>
      <c r="BT128"/>
      <c r="BV128" s="1723">
        <f>IF(AND(D128&gt;0,J128=""),1,IF(J128&gt;D128,1,0))</f>
        <v>1</v>
      </c>
      <c r="BW128" s="1725">
        <f t="shared" si="64"/>
        <v>1</v>
      </c>
      <c r="BX128" s="1725">
        <f t="shared" si="65"/>
        <v>1</v>
      </c>
    </row>
    <row r="129" spans="1:77" ht="25.5" customHeight="1" x14ac:dyDescent="0.3">
      <c r="A129" s="6233" t="s">
        <v>4260</v>
      </c>
      <c r="B129" s="6767"/>
      <c r="C129" s="2099" t="s">
        <v>1864</v>
      </c>
      <c r="D129" s="2095" t="s">
        <v>5292</v>
      </c>
      <c r="E129" s="4511" t="s">
        <v>5293</v>
      </c>
      <c r="F129" s="2100" t="s">
        <v>5294</v>
      </c>
      <c r="G129" s="2100" t="s">
        <v>5295</v>
      </c>
      <c r="H129" s="2100" t="s">
        <v>5296</v>
      </c>
      <c r="I129" s="4512" t="s">
        <v>5297</v>
      </c>
      <c r="J129" s="4494" t="s">
        <v>5298</v>
      </c>
      <c r="K129" s="4486" t="s">
        <v>5299</v>
      </c>
      <c r="L129" s="4487" t="s">
        <v>5300</v>
      </c>
      <c r="M129" t="str">
        <f t="shared" si="61"/>
        <v xml:space="preserve"> * La variable Pueblos originarios No puede ser mayor al Total. * La variable Migrantes No puede ser mayor al Total.</v>
      </c>
      <c r="BP129" s="170"/>
      <c r="BQ129" s="1723" t="str">
        <f t="shared" si="62"/>
        <v xml:space="preserve"> * La variable Pueblos originarios No puede ser mayor al Total.</v>
      </c>
      <c r="BR129" s="1723" t="str">
        <f t="shared" si="63"/>
        <v xml:space="preserve"> * La variable Migrantes No puede ser mayor al Total.</v>
      </c>
      <c r="BS129"/>
      <c r="BT129"/>
      <c r="BV129"/>
      <c r="BW129" s="1725">
        <f t="shared" si="64"/>
        <v>1</v>
      </c>
      <c r="BX129" s="1725">
        <f t="shared" si="65"/>
        <v>1</v>
      </c>
    </row>
    <row r="130" spans="1:77" ht="15" customHeight="1" x14ac:dyDescent="0.3">
      <c r="A130" s="6233" t="s">
        <v>4261</v>
      </c>
      <c r="B130" s="6349" t="s">
        <v>1865</v>
      </c>
      <c r="C130" s="1939" t="s">
        <v>74</v>
      </c>
      <c r="D130" s="2101" t="s">
        <v>5292</v>
      </c>
      <c r="E130" s="4513" t="s">
        <v>5293</v>
      </c>
      <c r="F130" s="4514" t="s">
        <v>5294</v>
      </c>
      <c r="G130" s="4514" t="s">
        <v>5295</v>
      </c>
      <c r="H130" s="4514" t="s">
        <v>5296</v>
      </c>
      <c r="I130" s="4503" t="s">
        <v>5297</v>
      </c>
      <c r="J130" s="4495" t="s">
        <v>5298</v>
      </c>
      <c r="K130" s="4490" t="s">
        <v>5299</v>
      </c>
      <c r="L130" s="4491" t="s">
        <v>5300</v>
      </c>
      <c r="M130" t="str">
        <f>BP130&amp;BQ130&amp;BR130</f>
        <v xml:space="preserve"> * La variable Gestantes No puede ser mayor al Total. * La variable Pueblos originarios No puede ser mayor al Total. * La variable Migrantes No puede ser mayor al Total.</v>
      </c>
      <c r="BP130" s="1723" t="str">
        <f>IF(AND(D130&gt;0,J130="")," * No olvide digitar la variable Gestantes. Digite Cero si no tiene.",IF(J130&gt;D130," * La variable Gestantes No puede ser mayor al Total.",""))</f>
        <v xml:space="preserve"> * La variable Gestantes No puede ser mayor al Total.</v>
      </c>
      <c r="BQ130" s="1723" t="str">
        <f t="shared" si="62"/>
        <v xml:space="preserve"> * La variable Pueblos originarios No puede ser mayor al Total.</v>
      </c>
      <c r="BR130" s="1723" t="str">
        <f t="shared" si="63"/>
        <v xml:space="preserve"> * La variable Migrantes No puede ser mayor al Total.</v>
      </c>
      <c r="BS130" t="str">
        <f>IF(AND(D130&gt;0,J130="")," * No olvide digitar la variable Gestantes. Digite Cero si no tiene.",IF(J130&gt;D130," * La variable Gestantes No puede ser mayor al Total.",""))</f>
        <v xml:space="preserve"> * La variable Gestantes No puede ser mayor al Total.</v>
      </c>
      <c r="BT130"/>
      <c r="BV130"/>
      <c r="BW130" s="1725">
        <f t="shared" si="64"/>
        <v>1</v>
      </c>
      <c r="BX130" s="1725">
        <f t="shared" si="65"/>
        <v>1</v>
      </c>
      <c r="BY130" s="1725">
        <f>IF(AND(D130&gt;0,J130=""),1,IF(J130&gt;D130,1,0))</f>
        <v>1</v>
      </c>
    </row>
    <row r="131" spans="1:77" ht="15" customHeight="1" x14ac:dyDescent="0.3">
      <c r="A131" s="6233" t="s">
        <v>4262</v>
      </c>
      <c r="B131" s="6349"/>
      <c r="C131" s="1939" t="s">
        <v>77</v>
      </c>
      <c r="D131" s="2101" t="s">
        <v>5292</v>
      </c>
      <c r="E131" s="4513" t="s">
        <v>5293</v>
      </c>
      <c r="F131" s="4514" t="s">
        <v>5294</v>
      </c>
      <c r="G131" s="4514" t="s">
        <v>5295</v>
      </c>
      <c r="H131" s="4514" t="s">
        <v>5296</v>
      </c>
      <c r="I131" s="4515" t="s">
        <v>5297</v>
      </c>
      <c r="J131" s="4495" t="s">
        <v>5298</v>
      </c>
      <c r="K131" s="4490" t="s">
        <v>5299</v>
      </c>
      <c r="L131" s="4491" t="s">
        <v>5300</v>
      </c>
      <c r="M131" t="str">
        <f t="shared" ref="M131:M133" si="66">BP131&amp;BQ131&amp;BR131</f>
        <v xml:space="preserve"> * La variable Gestantes No puede ser mayor al Total. * La variable Pueblos originarios No puede ser mayor al Total. * La variable Migrantes No puede ser mayor al Total.</v>
      </c>
      <c r="BP131" s="1723" t="str">
        <f t="shared" ref="BP131:BP133" si="67">IF(AND(D131&gt;0,J131="")," * No olvide digitar la variable Gestantes. Digite Cero si no tiene.",IF(J131&gt;D131," * La variable Gestantes No puede ser mayor al Total.",""))</f>
        <v xml:space="preserve"> * La variable Gestantes No puede ser mayor al Total.</v>
      </c>
      <c r="BQ131" s="1723" t="str">
        <f t="shared" si="62"/>
        <v xml:space="preserve"> * La variable Pueblos originarios No puede ser mayor al Total.</v>
      </c>
      <c r="BR131" s="1723" t="str">
        <f t="shared" si="63"/>
        <v xml:space="preserve"> * La variable Migrantes No puede ser mayor al Total.</v>
      </c>
      <c r="BS131"/>
      <c r="BT131"/>
      <c r="BV131"/>
      <c r="BW131" s="1725">
        <f t="shared" si="64"/>
        <v>1</v>
      </c>
      <c r="BX131" s="1725">
        <f t="shared" si="65"/>
        <v>1</v>
      </c>
      <c r="BY131" s="1725">
        <f t="shared" ref="BY131:BY133" si="68">IF(AND(D131&gt;0,J131=""),1,IF(J131&gt;D131,1,0))</f>
        <v>1</v>
      </c>
    </row>
    <row r="132" spans="1:77" ht="15" customHeight="1" x14ac:dyDescent="0.3">
      <c r="A132" s="6233" t="s">
        <v>4263</v>
      </c>
      <c r="B132" s="6349"/>
      <c r="C132" s="2102" t="s">
        <v>76</v>
      </c>
      <c r="D132" s="2101" t="s">
        <v>5292</v>
      </c>
      <c r="E132" s="4504" t="s">
        <v>5293</v>
      </c>
      <c r="F132" s="4505" t="s">
        <v>5294</v>
      </c>
      <c r="G132" s="4505" t="s">
        <v>5295</v>
      </c>
      <c r="H132" s="4505" t="s">
        <v>5296</v>
      </c>
      <c r="I132" s="4481" t="s">
        <v>5297</v>
      </c>
      <c r="J132" s="4496" t="s">
        <v>5298</v>
      </c>
      <c r="K132" s="4484" t="s">
        <v>5299</v>
      </c>
      <c r="L132" s="4485" t="s">
        <v>5300</v>
      </c>
      <c r="M132" t="str">
        <f t="shared" si="66"/>
        <v xml:space="preserve"> * La variable Gestantes No puede ser mayor al Total. * La variable Pueblos originarios No puede ser mayor al Total. * La variable Migrantes No puede ser mayor al Total.</v>
      </c>
      <c r="BP132" s="1723" t="str">
        <f t="shared" si="67"/>
        <v xml:space="preserve"> * La variable Gestantes No puede ser mayor al Total.</v>
      </c>
      <c r="BQ132" s="1723" t="str">
        <f t="shared" si="62"/>
        <v xml:space="preserve"> * La variable Pueblos originarios No puede ser mayor al Total.</v>
      </c>
      <c r="BR132" s="1723" t="str">
        <f t="shared" si="63"/>
        <v xml:space="preserve"> * La variable Migrantes No puede ser mayor al Total.</v>
      </c>
      <c r="BS132"/>
      <c r="BT132"/>
      <c r="BV132"/>
      <c r="BW132" s="1725">
        <f t="shared" si="64"/>
        <v>1</v>
      </c>
      <c r="BX132" s="1725">
        <f t="shared" si="65"/>
        <v>1</v>
      </c>
      <c r="BY132" s="1725">
        <f t="shared" si="68"/>
        <v>1</v>
      </c>
    </row>
    <row r="133" spans="1:77" ht="15" customHeight="1" x14ac:dyDescent="0.3">
      <c r="A133" s="6233" t="s">
        <v>4264</v>
      </c>
      <c r="B133" s="6767"/>
      <c r="C133" s="119" t="s">
        <v>1798</v>
      </c>
      <c r="D133" s="150" t="s">
        <v>5292</v>
      </c>
      <c r="E133" s="4506" t="s">
        <v>5293</v>
      </c>
      <c r="F133" s="4507" t="s">
        <v>5294</v>
      </c>
      <c r="G133" s="4507" t="s">
        <v>5295</v>
      </c>
      <c r="H133" s="4507" t="s">
        <v>5296</v>
      </c>
      <c r="I133" s="4508" t="s">
        <v>5297</v>
      </c>
      <c r="J133" s="4497" t="s">
        <v>5298</v>
      </c>
      <c r="K133" s="4486" t="s">
        <v>5299</v>
      </c>
      <c r="L133" s="4487" t="s">
        <v>5300</v>
      </c>
      <c r="M133" t="str">
        <f t="shared" si="66"/>
        <v xml:space="preserve"> * La variable Gestantes No puede ser mayor al Total. * La variable Pueblos originarios No puede ser mayor al Total. * La variable Migrantes No puede ser mayor al Total.</v>
      </c>
      <c r="BP133" s="1723" t="str">
        <f t="shared" si="67"/>
        <v xml:space="preserve"> * La variable Gestantes No puede ser mayor al Total.</v>
      </c>
      <c r="BQ133" s="1723" t="str">
        <f t="shared" si="62"/>
        <v xml:space="preserve"> * La variable Pueblos originarios No puede ser mayor al Total.</v>
      </c>
      <c r="BR133" s="1723" t="str">
        <f t="shared" si="63"/>
        <v xml:space="preserve"> * La variable Migrantes No puede ser mayor al Total.</v>
      </c>
      <c r="BS133"/>
      <c r="BT133"/>
      <c r="BV133"/>
      <c r="BW133" s="1725">
        <f t="shared" si="64"/>
        <v>1</v>
      </c>
      <c r="BX133" s="1725">
        <f t="shared" si="65"/>
        <v>1</v>
      </c>
      <c r="BY133" s="1725">
        <f t="shared" si="68"/>
        <v>1</v>
      </c>
    </row>
    <row r="134" spans="1:77" ht="18" customHeight="1" x14ac:dyDescent="0.3">
      <c r="B134" s="14" t="s">
        <v>1866</v>
      </c>
      <c r="AO134" s="2497"/>
      <c r="AP134" s="2497"/>
      <c r="BP134"/>
      <c r="BQ134"/>
      <c r="BR134"/>
      <c r="BS134"/>
      <c r="BT134"/>
      <c r="BV134"/>
      <c r="BW134"/>
      <c r="BX134"/>
    </row>
    <row r="135" spans="1:77" ht="15" customHeight="1" x14ac:dyDescent="0.3">
      <c r="A135" s="6236"/>
      <c r="B135" s="6769" t="s">
        <v>61</v>
      </c>
      <c r="C135" s="6769" t="s">
        <v>1867</v>
      </c>
      <c r="D135" s="6772" t="s">
        <v>26</v>
      </c>
      <c r="E135" s="6758" t="s">
        <v>22</v>
      </c>
      <c r="F135" s="6761" t="s">
        <v>27</v>
      </c>
      <c r="G135" s="6789" t="s">
        <v>30</v>
      </c>
      <c r="H135" s="6790"/>
      <c r="I135" s="6790"/>
      <c r="J135" s="6790"/>
      <c r="K135" s="6790"/>
      <c r="L135" s="6790"/>
      <c r="M135" s="6790"/>
      <c r="N135" s="6790"/>
      <c r="O135" s="6790"/>
      <c r="P135" s="6790"/>
      <c r="Q135" s="6790"/>
      <c r="R135" s="6790"/>
      <c r="S135" s="6790"/>
      <c r="T135" s="6790"/>
      <c r="U135" s="6790"/>
      <c r="V135" s="6790"/>
      <c r="W135" s="6790"/>
      <c r="X135" s="6790"/>
      <c r="Y135" s="6790"/>
      <c r="Z135" s="6790"/>
      <c r="AA135" s="6790"/>
      <c r="AB135" s="6790"/>
      <c r="AC135" s="6790"/>
      <c r="AD135" s="6790"/>
      <c r="AE135" s="6790"/>
      <c r="AF135" s="6790"/>
      <c r="AG135" s="6790"/>
      <c r="AH135" s="6790"/>
      <c r="AI135" s="6790"/>
      <c r="AJ135" s="6790"/>
      <c r="AK135" s="6790"/>
      <c r="AL135" s="6790"/>
      <c r="AM135" s="6790"/>
      <c r="AN135" s="6791"/>
      <c r="AO135" s="6758" t="s">
        <v>2</v>
      </c>
      <c r="AP135" s="6761" t="s">
        <v>3</v>
      </c>
      <c r="BP135"/>
      <c r="BQ135"/>
      <c r="BR135"/>
      <c r="BS135"/>
      <c r="BT135"/>
      <c r="BV135"/>
      <c r="BW135"/>
      <c r="BX135"/>
    </row>
    <row r="136" spans="1:77" ht="15" customHeight="1" x14ac:dyDescent="0.3">
      <c r="A136" s="6236"/>
      <c r="B136" s="6770"/>
      <c r="C136" s="6770"/>
      <c r="D136" s="6773"/>
      <c r="E136" s="6759"/>
      <c r="F136" s="6762"/>
      <c r="G136" s="6764" t="s">
        <v>36</v>
      </c>
      <c r="H136" s="6765"/>
      <c r="I136" s="6764" t="s">
        <v>37</v>
      </c>
      <c r="J136" s="6765"/>
      <c r="K136" s="6764" t="s">
        <v>38</v>
      </c>
      <c r="L136" s="6765"/>
      <c r="M136" s="6764" t="s">
        <v>4</v>
      </c>
      <c r="N136" s="6765"/>
      <c r="O136" s="6764" t="s">
        <v>5</v>
      </c>
      <c r="P136" s="6765"/>
      <c r="Q136" s="6776" t="s">
        <v>6</v>
      </c>
      <c r="R136" s="6765"/>
      <c r="S136" s="6764" t="s">
        <v>7</v>
      </c>
      <c r="T136" s="6765"/>
      <c r="U136" s="6764" t="s">
        <v>8</v>
      </c>
      <c r="V136" s="6765"/>
      <c r="W136" s="6764" t="s">
        <v>9</v>
      </c>
      <c r="X136" s="6765"/>
      <c r="Y136" s="6764" t="s">
        <v>10</v>
      </c>
      <c r="Z136" s="6765"/>
      <c r="AA136" s="6764" t="s">
        <v>11</v>
      </c>
      <c r="AB136" s="6765"/>
      <c r="AC136" s="6764" t="s">
        <v>18</v>
      </c>
      <c r="AD136" s="6765"/>
      <c r="AE136" s="6764" t="s">
        <v>19</v>
      </c>
      <c r="AF136" s="6765"/>
      <c r="AG136" s="6764" t="s">
        <v>20</v>
      </c>
      <c r="AH136" s="6765"/>
      <c r="AI136" s="6764" t="s">
        <v>70</v>
      </c>
      <c r="AJ136" s="6765"/>
      <c r="AK136" s="6764" t="s">
        <v>71</v>
      </c>
      <c r="AL136" s="6765"/>
      <c r="AM136" s="6764" t="s">
        <v>32</v>
      </c>
      <c r="AN136" s="6775"/>
      <c r="AO136" s="6759"/>
      <c r="AP136" s="6762"/>
      <c r="BP136"/>
      <c r="BQ136"/>
      <c r="BR136"/>
      <c r="BS136"/>
      <c r="BT136"/>
      <c r="BV136"/>
      <c r="BW136"/>
      <c r="BX136"/>
    </row>
    <row r="137" spans="1:77" ht="15" customHeight="1" x14ac:dyDescent="0.3">
      <c r="A137" s="6236"/>
      <c r="B137" s="6771"/>
      <c r="C137" s="6771"/>
      <c r="D137" s="6774"/>
      <c r="E137" s="6760"/>
      <c r="F137" s="6763"/>
      <c r="G137" s="2627" t="s">
        <v>51</v>
      </c>
      <c r="H137" s="2628" t="s">
        <v>27</v>
      </c>
      <c r="I137" s="2627" t="s">
        <v>51</v>
      </c>
      <c r="J137" s="2628" t="s">
        <v>27</v>
      </c>
      <c r="K137" s="2627" t="s">
        <v>51</v>
      </c>
      <c r="L137" s="2628" t="s">
        <v>27</v>
      </c>
      <c r="M137" s="2627" t="s">
        <v>51</v>
      </c>
      <c r="N137" s="2628" t="s">
        <v>27</v>
      </c>
      <c r="O137" s="2627" t="s">
        <v>51</v>
      </c>
      <c r="P137" s="2628" t="s">
        <v>27</v>
      </c>
      <c r="Q137" s="2627" t="s">
        <v>51</v>
      </c>
      <c r="R137" s="2628" t="s">
        <v>27</v>
      </c>
      <c r="S137" s="2627" t="s">
        <v>51</v>
      </c>
      <c r="T137" s="2628" t="s">
        <v>27</v>
      </c>
      <c r="U137" s="2627" t="s">
        <v>51</v>
      </c>
      <c r="V137" s="2628" t="s">
        <v>27</v>
      </c>
      <c r="W137" s="2627" t="s">
        <v>51</v>
      </c>
      <c r="X137" s="2628" t="s">
        <v>27</v>
      </c>
      <c r="Y137" s="2627" t="s">
        <v>51</v>
      </c>
      <c r="Z137" s="2628" t="s">
        <v>27</v>
      </c>
      <c r="AA137" s="2627" t="s">
        <v>51</v>
      </c>
      <c r="AB137" s="2628" t="s">
        <v>27</v>
      </c>
      <c r="AC137" s="2627" t="s">
        <v>51</v>
      </c>
      <c r="AD137" s="2628" t="s">
        <v>27</v>
      </c>
      <c r="AE137" s="2627" t="s">
        <v>51</v>
      </c>
      <c r="AF137" s="2628" t="s">
        <v>27</v>
      </c>
      <c r="AG137" s="2627" t="s">
        <v>51</v>
      </c>
      <c r="AH137" s="2628" t="s">
        <v>27</v>
      </c>
      <c r="AI137" s="2627" t="s">
        <v>51</v>
      </c>
      <c r="AJ137" s="2628" t="s">
        <v>27</v>
      </c>
      <c r="AK137" s="2627" t="s">
        <v>51</v>
      </c>
      <c r="AL137" s="2628" t="s">
        <v>27</v>
      </c>
      <c r="AM137" s="2627" t="s">
        <v>51</v>
      </c>
      <c r="AN137" s="2629" t="s">
        <v>27</v>
      </c>
      <c r="AO137" s="6760"/>
      <c r="AP137" s="6763"/>
      <c r="BP137"/>
      <c r="BQ137"/>
      <c r="BR137"/>
      <c r="BS137"/>
      <c r="BT137"/>
      <c r="BV137"/>
      <c r="BW137"/>
      <c r="BX137"/>
    </row>
    <row r="138" spans="1:77" ht="15" customHeight="1" x14ac:dyDescent="0.3">
      <c r="A138" s="6233" t="s">
        <v>4265</v>
      </c>
      <c r="B138" s="6778" t="s">
        <v>74</v>
      </c>
      <c r="C138" s="2103" t="s">
        <v>1868</v>
      </c>
      <c r="D138" s="2104" t="s">
        <v>5292</v>
      </c>
      <c r="E138" s="2105" t="s">
        <v>5293</v>
      </c>
      <c r="F138" s="2106" t="s">
        <v>5294</v>
      </c>
      <c r="G138" s="2107" t="s">
        <v>5295</v>
      </c>
      <c r="H138" s="2108" t="s">
        <v>5296</v>
      </c>
      <c r="I138" s="2107" t="s">
        <v>5297</v>
      </c>
      <c r="J138" s="2108" t="s">
        <v>5298</v>
      </c>
      <c r="K138" s="2107" t="s">
        <v>5299</v>
      </c>
      <c r="L138" s="2108" t="s">
        <v>5300</v>
      </c>
      <c r="M138" s="2107" t="s">
        <v>5301</v>
      </c>
      <c r="N138" s="2108" t="s">
        <v>5302</v>
      </c>
      <c r="O138" s="2107" t="s">
        <v>5303</v>
      </c>
      <c r="P138" s="2108" t="s">
        <v>5304</v>
      </c>
      <c r="Q138" s="2107" t="s">
        <v>5305</v>
      </c>
      <c r="R138" s="2108" t="s">
        <v>5306</v>
      </c>
      <c r="S138" s="2107" t="s">
        <v>5307</v>
      </c>
      <c r="T138" s="2108" t="s">
        <v>5308</v>
      </c>
      <c r="U138" s="2107" t="s">
        <v>5309</v>
      </c>
      <c r="V138" s="2108" t="s">
        <v>5310</v>
      </c>
      <c r="W138" s="2107" t="s">
        <v>5311</v>
      </c>
      <c r="X138" s="2108" t="s">
        <v>5312</v>
      </c>
      <c r="Y138" s="2107" t="s">
        <v>5313</v>
      </c>
      <c r="Z138" s="2108" t="s">
        <v>5314</v>
      </c>
      <c r="AA138" s="2107" t="s">
        <v>5315</v>
      </c>
      <c r="AB138" s="2108" t="s">
        <v>5316</v>
      </c>
      <c r="AC138" s="2107" t="s">
        <v>5317</v>
      </c>
      <c r="AD138" s="2108" t="s">
        <v>5318</v>
      </c>
      <c r="AE138" s="2107" t="s">
        <v>5319</v>
      </c>
      <c r="AF138" s="2108" t="s">
        <v>5320</v>
      </c>
      <c r="AG138" s="2107" t="s">
        <v>5321</v>
      </c>
      <c r="AH138" s="2108" t="s">
        <v>5322</v>
      </c>
      <c r="AI138" s="2107" t="s">
        <v>5323</v>
      </c>
      <c r="AJ138" s="2108" t="s">
        <v>5324</v>
      </c>
      <c r="AK138" s="2107" t="s">
        <v>5325</v>
      </c>
      <c r="AL138" s="2108" t="s">
        <v>5326</v>
      </c>
      <c r="AM138" s="2107" t="s">
        <v>5327</v>
      </c>
      <c r="AN138" s="2109" t="s">
        <v>5328</v>
      </c>
      <c r="AO138" s="2110" t="s">
        <v>5329</v>
      </c>
      <c r="AP138" s="2108" t="s">
        <v>5330</v>
      </c>
      <c r="AQ138" t="str">
        <f>BP138&amp;BQ138</f>
        <v xml:space="preserve">  * La variable Pueblos originarios No puede ser mayor al Total.  * La variable Migrantes No puede ser mayor al Total.</v>
      </c>
      <c r="BP138" s="2465" t="str">
        <f>IF(AND(D138&gt;0,AO138=""),"  * No olvide digitar la variable Pueblos originarios. Digite Cero si no tiene.",IF(AO138&gt;D138,"  * La variable Pueblos originarios No puede ser mayor al Total.",""))</f>
        <v xml:space="preserve">  * La variable Pueblos originarios No puede ser mayor al Total.</v>
      </c>
      <c r="BQ138" s="2465" t="str">
        <f>IF(AND(D138&gt;0,AP138=""),"  * No olvide digitar la variable Migrantes. Digite Cero si no tiene.",IF(AP138&gt;D138,"  * La variable Migrantes No puede ser mayor al Total.",""))</f>
        <v xml:space="preserve">  * La variable Migrantes No puede ser mayor al Total.</v>
      </c>
      <c r="BV138" s="1725">
        <f>IF(AND(D138&gt;0,AO138=""),1,IF(AO138&gt;D138,1,0))</f>
        <v>1</v>
      </c>
      <c r="BW138" s="1725">
        <f>IF(AND(D138&gt;0,AP138=""),1,IF(AP138&gt;D138,1,0))</f>
        <v>1</v>
      </c>
    </row>
    <row r="139" spans="1:77" ht="15" customHeight="1" x14ac:dyDescent="0.3">
      <c r="A139" s="6233" t="s">
        <v>4266</v>
      </c>
      <c r="B139" s="6779"/>
      <c r="C139" s="1058" t="s">
        <v>1869</v>
      </c>
      <c r="D139" s="1105" t="s">
        <v>5292</v>
      </c>
      <c r="E139" s="2111" t="s">
        <v>5293</v>
      </c>
      <c r="F139" s="1701" t="s">
        <v>5294</v>
      </c>
      <c r="G139" s="2112" t="s">
        <v>5295</v>
      </c>
      <c r="H139" s="1089" t="s">
        <v>5296</v>
      </c>
      <c r="I139" s="2112" t="s">
        <v>5297</v>
      </c>
      <c r="J139" s="1089" t="s">
        <v>5298</v>
      </c>
      <c r="K139" s="2112" t="s">
        <v>5299</v>
      </c>
      <c r="L139" s="1089" t="s">
        <v>5300</v>
      </c>
      <c r="M139" s="2112" t="s">
        <v>5301</v>
      </c>
      <c r="N139" s="1089" t="s">
        <v>5302</v>
      </c>
      <c r="O139" s="2112" t="s">
        <v>5303</v>
      </c>
      <c r="P139" s="1089" t="s">
        <v>5304</v>
      </c>
      <c r="Q139" s="2112" t="s">
        <v>5305</v>
      </c>
      <c r="R139" s="1089" t="s">
        <v>5306</v>
      </c>
      <c r="S139" s="2112" t="s">
        <v>5307</v>
      </c>
      <c r="T139" s="1089" t="s">
        <v>5308</v>
      </c>
      <c r="U139" s="2112" t="s">
        <v>5309</v>
      </c>
      <c r="V139" s="1089" t="s">
        <v>5310</v>
      </c>
      <c r="W139" s="2112" t="s">
        <v>5311</v>
      </c>
      <c r="X139" s="1089" t="s">
        <v>5312</v>
      </c>
      <c r="Y139" s="2112" t="s">
        <v>5313</v>
      </c>
      <c r="Z139" s="1089" t="s">
        <v>5314</v>
      </c>
      <c r="AA139" s="2112" t="s">
        <v>5315</v>
      </c>
      <c r="AB139" s="1089" t="s">
        <v>5316</v>
      </c>
      <c r="AC139" s="2112" t="s">
        <v>5317</v>
      </c>
      <c r="AD139" s="1089" t="s">
        <v>5318</v>
      </c>
      <c r="AE139" s="2112" t="s">
        <v>5319</v>
      </c>
      <c r="AF139" s="1089" t="s">
        <v>5320</v>
      </c>
      <c r="AG139" s="2112" t="s">
        <v>5321</v>
      </c>
      <c r="AH139" s="1089" t="s">
        <v>5322</v>
      </c>
      <c r="AI139" s="2112" t="s">
        <v>5323</v>
      </c>
      <c r="AJ139" s="1089" t="s">
        <v>5324</v>
      </c>
      <c r="AK139" s="2112" t="s">
        <v>5325</v>
      </c>
      <c r="AL139" s="1089" t="s">
        <v>5326</v>
      </c>
      <c r="AM139" s="2112" t="s">
        <v>5327</v>
      </c>
      <c r="AN139" s="2113" t="s">
        <v>5328</v>
      </c>
      <c r="AO139" s="1102" t="s">
        <v>5329</v>
      </c>
      <c r="AP139" s="1089" t="s">
        <v>5330</v>
      </c>
      <c r="AQ139" t="str">
        <f t="shared" ref="AQ139:AQ151" si="69">BP139&amp;BQ139</f>
        <v xml:space="preserve">  * La variable Pueblos originarios No puede ser mayor al Total.  * La variable Migrantes No puede ser mayor al Total.</v>
      </c>
      <c r="BP139" s="2465" t="str">
        <f t="shared" ref="BP139:BP151" si="70">IF(AND(D139&gt;0,AO139=""),"  * No olvide digitar la variable Pueblos originarios. Digite Cero si no tiene.",IF(AO139&gt;D139,"  * La variable Pueblos originarios No puede ser mayor al Total.",""))</f>
        <v xml:space="preserve">  * La variable Pueblos originarios No puede ser mayor al Total.</v>
      </c>
      <c r="BQ139" s="2465" t="str">
        <f t="shared" ref="BQ139:BQ151" si="71">IF(AND(D139&gt;0,AP139=""),"  * No olvide digitar la variable Migrantes. Digite Cero si no tiene.",IF(AP139&gt;D139,"  * La variable Migrantes No puede ser mayor al Total.",""))</f>
        <v xml:space="preserve">  * La variable Migrantes No puede ser mayor al Total.</v>
      </c>
      <c r="BV139" s="1725">
        <f t="shared" ref="BV139:BV151" si="72">IF(AND(D139&gt;0,AO139=""),1,IF(AO139&gt;D139,1,0))</f>
        <v>1</v>
      </c>
      <c r="BW139" s="1725">
        <f t="shared" ref="BW139:BW151" si="73">IF(AND(D139&gt;0,AP139=""),1,IF(AP139&gt;D139,1,0))</f>
        <v>1</v>
      </c>
    </row>
    <row r="140" spans="1:77" ht="15" customHeight="1" x14ac:dyDescent="0.3">
      <c r="A140" s="6233" t="s">
        <v>4267</v>
      </c>
      <c r="B140" s="6779"/>
      <c r="C140" s="1058" t="s">
        <v>1870</v>
      </c>
      <c r="D140" s="1105" t="s">
        <v>5292</v>
      </c>
      <c r="E140" s="2111" t="s">
        <v>5293</v>
      </c>
      <c r="F140" s="1701" t="s">
        <v>5294</v>
      </c>
      <c r="G140" s="1095" t="s">
        <v>5295</v>
      </c>
      <c r="H140" s="8" t="s">
        <v>5296</v>
      </c>
      <c r="I140" s="1095" t="s">
        <v>5297</v>
      </c>
      <c r="J140" s="8" t="s">
        <v>5298</v>
      </c>
      <c r="K140" s="1095" t="s">
        <v>5299</v>
      </c>
      <c r="L140" s="8" t="s">
        <v>5300</v>
      </c>
      <c r="M140" s="1095" t="s">
        <v>5301</v>
      </c>
      <c r="N140" s="8" t="s">
        <v>5302</v>
      </c>
      <c r="O140" s="1095" t="s">
        <v>5303</v>
      </c>
      <c r="P140" s="8" t="s">
        <v>5304</v>
      </c>
      <c r="Q140" s="1095" t="s">
        <v>5305</v>
      </c>
      <c r="R140" s="8" t="s">
        <v>5306</v>
      </c>
      <c r="S140" s="1095" t="s">
        <v>5307</v>
      </c>
      <c r="T140" s="8" t="s">
        <v>5308</v>
      </c>
      <c r="U140" s="1095" t="s">
        <v>5309</v>
      </c>
      <c r="V140" s="8" t="s">
        <v>5310</v>
      </c>
      <c r="W140" s="1095" t="s">
        <v>5311</v>
      </c>
      <c r="X140" s="8" t="s">
        <v>5312</v>
      </c>
      <c r="Y140" s="1095" t="s">
        <v>5313</v>
      </c>
      <c r="Z140" s="8" t="s">
        <v>5314</v>
      </c>
      <c r="AA140" s="1095" t="s">
        <v>5315</v>
      </c>
      <c r="AB140" s="8" t="s">
        <v>5316</v>
      </c>
      <c r="AC140" s="1095" t="s">
        <v>5317</v>
      </c>
      <c r="AD140" s="8" t="s">
        <v>5318</v>
      </c>
      <c r="AE140" s="1095" t="s">
        <v>5319</v>
      </c>
      <c r="AF140" s="8" t="s">
        <v>5320</v>
      </c>
      <c r="AG140" s="1095" t="s">
        <v>5321</v>
      </c>
      <c r="AH140" s="8" t="s">
        <v>5322</v>
      </c>
      <c r="AI140" s="1095" t="s">
        <v>5323</v>
      </c>
      <c r="AJ140" s="8" t="s">
        <v>5324</v>
      </c>
      <c r="AK140" s="1095" t="s">
        <v>5325</v>
      </c>
      <c r="AL140" s="8" t="s">
        <v>5326</v>
      </c>
      <c r="AM140" s="1095" t="s">
        <v>5327</v>
      </c>
      <c r="AN140" s="2114" t="s">
        <v>5328</v>
      </c>
      <c r="AO140" s="2115" t="s">
        <v>5329</v>
      </c>
      <c r="AP140" s="8" t="s">
        <v>5330</v>
      </c>
      <c r="AQ140" t="str">
        <f t="shared" si="69"/>
        <v xml:space="preserve">  * La variable Pueblos originarios No puede ser mayor al Total.  * La variable Migrantes No puede ser mayor al Total.</v>
      </c>
      <c r="BP140" s="2465" t="str">
        <f t="shared" si="70"/>
        <v xml:space="preserve">  * La variable Pueblos originarios No puede ser mayor al Total.</v>
      </c>
      <c r="BQ140" s="2465" t="str">
        <f t="shared" si="71"/>
        <v xml:space="preserve">  * La variable Migrantes No puede ser mayor al Total.</v>
      </c>
      <c r="BV140" s="1725">
        <f t="shared" si="72"/>
        <v>1</v>
      </c>
      <c r="BW140" s="1725">
        <f t="shared" si="73"/>
        <v>1</v>
      </c>
    </row>
    <row r="141" spans="1:77" ht="15" customHeight="1" x14ac:dyDescent="0.3">
      <c r="A141" s="6233" t="s">
        <v>4268</v>
      </c>
      <c r="B141" s="6779"/>
      <c r="C141" s="1058" t="s">
        <v>1871</v>
      </c>
      <c r="D141" s="1105" t="s">
        <v>5292</v>
      </c>
      <c r="E141" s="2111" t="s">
        <v>5293</v>
      </c>
      <c r="F141" s="1701" t="s">
        <v>5294</v>
      </c>
      <c r="G141" s="1095" t="s">
        <v>5295</v>
      </c>
      <c r="H141" s="8" t="s">
        <v>5296</v>
      </c>
      <c r="I141" s="1095" t="s">
        <v>5297</v>
      </c>
      <c r="J141" s="8" t="s">
        <v>5298</v>
      </c>
      <c r="K141" s="1095" t="s">
        <v>5299</v>
      </c>
      <c r="L141" s="8" t="s">
        <v>5300</v>
      </c>
      <c r="M141" s="1095" t="s">
        <v>5301</v>
      </c>
      <c r="N141" s="8" t="s">
        <v>5302</v>
      </c>
      <c r="O141" s="1095" t="s">
        <v>5303</v>
      </c>
      <c r="P141" s="8" t="s">
        <v>5304</v>
      </c>
      <c r="Q141" s="1095" t="s">
        <v>5305</v>
      </c>
      <c r="R141" s="8" t="s">
        <v>5306</v>
      </c>
      <c r="S141" s="1095" t="s">
        <v>5307</v>
      </c>
      <c r="T141" s="8" t="s">
        <v>5308</v>
      </c>
      <c r="U141" s="1095" t="s">
        <v>5309</v>
      </c>
      <c r="V141" s="8" t="s">
        <v>5310</v>
      </c>
      <c r="W141" s="1095" t="s">
        <v>5311</v>
      </c>
      <c r="X141" s="8" t="s">
        <v>5312</v>
      </c>
      <c r="Y141" s="1095" t="s">
        <v>5313</v>
      </c>
      <c r="Z141" s="8" t="s">
        <v>5314</v>
      </c>
      <c r="AA141" s="1095" t="s">
        <v>5315</v>
      </c>
      <c r="AB141" s="8" t="s">
        <v>5316</v>
      </c>
      <c r="AC141" s="1095" t="s">
        <v>5317</v>
      </c>
      <c r="AD141" s="8" t="s">
        <v>5318</v>
      </c>
      <c r="AE141" s="1095" t="s">
        <v>5319</v>
      </c>
      <c r="AF141" s="8" t="s">
        <v>5320</v>
      </c>
      <c r="AG141" s="1095" t="s">
        <v>5321</v>
      </c>
      <c r="AH141" s="8" t="s">
        <v>5322</v>
      </c>
      <c r="AI141" s="1095" t="s">
        <v>5323</v>
      </c>
      <c r="AJ141" s="8" t="s">
        <v>5324</v>
      </c>
      <c r="AK141" s="1095" t="s">
        <v>5325</v>
      </c>
      <c r="AL141" s="8" t="s">
        <v>5326</v>
      </c>
      <c r="AM141" s="1095" t="s">
        <v>5327</v>
      </c>
      <c r="AN141" s="2114" t="s">
        <v>5328</v>
      </c>
      <c r="AO141" s="2115" t="s">
        <v>5329</v>
      </c>
      <c r="AP141" s="8" t="s">
        <v>5330</v>
      </c>
      <c r="AQ141" t="str">
        <f t="shared" si="69"/>
        <v xml:space="preserve">  * La variable Pueblos originarios No puede ser mayor al Total.  * La variable Migrantes No puede ser mayor al Total.</v>
      </c>
      <c r="BP141" s="2465" t="str">
        <f t="shared" si="70"/>
        <v xml:space="preserve">  * La variable Pueblos originarios No puede ser mayor al Total.</v>
      </c>
      <c r="BQ141" s="2465" t="str">
        <f t="shared" si="71"/>
        <v xml:space="preserve">  * La variable Migrantes No puede ser mayor al Total.</v>
      </c>
      <c r="BV141" s="1725">
        <f t="shared" si="72"/>
        <v>1</v>
      </c>
      <c r="BW141" s="1725">
        <f t="shared" si="73"/>
        <v>1</v>
      </c>
    </row>
    <row r="142" spans="1:77" ht="15" customHeight="1" x14ac:dyDescent="0.3">
      <c r="A142" s="6233" t="s">
        <v>4269</v>
      </c>
      <c r="B142" s="6779"/>
      <c r="C142" s="1058" t="s">
        <v>1872</v>
      </c>
      <c r="D142" s="1105" t="s">
        <v>5292</v>
      </c>
      <c r="E142" s="2111" t="s">
        <v>5293</v>
      </c>
      <c r="F142" s="1701" t="s">
        <v>5294</v>
      </c>
      <c r="G142" s="1095" t="s">
        <v>5295</v>
      </c>
      <c r="H142" s="8" t="s">
        <v>5296</v>
      </c>
      <c r="I142" s="1095" t="s">
        <v>5297</v>
      </c>
      <c r="J142" s="8" t="s">
        <v>5298</v>
      </c>
      <c r="K142" s="1095" t="s">
        <v>5299</v>
      </c>
      <c r="L142" s="8" t="s">
        <v>5300</v>
      </c>
      <c r="M142" s="1095" t="s">
        <v>5301</v>
      </c>
      <c r="N142" s="8" t="s">
        <v>5302</v>
      </c>
      <c r="O142" s="1095" t="s">
        <v>5303</v>
      </c>
      <c r="P142" s="8" t="s">
        <v>5304</v>
      </c>
      <c r="Q142" s="1095" t="s">
        <v>5305</v>
      </c>
      <c r="R142" s="8" t="s">
        <v>5306</v>
      </c>
      <c r="S142" s="1095" t="s">
        <v>5307</v>
      </c>
      <c r="T142" s="8" t="s">
        <v>5308</v>
      </c>
      <c r="U142" s="1095" t="s">
        <v>5309</v>
      </c>
      <c r="V142" s="8" t="s">
        <v>5310</v>
      </c>
      <c r="W142" s="1095" t="s">
        <v>5311</v>
      </c>
      <c r="X142" s="8" t="s">
        <v>5312</v>
      </c>
      <c r="Y142" s="1095" t="s">
        <v>5313</v>
      </c>
      <c r="Z142" s="8" t="s">
        <v>5314</v>
      </c>
      <c r="AA142" s="1095" t="s">
        <v>5315</v>
      </c>
      <c r="AB142" s="8" t="s">
        <v>5316</v>
      </c>
      <c r="AC142" s="1095" t="s">
        <v>5317</v>
      </c>
      <c r="AD142" s="8" t="s">
        <v>5318</v>
      </c>
      <c r="AE142" s="1095" t="s">
        <v>5319</v>
      </c>
      <c r="AF142" s="8" t="s">
        <v>5320</v>
      </c>
      <c r="AG142" s="1095" t="s">
        <v>5321</v>
      </c>
      <c r="AH142" s="8" t="s">
        <v>5322</v>
      </c>
      <c r="AI142" s="1095" t="s">
        <v>5323</v>
      </c>
      <c r="AJ142" s="8" t="s">
        <v>5324</v>
      </c>
      <c r="AK142" s="1095" t="s">
        <v>5325</v>
      </c>
      <c r="AL142" s="8" t="s">
        <v>5326</v>
      </c>
      <c r="AM142" s="1095" t="s">
        <v>5327</v>
      </c>
      <c r="AN142" s="2114" t="s">
        <v>5328</v>
      </c>
      <c r="AO142" s="2115" t="s">
        <v>5329</v>
      </c>
      <c r="AP142" s="8" t="s">
        <v>5330</v>
      </c>
      <c r="AQ142" t="str">
        <f t="shared" si="69"/>
        <v xml:space="preserve">  * La variable Pueblos originarios No puede ser mayor al Total.  * La variable Migrantes No puede ser mayor al Total.</v>
      </c>
      <c r="BP142" s="2465" t="str">
        <f t="shared" si="70"/>
        <v xml:space="preserve">  * La variable Pueblos originarios No puede ser mayor al Total.</v>
      </c>
      <c r="BQ142" s="2465" t="str">
        <f t="shared" si="71"/>
        <v xml:space="preserve">  * La variable Migrantes No puede ser mayor al Total.</v>
      </c>
      <c r="BV142" s="1725">
        <f t="shared" si="72"/>
        <v>1</v>
      </c>
      <c r="BW142" s="1725">
        <f t="shared" si="73"/>
        <v>1</v>
      </c>
    </row>
    <row r="143" spans="1:77" ht="15" customHeight="1" x14ac:dyDescent="0.3">
      <c r="A143" s="6233" t="s">
        <v>4270</v>
      </c>
      <c r="B143" s="6779"/>
      <c r="C143" s="1058" t="s">
        <v>1873</v>
      </c>
      <c r="D143" s="1105" t="s">
        <v>5292</v>
      </c>
      <c r="E143" s="2111" t="s">
        <v>5293</v>
      </c>
      <c r="F143" s="1701" t="s">
        <v>5294</v>
      </c>
      <c r="G143" s="9" t="s">
        <v>5295</v>
      </c>
      <c r="H143" s="11" t="s">
        <v>5296</v>
      </c>
      <c r="I143" s="9" t="s">
        <v>5297</v>
      </c>
      <c r="J143" s="11" t="s">
        <v>5298</v>
      </c>
      <c r="K143" s="9" t="s">
        <v>5299</v>
      </c>
      <c r="L143" s="11" t="s">
        <v>5300</v>
      </c>
      <c r="M143" s="9" t="s">
        <v>5301</v>
      </c>
      <c r="N143" s="11" t="s">
        <v>5302</v>
      </c>
      <c r="O143" s="9" t="s">
        <v>5303</v>
      </c>
      <c r="P143" s="11" t="s">
        <v>5304</v>
      </c>
      <c r="Q143" s="9" t="s">
        <v>5305</v>
      </c>
      <c r="R143" s="11" t="s">
        <v>5306</v>
      </c>
      <c r="S143" s="9" t="s">
        <v>5307</v>
      </c>
      <c r="T143" s="11" t="s">
        <v>5308</v>
      </c>
      <c r="U143" s="9" t="s">
        <v>5309</v>
      </c>
      <c r="V143" s="11" t="s">
        <v>5310</v>
      </c>
      <c r="W143" s="9" t="s">
        <v>5311</v>
      </c>
      <c r="X143" s="11" t="s">
        <v>5312</v>
      </c>
      <c r="Y143" s="9" t="s">
        <v>5313</v>
      </c>
      <c r="Z143" s="11" t="s">
        <v>5314</v>
      </c>
      <c r="AA143" s="9" t="s">
        <v>5315</v>
      </c>
      <c r="AB143" s="11" t="s">
        <v>5316</v>
      </c>
      <c r="AC143" s="9" t="s">
        <v>5317</v>
      </c>
      <c r="AD143" s="11" t="s">
        <v>5318</v>
      </c>
      <c r="AE143" s="9" t="s">
        <v>5319</v>
      </c>
      <c r="AF143" s="11" t="s">
        <v>5320</v>
      </c>
      <c r="AG143" s="9" t="s">
        <v>5321</v>
      </c>
      <c r="AH143" s="11" t="s">
        <v>5322</v>
      </c>
      <c r="AI143" s="9" t="s">
        <v>5323</v>
      </c>
      <c r="AJ143" s="11" t="s">
        <v>5324</v>
      </c>
      <c r="AK143" s="9" t="s">
        <v>5325</v>
      </c>
      <c r="AL143" s="11" t="s">
        <v>5326</v>
      </c>
      <c r="AM143" s="9" t="s">
        <v>5327</v>
      </c>
      <c r="AN143" s="1696" t="s">
        <v>5328</v>
      </c>
      <c r="AO143" s="24" t="s">
        <v>5329</v>
      </c>
      <c r="AP143" s="11" t="s">
        <v>5330</v>
      </c>
      <c r="AQ143" t="str">
        <f t="shared" si="69"/>
        <v xml:space="preserve">  * La variable Pueblos originarios No puede ser mayor al Total.  * La variable Migrantes No puede ser mayor al Total.</v>
      </c>
      <c r="BP143" s="2465" t="str">
        <f t="shared" si="70"/>
        <v xml:space="preserve">  * La variable Pueblos originarios No puede ser mayor al Total.</v>
      </c>
      <c r="BQ143" s="2465" t="str">
        <f t="shared" si="71"/>
        <v xml:space="preserve">  * La variable Migrantes No puede ser mayor al Total.</v>
      </c>
      <c r="BV143" s="1725">
        <f t="shared" si="72"/>
        <v>1</v>
      </c>
      <c r="BW143" s="1725">
        <f t="shared" si="73"/>
        <v>1</v>
      </c>
    </row>
    <row r="144" spans="1:77" ht="15" customHeight="1" x14ac:dyDescent="0.3">
      <c r="A144" s="6233" t="s">
        <v>4271</v>
      </c>
      <c r="B144" s="6779"/>
      <c r="C144" s="1058" t="s">
        <v>1874</v>
      </c>
      <c r="D144" s="1105" t="s">
        <v>5292</v>
      </c>
      <c r="E144" s="2111" t="s">
        <v>5293</v>
      </c>
      <c r="F144" s="1701" t="s">
        <v>5294</v>
      </c>
      <c r="G144" s="9" t="s">
        <v>5295</v>
      </c>
      <c r="H144" s="11" t="s">
        <v>5296</v>
      </c>
      <c r="I144" s="9" t="s">
        <v>5297</v>
      </c>
      <c r="J144" s="11" t="s">
        <v>5298</v>
      </c>
      <c r="K144" s="9" t="s">
        <v>5299</v>
      </c>
      <c r="L144" s="11" t="s">
        <v>5300</v>
      </c>
      <c r="M144" s="9" t="s">
        <v>5301</v>
      </c>
      <c r="N144" s="11" t="s">
        <v>5302</v>
      </c>
      <c r="O144" s="9" t="s">
        <v>5303</v>
      </c>
      <c r="P144" s="11" t="s">
        <v>5304</v>
      </c>
      <c r="Q144" s="9" t="s">
        <v>5305</v>
      </c>
      <c r="R144" s="11" t="s">
        <v>5306</v>
      </c>
      <c r="S144" s="9" t="s">
        <v>5307</v>
      </c>
      <c r="T144" s="11" t="s">
        <v>5308</v>
      </c>
      <c r="U144" s="9" t="s">
        <v>5309</v>
      </c>
      <c r="V144" s="11" t="s">
        <v>5310</v>
      </c>
      <c r="W144" s="9" t="s">
        <v>5311</v>
      </c>
      <c r="X144" s="11" t="s">
        <v>5312</v>
      </c>
      <c r="Y144" s="9" t="s">
        <v>5313</v>
      </c>
      <c r="Z144" s="11" t="s">
        <v>5314</v>
      </c>
      <c r="AA144" s="9" t="s">
        <v>5315</v>
      </c>
      <c r="AB144" s="11" t="s">
        <v>5316</v>
      </c>
      <c r="AC144" s="9" t="s">
        <v>5317</v>
      </c>
      <c r="AD144" s="11" t="s">
        <v>5318</v>
      </c>
      <c r="AE144" s="9" t="s">
        <v>5319</v>
      </c>
      <c r="AF144" s="11" t="s">
        <v>5320</v>
      </c>
      <c r="AG144" s="9" t="s">
        <v>5321</v>
      </c>
      <c r="AH144" s="11" t="s">
        <v>5322</v>
      </c>
      <c r="AI144" s="9" t="s">
        <v>5323</v>
      </c>
      <c r="AJ144" s="11" t="s">
        <v>5324</v>
      </c>
      <c r="AK144" s="9" t="s">
        <v>5325</v>
      </c>
      <c r="AL144" s="11" t="s">
        <v>5326</v>
      </c>
      <c r="AM144" s="9" t="s">
        <v>5327</v>
      </c>
      <c r="AN144" s="1696" t="s">
        <v>5328</v>
      </c>
      <c r="AO144" s="24" t="s">
        <v>5329</v>
      </c>
      <c r="AP144" s="11" t="s">
        <v>5330</v>
      </c>
      <c r="AQ144" t="str">
        <f t="shared" si="69"/>
        <v xml:space="preserve">  * La variable Pueblos originarios No puede ser mayor al Total.  * La variable Migrantes No puede ser mayor al Total.</v>
      </c>
      <c r="BP144" s="2465" t="str">
        <f t="shared" si="70"/>
        <v xml:space="preserve">  * La variable Pueblos originarios No puede ser mayor al Total.</v>
      </c>
      <c r="BQ144" s="2465" t="str">
        <f t="shared" si="71"/>
        <v xml:space="preserve">  * La variable Migrantes No puede ser mayor al Total.</v>
      </c>
      <c r="BV144" s="1725">
        <f t="shared" si="72"/>
        <v>1</v>
      </c>
      <c r="BW144" s="1725">
        <f t="shared" si="73"/>
        <v>1</v>
      </c>
    </row>
    <row r="145" spans="1:76" ht="15" customHeight="1" x14ac:dyDescent="0.3">
      <c r="A145" s="6233" t="s">
        <v>4272</v>
      </c>
      <c r="B145" s="6780"/>
      <c r="C145" s="150" t="s">
        <v>1875</v>
      </c>
      <c r="D145" s="1106" t="s">
        <v>5292</v>
      </c>
      <c r="E145" s="52" t="s">
        <v>5293</v>
      </c>
      <c r="F145" s="13" t="s">
        <v>5294</v>
      </c>
      <c r="G145" s="3" t="s">
        <v>5295</v>
      </c>
      <c r="H145" s="12" t="s">
        <v>5296</v>
      </c>
      <c r="I145" s="3" t="s">
        <v>5297</v>
      </c>
      <c r="J145" s="12" t="s">
        <v>5298</v>
      </c>
      <c r="K145" s="3" t="s">
        <v>5299</v>
      </c>
      <c r="L145" s="12" t="s">
        <v>5300</v>
      </c>
      <c r="M145" s="3" t="s">
        <v>5301</v>
      </c>
      <c r="N145" s="12" t="s">
        <v>5302</v>
      </c>
      <c r="O145" s="3" t="s">
        <v>5303</v>
      </c>
      <c r="P145" s="12" t="s">
        <v>5304</v>
      </c>
      <c r="Q145" s="3" t="s">
        <v>5305</v>
      </c>
      <c r="R145" s="12" t="s">
        <v>5306</v>
      </c>
      <c r="S145" s="3" t="s">
        <v>5307</v>
      </c>
      <c r="T145" s="12" t="s">
        <v>5308</v>
      </c>
      <c r="U145" s="3" t="s">
        <v>5309</v>
      </c>
      <c r="V145" s="12" t="s">
        <v>5310</v>
      </c>
      <c r="W145" s="3" t="s">
        <v>5311</v>
      </c>
      <c r="X145" s="12" t="s">
        <v>5312</v>
      </c>
      <c r="Y145" s="3" t="s">
        <v>5313</v>
      </c>
      <c r="Z145" s="12" t="s">
        <v>5314</v>
      </c>
      <c r="AA145" s="3" t="s">
        <v>5315</v>
      </c>
      <c r="AB145" s="12" t="s">
        <v>5316</v>
      </c>
      <c r="AC145" s="3" t="s">
        <v>5317</v>
      </c>
      <c r="AD145" s="12" t="s">
        <v>5318</v>
      </c>
      <c r="AE145" s="3" t="s">
        <v>5319</v>
      </c>
      <c r="AF145" s="12" t="s">
        <v>5320</v>
      </c>
      <c r="AG145" s="3" t="s">
        <v>5321</v>
      </c>
      <c r="AH145" s="12" t="s">
        <v>5322</v>
      </c>
      <c r="AI145" s="3" t="s">
        <v>5323</v>
      </c>
      <c r="AJ145" s="12" t="s">
        <v>5324</v>
      </c>
      <c r="AK145" s="3" t="s">
        <v>5325</v>
      </c>
      <c r="AL145" s="12" t="s">
        <v>5326</v>
      </c>
      <c r="AM145" s="3" t="s">
        <v>5327</v>
      </c>
      <c r="AN145" s="1698" t="s">
        <v>5328</v>
      </c>
      <c r="AO145" s="21" t="s">
        <v>5329</v>
      </c>
      <c r="AP145" s="12" t="s">
        <v>5330</v>
      </c>
      <c r="AQ145" t="str">
        <f t="shared" si="69"/>
        <v xml:space="preserve">  * La variable Pueblos originarios No puede ser mayor al Total.  * La variable Migrantes No puede ser mayor al Total.</v>
      </c>
      <c r="BP145" s="2465" t="str">
        <f t="shared" si="70"/>
        <v xml:space="preserve">  * La variable Pueblos originarios No puede ser mayor al Total.</v>
      </c>
      <c r="BQ145" s="2465" t="str">
        <f t="shared" si="71"/>
        <v xml:space="preserve">  * La variable Migrantes No puede ser mayor al Total.</v>
      </c>
      <c r="BV145" s="1725">
        <f t="shared" si="72"/>
        <v>1</v>
      </c>
      <c r="BW145" s="1725">
        <f t="shared" si="73"/>
        <v>1</v>
      </c>
    </row>
    <row r="146" spans="1:76" ht="15" customHeight="1" x14ac:dyDescent="0.3">
      <c r="A146" s="6233" t="s">
        <v>4273</v>
      </c>
      <c r="B146" s="6781" t="s">
        <v>76</v>
      </c>
      <c r="C146" s="2116" t="s">
        <v>1868</v>
      </c>
      <c r="D146" s="2117" t="s">
        <v>5292</v>
      </c>
      <c r="E146" s="2118" t="s">
        <v>5293</v>
      </c>
      <c r="F146" s="2119" t="s">
        <v>5294</v>
      </c>
      <c r="G146" s="2120" t="s">
        <v>5295</v>
      </c>
      <c r="H146" s="2121" t="s">
        <v>5296</v>
      </c>
      <c r="I146" s="2120" t="s">
        <v>5297</v>
      </c>
      <c r="J146" s="2121" t="s">
        <v>5298</v>
      </c>
      <c r="K146" s="2120" t="s">
        <v>5299</v>
      </c>
      <c r="L146" s="2121" t="s">
        <v>5300</v>
      </c>
      <c r="M146" s="2120" t="s">
        <v>5301</v>
      </c>
      <c r="N146" s="2121" t="s">
        <v>5302</v>
      </c>
      <c r="O146" s="2120" t="s">
        <v>5303</v>
      </c>
      <c r="P146" s="2121" t="s">
        <v>5304</v>
      </c>
      <c r="Q146" s="2120" t="s">
        <v>5305</v>
      </c>
      <c r="R146" s="2121" t="s">
        <v>5306</v>
      </c>
      <c r="S146" s="2120" t="s">
        <v>5307</v>
      </c>
      <c r="T146" s="2121" t="s">
        <v>5308</v>
      </c>
      <c r="U146" s="2120" t="s">
        <v>5309</v>
      </c>
      <c r="V146" s="2121" t="s">
        <v>5310</v>
      </c>
      <c r="W146" s="2120" t="s">
        <v>5311</v>
      </c>
      <c r="X146" s="2121" t="s">
        <v>5312</v>
      </c>
      <c r="Y146" s="2120" t="s">
        <v>5313</v>
      </c>
      <c r="Z146" s="2121" t="s">
        <v>5314</v>
      </c>
      <c r="AA146" s="2120" t="s">
        <v>5315</v>
      </c>
      <c r="AB146" s="2121" t="s">
        <v>5316</v>
      </c>
      <c r="AC146" s="2120" t="s">
        <v>5317</v>
      </c>
      <c r="AD146" s="2121" t="s">
        <v>5318</v>
      </c>
      <c r="AE146" s="2120" t="s">
        <v>5319</v>
      </c>
      <c r="AF146" s="2121" t="s">
        <v>5320</v>
      </c>
      <c r="AG146" s="2120" t="s">
        <v>5321</v>
      </c>
      <c r="AH146" s="2121" t="s">
        <v>5322</v>
      </c>
      <c r="AI146" s="2120" t="s">
        <v>5323</v>
      </c>
      <c r="AJ146" s="2121" t="s">
        <v>5324</v>
      </c>
      <c r="AK146" s="2120" t="s">
        <v>5325</v>
      </c>
      <c r="AL146" s="2121" t="s">
        <v>5326</v>
      </c>
      <c r="AM146" s="2120" t="s">
        <v>5327</v>
      </c>
      <c r="AN146" s="2122" t="s">
        <v>5328</v>
      </c>
      <c r="AO146" s="2123" t="s">
        <v>5329</v>
      </c>
      <c r="AP146" s="2121" t="s">
        <v>5330</v>
      </c>
      <c r="AQ146" t="str">
        <f t="shared" si="69"/>
        <v xml:space="preserve">  * La variable Pueblos originarios No puede ser mayor al Total.  * La variable Migrantes No puede ser mayor al Total.</v>
      </c>
      <c r="BP146" s="2465" t="str">
        <f t="shared" si="70"/>
        <v xml:space="preserve">  * La variable Pueblos originarios No puede ser mayor al Total.</v>
      </c>
      <c r="BQ146" s="2465" t="str">
        <f t="shared" si="71"/>
        <v xml:space="preserve">  * La variable Migrantes No puede ser mayor al Total.</v>
      </c>
      <c r="BV146" s="1725">
        <f t="shared" si="72"/>
        <v>1</v>
      </c>
      <c r="BW146" s="1725">
        <f t="shared" si="73"/>
        <v>1</v>
      </c>
    </row>
    <row r="147" spans="1:76" ht="15" customHeight="1" x14ac:dyDescent="0.3">
      <c r="A147" s="6233" t="s">
        <v>4274</v>
      </c>
      <c r="B147" s="6779"/>
      <c r="C147" s="1058" t="s">
        <v>1870</v>
      </c>
      <c r="D147" s="1105" t="s">
        <v>5292</v>
      </c>
      <c r="E147" s="2111" t="s">
        <v>5293</v>
      </c>
      <c r="F147" s="1701" t="s">
        <v>5294</v>
      </c>
      <c r="G147" s="1095" t="s">
        <v>5295</v>
      </c>
      <c r="H147" s="8" t="s">
        <v>5296</v>
      </c>
      <c r="I147" s="1095" t="s">
        <v>5297</v>
      </c>
      <c r="J147" s="8" t="s">
        <v>5298</v>
      </c>
      <c r="K147" s="1095" t="s">
        <v>5299</v>
      </c>
      <c r="L147" s="8" t="s">
        <v>5300</v>
      </c>
      <c r="M147" s="1095" t="s">
        <v>5301</v>
      </c>
      <c r="N147" s="8" t="s">
        <v>5302</v>
      </c>
      <c r="O147" s="1095" t="s">
        <v>5303</v>
      </c>
      <c r="P147" s="8" t="s">
        <v>5304</v>
      </c>
      <c r="Q147" s="1095" t="s">
        <v>5305</v>
      </c>
      <c r="R147" s="8" t="s">
        <v>5306</v>
      </c>
      <c r="S147" s="1095" t="s">
        <v>5307</v>
      </c>
      <c r="T147" s="8" t="s">
        <v>5308</v>
      </c>
      <c r="U147" s="1095" t="s">
        <v>5309</v>
      </c>
      <c r="V147" s="8" t="s">
        <v>5310</v>
      </c>
      <c r="W147" s="1095" t="s">
        <v>5311</v>
      </c>
      <c r="X147" s="8" t="s">
        <v>5312</v>
      </c>
      <c r="Y147" s="1095" t="s">
        <v>5313</v>
      </c>
      <c r="Z147" s="8" t="s">
        <v>5314</v>
      </c>
      <c r="AA147" s="1095" t="s">
        <v>5315</v>
      </c>
      <c r="AB147" s="8" t="s">
        <v>5316</v>
      </c>
      <c r="AC147" s="1095" t="s">
        <v>5317</v>
      </c>
      <c r="AD147" s="8" t="s">
        <v>5318</v>
      </c>
      <c r="AE147" s="1095" t="s">
        <v>5319</v>
      </c>
      <c r="AF147" s="8" t="s">
        <v>5320</v>
      </c>
      <c r="AG147" s="1095" t="s">
        <v>5321</v>
      </c>
      <c r="AH147" s="8" t="s">
        <v>5322</v>
      </c>
      <c r="AI147" s="1095" t="s">
        <v>5323</v>
      </c>
      <c r="AJ147" s="8" t="s">
        <v>5324</v>
      </c>
      <c r="AK147" s="1095" t="s">
        <v>5325</v>
      </c>
      <c r="AL147" s="8" t="s">
        <v>5326</v>
      </c>
      <c r="AM147" s="1095" t="s">
        <v>5327</v>
      </c>
      <c r="AN147" s="2114" t="s">
        <v>5328</v>
      </c>
      <c r="AO147" s="2115" t="s">
        <v>5329</v>
      </c>
      <c r="AP147" s="8" t="s">
        <v>5330</v>
      </c>
      <c r="AQ147" t="str">
        <f t="shared" si="69"/>
        <v xml:space="preserve">  * La variable Pueblos originarios No puede ser mayor al Total.  * La variable Migrantes No puede ser mayor al Total.</v>
      </c>
      <c r="BP147" s="2465" t="str">
        <f t="shared" si="70"/>
        <v xml:space="preserve">  * La variable Pueblos originarios No puede ser mayor al Total.</v>
      </c>
      <c r="BQ147" s="2465" t="str">
        <f t="shared" si="71"/>
        <v xml:space="preserve">  * La variable Migrantes No puede ser mayor al Total.</v>
      </c>
      <c r="BV147" s="1725">
        <f t="shared" si="72"/>
        <v>1</v>
      </c>
      <c r="BW147" s="1725">
        <f t="shared" si="73"/>
        <v>1</v>
      </c>
    </row>
    <row r="148" spans="1:76" ht="15" customHeight="1" x14ac:dyDescent="0.3">
      <c r="A148" s="6233" t="s">
        <v>4275</v>
      </c>
      <c r="B148" s="6779"/>
      <c r="C148" s="1058" t="s">
        <v>1871</v>
      </c>
      <c r="D148" s="1105" t="s">
        <v>5292</v>
      </c>
      <c r="E148" s="2111" t="s">
        <v>5293</v>
      </c>
      <c r="F148" s="1701" t="s">
        <v>5294</v>
      </c>
      <c r="G148" s="1095" t="s">
        <v>5295</v>
      </c>
      <c r="H148" s="8" t="s">
        <v>5296</v>
      </c>
      <c r="I148" s="1095" t="s">
        <v>5297</v>
      </c>
      <c r="J148" s="8" t="s">
        <v>5298</v>
      </c>
      <c r="K148" s="1095" t="s">
        <v>5299</v>
      </c>
      <c r="L148" s="8" t="s">
        <v>5300</v>
      </c>
      <c r="M148" s="1095" t="s">
        <v>5301</v>
      </c>
      <c r="N148" s="8" t="s">
        <v>5302</v>
      </c>
      <c r="O148" s="1095" t="s">
        <v>5303</v>
      </c>
      <c r="P148" s="8" t="s">
        <v>5304</v>
      </c>
      <c r="Q148" s="1095" t="s">
        <v>5305</v>
      </c>
      <c r="R148" s="8" t="s">
        <v>5306</v>
      </c>
      <c r="S148" s="1095" t="s">
        <v>5307</v>
      </c>
      <c r="T148" s="8" t="s">
        <v>5308</v>
      </c>
      <c r="U148" s="1095" t="s">
        <v>5309</v>
      </c>
      <c r="V148" s="8" t="s">
        <v>5310</v>
      </c>
      <c r="W148" s="1095" t="s">
        <v>5311</v>
      </c>
      <c r="X148" s="8" t="s">
        <v>5312</v>
      </c>
      <c r="Y148" s="1095" t="s">
        <v>5313</v>
      </c>
      <c r="Z148" s="8" t="s">
        <v>5314</v>
      </c>
      <c r="AA148" s="1095" t="s">
        <v>5315</v>
      </c>
      <c r="AB148" s="8" t="s">
        <v>5316</v>
      </c>
      <c r="AC148" s="1095" t="s">
        <v>5317</v>
      </c>
      <c r="AD148" s="8" t="s">
        <v>5318</v>
      </c>
      <c r="AE148" s="1095" t="s">
        <v>5319</v>
      </c>
      <c r="AF148" s="8" t="s">
        <v>5320</v>
      </c>
      <c r="AG148" s="1095" t="s">
        <v>5321</v>
      </c>
      <c r="AH148" s="8" t="s">
        <v>5322</v>
      </c>
      <c r="AI148" s="1095" t="s">
        <v>5323</v>
      </c>
      <c r="AJ148" s="8" t="s">
        <v>5324</v>
      </c>
      <c r="AK148" s="1095" t="s">
        <v>5325</v>
      </c>
      <c r="AL148" s="8" t="s">
        <v>5326</v>
      </c>
      <c r="AM148" s="1095" t="s">
        <v>5327</v>
      </c>
      <c r="AN148" s="2114" t="s">
        <v>5328</v>
      </c>
      <c r="AO148" s="2115" t="s">
        <v>5329</v>
      </c>
      <c r="AP148" s="8" t="s">
        <v>5330</v>
      </c>
      <c r="AQ148" t="str">
        <f t="shared" si="69"/>
        <v xml:space="preserve">  * La variable Pueblos originarios No puede ser mayor al Total.  * La variable Migrantes No puede ser mayor al Total.</v>
      </c>
      <c r="BP148" s="2465" t="str">
        <f t="shared" si="70"/>
        <v xml:space="preserve">  * La variable Pueblos originarios No puede ser mayor al Total.</v>
      </c>
      <c r="BQ148" s="2465" t="str">
        <f t="shared" si="71"/>
        <v xml:space="preserve">  * La variable Migrantes No puede ser mayor al Total.</v>
      </c>
      <c r="BV148" s="1725">
        <f t="shared" si="72"/>
        <v>1</v>
      </c>
      <c r="BW148" s="1725">
        <f t="shared" si="73"/>
        <v>1</v>
      </c>
    </row>
    <row r="149" spans="1:76" ht="15" customHeight="1" x14ac:dyDescent="0.3">
      <c r="A149" s="6233" t="s">
        <v>4276</v>
      </c>
      <c r="B149" s="6779"/>
      <c r="C149" s="1058" t="s">
        <v>1872</v>
      </c>
      <c r="D149" s="1105" t="s">
        <v>5292</v>
      </c>
      <c r="E149" s="2111" t="s">
        <v>5293</v>
      </c>
      <c r="F149" s="1701" t="s">
        <v>5294</v>
      </c>
      <c r="G149" s="1095" t="s">
        <v>5295</v>
      </c>
      <c r="H149" s="8" t="s">
        <v>5296</v>
      </c>
      <c r="I149" s="1095" t="s">
        <v>5297</v>
      </c>
      <c r="J149" s="8" t="s">
        <v>5298</v>
      </c>
      <c r="K149" s="1095" t="s">
        <v>5299</v>
      </c>
      <c r="L149" s="8" t="s">
        <v>5300</v>
      </c>
      <c r="M149" s="1095" t="s">
        <v>5301</v>
      </c>
      <c r="N149" s="8" t="s">
        <v>5302</v>
      </c>
      <c r="O149" s="1095" t="s">
        <v>5303</v>
      </c>
      <c r="P149" s="8" t="s">
        <v>5304</v>
      </c>
      <c r="Q149" s="1095" t="s">
        <v>5305</v>
      </c>
      <c r="R149" s="8" t="s">
        <v>5306</v>
      </c>
      <c r="S149" s="1095" t="s">
        <v>5307</v>
      </c>
      <c r="T149" s="8" t="s">
        <v>5308</v>
      </c>
      <c r="U149" s="1095" t="s">
        <v>5309</v>
      </c>
      <c r="V149" s="8" t="s">
        <v>5310</v>
      </c>
      <c r="W149" s="1095" t="s">
        <v>5311</v>
      </c>
      <c r="X149" s="8" t="s">
        <v>5312</v>
      </c>
      <c r="Y149" s="1095" t="s">
        <v>5313</v>
      </c>
      <c r="Z149" s="8" t="s">
        <v>5314</v>
      </c>
      <c r="AA149" s="1095" t="s">
        <v>5315</v>
      </c>
      <c r="AB149" s="8" t="s">
        <v>5316</v>
      </c>
      <c r="AC149" s="1095" t="s">
        <v>5317</v>
      </c>
      <c r="AD149" s="8" t="s">
        <v>5318</v>
      </c>
      <c r="AE149" s="1095" t="s">
        <v>5319</v>
      </c>
      <c r="AF149" s="8" t="s">
        <v>5320</v>
      </c>
      <c r="AG149" s="1095" t="s">
        <v>5321</v>
      </c>
      <c r="AH149" s="8" t="s">
        <v>5322</v>
      </c>
      <c r="AI149" s="1095" t="s">
        <v>5323</v>
      </c>
      <c r="AJ149" s="8" t="s">
        <v>5324</v>
      </c>
      <c r="AK149" s="1095" t="s">
        <v>5325</v>
      </c>
      <c r="AL149" s="8" t="s">
        <v>5326</v>
      </c>
      <c r="AM149" s="1095" t="s">
        <v>5327</v>
      </c>
      <c r="AN149" s="2114" t="s">
        <v>5328</v>
      </c>
      <c r="AO149" s="2115" t="s">
        <v>5329</v>
      </c>
      <c r="AP149" s="8" t="s">
        <v>5330</v>
      </c>
      <c r="AQ149" t="str">
        <f t="shared" si="69"/>
        <v xml:space="preserve">  * La variable Pueblos originarios No puede ser mayor al Total.  * La variable Migrantes No puede ser mayor al Total.</v>
      </c>
      <c r="BP149" s="2465" t="str">
        <f t="shared" si="70"/>
        <v xml:space="preserve">  * La variable Pueblos originarios No puede ser mayor al Total.</v>
      </c>
      <c r="BQ149" s="2465" t="str">
        <f t="shared" si="71"/>
        <v xml:space="preserve">  * La variable Migrantes No puede ser mayor al Total.</v>
      </c>
      <c r="BV149" s="1725">
        <f t="shared" si="72"/>
        <v>1</v>
      </c>
      <c r="BW149" s="1725">
        <f t="shared" si="73"/>
        <v>1</v>
      </c>
    </row>
    <row r="150" spans="1:76" ht="15" customHeight="1" x14ac:dyDescent="0.3">
      <c r="A150" s="6233" t="s">
        <v>4277</v>
      </c>
      <c r="B150" s="6779"/>
      <c r="C150" s="1058" t="s">
        <v>1873</v>
      </c>
      <c r="D150" s="1700" t="s">
        <v>5292</v>
      </c>
      <c r="E150" s="2124" t="s">
        <v>5293</v>
      </c>
      <c r="F150" s="2125" t="s">
        <v>5294</v>
      </c>
      <c r="G150" s="9" t="s">
        <v>5295</v>
      </c>
      <c r="H150" s="11" t="s">
        <v>5296</v>
      </c>
      <c r="I150" s="9" t="s">
        <v>5297</v>
      </c>
      <c r="J150" s="11" t="s">
        <v>5298</v>
      </c>
      <c r="K150" s="9" t="s">
        <v>5299</v>
      </c>
      <c r="L150" s="11" t="s">
        <v>5300</v>
      </c>
      <c r="M150" s="9" t="s">
        <v>5301</v>
      </c>
      <c r="N150" s="11" t="s">
        <v>5302</v>
      </c>
      <c r="O150" s="9" t="s">
        <v>5303</v>
      </c>
      <c r="P150" s="11" t="s">
        <v>5304</v>
      </c>
      <c r="Q150" s="9" t="s">
        <v>5305</v>
      </c>
      <c r="R150" s="11" t="s">
        <v>5306</v>
      </c>
      <c r="S150" s="9" t="s">
        <v>5307</v>
      </c>
      <c r="T150" s="11" t="s">
        <v>5308</v>
      </c>
      <c r="U150" s="9" t="s">
        <v>5309</v>
      </c>
      <c r="V150" s="11" t="s">
        <v>5310</v>
      </c>
      <c r="W150" s="9" t="s">
        <v>5311</v>
      </c>
      <c r="X150" s="11" t="s">
        <v>5312</v>
      </c>
      <c r="Y150" s="9" t="s">
        <v>5313</v>
      </c>
      <c r="Z150" s="11" t="s">
        <v>5314</v>
      </c>
      <c r="AA150" s="9" t="s">
        <v>5315</v>
      </c>
      <c r="AB150" s="11" t="s">
        <v>5316</v>
      </c>
      <c r="AC150" s="9" t="s">
        <v>5317</v>
      </c>
      <c r="AD150" s="11" t="s">
        <v>5318</v>
      </c>
      <c r="AE150" s="9" t="s">
        <v>5319</v>
      </c>
      <c r="AF150" s="11" t="s">
        <v>5320</v>
      </c>
      <c r="AG150" s="9" t="s">
        <v>5321</v>
      </c>
      <c r="AH150" s="11" t="s">
        <v>5322</v>
      </c>
      <c r="AI150" s="9" t="s">
        <v>5323</v>
      </c>
      <c r="AJ150" s="11" t="s">
        <v>5324</v>
      </c>
      <c r="AK150" s="9" t="s">
        <v>5325</v>
      </c>
      <c r="AL150" s="11" t="s">
        <v>5326</v>
      </c>
      <c r="AM150" s="9" t="s">
        <v>5327</v>
      </c>
      <c r="AN150" s="1696" t="s">
        <v>5328</v>
      </c>
      <c r="AO150" s="24" t="s">
        <v>5329</v>
      </c>
      <c r="AP150" s="11" t="s">
        <v>5330</v>
      </c>
      <c r="AQ150" t="str">
        <f t="shared" si="69"/>
        <v xml:space="preserve">  * La variable Pueblos originarios No puede ser mayor al Total.  * La variable Migrantes No puede ser mayor al Total.</v>
      </c>
      <c r="BP150" s="2465" t="str">
        <f t="shared" si="70"/>
        <v xml:space="preserve">  * La variable Pueblos originarios No puede ser mayor al Total.</v>
      </c>
      <c r="BQ150" s="2465" t="str">
        <f t="shared" si="71"/>
        <v xml:space="preserve">  * La variable Migrantes No puede ser mayor al Total.</v>
      </c>
      <c r="BV150" s="1725">
        <f t="shared" si="72"/>
        <v>1</v>
      </c>
      <c r="BW150" s="1725">
        <f t="shared" si="73"/>
        <v>1</v>
      </c>
    </row>
    <row r="151" spans="1:76" ht="15" customHeight="1" x14ac:dyDescent="0.3">
      <c r="A151" s="6233" t="s">
        <v>4278</v>
      </c>
      <c r="B151" s="6780"/>
      <c r="C151" s="150" t="s">
        <v>1875</v>
      </c>
      <c r="D151" s="1106" t="s">
        <v>5292</v>
      </c>
      <c r="E151" s="52" t="s">
        <v>5293</v>
      </c>
      <c r="F151" s="13" t="s">
        <v>5294</v>
      </c>
      <c r="G151" s="3" t="s">
        <v>5295</v>
      </c>
      <c r="H151" s="12" t="s">
        <v>5296</v>
      </c>
      <c r="I151" s="3" t="s">
        <v>5297</v>
      </c>
      <c r="J151" s="12" t="s">
        <v>5298</v>
      </c>
      <c r="K151" s="3" t="s">
        <v>5299</v>
      </c>
      <c r="L151" s="12" t="s">
        <v>5300</v>
      </c>
      <c r="M151" s="3" t="s">
        <v>5301</v>
      </c>
      <c r="N151" s="12" t="s">
        <v>5302</v>
      </c>
      <c r="O151" s="3" t="s">
        <v>5303</v>
      </c>
      <c r="P151" s="12" t="s">
        <v>5304</v>
      </c>
      <c r="Q151" s="3" t="s">
        <v>5305</v>
      </c>
      <c r="R151" s="12" t="s">
        <v>5306</v>
      </c>
      <c r="S151" s="3" t="s">
        <v>5307</v>
      </c>
      <c r="T151" s="12" t="s">
        <v>5308</v>
      </c>
      <c r="U151" s="3" t="s">
        <v>5309</v>
      </c>
      <c r="V151" s="12" t="s">
        <v>5310</v>
      </c>
      <c r="W151" s="3" t="s">
        <v>5311</v>
      </c>
      <c r="X151" s="12" t="s">
        <v>5312</v>
      </c>
      <c r="Y151" s="3" t="s">
        <v>5313</v>
      </c>
      <c r="Z151" s="12" t="s">
        <v>5314</v>
      </c>
      <c r="AA151" s="3" t="s">
        <v>5315</v>
      </c>
      <c r="AB151" s="12" t="s">
        <v>5316</v>
      </c>
      <c r="AC151" s="3" t="s">
        <v>5317</v>
      </c>
      <c r="AD151" s="12" t="s">
        <v>5318</v>
      </c>
      <c r="AE151" s="3" t="s">
        <v>5319</v>
      </c>
      <c r="AF151" s="12" t="s">
        <v>5320</v>
      </c>
      <c r="AG151" s="3" t="s">
        <v>5321</v>
      </c>
      <c r="AH151" s="12" t="s">
        <v>5322</v>
      </c>
      <c r="AI151" s="3" t="s">
        <v>5323</v>
      </c>
      <c r="AJ151" s="12" t="s">
        <v>5324</v>
      </c>
      <c r="AK151" s="3" t="s">
        <v>5325</v>
      </c>
      <c r="AL151" s="12" t="s">
        <v>5326</v>
      </c>
      <c r="AM151" s="3" t="s">
        <v>5327</v>
      </c>
      <c r="AN151" s="1698" t="s">
        <v>5328</v>
      </c>
      <c r="AO151" s="21" t="s">
        <v>5329</v>
      </c>
      <c r="AP151" s="12" t="s">
        <v>5330</v>
      </c>
      <c r="AQ151" t="str">
        <f t="shared" si="69"/>
        <v xml:space="preserve">  * La variable Pueblos originarios No puede ser mayor al Total.  * La variable Migrantes No puede ser mayor al Total.</v>
      </c>
      <c r="BP151" s="2465" t="str">
        <f t="shared" si="70"/>
        <v xml:space="preserve">  * La variable Pueblos originarios No puede ser mayor al Total.</v>
      </c>
      <c r="BQ151" s="2465" t="str">
        <f t="shared" si="71"/>
        <v xml:space="preserve">  * La variable Migrantes No puede ser mayor al Total.</v>
      </c>
      <c r="BV151" s="1725">
        <f t="shared" si="72"/>
        <v>1</v>
      </c>
      <c r="BW151" s="1725">
        <f t="shared" si="73"/>
        <v>1</v>
      </c>
    </row>
    <row r="152" spans="1:76" ht="18" customHeight="1" x14ac:dyDescent="0.3">
      <c r="A152" s="103"/>
      <c r="B152" s="122" t="s">
        <v>1876</v>
      </c>
      <c r="C152" s="2630"/>
      <c r="D152" s="2630"/>
      <c r="E152" s="2630"/>
      <c r="F152" s="2630"/>
      <c r="G152" s="2630"/>
      <c r="H152" s="2630"/>
      <c r="I152" s="2630"/>
      <c r="J152" s="2630"/>
      <c r="K152" s="2630"/>
      <c r="L152" s="2630"/>
      <c r="M152" s="2630"/>
      <c r="N152" s="2630"/>
      <c r="O152" s="2630"/>
      <c r="P152" s="2630"/>
      <c r="Q152" s="628"/>
      <c r="R152" s="777"/>
      <c r="S152" s="777"/>
      <c r="T152" s="777"/>
      <c r="U152" s="777"/>
      <c r="V152" s="777"/>
      <c r="BP152"/>
      <c r="BQ152"/>
      <c r="BR152"/>
      <c r="BS152"/>
      <c r="BT152"/>
      <c r="BV152"/>
      <c r="BW152"/>
      <c r="BX152"/>
    </row>
    <row r="153" spans="1:76" ht="15" customHeight="1" x14ac:dyDescent="0.3">
      <c r="A153" s="103"/>
      <c r="B153" s="6782" t="s">
        <v>1877</v>
      </c>
      <c r="C153" s="6783" t="s">
        <v>24</v>
      </c>
      <c r="D153" s="6785" t="s">
        <v>12</v>
      </c>
      <c r="E153" s="6786"/>
      <c r="F153" s="6786"/>
      <c r="G153" s="6786"/>
      <c r="H153" s="6786"/>
      <c r="I153" s="6786"/>
      <c r="J153" s="6786"/>
      <c r="K153" s="6786"/>
      <c r="L153" s="6786"/>
      <c r="M153" s="6786"/>
      <c r="N153" s="6786"/>
      <c r="O153" s="6786"/>
      <c r="P153" s="6786"/>
      <c r="Q153" s="6786"/>
      <c r="R153" s="6786"/>
      <c r="S153" s="6786"/>
      <c r="T153" s="6787"/>
      <c r="U153" s="6788" t="s">
        <v>2</v>
      </c>
      <c r="V153" s="6777" t="s">
        <v>3</v>
      </c>
      <c r="BP153"/>
      <c r="BQ153"/>
      <c r="BR153"/>
      <c r="BS153"/>
      <c r="BT153"/>
      <c r="BV153"/>
      <c r="BW153"/>
      <c r="BX153"/>
    </row>
    <row r="154" spans="1:76" ht="15" customHeight="1" x14ac:dyDescent="0.3">
      <c r="A154" s="103"/>
      <c r="B154" s="6687"/>
      <c r="C154" s="6784"/>
      <c r="D154" s="2632" t="s">
        <v>36</v>
      </c>
      <c r="E154" s="2633" t="s">
        <v>37</v>
      </c>
      <c r="F154" s="2633" t="s">
        <v>554</v>
      </c>
      <c r="G154" s="2633" t="s">
        <v>4</v>
      </c>
      <c r="H154" s="2633" t="s">
        <v>559</v>
      </c>
      <c r="I154" s="2633" t="s">
        <v>6</v>
      </c>
      <c r="J154" s="2633" t="s">
        <v>561</v>
      </c>
      <c r="K154" s="2633" t="s">
        <v>8</v>
      </c>
      <c r="L154" s="2633" t="s">
        <v>563</v>
      </c>
      <c r="M154" s="2633" t="s">
        <v>10</v>
      </c>
      <c r="N154" s="2633" t="s">
        <v>1878</v>
      </c>
      <c r="O154" s="2633" t="s">
        <v>18</v>
      </c>
      <c r="P154" s="2633" t="s">
        <v>19</v>
      </c>
      <c r="Q154" s="2633" t="s">
        <v>20</v>
      </c>
      <c r="R154" s="2633" t="s">
        <v>70</v>
      </c>
      <c r="S154" s="2633" t="s">
        <v>71</v>
      </c>
      <c r="T154" s="2631" t="s">
        <v>32</v>
      </c>
      <c r="U154" s="6788"/>
      <c r="V154" s="6777"/>
      <c r="BP154"/>
      <c r="BQ154"/>
      <c r="BR154"/>
      <c r="BS154"/>
      <c r="BT154"/>
      <c r="BV154"/>
      <c r="BW154"/>
      <c r="BX154"/>
    </row>
    <row r="155" spans="1:76" ht="22.5" customHeight="1" x14ac:dyDescent="0.3">
      <c r="A155" s="6248" t="s">
        <v>4279</v>
      </c>
      <c r="B155" s="2126" t="s">
        <v>1879</v>
      </c>
      <c r="C155" s="2127" t="s">
        <v>5292</v>
      </c>
      <c r="D155" s="114" t="s">
        <v>5293</v>
      </c>
      <c r="E155" s="115" t="s">
        <v>5294</v>
      </c>
      <c r="F155" s="115" t="s">
        <v>5295</v>
      </c>
      <c r="G155" s="115" t="s">
        <v>5296</v>
      </c>
      <c r="H155" s="115" t="s">
        <v>5297</v>
      </c>
      <c r="I155" s="115" t="s">
        <v>5298</v>
      </c>
      <c r="J155" s="115" t="s">
        <v>5299</v>
      </c>
      <c r="K155" s="115" t="s">
        <v>5300</v>
      </c>
      <c r="L155" s="115" t="s">
        <v>5301</v>
      </c>
      <c r="M155" s="115" t="s">
        <v>5302</v>
      </c>
      <c r="N155" s="115" t="s">
        <v>5303</v>
      </c>
      <c r="O155" s="115" t="s">
        <v>5304</v>
      </c>
      <c r="P155" s="115" t="s">
        <v>5305</v>
      </c>
      <c r="Q155" s="115" t="s">
        <v>5306</v>
      </c>
      <c r="R155" s="115" t="s">
        <v>5307</v>
      </c>
      <c r="S155" s="115" t="s">
        <v>5308</v>
      </c>
      <c r="T155" s="770" t="s">
        <v>5309</v>
      </c>
      <c r="U155" s="121" t="s">
        <v>5310</v>
      </c>
      <c r="V155" s="153" t="s">
        <v>5311</v>
      </c>
      <c r="W155" t="str">
        <f>BP155&amp;BQ155</f>
        <v xml:space="preserve"> * La variable Pueblos originarios No puede ser mayor al Total. * La variable Migrantes No puede ser mayor al Total.</v>
      </c>
      <c r="BP155" s="2465" t="str">
        <f>IF(AND(C155&gt;0,U155=""),"  * No olvide digitar la variable Pueblos originarios. Digite Cero si no tiene.",IF(U155&gt;C155," * La variable Pueblos originarios No puede ser mayor al Total.",""))</f>
        <v xml:space="preserve"> * La variable Pueblos originarios No puede ser mayor al Total.</v>
      </c>
      <c r="BQ155" s="2465" t="str">
        <f>IF(AND(C155&gt;0,V155=""),"  * No olvide digitar la variable Migrantes. Digite Cero si no tiene.",IF(V155&gt;C155," * La variable Migrantes No puede ser mayor al Total.",""))</f>
        <v xml:space="preserve"> * La variable Migrantes No puede ser mayor al Total.</v>
      </c>
      <c r="BV155" s="1725">
        <f>IF(AND(C155&gt;0,U155=""),1,IF(U155&gt;C155,1,0))</f>
        <v>1</v>
      </c>
      <c r="BW155" s="1725">
        <f>IF(AND(C155&gt;0,V155=""),1,IF(V155&gt;C155,1,0))</f>
        <v>1</v>
      </c>
    </row>
    <row r="156" spans="1:76" x14ac:dyDescent="0.3">
      <c r="BP156"/>
      <c r="BQ156"/>
      <c r="BR156"/>
      <c r="BS156"/>
      <c r="BT156"/>
      <c r="BV156"/>
      <c r="BW156"/>
      <c r="BX156"/>
    </row>
    <row r="157" spans="1:76" x14ac:dyDescent="0.3">
      <c r="BP157"/>
      <c r="BQ157"/>
      <c r="BR157"/>
      <c r="BS157"/>
      <c r="BT157"/>
      <c r="BV157"/>
      <c r="BW157"/>
      <c r="BX157"/>
    </row>
    <row r="158" spans="1:76" x14ac:dyDescent="0.3">
      <c r="A158" t="s">
        <v>4625</v>
      </c>
      <c r="BP158"/>
      <c r="BQ158"/>
      <c r="BR158"/>
      <c r="BS158"/>
      <c r="BT158"/>
      <c r="BV158"/>
      <c r="BW158"/>
      <c r="BX158"/>
    </row>
    <row r="159" spans="1:76" x14ac:dyDescent="0.3">
      <c r="A159" s="6233" t="s">
        <v>5279</v>
      </c>
      <c r="BP159"/>
      <c r="BQ159"/>
      <c r="BR159"/>
      <c r="BS159"/>
      <c r="BT159"/>
      <c r="BV159"/>
      <c r="BW159"/>
      <c r="BX159"/>
    </row>
    <row r="160" spans="1:76" x14ac:dyDescent="0.3">
      <c r="A160" s="6233" t="s">
        <v>5280</v>
      </c>
      <c r="BP160"/>
      <c r="BQ160"/>
      <c r="BR160"/>
      <c r="BS160"/>
      <c r="BT160"/>
      <c r="BV160"/>
      <c r="BW160"/>
      <c r="BX160"/>
    </row>
    <row r="161" spans="1:76" x14ac:dyDescent="0.3">
      <c r="A161" s="6233" t="s">
        <v>5281</v>
      </c>
      <c r="BP161"/>
      <c r="BQ161"/>
      <c r="BR161"/>
      <c r="BS161"/>
      <c r="BT161"/>
      <c r="BV161"/>
      <c r="BW161"/>
      <c r="BX161"/>
    </row>
    <row r="162" spans="1:76" x14ac:dyDescent="0.3">
      <c r="A162" s="6233" t="s">
        <v>5282</v>
      </c>
      <c r="BP162"/>
      <c r="BQ162"/>
      <c r="BR162"/>
      <c r="BS162"/>
      <c r="BT162"/>
      <c r="BV162"/>
      <c r="BW162"/>
      <c r="BX162"/>
    </row>
    <row r="163" spans="1:76" x14ac:dyDescent="0.3">
      <c r="A163" s="6233" t="s">
        <v>5283</v>
      </c>
      <c r="BP163"/>
      <c r="BQ163"/>
      <c r="BR163"/>
      <c r="BS163"/>
      <c r="BT163"/>
      <c r="BV163"/>
      <c r="BW163"/>
      <c r="BX163"/>
    </row>
    <row r="164" spans="1:76" x14ac:dyDescent="0.3">
      <c r="A164" s="6233" t="s">
        <v>5284</v>
      </c>
      <c r="BP164"/>
      <c r="BQ164"/>
      <c r="BR164"/>
      <c r="BS164"/>
      <c r="BT164"/>
      <c r="BV164"/>
      <c r="BW164"/>
      <c r="BX164"/>
    </row>
    <row r="165" spans="1:76" x14ac:dyDescent="0.3">
      <c r="A165" s="6233" t="s">
        <v>5285</v>
      </c>
      <c r="BP165"/>
      <c r="BQ165"/>
      <c r="BR165"/>
      <c r="BS165"/>
      <c r="BT165"/>
      <c r="BV165"/>
      <c r="BW165"/>
      <c r="BX165"/>
    </row>
    <row r="166" spans="1:76" x14ac:dyDescent="0.3">
      <c r="A166" s="6233" t="s">
        <v>5286</v>
      </c>
      <c r="BP166"/>
      <c r="BQ166"/>
      <c r="BR166"/>
      <c r="BS166"/>
      <c r="BT166"/>
      <c r="BV166"/>
      <c r="BW166"/>
      <c r="BX166"/>
    </row>
    <row r="167" spans="1:76" x14ac:dyDescent="0.3">
      <c r="BP167"/>
      <c r="BQ167"/>
      <c r="BR167"/>
      <c r="BS167"/>
      <c r="BT167"/>
      <c r="BV167"/>
      <c r="BW167"/>
      <c r="BX167"/>
    </row>
    <row r="168" spans="1:76" x14ac:dyDescent="0.3">
      <c r="A168" t="s">
        <v>4637</v>
      </c>
      <c r="BP168"/>
      <c r="BQ168"/>
      <c r="BR168"/>
      <c r="BS168"/>
      <c r="BT168"/>
      <c r="BV168"/>
      <c r="BW168"/>
      <c r="BX168"/>
    </row>
    <row r="169" spans="1:76" x14ac:dyDescent="0.3">
      <c r="A169" s="6247" t="s">
        <v>4225</v>
      </c>
      <c r="BP169"/>
      <c r="BQ169"/>
      <c r="BR169"/>
      <c r="BS169"/>
      <c r="BT169"/>
      <c r="BV169"/>
      <c r="BW169"/>
      <c r="BX169"/>
    </row>
    <row r="170" spans="1:76" x14ac:dyDescent="0.3">
      <c r="BP170"/>
      <c r="BQ170"/>
      <c r="BR170"/>
      <c r="BS170"/>
      <c r="BT170"/>
      <c r="BV170"/>
      <c r="BW170"/>
      <c r="BX170"/>
    </row>
    <row r="171" spans="1:76" x14ac:dyDescent="0.3">
      <c r="BP171"/>
      <c r="BQ171"/>
      <c r="BR171"/>
      <c r="BS171"/>
      <c r="BT171"/>
      <c r="BV171"/>
      <c r="BW171"/>
      <c r="BX171"/>
    </row>
    <row r="172" spans="1:76" x14ac:dyDescent="0.3">
      <c r="BP172"/>
      <c r="BQ172"/>
      <c r="BR172"/>
      <c r="BS172"/>
      <c r="BT172"/>
      <c r="BV172"/>
      <c r="BW172"/>
      <c r="BX172"/>
    </row>
    <row r="173" spans="1:76" x14ac:dyDescent="0.3">
      <c r="BP173"/>
      <c r="BQ173"/>
      <c r="BR173"/>
      <c r="BS173"/>
      <c r="BT173"/>
      <c r="BV173"/>
      <c r="BW173"/>
      <c r="BX173"/>
    </row>
    <row r="174" spans="1:76" x14ac:dyDescent="0.3">
      <c r="BP174"/>
      <c r="BQ174"/>
      <c r="BR174"/>
      <c r="BS174"/>
      <c r="BT174"/>
      <c r="BV174"/>
      <c r="BW174"/>
      <c r="BX174"/>
    </row>
    <row r="175" spans="1:76" x14ac:dyDescent="0.3">
      <c r="BP175"/>
      <c r="BQ175"/>
      <c r="BR175"/>
      <c r="BS175"/>
      <c r="BT175"/>
      <c r="BV175"/>
      <c r="BW175"/>
      <c r="BX175"/>
    </row>
    <row r="176" spans="1:76" x14ac:dyDescent="0.3">
      <c r="BP176"/>
      <c r="BQ176"/>
      <c r="BR176"/>
      <c r="BS176"/>
      <c r="BT176"/>
      <c r="BV176"/>
      <c r="BW176"/>
      <c r="BX176"/>
    </row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spans="2:76" x14ac:dyDescent="0.3">
      <c r="BP193"/>
      <c r="BQ193"/>
      <c r="BR193"/>
      <c r="BS193"/>
      <c r="BT193"/>
      <c r="BV193"/>
      <c r="BW193"/>
      <c r="BX193"/>
    </row>
    <row r="194" spans="2:76" x14ac:dyDescent="0.3">
      <c r="BP194"/>
      <c r="BQ194"/>
      <c r="BR194"/>
      <c r="BS194"/>
      <c r="BT194"/>
      <c r="BV194"/>
      <c r="BW194"/>
      <c r="BX194"/>
    </row>
    <row r="195" spans="2:76" x14ac:dyDescent="0.3">
      <c r="BP195"/>
      <c r="BQ195"/>
      <c r="BR195"/>
      <c r="BS195"/>
      <c r="BT195"/>
      <c r="BV195"/>
      <c r="BW195"/>
      <c r="BX195"/>
    </row>
    <row r="196" spans="2:76" x14ac:dyDescent="0.3">
      <c r="BP196"/>
      <c r="BQ196"/>
      <c r="BR196"/>
      <c r="BS196"/>
      <c r="BT196"/>
      <c r="BV196"/>
      <c r="BW196"/>
      <c r="BX196"/>
    </row>
    <row r="197" spans="2:76" x14ac:dyDescent="0.3">
      <c r="BP197"/>
      <c r="BQ197"/>
      <c r="BR197"/>
      <c r="BS197"/>
      <c r="BT197"/>
      <c r="BV197"/>
      <c r="BW197"/>
      <c r="BX197"/>
    </row>
    <row r="198" spans="2:76" x14ac:dyDescent="0.3">
      <c r="BP198"/>
      <c r="BQ198"/>
      <c r="BR198"/>
      <c r="BS198"/>
      <c r="BT198"/>
      <c r="BV198"/>
      <c r="BW198"/>
      <c r="BX198"/>
    </row>
    <row r="199" spans="2:76" x14ac:dyDescent="0.3">
      <c r="BP199"/>
      <c r="BQ199"/>
      <c r="BR199"/>
      <c r="BS199"/>
      <c r="BT199"/>
      <c r="BV199"/>
      <c r="BW199"/>
      <c r="BX199"/>
    </row>
    <row r="200" spans="2:76" hidden="1" x14ac:dyDescent="0.3">
      <c r="B200" s="4463">
        <f>SUM(C12:C26,C31:C46,C50:C51,C56:C61,C64:C65,C68:C75,C79,D84:D87,C92:C96,C98:C100,C108:S108,C112:N114,C119:C121,D125:D133,D138:D151,C155)</f>
        <v>0</v>
      </c>
      <c r="C200" s="4437" t="e">
        <f>SUM(BV13:BZ155)</f>
        <v>#VALUE!</v>
      </c>
      <c r="BP200"/>
      <c r="BQ200"/>
      <c r="BR200"/>
      <c r="BS200"/>
      <c r="BT200"/>
      <c r="BV200"/>
      <c r="BW200"/>
      <c r="BX200"/>
    </row>
    <row r="201" spans="2:76" x14ac:dyDescent="0.3">
      <c r="BP201"/>
      <c r="BQ201"/>
      <c r="BR201"/>
      <c r="BS201"/>
      <c r="BT201"/>
      <c r="BV201"/>
      <c r="BW201"/>
      <c r="BX201"/>
    </row>
    <row r="202" spans="2:76" x14ac:dyDescent="0.3">
      <c r="BP202"/>
      <c r="BQ202"/>
      <c r="BR202"/>
      <c r="BS202"/>
      <c r="BT202"/>
      <c r="BV202"/>
      <c r="BW202"/>
      <c r="BX202"/>
    </row>
    <row r="203" spans="2:76" x14ac:dyDescent="0.3">
      <c r="BP203"/>
      <c r="BQ203"/>
      <c r="BR203"/>
      <c r="BS203"/>
      <c r="BT203"/>
      <c r="BV203"/>
      <c r="BW203"/>
      <c r="BX203"/>
    </row>
    <row r="204" spans="2:76" x14ac:dyDescent="0.3">
      <c r="BP204"/>
      <c r="BQ204"/>
      <c r="BR204"/>
      <c r="BS204"/>
      <c r="BT204"/>
      <c r="BV204"/>
      <c r="BW204"/>
      <c r="BX204"/>
    </row>
    <row r="205" spans="2:76" x14ac:dyDescent="0.3">
      <c r="BP205"/>
      <c r="BQ205"/>
      <c r="BR205"/>
      <c r="BS205"/>
      <c r="BT205"/>
      <c r="BV205"/>
      <c r="BW205"/>
      <c r="BX205"/>
    </row>
    <row r="206" spans="2:76" x14ac:dyDescent="0.3">
      <c r="BP206"/>
      <c r="BQ206"/>
      <c r="BR206"/>
      <c r="BS206"/>
      <c r="BT206"/>
      <c r="BV206"/>
      <c r="BW206"/>
      <c r="BX206"/>
    </row>
    <row r="207" spans="2:76" x14ac:dyDescent="0.3">
      <c r="BP207"/>
      <c r="BQ207"/>
      <c r="BR207"/>
      <c r="BS207"/>
      <c r="BT207"/>
      <c r="BV207"/>
      <c r="BW207"/>
      <c r="BX207"/>
    </row>
    <row r="208" spans="2:76" x14ac:dyDescent="0.3">
      <c r="BP208"/>
      <c r="BQ208"/>
      <c r="BR208"/>
      <c r="BS208"/>
      <c r="BT208"/>
      <c r="BV208"/>
      <c r="BW208"/>
      <c r="BX208"/>
    </row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</sheetData>
  <mergeCells count="202">
    <mergeCell ref="V153:V154"/>
    <mergeCell ref="B138:B145"/>
    <mergeCell ref="B146:B151"/>
    <mergeCell ref="B153:B154"/>
    <mergeCell ref="C153:C154"/>
    <mergeCell ref="D153:T153"/>
    <mergeCell ref="U153:U154"/>
    <mergeCell ref="AC136:AD136"/>
    <mergeCell ref="AE136:AF136"/>
    <mergeCell ref="E135:E137"/>
    <mergeCell ref="F135:F137"/>
    <mergeCell ref="G135:AN135"/>
    <mergeCell ref="AO135:AO137"/>
    <mergeCell ref="AP135:AP137"/>
    <mergeCell ref="G136:H136"/>
    <mergeCell ref="I136:J136"/>
    <mergeCell ref="K136:L136"/>
    <mergeCell ref="M136:N136"/>
    <mergeCell ref="O136:P136"/>
    <mergeCell ref="B125:B127"/>
    <mergeCell ref="B128:B129"/>
    <mergeCell ref="B130:B133"/>
    <mergeCell ref="B135:B137"/>
    <mergeCell ref="C135:C137"/>
    <mergeCell ref="D135:D137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B123:C124"/>
    <mergeCell ref="D123:D124"/>
    <mergeCell ref="E123:I123"/>
    <mergeCell ref="J123:J124"/>
    <mergeCell ref="K123:K124"/>
    <mergeCell ref="L123:L124"/>
    <mergeCell ref="X117:Y117"/>
    <mergeCell ref="Z117:AA117"/>
    <mergeCell ref="AB117:AC117"/>
    <mergeCell ref="AP116:AP118"/>
    <mergeCell ref="AQ116:AQ118"/>
    <mergeCell ref="AR116:AR118"/>
    <mergeCell ref="AS116:AS118"/>
    <mergeCell ref="F117:G117"/>
    <mergeCell ref="H117:I117"/>
    <mergeCell ref="J117:K117"/>
    <mergeCell ref="L117:M117"/>
    <mergeCell ref="N117:O117"/>
    <mergeCell ref="P117:Q117"/>
    <mergeCell ref="AJ117:AK117"/>
    <mergeCell ref="AL117:AM117"/>
    <mergeCell ref="AN117:AO117"/>
    <mergeCell ref="AD117:AE117"/>
    <mergeCell ref="AF117:AG117"/>
    <mergeCell ref="AH117:AI117"/>
    <mergeCell ref="B110:B111"/>
    <mergeCell ref="C110:C111"/>
    <mergeCell ref="D110:M110"/>
    <mergeCell ref="N110:N111"/>
    <mergeCell ref="B116:B118"/>
    <mergeCell ref="C116:E117"/>
    <mergeCell ref="F116:AO116"/>
    <mergeCell ref="R117:S117"/>
    <mergeCell ref="T117:U117"/>
    <mergeCell ref="V117:W117"/>
    <mergeCell ref="H102:I103"/>
    <mergeCell ref="J102:K103"/>
    <mergeCell ref="L102:L104"/>
    <mergeCell ref="M102:O103"/>
    <mergeCell ref="P102:Q103"/>
    <mergeCell ref="R102:S103"/>
    <mergeCell ref="B91:G91"/>
    <mergeCell ref="B97:G97"/>
    <mergeCell ref="B101:G101"/>
    <mergeCell ref="B102:B104"/>
    <mergeCell ref="C102:E103"/>
    <mergeCell ref="F102:G103"/>
    <mergeCell ref="B89:B90"/>
    <mergeCell ref="C89:C90"/>
    <mergeCell ref="D89:D90"/>
    <mergeCell ref="E89:E90"/>
    <mergeCell ref="F89:F90"/>
    <mergeCell ref="G89:G90"/>
    <mergeCell ref="AA82:AB82"/>
    <mergeCell ref="AC82:AD82"/>
    <mergeCell ref="AE82:AF82"/>
    <mergeCell ref="B85:B86"/>
    <mergeCell ref="AL81:AL83"/>
    <mergeCell ref="AM81:AM83"/>
    <mergeCell ref="AN81:AN83"/>
    <mergeCell ref="AO81:AO83"/>
    <mergeCell ref="G82:H82"/>
    <mergeCell ref="I82:J82"/>
    <mergeCell ref="K82:L82"/>
    <mergeCell ref="M82:N82"/>
    <mergeCell ref="O82:P82"/>
    <mergeCell ref="Q82:R82"/>
    <mergeCell ref="B80:H80"/>
    <mergeCell ref="B81:B83"/>
    <mergeCell ref="C81:C83"/>
    <mergeCell ref="D81:F82"/>
    <mergeCell ref="G81:AJ81"/>
    <mergeCell ref="AK81:AK83"/>
    <mergeCell ref="S82:T82"/>
    <mergeCell ref="U82:V82"/>
    <mergeCell ref="W82:X82"/>
    <mergeCell ref="Y82:Z82"/>
    <mergeCell ref="AG82:AH82"/>
    <mergeCell ref="AI82:AJ82"/>
    <mergeCell ref="B77:B78"/>
    <mergeCell ref="C77:C78"/>
    <mergeCell ref="D77:T77"/>
    <mergeCell ref="U77:U78"/>
    <mergeCell ref="V77:V78"/>
    <mergeCell ref="Q54:Q55"/>
    <mergeCell ref="R54:R55"/>
    <mergeCell ref="S54:S55"/>
    <mergeCell ref="T54:T55"/>
    <mergeCell ref="U54:U55"/>
    <mergeCell ref="V54:V55"/>
    <mergeCell ref="K54:K55"/>
    <mergeCell ref="L54:L55"/>
    <mergeCell ref="M54:M55"/>
    <mergeCell ref="N54:N55"/>
    <mergeCell ref="O54:O55"/>
    <mergeCell ref="P54:P55"/>
    <mergeCell ref="B53:B55"/>
    <mergeCell ref="C53:E54"/>
    <mergeCell ref="F53:W53"/>
    <mergeCell ref="X53:X55"/>
    <mergeCell ref="Y53:Y55"/>
    <mergeCell ref="F54:F55"/>
    <mergeCell ref="G54:G55"/>
    <mergeCell ref="H54:H55"/>
    <mergeCell ref="I54:I55"/>
    <mergeCell ref="J54:J55"/>
    <mergeCell ref="AN29:AO29"/>
    <mergeCell ref="B48:B49"/>
    <mergeCell ref="C48:C49"/>
    <mergeCell ref="D48:G48"/>
    <mergeCell ref="H48:K48"/>
    <mergeCell ref="L48:L49"/>
    <mergeCell ref="M48:M49"/>
    <mergeCell ref="N48:N49"/>
    <mergeCell ref="AB29:AC29"/>
    <mergeCell ref="AD29:AE29"/>
    <mergeCell ref="AF29:AG29"/>
    <mergeCell ref="AH29:AI29"/>
    <mergeCell ref="AJ29:AK29"/>
    <mergeCell ref="AL29:AM29"/>
    <mergeCell ref="W54:W55"/>
    <mergeCell ref="B28:B30"/>
    <mergeCell ref="C28:E29"/>
    <mergeCell ref="AR28:AR30"/>
    <mergeCell ref="AS28:AS30"/>
    <mergeCell ref="AT28:AT30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AQ28:AQ30"/>
    <mergeCell ref="T29:U29"/>
    <mergeCell ref="V29:W29"/>
    <mergeCell ref="X29:Y29"/>
    <mergeCell ref="Z29:AA29"/>
    <mergeCell ref="AR9:AR11"/>
    <mergeCell ref="AS9:AS11"/>
    <mergeCell ref="AT9:AT11"/>
    <mergeCell ref="F10:G10"/>
    <mergeCell ref="H10:I10"/>
    <mergeCell ref="J10:K10"/>
    <mergeCell ref="L10:M10"/>
    <mergeCell ref="N10:O10"/>
    <mergeCell ref="P10:Q10"/>
    <mergeCell ref="R10:S10"/>
    <mergeCell ref="AN10:AO10"/>
    <mergeCell ref="AB10:AC10"/>
    <mergeCell ref="AD10:AE10"/>
    <mergeCell ref="AF10:AG10"/>
    <mergeCell ref="AH10:AI10"/>
    <mergeCell ref="AJ10:AK10"/>
    <mergeCell ref="AL10:AM10"/>
    <mergeCell ref="B6:X6"/>
    <mergeCell ref="B9:B11"/>
    <mergeCell ref="C9:E10"/>
    <mergeCell ref="F9:AO9"/>
    <mergeCell ref="AP9:AP11"/>
    <mergeCell ref="AQ9:AQ11"/>
    <mergeCell ref="T10:U10"/>
    <mergeCell ref="V10:W10"/>
    <mergeCell ref="X10:Y10"/>
    <mergeCell ref="Z10:AA10"/>
  </mergeCells>
  <conditionalFormatting sqref="A12:A26">
    <cfRule type="duplicateValues" dxfId="12" priority="13"/>
  </conditionalFormatting>
  <conditionalFormatting sqref="A31:A46">
    <cfRule type="duplicateValues" dxfId="11" priority="12"/>
  </conditionalFormatting>
  <conditionalFormatting sqref="A50:A61">
    <cfRule type="duplicateValues" dxfId="10" priority="11"/>
  </conditionalFormatting>
  <conditionalFormatting sqref="A64:A65">
    <cfRule type="duplicateValues" dxfId="9" priority="10"/>
  </conditionalFormatting>
  <conditionalFormatting sqref="A79:A87">
    <cfRule type="duplicateValues" dxfId="8" priority="9"/>
  </conditionalFormatting>
  <conditionalFormatting sqref="A91:A100">
    <cfRule type="duplicateValues" dxfId="7" priority="8"/>
  </conditionalFormatting>
  <conditionalFormatting sqref="A105:A108">
    <cfRule type="duplicateValues" dxfId="6" priority="7"/>
  </conditionalFormatting>
  <conditionalFormatting sqref="A112:A121">
    <cfRule type="duplicateValues" dxfId="5" priority="6"/>
  </conditionalFormatting>
  <conditionalFormatting sqref="A125:A129">
    <cfRule type="duplicateValues" dxfId="4" priority="5"/>
  </conditionalFormatting>
  <conditionalFormatting sqref="A130:A133">
    <cfRule type="duplicateValues" dxfId="3" priority="4"/>
  </conditionalFormatting>
  <conditionalFormatting sqref="A138:A155">
    <cfRule type="duplicateValues" dxfId="2" priority="3"/>
  </conditionalFormatting>
  <conditionalFormatting sqref="A159:A166">
    <cfRule type="duplicateValues" dxfId="1" priority="2"/>
  </conditionalFormatting>
  <conditionalFormatting sqref="A169">
    <cfRule type="duplicateValues" dxfId="0" priority="1"/>
  </conditionalFormatting>
  <dataValidations count="3">
    <dataValidation type="whole" operator="greaterThanOrEqual" allowBlank="1" showInputMessage="1" showErrorMessage="1" errorTitle="Error" error="Favor Ingrese sólo Números." sqref="D50:N51 D60:Y61 C64:C65 C67:C75 D79:V79 G84:AO87 D98:G100 C112:N114 F119:AS121 J130:L133 D155:V155 J129 E125:J128 E129:I133 K125:L129 D92:G96 D57:Y58 C105:S107 F13:K17 F19:N21 F22:Q26 L14:U17 O21:Q21 F18:U18 R21:U26 O19:U20 V14:AO26 L13:AO13 F31:AT46 AP13:AT26" xr:uid="{00000000-0002-0000-0400-000000000000}">
      <formula1>0</formula1>
    </dataValidation>
    <dataValidation type="whole" operator="greaterThanOrEqual" allowBlank="1" showInputMessage="1" showErrorMessage="1" sqref="G138:AP151" xr:uid="{00000000-0002-0000-0400-000001000000}">
      <formula1>0</formula1>
    </dataValidation>
    <dataValidation operator="greaterThanOrEqual" allowBlank="1" showInputMessage="1" showErrorMessage="1" errorTitle="Error" error="Favor Ingrese sólo Números." sqref="A12:A26 A31:A45 A50:A61 A64:A65 A79:A87 A91:A100 A105:A108 A112:A121 A125:A133 A138:A155 A159:A166" xr:uid="{C7F9B54B-A647-446A-9240-EB1FEC7225AA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L463"/>
  <sheetViews>
    <sheetView showGridLines="0" zoomScaleNormal="100" workbookViewId="0"/>
  </sheetViews>
  <sheetFormatPr baseColWidth="10" defaultRowHeight="14.4" x14ac:dyDescent="0.3"/>
  <cols>
    <col min="1" max="1" width="18.88671875" customWidth="1"/>
    <col min="2" max="2" width="31.5546875" customWidth="1"/>
    <col min="3" max="3" width="37.44140625" customWidth="1"/>
    <col min="4" max="4" width="12.109375" customWidth="1"/>
    <col min="15" max="15" width="12.6640625" customWidth="1"/>
    <col min="18" max="18" width="11.5546875" customWidth="1"/>
    <col min="19" max="19" width="12.88671875" customWidth="1"/>
    <col min="21" max="21" width="10.88671875" customWidth="1"/>
    <col min="22" max="22" width="12.44140625" customWidth="1"/>
    <col min="23" max="23" width="12.33203125" customWidth="1"/>
    <col min="36" max="36" width="10.6640625" customWidth="1"/>
    <col min="37" max="37" width="11.5546875" customWidth="1"/>
    <col min="38" max="38" width="10.44140625" customWidth="1"/>
    <col min="47" max="47" width="11.109375" customWidth="1"/>
    <col min="50" max="51" width="12.5546875" customWidth="1"/>
    <col min="67" max="69" width="11.44140625" customWidth="1"/>
    <col min="70" max="77" width="11.44140625" style="1723" hidden="1" customWidth="1"/>
    <col min="78" max="78" width="11.44140625" hidden="1" customWidth="1"/>
    <col min="79" max="81" width="11.44140625" style="1725" hidden="1" customWidth="1"/>
    <col min="82" max="86" width="11.44140625" hidden="1" customWidth="1"/>
    <col min="87" max="90" width="11.44140625" customWidth="1"/>
  </cols>
  <sheetData>
    <row r="1" spans="1:85" x14ac:dyDescent="0.3">
      <c r="B1" s="774" t="s">
        <v>3879</v>
      </c>
      <c r="BR1"/>
      <c r="BS1"/>
      <c r="BT1"/>
      <c r="BU1"/>
      <c r="BV1"/>
      <c r="BW1"/>
      <c r="BX1"/>
      <c r="BY1"/>
      <c r="CA1"/>
      <c r="CB1"/>
      <c r="CC1"/>
    </row>
    <row r="2" spans="1:85" x14ac:dyDescent="0.3">
      <c r="B2" s="774" t="str">
        <f>CONCATENATE("COMUNA: ",NOMBRE!B2," - ","( ",NOMBRE!C2,NOMBRE!D2,NOMBRE!E2,NOMBRE!F2,NOMBRE!G2," )")</f>
        <v>COMUNA:  - (  )</v>
      </c>
      <c r="BR2"/>
      <c r="BS2"/>
      <c r="BT2"/>
      <c r="BU2"/>
      <c r="BV2"/>
      <c r="BW2"/>
      <c r="BX2"/>
      <c r="BY2"/>
      <c r="CA2"/>
      <c r="CB2"/>
      <c r="CC2"/>
    </row>
    <row r="3" spans="1:85" x14ac:dyDescent="0.3">
      <c r="B3" s="774" t="str">
        <f>CONCATENATE("ESTABLECIMIENTO/ESTRATEGIA: ",NOMBRE!B3," - ","( ",NOMBRE!C3,NOMBRE!D3,NOMBRE!E3,NOMBRE!F3,NOMBRE!G3,NOMBRE!H3," )")</f>
        <v>ESTABLECIMIENTO/ESTRATEGIA:  - (  )</v>
      </c>
      <c r="BR3"/>
      <c r="BS3"/>
      <c r="BT3"/>
      <c r="BU3"/>
      <c r="BV3"/>
      <c r="BW3"/>
      <c r="BX3"/>
      <c r="BY3"/>
      <c r="CA3"/>
      <c r="CB3"/>
      <c r="CC3"/>
    </row>
    <row r="4" spans="1:85" x14ac:dyDescent="0.3">
      <c r="B4" s="774" t="str">
        <f>CONCATENATE("MES: ",NOMBRE!B6," - ","( ",NOMBRE!C6,NOMBRE!D6," )")</f>
        <v>MES:  - (  )</v>
      </c>
      <c r="BR4"/>
      <c r="BS4"/>
      <c r="BT4"/>
      <c r="BU4"/>
      <c r="BV4"/>
      <c r="BW4"/>
      <c r="BX4"/>
      <c r="BY4"/>
      <c r="CA4"/>
      <c r="CB4"/>
      <c r="CC4"/>
    </row>
    <row r="5" spans="1:85" x14ac:dyDescent="0.3">
      <c r="B5" s="774" t="str">
        <f>CONCATENATE("AÑO: ",NOMBRE!B7)</f>
        <v>AÑO: 2024</v>
      </c>
      <c r="BR5"/>
      <c r="BS5"/>
      <c r="BT5"/>
      <c r="BU5"/>
      <c r="BV5"/>
      <c r="BW5"/>
      <c r="BX5"/>
      <c r="BY5"/>
      <c r="CA5"/>
      <c r="CB5"/>
      <c r="CC5"/>
    </row>
    <row r="6" spans="1:85" ht="18" customHeight="1" x14ac:dyDescent="0.3">
      <c r="B6" s="6835" t="s">
        <v>1880</v>
      </c>
      <c r="C6" s="6835"/>
      <c r="D6" s="6835"/>
      <c r="E6" s="6835"/>
      <c r="F6" s="6835"/>
      <c r="G6" s="6835"/>
      <c r="H6" s="6835"/>
      <c r="I6" s="6835"/>
      <c r="J6" s="6835"/>
      <c r="K6" s="6835"/>
      <c r="L6" s="6835"/>
      <c r="M6" s="6835"/>
      <c r="N6" s="6835"/>
      <c r="O6" s="6835"/>
      <c r="P6" s="6835"/>
      <c r="Q6" s="6835"/>
      <c r="BR6"/>
      <c r="BS6"/>
      <c r="BT6"/>
      <c r="BU6"/>
      <c r="BV6"/>
      <c r="BW6"/>
      <c r="BX6"/>
      <c r="BY6"/>
      <c r="CA6"/>
      <c r="CB6"/>
      <c r="CC6"/>
    </row>
    <row r="7" spans="1:85" x14ac:dyDescent="0.3">
      <c r="BR7"/>
      <c r="BS7"/>
      <c r="BT7"/>
      <c r="BU7"/>
      <c r="BV7"/>
      <c r="BW7"/>
      <c r="BX7"/>
      <c r="BY7"/>
      <c r="CA7"/>
      <c r="CB7"/>
      <c r="CC7"/>
    </row>
    <row r="8" spans="1:85" ht="18" customHeight="1" x14ac:dyDescent="0.3">
      <c r="B8" s="1626" t="s">
        <v>1881</v>
      </c>
      <c r="BR8"/>
      <c r="BS8"/>
      <c r="BT8"/>
      <c r="BU8"/>
      <c r="BV8"/>
      <c r="BW8"/>
      <c r="BX8"/>
      <c r="BY8"/>
      <c r="CA8"/>
      <c r="CB8"/>
      <c r="CC8"/>
    </row>
    <row r="9" spans="1:85" ht="15" customHeight="1" x14ac:dyDescent="0.3">
      <c r="B9" s="6836" t="s">
        <v>0</v>
      </c>
      <c r="C9" s="6399"/>
      <c r="D9" s="6772" t="s">
        <v>1</v>
      </c>
      <c r="E9" s="6838" t="s">
        <v>12</v>
      </c>
      <c r="F9" s="6839"/>
      <c r="G9" s="6839"/>
      <c r="H9" s="6839"/>
      <c r="I9" s="6839"/>
      <c r="J9" s="6839"/>
      <c r="K9" s="6839"/>
      <c r="L9" s="6839"/>
      <c r="M9" s="6839"/>
      <c r="N9" s="6840"/>
      <c r="O9" s="6772" t="s">
        <v>1882</v>
      </c>
      <c r="P9" s="6772" t="s">
        <v>2</v>
      </c>
      <c r="Q9" s="6772" t="s">
        <v>3</v>
      </c>
      <c r="R9" s="6772" t="s">
        <v>1883</v>
      </c>
      <c r="S9" s="6772" t="s">
        <v>1884</v>
      </c>
      <c r="BR9"/>
      <c r="BS9"/>
      <c r="BT9"/>
      <c r="BU9"/>
      <c r="BV9"/>
      <c r="BW9"/>
      <c r="BX9"/>
      <c r="BY9"/>
      <c r="CA9"/>
      <c r="CB9"/>
      <c r="CC9"/>
    </row>
    <row r="10" spans="1:85" ht="27" customHeight="1" x14ac:dyDescent="0.3">
      <c r="B10" s="6837"/>
      <c r="C10" s="6831"/>
      <c r="D10" s="6774"/>
      <c r="E10" s="2128" t="s">
        <v>3768</v>
      </c>
      <c r="F10" s="2634" t="s">
        <v>4</v>
      </c>
      <c r="G10" s="2634" t="s">
        <v>5</v>
      </c>
      <c r="H10" s="2634" t="s">
        <v>6</v>
      </c>
      <c r="I10" s="2634" t="s">
        <v>7</v>
      </c>
      <c r="J10" s="2634" t="s">
        <v>8</v>
      </c>
      <c r="K10" s="2634" t="s">
        <v>9</v>
      </c>
      <c r="L10" s="2634" t="s">
        <v>10</v>
      </c>
      <c r="M10" s="2634" t="s">
        <v>11</v>
      </c>
      <c r="N10" s="2635" t="s">
        <v>1467</v>
      </c>
      <c r="O10" s="6774"/>
      <c r="P10" s="6774"/>
      <c r="Q10" s="6774"/>
      <c r="R10" s="6774"/>
      <c r="S10" s="6774"/>
      <c r="BR10"/>
      <c r="BS10"/>
      <c r="BT10"/>
      <c r="BU10"/>
      <c r="BV10"/>
      <c r="BW10"/>
      <c r="BX10"/>
      <c r="BY10"/>
      <c r="CA10"/>
      <c r="CB10"/>
      <c r="CC10"/>
    </row>
    <row r="11" spans="1:85" ht="15" customHeight="1" x14ac:dyDescent="0.3">
      <c r="A11" s="6233" t="s">
        <v>4280</v>
      </c>
      <c r="B11" s="6814" t="s">
        <v>1885</v>
      </c>
      <c r="C11" s="6814"/>
      <c r="D11" s="2129" t="s">
        <v>5292</v>
      </c>
      <c r="E11" s="2120" t="s">
        <v>5293</v>
      </c>
      <c r="F11" s="1422" t="s">
        <v>5294</v>
      </c>
      <c r="G11" s="1422" t="s">
        <v>5295</v>
      </c>
      <c r="H11" s="1422" t="s">
        <v>5296</v>
      </c>
      <c r="I11" s="1422" t="s">
        <v>5297</v>
      </c>
      <c r="J11" s="1422" t="s">
        <v>5298</v>
      </c>
      <c r="K11" s="1422" t="s">
        <v>5299</v>
      </c>
      <c r="L11" s="1422" t="s">
        <v>5300</v>
      </c>
      <c r="M11" s="2130" t="s">
        <v>5301</v>
      </c>
      <c r="N11" s="2131" t="s">
        <v>5302</v>
      </c>
      <c r="O11" s="2132" t="s">
        <v>5303</v>
      </c>
      <c r="P11" s="2132" t="s">
        <v>5304</v>
      </c>
      <c r="Q11" s="2132" t="s">
        <v>5305</v>
      </c>
      <c r="R11" s="2132" t="s">
        <v>5306</v>
      </c>
      <c r="S11" s="2132" t="s">
        <v>5307</v>
      </c>
      <c r="T11" t="str">
        <f>BR11&amp;BS11&amp;BT11&amp;BU11&amp;BV11&amp;BW11&amp;BX11&amp;BY11</f>
        <v xml:space="preserve">  * La variable Víctima de violencia de género No puede ser mayor al Total.  * La variable Pueblos Originarios de género No puede ser mayor al Total.  * La variable Migrantes No puede ser mayor al Total.  * La variable Ingresos por traslados No puede ser mayor al Total.  * La variable  Ingresos con control precoz extrasistema No puede ser mayor al Total.</v>
      </c>
      <c r="BR11" s="2465" t="str">
        <f>IF(AND(D11&gt;0,O11=""),"  * No olvide digitar la variable Víctima de violencia de género. Digite Cero si no tiene.",IF(O11&gt;D11,"  * La variable Víctima de violencia de género No puede ser mayor al Total.",""))</f>
        <v xml:space="preserve">  * La variable Víctima de violencia de género No puede ser mayor al Total.</v>
      </c>
      <c r="BS11" s="2465" t="str">
        <f>IF(AND(D11&gt;0,P11=""),"  * No olvide digitar la variable Pueblos Originarios. Digite Cero si no tiene.",IF(P11&gt;D11,"  * La variable Pueblos Originarios de género No puede ser mayor al Total.",""))</f>
        <v xml:space="preserve">  * La variable Pueblos Originarios de género No puede ser mayor al Total.</v>
      </c>
      <c r="BT11" s="2465" t="str">
        <f>IF(AND(D11&gt;0,Q11=""),"  * No olvide digitar la variable Migrantes. Digite Cero si no tiene.",IF(Q11&gt;D11,"  * La variable Migrantes No puede ser mayor al Total.",""))</f>
        <v xml:space="preserve">  * La variable Migrantes No puede ser mayor al Total.</v>
      </c>
      <c r="BU11" s="2465" t="str">
        <f>IF(AND(D11&gt;0,R11=""),"  * No olvide digitar la variable Ingresos por traslados. Digite Cero si no tiene.",IF(R11&gt;D11,"  * La variable Ingresos por traslados No puede ser mayor al Total.",""))</f>
        <v xml:space="preserve">  * La variable Ingresos por traslados No puede ser mayor al Total.</v>
      </c>
      <c r="BV11" s="2465" t="str">
        <f>IF(AND(D11&gt;0,S11=""),"  * No olvide digitar la variable Ingresos con control precoz extrasistema. Digite Cero si no tiene.",IF(S11&gt;D11,"  * La variable  Ingresos con control precoz extrasistema No puede ser mayor al Total.",""))</f>
        <v xml:space="preserve">  * La variable  Ingresos con control precoz extrasistema No puede ser mayor al Total.</v>
      </c>
      <c r="BW11" s="2465"/>
      <c r="BX11" s="2465"/>
      <c r="BY11" s="170"/>
      <c r="CA11"/>
      <c r="CB11"/>
      <c r="CC11" s="1725">
        <f>IF(AND(D11&gt;0,O11=""),1,IF(O11&gt;D11,1,0))</f>
        <v>1</v>
      </c>
      <c r="CD11" s="1725">
        <f>IF(AND(D11&gt;0,P11=""),1,IF(P11&gt;D11,1,0))</f>
        <v>1</v>
      </c>
      <c r="CE11" s="1725">
        <f>IF(AND(D11&gt;0,Q11=""),1,IF(Q11&gt;D11,1,0))</f>
        <v>1</v>
      </c>
      <c r="CF11" s="1725">
        <f>IF(AND(D11&gt;0,R11=""),1,IF(R11&gt;D11,1,0))</f>
        <v>1</v>
      </c>
      <c r="CG11" s="1725">
        <f>IF(AND(D11&gt;0,S11=""),1,IF(S11&gt;D11,1,0))</f>
        <v>1</v>
      </c>
    </row>
    <row r="12" spans="1:85" ht="15" customHeight="1" x14ac:dyDescent="0.3">
      <c r="A12" s="6233" t="s">
        <v>4281</v>
      </c>
      <c r="B12" s="6815" t="s">
        <v>1886</v>
      </c>
      <c r="C12" s="6815"/>
      <c r="D12" s="1438" t="s">
        <v>5292</v>
      </c>
      <c r="E12" s="1095" t="s">
        <v>5293</v>
      </c>
      <c r="F12" s="1426" t="s">
        <v>5294</v>
      </c>
      <c r="G12" s="1426" t="s">
        <v>5295</v>
      </c>
      <c r="H12" s="1426" t="s">
        <v>5296</v>
      </c>
      <c r="I12" s="1426" t="s">
        <v>5297</v>
      </c>
      <c r="J12" s="1426" t="s">
        <v>5298</v>
      </c>
      <c r="K12" s="1426" t="s">
        <v>5299</v>
      </c>
      <c r="L12" s="1426" t="s">
        <v>5300</v>
      </c>
      <c r="M12" s="1254" t="s">
        <v>5301</v>
      </c>
      <c r="N12" s="1100" t="s">
        <v>5302</v>
      </c>
      <c r="O12" s="1099" t="s">
        <v>5303</v>
      </c>
      <c r="P12" s="1099" t="s">
        <v>5304</v>
      </c>
      <c r="Q12" s="1099" t="s">
        <v>5305</v>
      </c>
      <c r="R12" s="1099" t="s">
        <v>5306</v>
      </c>
      <c r="S12" s="1099" t="s">
        <v>5307</v>
      </c>
      <c r="T12" t="str">
        <f t="shared" ref="T12:T14" si="0">BR12&amp;BS12&amp;BT12&amp;BU12&amp;BV12&amp;BW12&amp;BX12&amp;BY12</f>
        <v xml:space="preserve">  * La variable Víctima de violencia de género No puede ser mayor al Total.  * La variable Pueblos Originarios de género No puede ser mayor al Total.  * La variable Migrantes No puede ser mayor al Total.  * La variable Ingresos por traslados No puede ser mayor al Total.  * La variable  Ingresos con control precoz extrasistema No puede ser mayor al Total.</v>
      </c>
      <c r="BR12" s="2465" t="str">
        <f t="shared" ref="BR12:BR14" si="1">IF(AND(D12&gt;0,O12=""),"  * No olvide digitar la variable Víctima de violencia de género. Digite Cero si no tiene.",IF(O12&gt;D12,"  * La variable Víctima de violencia de género No puede ser mayor al Total.",""))</f>
        <v xml:space="preserve">  * La variable Víctima de violencia de género No puede ser mayor al Total.</v>
      </c>
      <c r="BS12" s="2465" t="str">
        <f t="shared" ref="BS12:BS14" si="2">IF(AND(D12&gt;0,P12=""),"  * No olvide digitar la variable Pueblos Originarios. Digite Cero si no tiene.",IF(P12&gt;D12,"  * La variable Pueblos Originarios de género No puede ser mayor al Total.",""))</f>
        <v xml:space="preserve">  * La variable Pueblos Originarios de género No puede ser mayor al Total.</v>
      </c>
      <c r="BT12" s="2465" t="str">
        <f t="shared" ref="BT12:BT14" si="3">IF(AND(D12&gt;0,Q12=""),"  * No olvide digitar la variable Migrantes. Digite Cero si no tiene.",IF(Q12&gt;D12,"  * La variable Migrantes No puede ser mayor al Total.",""))</f>
        <v xml:space="preserve">  * La variable Migrantes No puede ser mayor al Total.</v>
      </c>
      <c r="BU12" s="2465" t="str">
        <f t="shared" ref="BU12:BU14" si="4">IF(AND(D12&gt;0,R12=""),"  * No olvide digitar la variable Ingresos por traslados. Digite Cero si no tiene.",IF(R12&gt;D12,"  * La variable Ingresos por traslados No puede ser mayor al Total.",""))</f>
        <v xml:space="preserve">  * La variable Ingresos por traslados No puede ser mayor al Total.</v>
      </c>
      <c r="BV12" s="2465" t="str">
        <f t="shared" ref="BV12:BV14" si="5">IF(AND(D12&gt;0,S12=""),"  * No olvide digitar la variable Ingresos con control precoz extrasistema. Digite Cero si no tiene.",IF(S12&gt;D12,"  * La variable  Ingresos con control precoz extrasistema No puede ser mayor al Total.",""))</f>
        <v xml:space="preserve">  * La variable  Ingresos con control precoz extrasistema No puede ser mayor al Total.</v>
      </c>
      <c r="BW12" s="2465"/>
      <c r="BX12" s="2465"/>
      <c r="BY12" s="170"/>
      <c r="CA12"/>
      <c r="CB12"/>
      <c r="CC12" s="1725">
        <f t="shared" ref="CC12:CC14" si="6">IF(AND(D12&gt;0,O12=""),1,IF(O12&gt;D12,1,0))</f>
        <v>1</v>
      </c>
      <c r="CD12" s="1725">
        <f t="shared" ref="CD12:CD14" si="7">IF(AND(D12&gt;0,P12=""),1,IF(P12&gt;D12,1,0))</f>
        <v>1</v>
      </c>
      <c r="CE12" s="1725">
        <f t="shared" ref="CE12:CE14" si="8">IF(AND(D12&gt;0,Q12=""),1,IF(Q12&gt;D12,1,0))</f>
        <v>1</v>
      </c>
      <c r="CF12" s="1725">
        <f t="shared" ref="CF12:CF14" si="9">IF(AND(D12&gt;0,R12=""),1,IF(R12&gt;D12,1,0))</f>
        <v>1</v>
      </c>
      <c r="CG12" s="1725">
        <f t="shared" ref="CG12:CG14" si="10">IF(AND(D12&gt;0,S12=""),1,IF(S12&gt;D12,1,0))</f>
        <v>1</v>
      </c>
    </row>
    <row r="13" spans="1:85" ht="15" customHeight="1" x14ac:dyDescent="0.3">
      <c r="A13" s="6233" t="s">
        <v>4282</v>
      </c>
      <c r="B13" s="6816" t="s">
        <v>1887</v>
      </c>
      <c r="C13" s="6817"/>
      <c r="D13" s="1438" t="s">
        <v>5292</v>
      </c>
      <c r="E13" s="1095" t="s">
        <v>5293</v>
      </c>
      <c r="F13" s="1426" t="s">
        <v>5294</v>
      </c>
      <c r="G13" s="1426" t="s">
        <v>5295</v>
      </c>
      <c r="H13" s="1426" t="s">
        <v>5296</v>
      </c>
      <c r="I13" s="1426" t="s">
        <v>5297</v>
      </c>
      <c r="J13" s="1426" t="s">
        <v>5298</v>
      </c>
      <c r="K13" s="1426" t="s">
        <v>5299</v>
      </c>
      <c r="L13" s="1426" t="s">
        <v>5300</v>
      </c>
      <c r="M13" s="1254" t="s">
        <v>5301</v>
      </c>
      <c r="N13" s="1100" t="s">
        <v>5302</v>
      </c>
      <c r="O13" s="1099" t="s">
        <v>5303</v>
      </c>
      <c r="P13" s="1099" t="s">
        <v>5304</v>
      </c>
      <c r="Q13" s="1099" t="s">
        <v>5305</v>
      </c>
      <c r="R13" s="1099" t="s">
        <v>5306</v>
      </c>
      <c r="S13" s="1099" t="s">
        <v>5307</v>
      </c>
      <c r="T13" t="str">
        <f t="shared" si="0"/>
        <v xml:space="preserve">  * La variable Víctima de violencia de género No puede ser mayor al Total.  * La variable Pueblos Originarios de género No puede ser mayor al Total.  * La variable Migrantes No puede ser mayor al Total.  * La variable Ingresos por traslados No puede ser mayor al Total.  * La variable  Ingresos con control precoz extrasistema No puede ser mayor al Total.</v>
      </c>
      <c r="BR13" s="2465" t="str">
        <f t="shared" si="1"/>
        <v xml:space="preserve">  * La variable Víctima de violencia de género No puede ser mayor al Total.</v>
      </c>
      <c r="BS13" s="2465" t="str">
        <f t="shared" si="2"/>
        <v xml:space="preserve">  * La variable Pueblos Originarios de género No puede ser mayor al Total.</v>
      </c>
      <c r="BT13" s="2465" t="str">
        <f t="shared" si="3"/>
        <v xml:space="preserve">  * La variable Migrantes No puede ser mayor al Total.</v>
      </c>
      <c r="BU13" s="2465" t="str">
        <f t="shared" si="4"/>
        <v xml:space="preserve">  * La variable Ingresos por traslados No puede ser mayor al Total.</v>
      </c>
      <c r="BV13" s="2465" t="str">
        <f t="shared" si="5"/>
        <v xml:space="preserve">  * La variable  Ingresos con control precoz extrasistema No puede ser mayor al Total.</v>
      </c>
      <c r="BW13" s="2465"/>
      <c r="BX13" s="2465"/>
      <c r="BY13" s="170"/>
      <c r="CA13"/>
      <c r="CB13"/>
      <c r="CC13" s="1725">
        <f t="shared" si="6"/>
        <v>1</v>
      </c>
      <c r="CD13" s="1725">
        <f t="shared" si="7"/>
        <v>1</v>
      </c>
      <c r="CE13" s="1725">
        <f t="shared" si="8"/>
        <v>1</v>
      </c>
      <c r="CF13" s="1725">
        <f t="shared" si="9"/>
        <v>1</v>
      </c>
      <c r="CG13" s="1725">
        <f t="shared" si="10"/>
        <v>1</v>
      </c>
    </row>
    <row r="14" spans="1:85" ht="15" customHeight="1" x14ac:dyDescent="0.3">
      <c r="A14" s="6233" t="s">
        <v>4283</v>
      </c>
      <c r="B14" s="6818" t="s">
        <v>1888</v>
      </c>
      <c r="C14" s="6819"/>
      <c r="D14" s="1703" t="s">
        <v>5292</v>
      </c>
      <c r="E14" s="3" t="s">
        <v>5293</v>
      </c>
      <c r="F14" s="4" t="s">
        <v>5294</v>
      </c>
      <c r="G14" s="4" t="s">
        <v>5295</v>
      </c>
      <c r="H14" s="4" t="s">
        <v>5296</v>
      </c>
      <c r="I14" s="4" t="s">
        <v>5297</v>
      </c>
      <c r="J14" s="4" t="s">
        <v>5298</v>
      </c>
      <c r="K14" s="4" t="s">
        <v>5299</v>
      </c>
      <c r="L14" s="4" t="s">
        <v>5300</v>
      </c>
      <c r="M14" s="1291" t="s">
        <v>5301</v>
      </c>
      <c r="N14" s="5" t="s">
        <v>5302</v>
      </c>
      <c r="O14" s="6" t="s">
        <v>5303</v>
      </c>
      <c r="P14" s="6" t="s">
        <v>5304</v>
      </c>
      <c r="Q14" s="6" t="s">
        <v>5305</v>
      </c>
      <c r="R14" s="6" t="s">
        <v>5306</v>
      </c>
      <c r="S14" s="6" t="s">
        <v>5307</v>
      </c>
      <c r="T14" t="str">
        <f t="shared" si="0"/>
        <v xml:space="preserve">  * La variable Víctima de violencia de género No puede ser mayor al Total.  * La variable Pueblos Originarios de género No puede ser mayor al Total.  * La variable Migrantes No puede ser mayor al Total.  * La variable Ingresos por traslados No puede ser mayor al Total.  * La variable  Ingresos con control precoz extrasistema No puede ser mayor al Total.</v>
      </c>
      <c r="BR14" s="2465" t="str">
        <f t="shared" si="1"/>
        <v xml:space="preserve">  * La variable Víctima de violencia de género No puede ser mayor al Total.</v>
      </c>
      <c r="BS14" s="2465" t="str">
        <f t="shared" si="2"/>
        <v xml:space="preserve">  * La variable Pueblos Originarios de género No puede ser mayor al Total.</v>
      </c>
      <c r="BT14" s="2465" t="str">
        <f t="shared" si="3"/>
        <v xml:space="preserve">  * La variable Migrantes No puede ser mayor al Total.</v>
      </c>
      <c r="BU14" s="2465" t="str">
        <f t="shared" si="4"/>
        <v xml:space="preserve">  * La variable Ingresos por traslados No puede ser mayor al Total.</v>
      </c>
      <c r="BV14" s="2465" t="str">
        <f t="shared" si="5"/>
        <v xml:space="preserve">  * La variable  Ingresos con control precoz extrasistema No puede ser mayor al Total.</v>
      </c>
      <c r="BW14" s="2465"/>
      <c r="BX14" s="2465"/>
      <c r="BY14" s="170"/>
      <c r="CA14"/>
      <c r="CB14"/>
      <c r="CC14" s="1725">
        <f t="shared" si="6"/>
        <v>1</v>
      </c>
      <c r="CD14" s="1725">
        <f t="shared" si="7"/>
        <v>1</v>
      </c>
      <c r="CE14" s="1725">
        <f t="shared" si="8"/>
        <v>1</v>
      </c>
      <c r="CF14" s="1725">
        <f t="shared" si="9"/>
        <v>1</v>
      </c>
      <c r="CG14" s="1725">
        <f t="shared" si="10"/>
        <v>1</v>
      </c>
    </row>
    <row r="15" spans="1:85" ht="18" customHeight="1" x14ac:dyDescent="0.3">
      <c r="A15" s="6249"/>
      <c r="B15" s="14" t="s">
        <v>1889</v>
      </c>
      <c r="C15" s="2636"/>
      <c r="D15" s="2636"/>
      <c r="E15" s="2636"/>
      <c r="F15" s="2636"/>
      <c r="G15" s="2636"/>
      <c r="H15" s="2636"/>
      <c r="I15" s="2636"/>
      <c r="J15" s="2636"/>
      <c r="K15" s="2636"/>
      <c r="BR15"/>
      <c r="BS15"/>
      <c r="BT15"/>
      <c r="BU15"/>
      <c r="BV15"/>
      <c r="BW15"/>
      <c r="BX15"/>
      <c r="BY15"/>
      <c r="CA15"/>
      <c r="CB15"/>
      <c r="CC15"/>
    </row>
    <row r="16" spans="1:85" ht="15" customHeight="1" x14ac:dyDescent="0.3">
      <c r="A16" s="6249"/>
      <c r="B16" s="6836" t="s">
        <v>13</v>
      </c>
      <c r="C16" s="6399"/>
      <c r="D16" s="6841" t="s">
        <v>1890</v>
      </c>
      <c r="E16" s="6843" t="s">
        <v>3921</v>
      </c>
      <c r="F16" s="6845" t="s">
        <v>2</v>
      </c>
      <c r="G16" s="6399" t="s">
        <v>3</v>
      </c>
      <c r="BR16"/>
      <c r="BS16"/>
      <c r="BT16"/>
      <c r="BU16"/>
      <c r="BV16"/>
      <c r="BW16"/>
      <c r="BX16"/>
      <c r="BY16"/>
      <c r="CA16"/>
      <c r="CB16"/>
      <c r="CC16"/>
    </row>
    <row r="17" spans="1:83" ht="18.75" customHeight="1" x14ac:dyDescent="0.3">
      <c r="A17" s="6249"/>
      <c r="B17" s="6837"/>
      <c r="C17" s="6831"/>
      <c r="D17" s="6842"/>
      <c r="E17" s="6844"/>
      <c r="F17" s="6846"/>
      <c r="G17" s="6796"/>
      <c r="BR17"/>
      <c r="BS17"/>
      <c r="BT17"/>
      <c r="BU17"/>
      <c r="BV17"/>
      <c r="BW17"/>
      <c r="BX17"/>
      <c r="BY17"/>
      <c r="CA17"/>
      <c r="CB17"/>
      <c r="CC17"/>
    </row>
    <row r="18" spans="1:83" ht="15" customHeight="1" x14ac:dyDescent="0.3">
      <c r="A18" s="6233" t="s">
        <v>4284</v>
      </c>
      <c r="B18" s="6812" t="s">
        <v>1891</v>
      </c>
      <c r="C18" s="6813"/>
      <c r="D18" s="2134" t="s">
        <v>5292</v>
      </c>
      <c r="E18" s="6076" t="s">
        <v>5293</v>
      </c>
      <c r="F18" s="5712" t="s">
        <v>5294</v>
      </c>
      <c r="G18" s="2135" t="s">
        <v>5295</v>
      </c>
      <c r="H18" t="str">
        <f>BR18&amp;BS18&amp;BT18</f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18" s="2465" t="str">
        <f>IF(AND(D18&gt;0,E18=""),"  * No olvide digitar la variable "&amp;$E$16&amp;""&amp;". Digite Cero si no tiene.",IF(E18&gt;D18,"  ** La variable Víctima de violencia de género No puede ser mayor al "&amp;$D$16&amp;""&amp;" .",""))</f>
        <v xml:space="preserve">  ** La variable Víctima de violencia de género No puede ser mayor al Nº de Ingreso a ARO .</v>
      </c>
      <c r="BS18" s="2465" t="str">
        <f>IF(AND(D18&gt;0,F18=""),"  * No olvide digitar la "&amp;$F$16&amp;""&amp;" . Digite Cero si no tiene.",IF(F18&gt;D18,"  * La variable Pueblos originarios No puede ser mayor al  "&amp;$D$16&amp;""&amp;" .",""))</f>
        <v xml:space="preserve">  * La variable Pueblos originarios No puede ser mayor al  Nº de Ingreso a ARO .</v>
      </c>
      <c r="BT18" s="2465" t="str">
        <f>IF(AND(D18&gt;0,G18=""),"  * No olvide digitar la "&amp;$G$16&amp;""&amp;" . Digite Cero si no tiene.",IF(G18&gt;D18,"  * La variable Migrantes No puede ser mayor al  "&amp;$D$16&amp;""&amp;" .",""))</f>
        <v xml:space="preserve">  * La variable Migrantes No puede ser mayor al  Nº de Ingreso a ARO .</v>
      </c>
      <c r="BU18"/>
      <c r="BV18"/>
      <c r="BW18"/>
      <c r="BX18"/>
      <c r="BY18"/>
      <c r="CA18"/>
      <c r="CB18"/>
      <c r="CC18" s="1725">
        <f>IF(AND(D18&gt;0,E18=""),1,IF(E18&gt;D18,1,0))</f>
        <v>1</v>
      </c>
      <c r="CD18" s="1725">
        <f>IF(AND(D18&gt;0,F18=""),1,IF(F18&gt;D18,1,0))</f>
        <v>1</v>
      </c>
      <c r="CE18" s="1725">
        <f>IF(AND(D18&gt;0,G18=""),1,IF(G18&gt;D18,1,0))</f>
        <v>1</v>
      </c>
    </row>
    <row r="19" spans="1:83" ht="15" customHeight="1" x14ac:dyDescent="0.3">
      <c r="A19" s="6233" t="s">
        <v>4285</v>
      </c>
      <c r="B19" s="6833" t="s">
        <v>1892</v>
      </c>
      <c r="C19" s="6834"/>
      <c r="D19" s="2112" t="s">
        <v>5292</v>
      </c>
      <c r="E19" s="5449" t="s">
        <v>5293</v>
      </c>
      <c r="F19" s="1102" t="s">
        <v>5294</v>
      </c>
      <c r="G19" s="1089" t="s">
        <v>5295</v>
      </c>
      <c r="H19" t="str">
        <f t="shared" ref="H19:H31" si="11">BR19&amp;BS19&amp;BT19</f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19" s="2465" t="str">
        <f t="shared" ref="BR19:BR31" si="12">IF(AND(D19&gt;0,E19=""),"  * No olvide digitar la variable "&amp;$E$16&amp;""&amp;". Digite Cero si no tiene.",IF(E19&gt;D19,"  ** La variable Víctima de violencia de género No puede ser mayor al "&amp;$D$16&amp;""&amp;" .",""))</f>
        <v xml:space="preserve">  ** La variable Víctima de violencia de género No puede ser mayor al Nº de Ingreso a ARO .</v>
      </c>
      <c r="BS19" s="2465" t="str">
        <f t="shared" ref="BS19:BS31" si="13">IF(AND(D19&gt;0,F19=""),"  * No olvide digitar la "&amp;$F$16&amp;""&amp;" . Digite Cero si no tiene.",IF(F19&gt;D19,"  * La variable Pueblos originarios No puede ser mayor al  "&amp;$D$16&amp;""&amp;" .",""))</f>
        <v xml:space="preserve">  * La variable Pueblos originarios No puede ser mayor al  Nº de Ingreso a ARO .</v>
      </c>
      <c r="BT19" s="2465" t="str">
        <f t="shared" ref="BT19:BT31" si="14">IF(AND(D19&gt;0,G19=""),"  * No olvide digitar la "&amp;$G$16&amp;""&amp;" . Digite Cero si no tiene.",IF(G19&gt;D19,"  * La variable Migrantes No puede ser mayor al  "&amp;$D$16&amp;""&amp;" .",""))</f>
        <v xml:space="preserve">  * La variable Migrantes No puede ser mayor al  Nº de Ingreso a ARO .</v>
      </c>
      <c r="BU19"/>
      <c r="BV19"/>
      <c r="BW19"/>
      <c r="BX19"/>
      <c r="BY19"/>
      <c r="CA19"/>
      <c r="CB19"/>
      <c r="CC19" s="1725">
        <f t="shared" ref="CC19:CC31" si="15">IF(AND(D19&gt;0,E19=""),1,IF(E19&gt;D19,1,0))</f>
        <v>1</v>
      </c>
      <c r="CD19" s="1725">
        <f t="shared" ref="CD19:CD31" si="16">IF(AND(D19&gt;0,F19=""),1,IF(F19&gt;D19,1,0))</f>
        <v>1</v>
      </c>
      <c r="CE19" s="1725">
        <f t="shared" ref="CE19:CE31" si="17">IF(AND(D19&gt;0,G19=""),1,IF(G19&gt;D19,1,0))</f>
        <v>1</v>
      </c>
    </row>
    <row r="20" spans="1:83" ht="15" customHeight="1" x14ac:dyDescent="0.3">
      <c r="A20" s="6233" t="s">
        <v>4286</v>
      </c>
      <c r="B20" s="6820" t="s">
        <v>15</v>
      </c>
      <c r="C20" s="6821"/>
      <c r="D20" s="1095" t="s">
        <v>5292</v>
      </c>
      <c r="E20" s="3945" t="s">
        <v>5293</v>
      </c>
      <c r="F20" s="3941" t="s">
        <v>5294</v>
      </c>
      <c r="G20" s="8" t="s">
        <v>5295</v>
      </c>
      <c r="H20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0" s="2465" t="str">
        <f t="shared" si="12"/>
        <v xml:space="preserve">  ** La variable Víctima de violencia de género No puede ser mayor al Nº de Ingreso a ARO .</v>
      </c>
      <c r="BS20" s="2465" t="str">
        <f t="shared" si="13"/>
        <v xml:space="preserve">  * La variable Pueblos originarios No puede ser mayor al  Nº de Ingreso a ARO .</v>
      </c>
      <c r="BT20" s="2465" t="str">
        <f t="shared" si="14"/>
        <v xml:space="preserve">  * La variable Migrantes No puede ser mayor al  Nº de Ingreso a ARO .</v>
      </c>
      <c r="BU20"/>
      <c r="BV20"/>
      <c r="BW20"/>
      <c r="BX20"/>
      <c r="BY20"/>
      <c r="CA20"/>
      <c r="CB20"/>
      <c r="CC20" s="1725">
        <f t="shared" si="15"/>
        <v>1</v>
      </c>
      <c r="CD20" s="1725">
        <f t="shared" si="16"/>
        <v>1</v>
      </c>
      <c r="CE20" s="1725">
        <f t="shared" si="17"/>
        <v>1</v>
      </c>
    </row>
    <row r="21" spans="1:83" ht="15" customHeight="1" x14ac:dyDescent="0.3">
      <c r="A21" s="6233">
        <v>24100700</v>
      </c>
      <c r="B21" s="6820" t="s">
        <v>1893</v>
      </c>
      <c r="C21" s="6821"/>
      <c r="D21" s="1095" t="s">
        <v>5292</v>
      </c>
      <c r="E21" s="3945" t="s">
        <v>5293</v>
      </c>
      <c r="F21" s="3941" t="s">
        <v>5294</v>
      </c>
      <c r="G21" s="8" t="s">
        <v>5295</v>
      </c>
      <c r="H21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1" s="2465" t="str">
        <f t="shared" si="12"/>
        <v xml:space="preserve">  ** La variable Víctima de violencia de género No puede ser mayor al Nº de Ingreso a ARO .</v>
      </c>
      <c r="BS21" s="2465" t="str">
        <f t="shared" si="13"/>
        <v xml:space="preserve">  * La variable Pueblos originarios No puede ser mayor al  Nº de Ingreso a ARO .</v>
      </c>
      <c r="BT21" s="2465" t="str">
        <f t="shared" si="14"/>
        <v xml:space="preserve">  * La variable Migrantes No puede ser mayor al  Nº de Ingreso a ARO .</v>
      </c>
      <c r="BU21"/>
      <c r="BV21"/>
      <c r="BW21"/>
      <c r="BX21"/>
      <c r="BY21"/>
      <c r="CA21"/>
      <c r="CB21"/>
      <c r="CC21" s="1725">
        <f t="shared" si="15"/>
        <v>1</v>
      </c>
      <c r="CD21" s="1725">
        <f t="shared" si="16"/>
        <v>1</v>
      </c>
      <c r="CE21" s="1725">
        <f t="shared" si="17"/>
        <v>1</v>
      </c>
    </row>
    <row r="22" spans="1:83" ht="15" customHeight="1" x14ac:dyDescent="0.3">
      <c r="A22" s="6233" t="s">
        <v>4287</v>
      </c>
      <c r="B22" s="6820" t="s">
        <v>16</v>
      </c>
      <c r="C22" s="6821"/>
      <c r="D22" s="1095" t="s">
        <v>5292</v>
      </c>
      <c r="E22" s="3945" t="s">
        <v>5293</v>
      </c>
      <c r="F22" s="3941" t="s">
        <v>5294</v>
      </c>
      <c r="G22" s="8" t="s">
        <v>5295</v>
      </c>
      <c r="H22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2" s="2465" t="str">
        <f t="shared" si="12"/>
        <v xml:space="preserve">  ** La variable Víctima de violencia de género No puede ser mayor al Nº de Ingreso a ARO .</v>
      </c>
      <c r="BS22" s="2465" t="str">
        <f t="shared" si="13"/>
        <v xml:space="preserve">  * La variable Pueblos originarios No puede ser mayor al  Nº de Ingreso a ARO .</v>
      </c>
      <c r="BT22" s="2465" t="str">
        <f t="shared" si="14"/>
        <v xml:space="preserve">  * La variable Migrantes No puede ser mayor al  Nº de Ingreso a ARO .</v>
      </c>
      <c r="BU22"/>
      <c r="BV22"/>
      <c r="BW22"/>
      <c r="BX22"/>
      <c r="BY22"/>
      <c r="CA22"/>
      <c r="CB22"/>
      <c r="CC22" s="1725">
        <f t="shared" si="15"/>
        <v>1</v>
      </c>
      <c r="CD22" s="1725">
        <f t="shared" si="16"/>
        <v>1</v>
      </c>
      <c r="CE22" s="1725">
        <f t="shared" si="17"/>
        <v>1</v>
      </c>
    </row>
    <row r="23" spans="1:83" ht="15" customHeight="1" x14ac:dyDescent="0.3">
      <c r="A23" s="6233">
        <v>24090050</v>
      </c>
      <c r="B23" s="6820" t="s">
        <v>14</v>
      </c>
      <c r="C23" s="6821"/>
      <c r="D23" s="1095" t="s">
        <v>5292</v>
      </c>
      <c r="E23" s="3945" t="s">
        <v>5293</v>
      </c>
      <c r="F23" s="3941" t="s">
        <v>5294</v>
      </c>
      <c r="G23" s="8" t="s">
        <v>5295</v>
      </c>
      <c r="H23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3" s="2465" t="str">
        <f t="shared" si="12"/>
        <v xml:space="preserve">  ** La variable Víctima de violencia de género No puede ser mayor al Nº de Ingreso a ARO .</v>
      </c>
      <c r="BS23" s="2465" t="str">
        <f t="shared" si="13"/>
        <v xml:space="preserve">  * La variable Pueblos originarios No puede ser mayor al  Nº de Ingreso a ARO .</v>
      </c>
      <c r="BT23" s="2465" t="str">
        <f t="shared" si="14"/>
        <v xml:space="preserve">  * La variable Migrantes No puede ser mayor al  Nº de Ingreso a ARO .</v>
      </c>
      <c r="BU23"/>
      <c r="BV23"/>
      <c r="BW23"/>
      <c r="BX23"/>
      <c r="BY23"/>
      <c r="CA23"/>
      <c r="CB23"/>
      <c r="CC23" s="1725">
        <f t="shared" si="15"/>
        <v>1</v>
      </c>
      <c r="CD23" s="1725">
        <f t="shared" si="16"/>
        <v>1</v>
      </c>
      <c r="CE23" s="1725">
        <f t="shared" si="17"/>
        <v>1</v>
      </c>
    </row>
    <row r="24" spans="1:83" ht="15" customHeight="1" x14ac:dyDescent="0.3">
      <c r="A24" s="6233">
        <v>24090060</v>
      </c>
      <c r="B24" s="6820" t="s">
        <v>1894</v>
      </c>
      <c r="C24" s="6821"/>
      <c r="D24" s="1095" t="s">
        <v>5292</v>
      </c>
      <c r="E24" s="3945" t="s">
        <v>5293</v>
      </c>
      <c r="F24" s="3941" t="s">
        <v>5294</v>
      </c>
      <c r="G24" s="8" t="s">
        <v>5295</v>
      </c>
      <c r="H24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4" s="2465" t="str">
        <f>IF(AND(D24&gt;0,E24=""),"  * No olvide digitar la variable "&amp;$E$16&amp;""&amp;". Digite Cero si no tiene.",IF(E24&gt;D24,"  ** La variable Víctima de violencia de género No puede ser mayor al "&amp;$D$16&amp;""&amp;" .",""))</f>
        <v xml:space="preserve">  ** La variable Víctima de violencia de género No puede ser mayor al Nº de Ingreso a ARO .</v>
      </c>
      <c r="BS24" s="2465" t="str">
        <f t="shared" si="13"/>
        <v xml:space="preserve">  * La variable Pueblos originarios No puede ser mayor al  Nº de Ingreso a ARO .</v>
      </c>
      <c r="BT24" s="2465" t="str">
        <f t="shared" si="14"/>
        <v xml:space="preserve">  * La variable Migrantes No puede ser mayor al  Nº de Ingreso a ARO .</v>
      </c>
      <c r="BU24"/>
      <c r="BV24"/>
      <c r="BW24"/>
      <c r="BX24"/>
      <c r="BY24"/>
      <c r="CA24"/>
      <c r="CB24"/>
      <c r="CC24" s="1725">
        <f t="shared" si="15"/>
        <v>1</v>
      </c>
      <c r="CD24" s="1725">
        <f t="shared" si="16"/>
        <v>1</v>
      </c>
      <c r="CE24" s="1725">
        <f t="shared" si="17"/>
        <v>1</v>
      </c>
    </row>
    <row r="25" spans="1:83" ht="15" customHeight="1" x14ac:dyDescent="0.3">
      <c r="A25" s="6233" t="s">
        <v>4288</v>
      </c>
      <c r="B25" s="6820" t="s">
        <v>1895</v>
      </c>
      <c r="C25" s="6821"/>
      <c r="D25" s="1095" t="s">
        <v>5292</v>
      </c>
      <c r="E25" s="3945" t="s">
        <v>5293</v>
      </c>
      <c r="F25" s="3941" t="s">
        <v>5294</v>
      </c>
      <c r="G25" s="8" t="s">
        <v>5295</v>
      </c>
      <c r="H25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5" s="2465" t="str">
        <f t="shared" si="12"/>
        <v xml:space="preserve">  ** La variable Víctima de violencia de género No puede ser mayor al Nº de Ingreso a ARO .</v>
      </c>
      <c r="BS25" s="2465" t="str">
        <f t="shared" si="13"/>
        <v xml:space="preserve">  * La variable Pueblos originarios No puede ser mayor al  Nº de Ingreso a ARO .</v>
      </c>
      <c r="BT25" s="2465" t="str">
        <f t="shared" si="14"/>
        <v xml:space="preserve">  * La variable Migrantes No puede ser mayor al  Nº de Ingreso a ARO .</v>
      </c>
      <c r="BU25"/>
      <c r="BV25"/>
      <c r="BW25"/>
      <c r="BX25"/>
      <c r="BY25"/>
      <c r="CA25"/>
      <c r="CB25"/>
      <c r="CC25" s="1725">
        <f t="shared" si="15"/>
        <v>1</v>
      </c>
      <c r="CD25" s="1725">
        <f t="shared" si="16"/>
        <v>1</v>
      </c>
      <c r="CE25" s="1725">
        <f t="shared" si="17"/>
        <v>1</v>
      </c>
    </row>
    <row r="26" spans="1:83" ht="15" customHeight="1" x14ac:dyDescent="0.3">
      <c r="A26" s="6233" t="s">
        <v>4289</v>
      </c>
      <c r="B26" s="6820" t="s">
        <v>1896</v>
      </c>
      <c r="C26" s="6821"/>
      <c r="D26" s="1095" t="s">
        <v>5292</v>
      </c>
      <c r="E26" s="3945" t="s">
        <v>5293</v>
      </c>
      <c r="F26" s="3941" t="s">
        <v>5294</v>
      </c>
      <c r="G26" s="8" t="s">
        <v>5295</v>
      </c>
      <c r="H26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6" s="2465" t="str">
        <f t="shared" si="12"/>
        <v xml:space="preserve">  ** La variable Víctima de violencia de género No puede ser mayor al Nº de Ingreso a ARO .</v>
      </c>
      <c r="BS26" s="2465" t="str">
        <f t="shared" si="13"/>
        <v xml:space="preserve">  * La variable Pueblos originarios No puede ser mayor al  Nº de Ingreso a ARO .</v>
      </c>
      <c r="BT26" s="2465" t="str">
        <f t="shared" si="14"/>
        <v xml:space="preserve">  * La variable Migrantes No puede ser mayor al  Nº de Ingreso a ARO .</v>
      </c>
      <c r="BU26"/>
      <c r="BV26"/>
      <c r="BW26"/>
      <c r="BX26"/>
      <c r="BY26"/>
      <c r="CA26"/>
      <c r="CB26"/>
      <c r="CC26" s="1725">
        <f t="shared" si="15"/>
        <v>1</v>
      </c>
      <c r="CD26" s="1725">
        <f t="shared" si="16"/>
        <v>1</v>
      </c>
      <c r="CE26" s="1725">
        <f t="shared" si="17"/>
        <v>1</v>
      </c>
    </row>
    <row r="27" spans="1:83" ht="15" customHeight="1" x14ac:dyDescent="0.3">
      <c r="A27" s="6233" t="s">
        <v>4290</v>
      </c>
      <c r="B27" s="6820" t="s">
        <v>1897</v>
      </c>
      <c r="C27" s="6821"/>
      <c r="D27" s="1095" t="s">
        <v>5292</v>
      </c>
      <c r="E27" s="3945" t="s">
        <v>5293</v>
      </c>
      <c r="F27" s="3941" t="s">
        <v>5294</v>
      </c>
      <c r="G27" s="8" t="s">
        <v>5295</v>
      </c>
      <c r="H27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7" s="2465" t="str">
        <f t="shared" si="12"/>
        <v xml:space="preserve">  ** La variable Víctima de violencia de género No puede ser mayor al Nº de Ingreso a ARO .</v>
      </c>
      <c r="BS27" s="2465" t="str">
        <f t="shared" si="13"/>
        <v xml:space="preserve">  * La variable Pueblos originarios No puede ser mayor al  Nº de Ingreso a ARO .</v>
      </c>
      <c r="BT27" s="2465" t="str">
        <f t="shared" si="14"/>
        <v xml:space="preserve">  * La variable Migrantes No puede ser mayor al  Nº de Ingreso a ARO .</v>
      </c>
      <c r="BU27"/>
      <c r="BV27"/>
      <c r="BW27"/>
      <c r="BX27"/>
      <c r="BY27"/>
      <c r="CA27"/>
      <c r="CB27"/>
      <c r="CC27" s="1725">
        <f t="shared" si="15"/>
        <v>1</v>
      </c>
      <c r="CD27" s="1725">
        <f t="shared" si="16"/>
        <v>1</v>
      </c>
      <c r="CE27" s="1725">
        <f t="shared" si="17"/>
        <v>1</v>
      </c>
    </row>
    <row r="28" spans="1:83" ht="15" customHeight="1" x14ac:dyDescent="0.3">
      <c r="A28" s="6233" t="s">
        <v>4291</v>
      </c>
      <c r="B28" s="6820" t="s">
        <v>1898</v>
      </c>
      <c r="C28" s="6821"/>
      <c r="D28" s="9" t="s">
        <v>5292</v>
      </c>
      <c r="E28" s="23" t="s">
        <v>5293</v>
      </c>
      <c r="F28" s="24" t="s">
        <v>5294</v>
      </c>
      <c r="G28" s="11" t="s">
        <v>5295</v>
      </c>
      <c r="H28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8" s="2465" t="str">
        <f t="shared" si="12"/>
        <v xml:space="preserve">  ** La variable Víctima de violencia de género No puede ser mayor al Nº de Ingreso a ARO .</v>
      </c>
      <c r="BS28" s="2465" t="str">
        <f t="shared" si="13"/>
        <v xml:space="preserve">  * La variable Pueblos originarios No puede ser mayor al  Nº de Ingreso a ARO .</v>
      </c>
      <c r="BT28" s="2465" t="str">
        <f t="shared" si="14"/>
        <v xml:space="preserve">  * La variable Migrantes No puede ser mayor al  Nº de Ingreso a ARO .</v>
      </c>
      <c r="BU28"/>
      <c r="BV28"/>
      <c r="BW28"/>
      <c r="BX28"/>
      <c r="BY28"/>
      <c r="CA28"/>
      <c r="CB28"/>
      <c r="CC28" s="1725">
        <f t="shared" si="15"/>
        <v>1</v>
      </c>
      <c r="CD28" s="1725">
        <f t="shared" si="16"/>
        <v>1</v>
      </c>
      <c r="CE28" s="1725">
        <f t="shared" si="17"/>
        <v>1</v>
      </c>
    </row>
    <row r="29" spans="1:83" ht="15" customHeight="1" x14ac:dyDescent="0.3">
      <c r="A29" s="6233" t="s">
        <v>4292</v>
      </c>
      <c r="B29" s="6820" t="s">
        <v>1899</v>
      </c>
      <c r="C29" s="6821"/>
      <c r="D29" s="9" t="s">
        <v>5292</v>
      </c>
      <c r="E29" s="23" t="s">
        <v>5293</v>
      </c>
      <c r="F29" s="24" t="s">
        <v>5294</v>
      </c>
      <c r="G29" s="11" t="s">
        <v>5295</v>
      </c>
      <c r="H29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29" s="2465" t="str">
        <f t="shared" si="12"/>
        <v xml:space="preserve">  ** La variable Víctima de violencia de género No puede ser mayor al Nº de Ingreso a ARO .</v>
      </c>
      <c r="BS29" s="2465" t="str">
        <f t="shared" si="13"/>
        <v xml:space="preserve">  * La variable Pueblos originarios No puede ser mayor al  Nº de Ingreso a ARO .</v>
      </c>
      <c r="BT29" s="2465" t="str">
        <f t="shared" si="14"/>
        <v xml:space="preserve">  * La variable Migrantes No puede ser mayor al  Nº de Ingreso a ARO .</v>
      </c>
      <c r="BU29"/>
      <c r="BV29"/>
      <c r="BW29"/>
      <c r="BX29"/>
      <c r="BY29"/>
      <c r="CA29"/>
      <c r="CB29"/>
      <c r="CC29" s="1725">
        <f t="shared" si="15"/>
        <v>1</v>
      </c>
      <c r="CD29" s="1725">
        <f t="shared" si="16"/>
        <v>1</v>
      </c>
      <c r="CE29" s="1725">
        <f t="shared" si="17"/>
        <v>1</v>
      </c>
    </row>
    <row r="30" spans="1:83" ht="15" customHeight="1" x14ac:dyDescent="0.3">
      <c r="A30" s="6233" t="s">
        <v>4293</v>
      </c>
      <c r="B30" s="6820" t="s">
        <v>1900</v>
      </c>
      <c r="C30" s="6821"/>
      <c r="D30" s="9" t="s">
        <v>5292</v>
      </c>
      <c r="E30" s="23" t="s">
        <v>5293</v>
      </c>
      <c r="F30" s="24" t="s">
        <v>5294</v>
      </c>
      <c r="G30" s="11" t="s">
        <v>5295</v>
      </c>
      <c r="H30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30" s="2465" t="str">
        <f t="shared" si="12"/>
        <v xml:space="preserve">  ** La variable Víctima de violencia de género No puede ser mayor al Nº de Ingreso a ARO .</v>
      </c>
      <c r="BS30" s="2465" t="str">
        <f t="shared" si="13"/>
        <v xml:space="preserve">  * La variable Pueblos originarios No puede ser mayor al  Nº de Ingreso a ARO .</v>
      </c>
      <c r="BT30" s="2465" t="str">
        <f t="shared" si="14"/>
        <v xml:space="preserve">  * La variable Migrantes No puede ser mayor al  Nº de Ingreso a ARO .</v>
      </c>
      <c r="BU30"/>
      <c r="BV30"/>
      <c r="BW30"/>
      <c r="BX30"/>
      <c r="BY30"/>
      <c r="CA30"/>
      <c r="CB30"/>
      <c r="CC30" s="1725">
        <f t="shared" si="15"/>
        <v>1</v>
      </c>
      <c r="CD30" s="1725">
        <f t="shared" si="16"/>
        <v>1</v>
      </c>
      <c r="CE30" s="1725">
        <f t="shared" si="17"/>
        <v>1</v>
      </c>
    </row>
    <row r="31" spans="1:83" ht="15" customHeight="1" x14ac:dyDescent="0.3">
      <c r="A31" s="6233">
        <v>24100800</v>
      </c>
      <c r="B31" s="6849" t="s">
        <v>1901</v>
      </c>
      <c r="C31" s="6850"/>
      <c r="D31" s="3" t="s">
        <v>5292</v>
      </c>
      <c r="E31" s="3949" t="s">
        <v>5293</v>
      </c>
      <c r="F31" s="6075" t="s">
        <v>5294</v>
      </c>
      <c r="G31" s="12" t="s">
        <v>5295</v>
      </c>
      <c r="H31" t="str">
        <f t="shared" si="11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BR31" s="2465" t="str">
        <f t="shared" si="12"/>
        <v xml:space="preserve">  ** La variable Víctima de violencia de género No puede ser mayor al Nº de Ingreso a ARO .</v>
      </c>
      <c r="BS31" s="2465" t="str">
        <f t="shared" si="13"/>
        <v xml:space="preserve">  * La variable Pueblos originarios No puede ser mayor al  Nº de Ingreso a ARO .</v>
      </c>
      <c r="BT31" s="2465" t="str">
        <f t="shared" si="14"/>
        <v xml:space="preserve">  * La variable Migrantes No puede ser mayor al  Nº de Ingreso a ARO .</v>
      </c>
      <c r="BU31"/>
      <c r="BV31"/>
      <c r="BW31"/>
      <c r="BX31"/>
      <c r="BY31"/>
      <c r="CA31"/>
      <c r="CB31"/>
      <c r="CC31" s="1725">
        <f t="shared" si="15"/>
        <v>1</v>
      </c>
      <c r="CD31" s="1725">
        <f t="shared" si="16"/>
        <v>1</v>
      </c>
      <c r="CE31" s="1725">
        <f t="shared" si="17"/>
        <v>1</v>
      </c>
    </row>
    <row r="32" spans="1:83" s="17" customFormat="1" ht="18" customHeight="1" x14ac:dyDescent="0.25">
      <c r="B32" s="14" t="s">
        <v>3702</v>
      </c>
      <c r="C32" s="2639"/>
      <c r="D32" s="2640"/>
      <c r="E32" s="15"/>
      <c r="F32" s="15"/>
      <c r="G32" s="14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1:86" x14ac:dyDescent="0.3">
      <c r="B33" s="6836" t="s">
        <v>1902</v>
      </c>
      <c r="C33" s="6399"/>
      <c r="D33" s="6772" t="s">
        <v>1</v>
      </c>
      <c r="E33" s="6838" t="s">
        <v>12</v>
      </c>
      <c r="F33" s="6839"/>
      <c r="G33" s="6839"/>
      <c r="H33" s="6839"/>
      <c r="I33" s="6839"/>
      <c r="J33" s="6839"/>
      <c r="K33" s="6839"/>
      <c r="L33" s="6839"/>
      <c r="M33" s="6839"/>
      <c r="N33" s="6839"/>
      <c r="O33" s="6839"/>
      <c r="P33" s="6839"/>
      <c r="Q33" s="6840"/>
      <c r="R33" s="6851" t="s">
        <v>17</v>
      </c>
      <c r="S33" s="6772" t="s">
        <v>1903</v>
      </c>
      <c r="T33" s="6399" t="s">
        <v>2</v>
      </c>
      <c r="U33" s="6399" t="s">
        <v>3</v>
      </c>
      <c r="V33" s="6399" t="s">
        <v>1904</v>
      </c>
      <c r="BR33"/>
      <c r="BS33"/>
      <c r="BT33"/>
      <c r="BU33"/>
      <c r="BV33"/>
      <c r="BW33"/>
      <c r="BX33"/>
      <c r="BY33"/>
      <c r="CA33"/>
      <c r="CB33"/>
      <c r="CC33"/>
    </row>
    <row r="34" spans="1:86" ht="27.75" customHeight="1" x14ac:dyDescent="0.3">
      <c r="B34" s="6837"/>
      <c r="C34" s="6831"/>
      <c r="D34" s="6774"/>
      <c r="E34" s="2128" t="s">
        <v>3768</v>
      </c>
      <c r="F34" s="2634" t="s">
        <v>4</v>
      </c>
      <c r="G34" s="2634" t="s">
        <v>5</v>
      </c>
      <c r="H34" s="2634" t="s">
        <v>6</v>
      </c>
      <c r="I34" s="2634" t="s">
        <v>7</v>
      </c>
      <c r="J34" s="2634" t="s">
        <v>8</v>
      </c>
      <c r="K34" s="2634" t="s">
        <v>9</v>
      </c>
      <c r="L34" s="2634" t="s">
        <v>10</v>
      </c>
      <c r="M34" s="2634" t="s">
        <v>11</v>
      </c>
      <c r="N34" s="2634" t="s">
        <v>18</v>
      </c>
      <c r="O34" s="2641" t="s">
        <v>19</v>
      </c>
      <c r="P34" s="2634" t="s">
        <v>20</v>
      </c>
      <c r="Q34" s="2635" t="s">
        <v>1905</v>
      </c>
      <c r="R34" s="6852"/>
      <c r="S34" s="6774"/>
      <c r="T34" s="6853"/>
      <c r="U34" s="6853"/>
      <c r="V34" s="6853"/>
      <c r="BR34"/>
      <c r="BS34"/>
      <c r="BT34"/>
      <c r="BU34"/>
      <c r="BV34"/>
      <c r="BW34"/>
      <c r="BX34"/>
      <c r="BY34"/>
      <c r="CA34"/>
      <c r="CB34"/>
      <c r="CC34"/>
    </row>
    <row r="35" spans="1:86" ht="15" customHeight="1" x14ac:dyDescent="0.3">
      <c r="A35" s="6250"/>
      <c r="B35" s="6854" t="s">
        <v>1906</v>
      </c>
      <c r="C35" s="6854"/>
      <c r="D35" s="2136">
        <f>SUM(E35:Q35)</f>
        <v>0</v>
      </c>
      <c r="E35" s="2136">
        <f>SUM(E36:E48)</f>
        <v>0</v>
      </c>
      <c r="F35" s="2136">
        <f>SUM(F36:F48)</f>
        <v>0</v>
      </c>
      <c r="G35" s="2136">
        <f t="shared" ref="G35:M35" si="18">SUM(G36:G48)</f>
        <v>0</v>
      </c>
      <c r="H35" s="2136">
        <f t="shared" si="18"/>
        <v>0</v>
      </c>
      <c r="I35" s="2136">
        <f t="shared" si="18"/>
        <v>0</v>
      </c>
      <c r="J35" s="2136">
        <f t="shared" si="18"/>
        <v>0</v>
      </c>
      <c r="K35" s="2136">
        <f t="shared" si="18"/>
        <v>0</v>
      </c>
      <c r="L35" s="2136">
        <f t="shared" si="18"/>
        <v>0</v>
      </c>
      <c r="M35" s="2136">
        <f t="shared" si="18"/>
        <v>0</v>
      </c>
      <c r="N35" s="2136">
        <f>SUM(N36:N48)</f>
        <v>0</v>
      </c>
      <c r="O35" s="2136">
        <f>SUM(O51:O55)</f>
        <v>0</v>
      </c>
      <c r="P35" s="2136">
        <f t="shared" ref="P35:Q35" si="19">SUM(P51:P55)</f>
        <v>0</v>
      </c>
      <c r="Q35" s="2642">
        <f t="shared" si="19"/>
        <v>0</v>
      </c>
      <c r="R35" s="2562">
        <f>SUM(R36:R48)</f>
        <v>0</v>
      </c>
      <c r="S35" s="2562">
        <f>SUM(S36:S48)</f>
        <v>0</v>
      </c>
      <c r="T35" s="2562">
        <f t="shared" ref="T35:V35" si="20">SUM(T36:T48)</f>
        <v>0</v>
      </c>
      <c r="U35" s="2562">
        <f t="shared" si="20"/>
        <v>0</v>
      </c>
      <c r="V35" s="2562">
        <f t="shared" si="20"/>
        <v>0</v>
      </c>
      <c r="BR35"/>
      <c r="BS35"/>
      <c r="BT35"/>
      <c r="BU35"/>
      <c r="BV35"/>
      <c r="BW35"/>
      <c r="BX35"/>
      <c r="BY35"/>
      <c r="CA35"/>
      <c r="CB35"/>
      <c r="CC35"/>
    </row>
    <row r="36" spans="1:86" ht="15" customHeight="1" x14ac:dyDescent="0.3">
      <c r="A36" s="6233" t="s">
        <v>4294</v>
      </c>
      <c r="B36" s="6855" t="s">
        <v>3903</v>
      </c>
      <c r="C36" s="6856"/>
      <c r="D36" s="2117" t="s">
        <v>5292</v>
      </c>
      <c r="E36" s="2120" t="s">
        <v>5293</v>
      </c>
      <c r="F36" s="1422" t="s">
        <v>5294</v>
      </c>
      <c r="G36" s="1422" t="s">
        <v>5295</v>
      </c>
      <c r="H36" s="1422" t="s">
        <v>5296</v>
      </c>
      <c r="I36" s="1422" t="s">
        <v>5297</v>
      </c>
      <c r="J36" s="1422" t="s">
        <v>5298</v>
      </c>
      <c r="K36" s="1422" t="s">
        <v>5299</v>
      </c>
      <c r="L36" s="1422" t="s">
        <v>5300</v>
      </c>
      <c r="M36" s="1422" t="s">
        <v>5301</v>
      </c>
      <c r="N36" s="1422" t="s">
        <v>5302</v>
      </c>
      <c r="O36" s="2137" t="s">
        <v>5303</v>
      </c>
      <c r="P36" s="2138" t="s">
        <v>5304</v>
      </c>
      <c r="Q36" s="2139" t="s">
        <v>5305</v>
      </c>
      <c r="R36" s="2121" t="s">
        <v>5306</v>
      </c>
      <c r="S36" s="2121" t="s">
        <v>5307</v>
      </c>
      <c r="T36" s="2121" t="s">
        <v>5308</v>
      </c>
      <c r="U36" s="2121" t="s">
        <v>5309</v>
      </c>
      <c r="V36" s="2121" t="s">
        <v>5310</v>
      </c>
      <c r="W36" t="str">
        <f>BR36&amp;BS36&amp;BT36&amp;BU36&amp;BV36</f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36" s="2465" t="str">
        <f>IF(AND(D36&gt;0,R36="")," * No olvide digitar la variable "&amp;$R$33&amp;""&amp;". Digite Cero si no tiene.",IF(R36&gt;D36," * La variable "&amp;$R$33&amp;""&amp;" no  puede ser mayor al Total.",""))</f>
        <v xml:space="preserve"> * La variable Espacios Amigables/ Adolescentes no  puede ser mayor al Total.</v>
      </c>
      <c r="BS36" s="2465" t="str">
        <f>IF(AND(D36&gt;0,S36="")," * No olvide digitar la variable "&amp;$S$33&amp;""&amp;". Digite Cero si no tiene.","")</f>
        <v/>
      </c>
      <c r="BT36" s="2465" t="str">
        <f>IF(AND($D36&gt;0,T36="")," * No olvide digitar la variable "&amp;$T$33&amp;""&amp;". Digite Cero si no tiene.",IF(T36&gt;D36," * La variable "&amp;$T$33&amp;""&amp;" no  puede ser mayor al Total.",""))</f>
        <v xml:space="preserve"> * La variable Pueblos Originarios no  puede ser mayor al Total.</v>
      </c>
      <c r="BU36" s="2465" t="str">
        <f>IF(AND($D36&gt;0,U36="")," * No olvide digitar la variable "&amp;$U$33&amp;""&amp;". Digite Cero si no tiene.",IF(U36&gt;$D36," * La variable "&amp;$U$33&amp;""&amp;" no  puede ser mayor al Total.",""))</f>
        <v xml:space="preserve"> * La variable Migrantes no  puede ser mayor al Total.</v>
      </c>
      <c r="BV36" s="2465" t="str">
        <f>IF(AND($D36&gt;0,V36="")," * No olvide digitar la variable "&amp;$V$33&amp;""&amp;". Digite Cero si no tiene.",IF(V36&gt;$D36," * La variable "&amp;$V$33&amp;""&amp;" no  puede ser mayor al Total.",""))</f>
        <v xml:space="preserve"> * La variable Inicio precoz de MAC nivel secundario y terciario no  puede ser mayor al Total.</v>
      </c>
      <c r="BW36"/>
      <c r="BX36"/>
      <c r="BY36"/>
      <c r="CA36"/>
      <c r="CB36"/>
      <c r="CC36" s="1725">
        <f>IF(AND(D36&gt;0,R36=""),1,IF(R36&gt;D36,1,0))</f>
        <v>1</v>
      </c>
      <c r="CD36" s="1725">
        <f>IF(AND(D36&gt;0,S36=""),1,IF(S36&gt;D36,0,0))</f>
        <v>0</v>
      </c>
      <c r="CE36" s="6102">
        <f t="shared" ref="CE36:CE55" si="21">IF(AND(D36&gt;0,T36=""),1,IF(T36&gt;D36,1,0))</f>
        <v>1</v>
      </c>
      <c r="CF36" s="1725">
        <f t="shared" ref="CF36:CF55" si="22">IF(AND(D36&gt;0,U36=""),1,IF(U36&gt;D36,1,0))</f>
        <v>1</v>
      </c>
      <c r="CG36" s="1725"/>
      <c r="CH36" s="1725">
        <f t="shared" ref="CH36:CH55" si="23">IF(AND(D36&gt;0,V36=""),1,IF(V36&gt;D36,1,0))</f>
        <v>1</v>
      </c>
    </row>
    <row r="37" spans="1:86" ht="15" customHeight="1" x14ac:dyDescent="0.3">
      <c r="A37" s="6233" t="s">
        <v>4295</v>
      </c>
      <c r="B37" s="6857" t="s">
        <v>3904</v>
      </c>
      <c r="C37" s="6858"/>
      <c r="D37" s="1106" t="s">
        <v>5292</v>
      </c>
      <c r="E37" s="3" t="s">
        <v>5293</v>
      </c>
      <c r="F37" s="4" t="s">
        <v>5294</v>
      </c>
      <c r="G37" s="4" t="s">
        <v>5295</v>
      </c>
      <c r="H37" s="4" t="s">
        <v>5296</v>
      </c>
      <c r="I37" s="4" t="s">
        <v>5297</v>
      </c>
      <c r="J37" s="4" t="s">
        <v>5298</v>
      </c>
      <c r="K37" s="4" t="s">
        <v>5299</v>
      </c>
      <c r="L37" s="4" t="s">
        <v>5300</v>
      </c>
      <c r="M37" s="4" t="s">
        <v>5301</v>
      </c>
      <c r="N37" s="4" t="s">
        <v>5302</v>
      </c>
      <c r="O37" s="2140" t="s">
        <v>5303</v>
      </c>
      <c r="P37" s="2141" t="s">
        <v>5304</v>
      </c>
      <c r="Q37" s="2142" t="s">
        <v>5305</v>
      </c>
      <c r="R37" s="12" t="s">
        <v>5306</v>
      </c>
      <c r="S37" s="12" t="s">
        <v>5307</v>
      </c>
      <c r="T37" s="12" t="s">
        <v>5308</v>
      </c>
      <c r="U37" s="12" t="s">
        <v>5309</v>
      </c>
      <c r="V37" s="12" t="s">
        <v>5310</v>
      </c>
      <c r="W37" t="str">
        <f t="shared" ref="W37:W55" si="24">BR37&amp;BS37&amp;BT37&amp;BU37&amp;BV37</f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37" s="2465" t="str">
        <f t="shared" ref="BR37:BR55" si="25">IF(AND(D37&gt;0,R37="")," * No olvide digitar la variable "&amp;$R$33&amp;""&amp;". Digite Cero si no tiene.",IF(R37&gt;D37," * La variable "&amp;$R$33&amp;""&amp;" no  puede ser mayor al Total.",""))</f>
        <v xml:space="preserve"> * La variable Espacios Amigables/ Adolescentes no  puede ser mayor al Total.</v>
      </c>
      <c r="BS37" s="2465" t="str">
        <f>IF(AND(D37&gt;0,S37="")," * No olvide digitar la variable "&amp;$S$33&amp;""&amp;". Digite Cero si no tiene.","")</f>
        <v/>
      </c>
      <c r="BT37" s="2465" t="str">
        <f t="shared" ref="BT37:BT55" si="26">IF(AND($D37&gt;0,T37="")," * No olvide digitar la variable "&amp;$T$33&amp;""&amp;". Digite Cero si no tiene.",IF(T37&gt;D37," * La variable "&amp;$T$33&amp;""&amp;" no  puede ser mayor al Total.",""))</f>
        <v xml:space="preserve"> * La variable Pueblos Originarios no  puede ser mayor al Total.</v>
      </c>
      <c r="BU37" s="2465" t="str">
        <f t="shared" ref="BU37:BU55" si="27">IF(AND($D37&gt;0,U37="")," * No olvide digitar la variable "&amp;$U$33&amp;""&amp;". Digite Cero si no tiene.",IF(U37&gt;$D37," * La variable "&amp;$U$33&amp;""&amp;" no  puede ser mayor al Total.",""))</f>
        <v xml:space="preserve"> * La variable Migrantes no  puede ser mayor al Total.</v>
      </c>
      <c r="BV37" s="2465" t="str">
        <f t="shared" ref="BV37:BV55" si="28">IF(AND($D37&gt;0,V37="")," * No olvide digitar la variable "&amp;$V$33&amp;""&amp;". Digite Cero si no tiene.",IF(V37&gt;$D37," * La variable "&amp;$V$33&amp;""&amp;" no  puede ser mayor al Total.",""))</f>
        <v xml:space="preserve"> * La variable Inicio precoz de MAC nivel secundario y terciario no  puede ser mayor al Total.</v>
      </c>
      <c r="BW37"/>
      <c r="BX37"/>
      <c r="BY37"/>
      <c r="CA37"/>
      <c r="CB37"/>
      <c r="CC37" s="1725">
        <f t="shared" ref="CC37:CC55" si="29">IF(AND(D37&gt;0,R37=""),1,IF(R37&gt;D37,1,0))</f>
        <v>1</v>
      </c>
      <c r="CD37" s="1725">
        <f t="shared" ref="CD37:CD55" si="30">IF(AND(D37&gt;0,S37=""),1,IF(S37&gt;D37,0,0))</f>
        <v>0</v>
      </c>
      <c r="CE37" s="6102">
        <f t="shared" si="21"/>
        <v>1</v>
      </c>
      <c r="CF37" s="1725">
        <f t="shared" si="22"/>
        <v>1</v>
      </c>
      <c r="CG37" s="1725"/>
      <c r="CH37" s="1725">
        <f t="shared" si="23"/>
        <v>1</v>
      </c>
    </row>
    <row r="38" spans="1:86" ht="15" customHeight="1" x14ac:dyDescent="0.3">
      <c r="A38" s="6233" t="s">
        <v>4296</v>
      </c>
      <c r="B38" s="6859" t="s">
        <v>1114</v>
      </c>
      <c r="C38" s="4453" t="s">
        <v>1115</v>
      </c>
      <c r="D38" s="2117" t="s">
        <v>5292</v>
      </c>
      <c r="E38" s="2120" t="s">
        <v>5293</v>
      </c>
      <c r="F38" s="1422" t="s">
        <v>5294</v>
      </c>
      <c r="G38" s="1422" t="s">
        <v>5295</v>
      </c>
      <c r="H38" s="1422" t="s">
        <v>5296</v>
      </c>
      <c r="I38" s="1422" t="s">
        <v>5297</v>
      </c>
      <c r="J38" s="1422" t="s">
        <v>5298</v>
      </c>
      <c r="K38" s="1422" t="s">
        <v>5299</v>
      </c>
      <c r="L38" s="1422" t="s">
        <v>5300</v>
      </c>
      <c r="M38" s="1422" t="s">
        <v>5301</v>
      </c>
      <c r="N38" s="1422" t="s">
        <v>5302</v>
      </c>
      <c r="O38" s="2137" t="s">
        <v>5303</v>
      </c>
      <c r="P38" s="2138" t="s">
        <v>5304</v>
      </c>
      <c r="Q38" s="2139" t="s">
        <v>5305</v>
      </c>
      <c r="R38" s="2121" t="s">
        <v>5306</v>
      </c>
      <c r="S38" s="2121" t="s">
        <v>5307</v>
      </c>
      <c r="T38" s="2121" t="s">
        <v>5308</v>
      </c>
      <c r="U38" s="2121" t="s">
        <v>5309</v>
      </c>
      <c r="V38" s="2121" t="s">
        <v>5310</v>
      </c>
      <c r="W38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38" s="2465" t="str">
        <f t="shared" si="25"/>
        <v xml:space="preserve"> * La variable Espacios Amigables/ Adolescentes no  puede ser mayor al Total.</v>
      </c>
      <c r="BS38" s="2465" t="str">
        <f>IF(AND(D38&gt;0,S38="")," * No olvide digitar la variable "&amp;$S$33&amp;""&amp;". Digite Cero si no tiene.","")</f>
        <v/>
      </c>
      <c r="BT38" s="2465" t="str">
        <f t="shared" si="26"/>
        <v xml:space="preserve"> * La variable Pueblos Originarios no  puede ser mayor al Total.</v>
      </c>
      <c r="BU38" s="2465" t="str">
        <f t="shared" si="27"/>
        <v xml:space="preserve"> * La variable Migrantes no  puede ser mayor al Total.</v>
      </c>
      <c r="BV38" s="2465" t="str">
        <f t="shared" si="28"/>
        <v xml:space="preserve"> * La variable Inicio precoz de MAC nivel secundario y terciario no  puede ser mayor al Total.</v>
      </c>
      <c r="BW38"/>
      <c r="BX38"/>
      <c r="BY38"/>
      <c r="CA38"/>
      <c r="CB38"/>
      <c r="CC38" s="1725">
        <f t="shared" si="29"/>
        <v>1</v>
      </c>
      <c r="CD38" s="1725">
        <f t="shared" si="30"/>
        <v>0</v>
      </c>
      <c r="CE38" s="6102">
        <f t="shared" si="21"/>
        <v>1</v>
      </c>
      <c r="CF38" s="1725">
        <f t="shared" si="22"/>
        <v>1</v>
      </c>
      <c r="CG38" s="1725"/>
      <c r="CH38" s="1725">
        <f t="shared" si="23"/>
        <v>1</v>
      </c>
    </row>
    <row r="39" spans="1:86" ht="15" customHeight="1" x14ac:dyDescent="0.3">
      <c r="A39" s="6233" t="s">
        <v>4297</v>
      </c>
      <c r="B39" s="6859"/>
      <c r="C39" s="4454" t="s">
        <v>1116</v>
      </c>
      <c r="D39" s="1105" t="s">
        <v>5292</v>
      </c>
      <c r="E39" s="1095" t="s">
        <v>5293</v>
      </c>
      <c r="F39" s="1426" t="s">
        <v>5294</v>
      </c>
      <c r="G39" s="1426" t="s">
        <v>5295</v>
      </c>
      <c r="H39" s="1426" t="s">
        <v>5296</v>
      </c>
      <c r="I39" s="1426" t="s">
        <v>5297</v>
      </c>
      <c r="J39" s="1426" t="s">
        <v>5298</v>
      </c>
      <c r="K39" s="1426" t="s">
        <v>5299</v>
      </c>
      <c r="L39" s="1426" t="s">
        <v>5300</v>
      </c>
      <c r="M39" s="1426" t="s">
        <v>5301</v>
      </c>
      <c r="N39" s="1426" t="s">
        <v>5302</v>
      </c>
      <c r="O39" s="2144" t="s">
        <v>5303</v>
      </c>
      <c r="P39" s="1440" t="s">
        <v>5304</v>
      </c>
      <c r="Q39" s="1441" t="s">
        <v>5305</v>
      </c>
      <c r="R39" s="8" t="s">
        <v>5306</v>
      </c>
      <c r="S39" s="8" t="s">
        <v>5307</v>
      </c>
      <c r="T39" s="8" t="s">
        <v>5308</v>
      </c>
      <c r="U39" s="8" t="s">
        <v>5309</v>
      </c>
      <c r="V39" s="8" t="s">
        <v>5310</v>
      </c>
      <c r="W39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39" s="2465" t="str">
        <f t="shared" si="25"/>
        <v xml:space="preserve"> * La variable Espacios Amigables/ Adolescentes no  puede ser mayor al Total.</v>
      </c>
      <c r="BS39" s="2465" t="str">
        <f t="shared" ref="BS39:BS55" si="31">IF(AND(D39&gt;0,S39="")," * No olvide digitar la variable "&amp;$S$33&amp;""&amp;". Digite Cero si no tiene.","")</f>
        <v/>
      </c>
      <c r="BT39" s="2465" t="str">
        <f t="shared" si="26"/>
        <v xml:space="preserve"> * La variable Pueblos Originarios no  puede ser mayor al Total.</v>
      </c>
      <c r="BU39" s="2465" t="str">
        <f t="shared" si="27"/>
        <v xml:space="preserve"> * La variable Migrantes no  puede ser mayor al Total.</v>
      </c>
      <c r="BV39" s="2465" t="str">
        <f t="shared" si="28"/>
        <v xml:space="preserve"> * La variable Inicio precoz de MAC nivel secundario y terciario no  puede ser mayor al Total.</v>
      </c>
      <c r="BW39"/>
      <c r="BX39"/>
      <c r="BY39"/>
      <c r="CA39"/>
      <c r="CB39"/>
      <c r="CC39" s="1725">
        <f t="shared" si="29"/>
        <v>1</v>
      </c>
      <c r="CD39" s="1725">
        <f t="shared" si="30"/>
        <v>0</v>
      </c>
      <c r="CE39" s="6102">
        <f t="shared" si="21"/>
        <v>1</v>
      </c>
      <c r="CF39" s="1725">
        <f t="shared" si="22"/>
        <v>1</v>
      </c>
      <c r="CG39" s="1725"/>
      <c r="CH39" s="1725">
        <f t="shared" si="23"/>
        <v>1</v>
      </c>
    </row>
    <row r="40" spans="1:86" ht="15" customHeight="1" x14ac:dyDescent="0.3">
      <c r="A40" s="6233" t="s">
        <v>4298</v>
      </c>
      <c r="B40" s="6859"/>
      <c r="C40" s="4454" t="s">
        <v>1117</v>
      </c>
      <c r="D40" s="1105" t="s">
        <v>5292</v>
      </c>
      <c r="E40" s="1095" t="s">
        <v>5293</v>
      </c>
      <c r="F40" s="1426" t="s">
        <v>5294</v>
      </c>
      <c r="G40" s="1426" t="s">
        <v>5295</v>
      </c>
      <c r="H40" s="1426" t="s">
        <v>5296</v>
      </c>
      <c r="I40" s="1426" t="s">
        <v>5297</v>
      </c>
      <c r="J40" s="1426" t="s">
        <v>5298</v>
      </c>
      <c r="K40" s="1426" t="s">
        <v>5299</v>
      </c>
      <c r="L40" s="1426" t="s">
        <v>5300</v>
      </c>
      <c r="M40" s="1426" t="s">
        <v>5301</v>
      </c>
      <c r="N40" s="1426" t="s">
        <v>5302</v>
      </c>
      <c r="O40" s="2144" t="s">
        <v>5303</v>
      </c>
      <c r="P40" s="1440" t="s">
        <v>5304</v>
      </c>
      <c r="Q40" s="1441" t="s">
        <v>5305</v>
      </c>
      <c r="R40" s="8" t="s">
        <v>5306</v>
      </c>
      <c r="S40" s="8" t="s">
        <v>5307</v>
      </c>
      <c r="T40" s="8" t="s">
        <v>5308</v>
      </c>
      <c r="U40" s="8" t="s">
        <v>5309</v>
      </c>
      <c r="V40" s="8" t="s">
        <v>5310</v>
      </c>
      <c r="W40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0" s="2465" t="str">
        <f t="shared" si="25"/>
        <v xml:space="preserve"> * La variable Espacios Amigables/ Adolescentes no  puede ser mayor al Total.</v>
      </c>
      <c r="BS40" s="2465" t="str">
        <f t="shared" si="31"/>
        <v/>
      </c>
      <c r="BT40" s="2465" t="str">
        <f t="shared" si="26"/>
        <v xml:space="preserve"> * La variable Pueblos Originarios no  puede ser mayor al Total.</v>
      </c>
      <c r="BU40" s="2465" t="str">
        <f t="shared" si="27"/>
        <v xml:space="preserve"> * La variable Migrantes no  puede ser mayor al Total.</v>
      </c>
      <c r="BV40" s="2465" t="str">
        <f t="shared" si="28"/>
        <v xml:space="preserve"> * La variable Inicio precoz de MAC nivel secundario y terciario no  puede ser mayor al Total.</v>
      </c>
      <c r="BW40"/>
      <c r="BX40"/>
      <c r="BY40"/>
      <c r="CA40"/>
      <c r="CB40"/>
      <c r="CC40" s="1725">
        <f t="shared" si="29"/>
        <v>1</v>
      </c>
      <c r="CD40" s="1725">
        <f t="shared" si="30"/>
        <v>0</v>
      </c>
      <c r="CE40" s="6102">
        <f t="shared" si="21"/>
        <v>1</v>
      </c>
      <c r="CF40" s="1725">
        <f t="shared" si="22"/>
        <v>1</v>
      </c>
      <c r="CG40" s="1725"/>
      <c r="CH40" s="1725">
        <f t="shared" si="23"/>
        <v>1</v>
      </c>
    </row>
    <row r="41" spans="1:86" ht="15" customHeight="1" x14ac:dyDescent="0.3">
      <c r="A41" s="6233" t="s">
        <v>4299</v>
      </c>
      <c r="B41" s="6859"/>
      <c r="C41" s="4454" t="s">
        <v>1118</v>
      </c>
      <c r="D41" s="1105" t="s">
        <v>5292</v>
      </c>
      <c r="E41" s="1095" t="s">
        <v>5293</v>
      </c>
      <c r="F41" s="1426" t="s">
        <v>5294</v>
      </c>
      <c r="G41" s="1426" t="s">
        <v>5295</v>
      </c>
      <c r="H41" s="1426" t="s">
        <v>5296</v>
      </c>
      <c r="I41" s="1426" t="s">
        <v>5297</v>
      </c>
      <c r="J41" s="1426" t="s">
        <v>5298</v>
      </c>
      <c r="K41" s="1426" t="s">
        <v>5299</v>
      </c>
      <c r="L41" s="1426" t="s">
        <v>5300</v>
      </c>
      <c r="M41" s="1426" t="s">
        <v>5301</v>
      </c>
      <c r="N41" s="1426" t="s">
        <v>5302</v>
      </c>
      <c r="O41" s="2144" t="s">
        <v>5303</v>
      </c>
      <c r="P41" s="1440" t="s">
        <v>5304</v>
      </c>
      <c r="Q41" s="1441" t="s">
        <v>5305</v>
      </c>
      <c r="R41" s="8" t="s">
        <v>5306</v>
      </c>
      <c r="S41" s="8" t="s">
        <v>5307</v>
      </c>
      <c r="T41" s="8" t="s">
        <v>5308</v>
      </c>
      <c r="U41" s="8" t="s">
        <v>5309</v>
      </c>
      <c r="V41" s="8" t="s">
        <v>5310</v>
      </c>
      <c r="W41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1" s="2465" t="str">
        <f t="shared" si="25"/>
        <v xml:space="preserve"> * La variable Espacios Amigables/ Adolescentes no  puede ser mayor al Total.</v>
      </c>
      <c r="BS41" s="2465" t="str">
        <f t="shared" si="31"/>
        <v/>
      </c>
      <c r="BT41" s="2465" t="str">
        <f t="shared" si="26"/>
        <v xml:space="preserve"> * La variable Pueblos Originarios no  puede ser mayor al Total.</v>
      </c>
      <c r="BU41" s="2465" t="str">
        <f t="shared" si="27"/>
        <v xml:space="preserve"> * La variable Migrantes no  puede ser mayor al Total.</v>
      </c>
      <c r="BV41" s="2465" t="str">
        <f t="shared" si="28"/>
        <v xml:space="preserve"> * La variable Inicio precoz de MAC nivel secundario y terciario no  puede ser mayor al Total.</v>
      </c>
      <c r="BW41"/>
      <c r="BX41"/>
      <c r="BY41"/>
      <c r="CA41"/>
      <c r="CB41"/>
      <c r="CC41" s="1725">
        <f t="shared" si="29"/>
        <v>1</v>
      </c>
      <c r="CD41" s="1725">
        <f t="shared" si="30"/>
        <v>0</v>
      </c>
      <c r="CE41" s="6102">
        <f t="shared" si="21"/>
        <v>1</v>
      </c>
      <c r="CF41" s="1725">
        <f t="shared" si="22"/>
        <v>1</v>
      </c>
      <c r="CG41" s="1725"/>
      <c r="CH41" s="1725">
        <f t="shared" si="23"/>
        <v>1</v>
      </c>
    </row>
    <row r="42" spans="1:86" ht="15" customHeight="1" x14ac:dyDescent="0.3">
      <c r="A42" s="6233" t="s">
        <v>4300</v>
      </c>
      <c r="B42" s="6859"/>
      <c r="C42" s="4454" t="s">
        <v>1119</v>
      </c>
      <c r="D42" s="1105" t="s">
        <v>5292</v>
      </c>
      <c r="E42" s="1095" t="s">
        <v>5293</v>
      </c>
      <c r="F42" s="1426" t="s">
        <v>5294</v>
      </c>
      <c r="G42" s="1426" t="s">
        <v>5295</v>
      </c>
      <c r="H42" s="1426" t="s">
        <v>5296</v>
      </c>
      <c r="I42" s="1426" t="s">
        <v>5297</v>
      </c>
      <c r="J42" s="1426" t="s">
        <v>5298</v>
      </c>
      <c r="K42" s="1426" t="s">
        <v>5299</v>
      </c>
      <c r="L42" s="1426" t="s">
        <v>5300</v>
      </c>
      <c r="M42" s="1426" t="s">
        <v>5301</v>
      </c>
      <c r="N42" s="1426" t="s">
        <v>5302</v>
      </c>
      <c r="O42" s="2144" t="s">
        <v>5303</v>
      </c>
      <c r="P42" s="1440" t="s">
        <v>5304</v>
      </c>
      <c r="Q42" s="1441" t="s">
        <v>5305</v>
      </c>
      <c r="R42" s="8" t="s">
        <v>5306</v>
      </c>
      <c r="S42" s="8" t="s">
        <v>5307</v>
      </c>
      <c r="T42" s="8" t="s">
        <v>5308</v>
      </c>
      <c r="U42" s="8" t="s">
        <v>5309</v>
      </c>
      <c r="V42" s="8" t="s">
        <v>5310</v>
      </c>
      <c r="W42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2" s="2465" t="str">
        <f t="shared" si="25"/>
        <v xml:space="preserve"> * La variable Espacios Amigables/ Adolescentes no  puede ser mayor al Total.</v>
      </c>
      <c r="BS42" s="2465" t="str">
        <f t="shared" si="31"/>
        <v/>
      </c>
      <c r="BT42" s="2465" t="str">
        <f t="shared" si="26"/>
        <v xml:space="preserve"> * La variable Pueblos Originarios no  puede ser mayor al Total.</v>
      </c>
      <c r="BU42" s="2465" t="str">
        <f t="shared" si="27"/>
        <v xml:space="preserve"> * La variable Migrantes no  puede ser mayor al Total.</v>
      </c>
      <c r="BV42" s="2465" t="str">
        <f t="shared" si="28"/>
        <v xml:space="preserve"> * La variable Inicio precoz de MAC nivel secundario y terciario no  puede ser mayor al Total.</v>
      </c>
      <c r="BW42"/>
      <c r="BX42"/>
      <c r="BY42"/>
      <c r="CA42"/>
      <c r="CB42"/>
      <c r="CC42" s="1725">
        <f t="shared" si="29"/>
        <v>1</v>
      </c>
      <c r="CD42" s="1725">
        <f t="shared" si="30"/>
        <v>0</v>
      </c>
      <c r="CE42" s="6102">
        <f t="shared" si="21"/>
        <v>1</v>
      </c>
      <c r="CF42" s="1725">
        <f t="shared" si="22"/>
        <v>1</v>
      </c>
      <c r="CG42" s="1725"/>
      <c r="CH42" s="1725">
        <f t="shared" si="23"/>
        <v>1</v>
      </c>
    </row>
    <row r="43" spans="1:86" ht="15" customHeight="1" x14ac:dyDescent="0.3">
      <c r="A43" s="6233" t="s">
        <v>4301</v>
      </c>
      <c r="B43" s="6859"/>
      <c r="C43" s="4455" t="s">
        <v>1120</v>
      </c>
      <c r="D43" s="1702" t="s">
        <v>5292</v>
      </c>
      <c r="E43" s="1332" t="s">
        <v>5293</v>
      </c>
      <c r="F43" s="2145" t="s">
        <v>5294</v>
      </c>
      <c r="G43" s="2145" t="s">
        <v>5295</v>
      </c>
      <c r="H43" s="2145" t="s">
        <v>5296</v>
      </c>
      <c r="I43" s="2145" t="s">
        <v>5297</v>
      </c>
      <c r="J43" s="2145" t="s">
        <v>5298</v>
      </c>
      <c r="K43" s="2145" t="s">
        <v>5299</v>
      </c>
      <c r="L43" s="2145" t="s">
        <v>5300</v>
      </c>
      <c r="M43" s="2145" t="s">
        <v>5301</v>
      </c>
      <c r="N43" s="2145" t="s">
        <v>5302</v>
      </c>
      <c r="O43" s="2146" t="s">
        <v>5303</v>
      </c>
      <c r="P43" s="2147" t="s">
        <v>5304</v>
      </c>
      <c r="Q43" s="2148" t="s">
        <v>5305</v>
      </c>
      <c r="R43" s="1258" t="s">
        <v>5306</v>
      </c>
      <c r="S43" s="1258" t="s">
        <v>5307</v>
      </c>
      <c r="T43" s="1258" t="s">
        <v>5308</v>
      </c>
      <c r="U43" s="1258" t="s">
        <v>5309</v>
      </c>
      <c r="V43" s="1258" t="s">
        <v>5310</v>
      </c>
      <c r="W43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3" s="2465" t="str">
        <f t="shared" si="25"/>
        <v xml:space="preserve"> * La variable Espacios Amigables/ Adolescentes no  puede ser mayor al Total.</v>
      </c>
      <c r="BS43" s="2465" t="str">
        <f t="shared" si="31"/>
        <v/>
      </c>
      <c r="BT43" s="2465" t="str">
        <f t="shared" si="26"/>
        <v xml:space="preserve"> * La variable Pueblos Originarios no  puede ser mayor al Total.</v>
      </c>
      <c r="BU43" s="2465" t="str">
        <f t="shared" si="27"/>
        <v xml:space="preserve"> * La variable Migrantes no  puede ser mayor al Total.</v>
      </c>
      <c r="BV43" s="2465" t="str">
        <f t="shared" si="28"/>
        <v xml:space="preserve"> * La variable Inicio precoz de MAC nivel secundario y terciario no  puede ser mayor al Total.</v>
      </c>
      <c r="BW43"/>
      <c r="BX43"/>
      <c r="BY43"/>
      <c r="CA43"/>
      <c r="CB43"/>
      <c r="CC43" s="1725">
        <f t="shared" si="29"/>
        <v>1</v>
      </c>
      <c r="CD43" s="1725">
        <f t="shared" si="30"/>
        <v>0</v>
      </c>
      <c r="CE43" s="6102">
        <f t="shared" si="21"/>
        <v>1</v>
      </c>
      <c r="CF43" s="1725">
        <f t="shared" si="22"/>
        <v>1</v>
      </c>
      <c r="CG43" s="1725"/>
      <c r="CH43" s="1725">
        <f t="shared" si="23"/>
        <v>1</v>
      </c>
    </row>
    <row r="44" spans="1:86" ht="15" customHeight="1" x14ac:dyDescent="0.3">
      <c r="A44" s="6233" t="s">
        <v>4302</v>
      </c>
      <c r="B44" s="6859"/>
      <c r="C44" s="55" t="s">
        <v>1907</v>
      </c>
      <c r="D44" s="1106" t="s">
        <v>5292</v>
      </c>
      <c r="E44" s="3" t="s">
        <v>5293</v>
      </c>
      <c r="F44" s="4" t="s">
        <v>5294</v>
      </c>
      <c r="G44" s="4" t="s">
        <v>5295</v>
      </c>
      <c r="H44" s="4" t="s">
        <v>5296</v>
      </c>
      <c r="I44" s="4" t="s">
        <v>5297</v>
      </c>
      <c r="J44" s="4" t="s">
        <v>5298</v>
      </c>
      <c r="K44" s="4" t="s">
        <v>5299</v>
      </c>
      <c r="L44" s="4" t="s">
        <v>5300</v>
      </c>
      <c r="M44" s="4" t="s">
        <v>5301</v>
      </c>
      <c r="N44" s="4" t="s">
        <v>5302</v>
      </c>
      <c r="O44" s="2140" t="s">
        <v>5303</v>
      </c>
      <c r="P44" s="2141" t="s">
        <v>5304</v>
      </c>
      <c r="Q44" s="2142" t="s">
        <v>5305</v>
      </c>
      <c r="R44" s="12" t="s">
        <v>5306</v>
      </c>
      <c r="S44" s="12" t="s">
        <v>5307</v>
      </c>
      <c r="T44" s="12" t="s">
        <v>5308</v>
      </c>
      <c r="U44" s="12" t="s">
        <v>5309</v>
      </c>
      <c r="V44" s="12" t="s">
        <v>5310</v>
      </c>
      <c r="W44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4" s="2465" t="str">
        <f t="shared" si="25"/>
        <v xml:space="preserve"> * La variable Espacios Amigables/ Adolescentes no  puede ser mayor al Total.</v>
      </c>
      <c r="BS44" s="2465" t="str">
        <f t="shared" si="31"/>
        <v/>
      </c>
      <c r="BT44" s="2465" t="str">
        <f t="shared" si="26"/>
        <v xml:space="preserve"> * La variable Pueblos Originarios no  puede ser mayor al Total.</v>
      </c>
      <c r="BU44" s="2465" t="str">
        <f t="shared" si="27"/>
        <v xml:space="preserve"> * La variable Migrantes no  puede ser mayor al Total.</v>
      </c>
      <c r="BV44" s="2465" t="str">
        <f t="shared" si="28"/>
        <v xml:space="preserve"> * La variable Inicio precoz de MAC nivel secundario y terciario no  puede ser mayor al Total.</v>
      </c>
      <c r="BW44"/>
      <c r="BX44"/>
      <c r="BY44"/>
      <c r="CA44"/>
      <c r="CB44"/>
      <c r="CC44" s="1725">
        <f t="shared" si="29"/>
        <v>1</v>
      </c>
      <c r="CD44" s="1725">
        <f t="shared" si="30"/>
        <v>0</v>
      </c>
      <c r="CE44" s="6102">
        <f t="shared" si="21"/>
        <v>1</v>
      </c>
      <c r="CF44" s="1725">
        <f t="shared" si="22"/>
        <v>1</v>
      </c>
      <c r="CG44" s="1725"/>
      <c r="CH44" s="1725">
        <f t="shared" si="23"/>
        <v>1</v>
      </c>
    </row>
    <row r="45" spans="1:86" ht="15" customHeight="1" x14ac:dyDescent="0.3">
      <c r="A45" s="6233" t="s">
        <v>4303</v>
      </c>
      <c r="B45" s="6781" t="s">
        <v>1908</v>
      </c>
      <c r="C45" s="4453" t="s">
        <v>21</v>
      </c>
      <c r="D45" s="2117" t="s">
        <v>5292</v>
      </c>
      <c r="E45" s="2120" t="s">
        <v>5293</v>
      </c>
      <c r="F45" s="1422" t="s">
        <v>5294</v>
      </c>
      <c r="G45" s="1422" t="s">
        <v>5295</v>
      </c>
      <c r="H45" s="1422" t="s">
        <v>5296</v>
      </c>
      <c r="I45" s="1422" t="s">
        <v>5297</v>
      </c>
      <c r="J45" s="1422" t="s">
        <v>5298</v>
      </c>
      <c r="K45" s="1422" t="s">
        <v>5299</v>
      </c>
      <c r="L45" s="1422" t="s">
        <v>5300</v>
      </c>
      <c r="M45" s="1422" t="s">
        <v>5301</v>
      </c>
      <c r="N45" s="1422" t="s">
        <v>5302</v>
      </c>
      <c r="O45" s="2137" t="s">
        <v>5303</v>
      </c>
      <c r="P45" s="2138" t="s">
        <v>5304</v>
      </c>
      <c r="Q45" s="2139" t="s">
        <v>5305</v>
      </c>
      <c r="R45" s="2121" t="s">
        <v>5306</v>
      </c>
      <c r="S45" s="2121" t="s">
        <v>5307</v>
      </c>
      <c r="T45" s="2121" t="s">
        <v>5308</v>
      </c>
      <c r="U45" s="2121" t="s">
        <v>5309</v>
      </c>
      <c r="V45" s="2121" t="s">
        <v>5310</v>
      </c>
      <c r="W45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5" s="2465" t="str">
        <f t="shared" si="25"/>
        <v xml:space="preserve"> * La variable Espacios Amigables/ Adolescentes no  puede ser mayor al Total.</v>
      </c>
      <c r="BS45" s="2465" t="str">
        <f t="shared" si="31"/>
        <v/>
      </c>
      <c r="BT45" s="2465" t="str">
        <f t="shared" si="26"/>
        <v xml:space="preserve"> * La variable Pueblos Originarios no  puede ser mayor al Total.</v>
      </c>
      <c r="BU45" s="2465" t="str">
        <f t="shared" si="27"/>
        <v xml:space="preserve"> * La variable Migrantes no  puede ser mayor al Total.</v>
      </c>
      <c r="BV45" s="2465" t="str">
        <f t="shared" si="28"/>
        <v xml:space="preserve"> * La variable Inicio precoz de MAC nivel secundario y terciario no  puede ser mayor al Total.</v>
      </c>
      <c r="BW45"/>
      <c r="BX45"/>
      <c r="BY45"/>
      <c r="CA45"/>
      <c r="CB45"/>
      <c r="CC45" s="1725">
        <f t="shared" si="29"/>
        <v>1</v>
      </c>
      <c r="CD45" s="1725">
        <f t="shared" si="30"/>
        <v>0</v>
      </c>
      <c r="CE45" s="6102">
        <f t="shared" si="21"/>
        <v>1</v>
      </c>
      <c r="CF45" s="1725">
        <f t="shared" si="22"/>
        <v>1</v>
      </c>
      <c r="CG45" s="1725"/>
      <c r="CH45" s="1725">
        <f t="shared" si="23"/>
        <v>1</v>
      </c>
    </row>
    <row r="46" spans="1:86" ht="15" customHeight="1" x14ac:dyDescent="0.3">
      <c r="A46" s="6233" t="s">
        <v>4304</v>
      </c>
      <c r="B46" s="6780"/>
      <c r="C46" s="4456" t="s">
        <v>22</v>
      </c>
      <c r="D46" s="1106" t="s">
        <v>5292</v>
      </c>
      <c r="E46" s="3" t="s">
        <v>5293</v>
      </c>
      <c r="F46" s="4" t="s">
        <v>5294</v>
      </c>
      <c r="G46" s="4" t="s">
        <v>5295</v>
      </c>
      <c r="H46" s="4" t="s">
        <v>5296</v>
      </c>
      <c r="I46" s="4" t="s">
        <v>5297</v>
      </c>
      <c r="J46" s="4" t="s">
        <v>5298</v>
      </c>
      <c r="K46" s="4" t="s">
        <v>5299</v>
      </c>
      <c r="L46" s="4" t="s">
        <v>5300</v>
      </c>
      <c r="M46" s="4" t="s">
        <v>5301</v>
      </c>
      <c r="N46" s="4" t="s">
        <v>5302</v>
      </c>
      <c r="O46" s="2140" t="s">
        <v>5303</v>
      </c>
      <c r="P46" s="2141" t="s">
        <v>5304</v>
      </c>
      <c r="Q46" s="2142" t="s">
        <v>5305</v>
      </c>
      <c r="R46" s="12" t="s">
        <v>5306</v>
      </c>
      <c r="S46" s="12" t="s">
        <v>5307</v>
      </c>
      <c r="T46" s="12" t="s">
        <v>5308</v>
      </c>
      <c r="U46" s="12" t="s">
        <v>5309</v>
      </c>
      <c r="V46" s="12" t="s">
        <v>5310</v>
      </c>
      <c r="W46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6" s="2465" t="str">
        <f t="shared" si="25"/>
        <v xml:space="preserve"> * La variable Espacios Amigables/ Adolescentes no  puede ser mayor al Total.</v>
      </c>
      <c r="BS46" s="2465" t="str">
        <f t="shared" si="31"/>
        <v/>
      </c>
      <c r="BT46" s="2465" t="str">
        <f t="shared" si="26"/>
        <v xml:space="preserve"> * La variable Pueblos Originarios no  puede ser mayor al Total.</v>
      </c>
      <c r="BU46" s="2465" t="str">
        <f t="shared" si="27"/>
        <v xml:space="preserve"> * La variable Migrantes no  puede ser mayor al Total.</v>
      </c>
      <c r="BV46" s="2465" t="str">
        <f t="shared" si="28"/>
        <v xml:space="preserve"> * La variable Inicio precoz de MAC nivel secundario y terciario no  puede ser mayor al Total.</v>
      </c>
      <c r="BW46"/>
      <c r="BX46"/>
      <c r="BY46"/>
      <c r="CA46"/>
      <c r="CB46"/>
      <c r="CC46" s="1725">
        <f t="shared" si="29"/>
        <v>1</v>
      </c>
      <c r="CD46" s="1725">
        <f t="shared" si="30"/>
        <v>0</v>
      </c>
      <c r="CE46" s="6102">
        <f t="shared" si="21"/>
        <v>1</v>
      </c>
      <c r="CF46" s="1725">
        <f t="shared" si="22"/>
        <v>1</v>
      </c>
      <c r="CG46" s="1725"/>
      <c r="CH46" s="1725">
        <f t="shared" si="23"/>
        <v>1</v>
      </c>
    </row>
    <row r="47" spans="1:86" ht="15" customHeight="1" x14ac:dyDescent="0.3">
      <c r="A47" s="6233" t="s">
        <v>4305</v>
      </c>
      <c r="B47" s="6862" t="s">
        <v>1909</v>
      </c>
      <c r="C47" s="6077" t="s">
        <v>21</v>
      </c>
      <c r="D47" s="6078" t="s">
        <v>5292</v>
      </c>
      <c r="E47" s="5734" t="s">
        <v>5293</v>
      </c>
      <c r="F47" s="5439" t="s">
        <v>5294</v>
      </c>
      <c r="G47" s="5439" t="s">
        <v>5295</v>
      </c>
      <c r="H47" s="5439" t="s">
        <v>5296</v>
      </c>
      <c r="I47" s="5439" t="s">
        <v>5297</v>
      </c>
      <c r="J47" s="5439" t="s">
        <v>5298</v>
      </c>
      <c r="K47" s="5439" t="s">
        <v>5299</v>
      </c>
      <c r="L47" s="5439" t="s">
        <v>5300</v>
      </c>
      <c r="M47" s="5439" t="s">
        <v>5301</v>
      </c>
      <c r="N47" s="5439" t="s">
        <v>5302</v>
      </c>
      <c r="O47" s="6079" t="s">
        <v>5303</v>
      </c>
      <c r="P47" s="5440" t="s">
        <v>5304</v>
      </c>
      <c r="Q47" s="5441" t="s">
        <v>5305</v>
      </c>
      <c r="R47" s="5700" t="s">
        <v>5306</v>
      </c>
      <c r="S47" s="5700" t="s">
        <v>5307</v>
      </c>
      <c r="T47" s="5700" t="s">
        <v>5308</v>
      </c>
      <c r="U47" s="5700" t="s">
        <v>5309</v>
      </c>
      <c r="V47" s="5700" t="s">
        <v>5310</v>
      </c>
      <c r="W47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7" s="2465" t="str">
        <f t="shared" si="25"/>
        <v xml:space="preserve"> * La variable Espacios Amigables/ Adolescentes no  puede ser mayor al Total.</v>
      </c>
      <c r="BS47" s="2465" t="str">
        <f t="shared" si="31"/>
        <v/>
      </c>
      <c r="BT47" s="2465" t="str">
        <f t="shared" si="26"/>
        <v xml:space="preserve"> * La variable Pueblos Originarios no  puede ser mayor al Total.</v>
      </c>
      <c r="BU47" s="2465" t="str">
        <f t="shared" si="27"/>
        <v xml:space="preserve"> * La variable Migrantes no  puede ser mayor al Total.</v>
      </c>
      <c r="BV47" s="2465" t="str">
        <f t="shared" si="28"/>
        <v xml:space="preserve"> * La variable Inicio precoz de MAC nivel secundario y terciario no  puede ser mayor al Total.</v>
      </c>
      <c r="BW47"/>
      <c r="BX47"/>
      <c r="BY47"/>
      <c r="CA47"/>
      <c r="CB47"/>
      <c r="CC47" s="1725">
        <f t="shared" si="29"/>
        <v>1</v>
      </c>
      <c r="CD47" s="1725">
        <f t="shared" si="30"/>
        <v>0</v>
      </c>
      <c r="CE47" s="6102">
        <f t="shared" si="21"/>
        <v>1</v>
      </c>
      <c r="CF47" s="1725">
        <f t="shared" si="22"/>
        <v>1</v>
      </c>
      <c r="CG47" s="1725"/>
      <c r="CH47" s="1725">
        <f t="shared" si="23"/>
        <v>1</v>
      </c>
    </row>
    <row r="48" spans="1:86" ht="15" customHeight="1" thickBot="1" x14ac:dyDescent="0.35">
      <c r="A48" s="6233" t="s">
        <v>4306</v>
      </c>
      <c r="B48" s="6863"/>
      <c r="C48" s="6080" t="s">
        <v>22</v>
      </c>
      <c r="D48" s="6081" t="s">
        <v>5292</v>
      </c>
      <c r="E48" s="6082" t="s">
        <v>5293</v>
      </c>
      <c r="F48" s="6083" t="s">
        <v>5294</v>
      </c>
      <c r="G48" s="6083" t="s">
        <v>5295</v>
      </c>
      <c r="H48" s="6083" t="s">
        <v>5296</v>
      </c>
      <c r="I48" s="6083" t="s">
        <v>5297</v>
      </c>
      <c r="J48" s="6083" t="s">
        <v>5298</v>
      </c>
      <c r="K48" s="6083" t="s">
        <v>5299</v>
      </c>
      <c r="L48" s="6083" t="s">
        <v>5300</v>
      </c>
      <c r="M48" s="6083" t="s">
        <v>5301</v>
      </c>
      <c r="N48" s="6083" t="s">
        <v>5302</v>
      </c>
      <c r="O48" s="6084" t="s">
        <v>5303</v>
      </c>
      <c r="P48" s="6085" t="s">
        <v>5304</v>
      </c>
      <c r="Q48" s="6086" t="s">
        <v>5305</v>
      </c>
      <c r="R48" s="6087" t="s">
        <v>5306</v>
      </c>
      <c r="S48" s="6087" t="s">
        <v>5307</v>
      </c>
      <c r="T48" s="6087" t="s">
        <v>5308</v>
      </c>
      <c r="U48" s="6087" t="s">
        <v>5309</v>
      </c>
      <c r="V48" s="6087" t="s">
        <v>5310</v>
      </c>
      <c r="W48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8" s="2465" t="str">
        <f t="shared" si="25"/>
        <v xml:space="preserve"> * La variable Espacios Amigables/ Adolescentes no  puede ser mayor al Total.</v>
      </c>
      <c r="BS48" s="2465" t="str">
        <f t="shared" si="31"/>
        <v/>
      </c>
      <c r="BT48" s="2465" t="str">
        <f t="shared" si="26"/>
        <v xml:space="preserve"> * La variable Pueblos Originarios no  puede ser mayor al Total.</v>
      </c>
      <c r="BU48" s="2465" t="str">
        <f t="shared" si="27"/>
        <v xml:space="preserve"> * La variable Migrantes no  puede ser mayor al Total.</v>
      </c>
      <c r="BV48" s="2465" t="str">
        <f t="shared" si="28"/>
        <v xml:space="preserve"> * La variable Inicio precoz de MAC nivel secundario y terciario no  puede ser mayor al Total.</v>
      </c>
      <c r="BW48"/>
      <c r="BX48"/>
      <c r="BY48"/>
      <c r="CA48"/>
      <c r="CB48"/>
      <c r="CC48" s="1725">
        <f t="shared" si="29"/>
        <v>1</v>
      </c>
      <c r="CD48" s="1725">
        <f t="shared" si="30"/>
        <v>0</v>
      </c>
      <c r="CE48" s="6102">
        <f t="shared" si="21"/>
        <v>1</v>
      </c>
      <c r="CF48" s="1725">
        <f t="shared" si="22"/>
        <v>1</v>
      </c>
      <c r="CG48" s="1725"/>
      <c r="CH48" s="1725">
        <f t="shared" si="23"/>
        <v>1</v>
      </c>
    </row>
    <row r="49" spans="1:86" ht="15" customHeight="1" thickTop="1" x14ac:dyDescent="0.3">
      <c r="A49" s="6233" t="s">
        <v>4307</v>
      </c>
      <c r="B49" s="6864" t="s">
        <v>1910</v>
      </c>
      <c r="C49" s="6865"/>
      <c r="D49" s="5433" t="s">
        <v>5292</v>
      </c>
      <c r="E49" s="1271" t="s">
        <v>5293</v>
      </c>
      <c r="F49" s="5434" t="s">
        <v>5294</v>
      </c>
      <c r="G49" s="5434" t="s">
        <v>5295</v>
      </c>
      <c r="H49" s="5434" t="s">
        <v>5296</v>
      </c>
      <c r="I49" s="5434" t="s">
        <v>5297</v>
      </c>
      <c r="J49" s="5434" t="s">
        <v>5298</v>
      </c>
      <c r="K49" s="5434" t="s">
        <v>5299</v>
      </c>
      <c r="L49" s="5434" t="s">
        <v>5300</v>
      </c>
      <c r="M49" s="5434" t="s">
        <v>5301</v>
      </c>
      <c r="N49" s="5434" t="s">
        <v>5302</v>
      </c>
      <c r="O49" s="2150" t="s">
        <v>5303</v>
      </c>
      <c r="P49" s="5435" t="s">
        <v>5304</v>
      </c>
      <c r="Q49" s="5436" t="s">
        <v>5305</v>
      </c>
      <c r="R49" s="4407" t="s">
        <v>5306</v>
      </c>
      <c r="S49" s="4407" t="s">
        <v>5307</v>
      </c>
      <c r="T49" s="4407" t="s">
        <v>5308</v>
      </c>
      <c r="U49" s="4407" t="s">
        <v>5309</v>
      </c>
      <c r="V49" s="4407" t="s">
        <v>5310</v>
      </c>
      <c r="W49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49" s="2465" t="str">
        <f t="shared" si="25"/>
        <v xml:space="preserve"> * La variable Espacios Amigables/ Adolescentes no  puede ser mayor al Total.</v>
      </c>
      <c r="BS49" s="2465" t="str">
        <f t="shared" si="31"/>
        <v/>
      </c>
      <c r="BT49" s="2465" t="str">
        <f t="shared" si="26"/>
        <v xml:space="preserve"> * La variable Pueblos Originarios no  puede ser mayor al Total.</v>
      </c>
      <c r="BU49" s="2465" t="str">
        <f t="shared" si="27"/>
        <v xml:space="preserve"> * La variable Migrantes no  puede ser mayor al Total.</v>
      </c>
      <c r="BV49" s="2465" t="str">
        <f t="shared" si="28"/>
        <v xml:space="preserve"> * La variable Inicio precoz de MAC nivel secundario y terciario no  puede ser mayor al Total.</v>
      </c>
      <c r="BW49"/>
      <c r="BX49"/>
      <c r="BY49"/>
      <c r="CA49"/>
      <c r="CB49"/>
      <c r="CC49" s="1725">
        <f t="shared" si="29"/>
        <v>1</v>
      </c>
      <c r="CD49" s="1725">
        <f t="shared" si="30"/>
        <v>0</v>
      </c>
      <c r="CE49" s="6102">
        <f t="shared" si="21"/>
        <v>1</v>
      </c>
      <c r="CF49" s="1725">
        <f t="shared" si="22"/>
        <v>1</v>
      </c>
      <c r="CG49" s="1725"/>
      <c r="CH49" s="1725">
        <f t="shared" si="23"/>
        <v>1</v>
      </c>
    </row>
    <row r="50" spans="1:86" ht="15" customHeight="1" x14ac:dyDescent="0.3">
      <c r="A50" s="6233" t="s">
        <v>4308</v>
      </c>
      <c r="B50" s="6866" t="s">
        <v>1911</v>
      </c>
      <c r="C50" s="6867"/>
      <c r="D50" s="2151" t="s">
        <v>5292</v>
      </c>
      <c r="E50" s="2152" t="s">
        <v>5293</v>
      </c>
      <c r="F50" s="2153" t="s">
        <v>5294</v>
      </c>
      <c r="G50" s="2153" t="s">
        <v>5295</v>
      </c>
      <c r="H50" s="2153" t="s">
        <v>5296</v>
      </c>
      <c r="I50" s="2153" t="s">
        <v>5297</v>
      </c>
      <c r="J50" s="2153" t="s">
        <v>5298</v>
      </c>
      <c r="K50" s="2153" t="s">
        <v>5299</v>
      </c>
      <c r="L50" s="2153" t="s">
        <v>5300</v>
      </c>
      <c r="M50" s="2153" t="s">
        <v>5301</v>
      </c>
      <c r="N50" s="2153" t="s">
        <v>5302</v>
      </c>
      <c r="O50" s="2154" t="s">
        <v>5303</v>
      </c>
      <c r="P50" s="2155" t="s">
        <v>5304</v>
      </c>
      <c r="Q50" s="2156" t="s">
        <v>5305</v>
      </c>
      <c r="R50" s="1704" t="s">
        <v>5306</v>
      </c>
      <c r="S50" s="1704" t="s">
        <v>5307</v>
      </c>
      <c r="T50" s="1704" t="s">
        <v>5308</v>
      </c>
      <c r="U50" s="1704" t="s">
        <v>5309</v>
      </c>
      <c r="V50" s="1704" t="s">
        <v>5310</v>
      </c>
      <c r="W50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0" s="2465" t="str">
        <f t="shared" si="25"/>
        <v xml:space="preserve"> * La variable Espacios Amigables/ Adolescentes no  puede ser mayor al Total.</v>
      </c>
      <c r="BS50" s="2465" t="str">
        <f t="shared" si="31"/>
        <v/>
      </c>
      <c r="BT50" s="2465" t="str">
        <f t="shared" si="26"/>
        <v xml:space="preserve"> * La variable Pueblos Originarios no  puede ser mayor al Total.</v>
      </c>
      <c r="BU50" s="2465" t="str">
        <f t="shared" si="27"/>
        <v xml:space="preserve"> * La variable Migrantes no  puede ser mayor al Total.</v>
      </c>
      <c r="BV50" s="2465" t="str">
        <f t="shared" si="28"/>
        <v xml:space="preserve"> * La variable Inicio precoz de MAC nivel secundario y terciario no  puede ser mayor al Total.</v>
      </c>
      <c r="BW50"/>
      <c r="BX50"/>
      <c r="BY50"/>
      <c r="CA50"/>
      <c r="CB50"/>
      <c r="CC50" s="1725">
        <f t="shared" si="29"/>
        <v>1</v>
      </c>
      <c r="CD50" s="1725">
        <f t="shared" si="30"/>
        <v>0</v>
      </c>
      <c r="CE50" s="6102">
        <f t="shared" si="21"/>
        <v>1</v>
      </c>
      <c r="CF50" s="1725">
        <f t="shared" si="22"/>
        <v>1</v>
      </c>
      <c r="CG50" s="1725"/>
      <c r="CH50" s="1725">
        <f t="shared" si="23"/>
        <v>1</v>
      </c>
    </row>
    <row r="51" spans="1:86" ht="15" customHeight="1" x14ac:dyDescent="0.3">
      <c r="A51" s="6233" t="s">
        <v>4309</v>
      </c>
      <c r="B51" s="6868" t="s">
        <v>1912</v>
      </c>
      <c r="C51" s="4457" t="s">
        <v>21</v>
      </c>
      <c r="D51" s="2117" t="s">
        <v>5292</v>
      </c>
      <c r="E51" s="2120" t="s">
        <v>5293</v>
      </c>
      <c r="F51" s="1422" t="s">
        <v>5294</v>
      </c>
      <c r="G51" s="1422" t="s">
        <v>5295</v>
      </c>
      <c r="H51" s="1422" t="s">
        <v>5296</v>
      </c>
      <c r="I51" s="1422" t="s">
        <v>5297</v>
      </c>
      <c r="J51" s="1422" t="s">
        <v>5298</v>
      </c>
      <c r="K51" s="1422" t="s">
        <v>5299</v>
      </c>
      <c r="L51" s="1422" t="s">
        <v>5300</v>
      </c>
      <c r="M51" s="1422" t="s">
        <v>5301</v>
      </c>
      <c r="N51" s="1422" t="s">
        <v>5302</v>
      </c>
      <c r="O51" s="2123" t="s">
        <v>5303</v>
      </c>
      <c r="P51" s="1422" t="s">
        <v>5304</v>
      </c>
      <c r="Q51" s="2131" t="s">
        <v>5305</v>
      </c>
      <c r="R51" s="2121" t="s">
        <v>5306</v>
      </c>
      <c r="S51" s="2121" t="s">
        <v>5307</v>
      </c>
      <c r="T51" s="2121" t="s">
        <v>5308</v>
      </c>
      <c r="U51" s="2121" t="s">
        <v>5309</v>
      </c>
      <c r="V51" s="2121" t="s">
        <v>5310</v>
      </c>
      <c r="W51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1" s="2465" t="str">
        <f t="shared" si="25"/>
        <v xml:space="preserve"> * La variable Espacios Amigables/ Adolescentes no  puede ser mayor al Total.</v>
      </c>
      <c r="BS51" s="2465" t="str">
        <f t="shared" si="31"/>
        <v/>
      </c>
      <c r="BT51" s="2465" t="str">
        <f t="shared" si="26"/>
        <v xml:space="preserve"> * La variable Pueblos Originarios no  puede ser mayor al Total.</v>
      </c>
      <c r="BU51" s="2465" t="str">
        <f t="shared" si="27"/>
        <v xml:space="preserve"> * La variable Migrantes no  puede ser mayor al Total.</v>
      </c>
      <c r="BV51" s="2465" t="str">
        <f t="shared" si="28"/>
        <v xml:space="preserve"> * La variable Inicio precoz de MAC nivel secundario y terciario no  puede ser mayor al Total.</v>
      </c>
      <c r="BW51"/>
      <c r="BX51"/>
      <c r="BY51"/>
      <c r="CA51"/>
      <c r="CB51"/>
      <c r="CC51" s="5874">
        <f t="shared" si="29"/>
        <v>1</v>
      </c>
      <c r="CD51" s="1725">
        <f t="shared" si="30"/>
        <v>0</v>
      </c>
      <c r="CE51" s="6102">
        <f t="shared" si="21"/>
        <v>1</v>
      </c>
      <c r="CF51" s="5874">
        <f t="shared" si="22"/>
        <v>1</v>
      </c>
      <c r="CG51" s="1725"/>
      <c r="CH51" s="5874">
        <f t="shared" si="23"/>
        <v>1</v>
      </c>
    </row>
    <row r="52" spans="1:86" ht="15" customHeight="1" x14ac:dyDescent="0.3">
      <c r="A52" s="6233" t="s">
        <v>4310</v>
      </c>
      <c r="B52" s="6767"/>
      <c r="C52" s="4458" t="s">
        <v>22</v>
      </c>
      <c r="D52" s="2151" t="s">
        <v>5292</v>
      </c>
      <c r="E52" s="2152" t="s">
        <v>5293</v>
      </c>
      <c r="F52" s="2153" t="s">
        <v>5294</v>
      </c>
      <c r="G52" s="2153" t="s">
        <v>5295</v>
      </c>
      <c r="H52" s="2153" t="s">
        <v>5296</v>
      </c>
      <c r="I52" s="2153" t="s">
        <v>5297</v>
      </c>
      <c r="J52" s="2153" t="s">
        <v>5298</v>
      </c>
      <c r="K52" s="2153" t="s">
        <v>5299</v>
      </c>
      <c r="L52" s="2153" t="s">
        <v>5300</v>
      </c>
      <c r="M52" s="2153" t="s">
        <v>5301</v>
      </c>
      <c r="N52" s="2153" t="s">
        <v>5302</v>
      </c>
      <c r="O52" s="2157" t="s">
        <v>5303</v>
      </c>
      <c r="P52" s="2153" t="s">
        <v>5304</v>
      </c>
      <c r="Q52" s="2158" t="s">
        <v>5305</v>
      </c>
      <c r="R52" s="1704" t="s">
        <v>5306</v>
      </c>
      <c r="S52" s="1704" t="s">
        <v>5307</v>
      </c>
      <c r="T52" s="1704" t="s">
        <v>5308</v>
      </c>
      <c r="U52" s="1704" t="s">
        <v>5309</v>
      </c>
      <c r="V52" s="1704" t="s">
        <v>5310</v>
      </c>
      <c r="W52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2" s="2465" t="str">
        <f t="shared" si="25"/>
        <v xml:space="preserve"> * La variable Espacios Amigables/ Adolescentes no  puede ser mayor al Total.</v>
      </c>
      <c r="BS52" s="2465" t="str">
        <f t="shared" si="31"/>
        <v/>
      </c>
      <c r="BT52" s="2465" t="str">
        <f t="shared" si="26"/>
        <v xml:space="preserve"> * La variable Pueblos Originarios no  puede ser mayor al Total.</v>
      </c>
      <c r="BU52" s="2465" t="str">
        <f t="shared" si="27"/>
        <v xml:space="preserve"> * La variable Migrantes no  puede ser mayor al Total.</v>
      </c>
      <c r="BV52" s="2465" t="str">
        <f t="shared" si="28"/>
        <v xml:space="preserve"> * La variable Inicio precoz de MAC nivel secundario y terciario no  puede ser mayor al Total.</v>
      </c>
      <c r="BW52"/>
      <c r="BX52"/>
      <c r="BY52"/>
      <c r="CA52"/>
      <c r="CB52"/>
      <c r="CC52" s="5874">
        <f t="shared" si="29"/>
        <v>1</v>
      </c>
      <c r="CD52" s="1725">
        <f t="shared" si="30"/>
        <v>0</v>
      </c>
      <c r="CE52" s="6102">
        <f t="shared" si="21"/>
        <v>1</v>
      </c>
      <c r="CF52" s="5874">
        <f t="shared" si="22"/>
        <v>1</v>
      </c>
      <c r="CG52" s="1725"/>
      <c r="CH52" s="5874">
        <f t="shared" si="23"/>
        <v>1</v>
      </c>
    </row>
    <row r="53" spans="1:86" ht="15" customHeight="1" x14ac:dyDescent="0.3">
      <c r="A53" s="6233" t="s">
        <v>4311</v>
      </c>
      <c r="B53" s="6781" t="s">
        <v>1913</v>
      </c>
      <c r="C53" s="4459" t="s">
        <v>21</v>
      </c>
      <c r="D53" s="2117" t="s">
        <v>5292</v>
      </c>
      <c r="E53" s="2120" t="s">
        <v>5293</v>
      </c>
      <c r="F53" s="1422" t="s">
        <v>5294</v>
      </c>
      <c r="G53" s="1422" t="s">
        <v>5295</v>
      </c>
      <c r="H53" s="1422" t="s">
        <v>5296</v>
      </c>
      <c r="I53" s="1422" t="s">
        <v>5297</v>
      </c>
      <c r="J53" s="1422" t="s">
        <v>5298</v>
      </c>
      <c r="K53" s="1422" t="s">
        <v>5299</v>
      </c>
      <c r="L53" s="1422" t="s">
        <v>5300</v>
      </c>
      <c r="M53" s="1422" t="s">
        <v>5301</v>
      </c>
      <c r="N53" s="1422" t="s">
        <v>5302</v>
      </c>
      <c r="O53" s="2123" t="s">
        <v>5303</v>
      </c>
      <c r="P53" s="1422" t="s">
        <v>5304</v>
      </c>
      <c r="Q53" s="2131" t="s">
        <v>5305</v>
      </c>
      <c r="R53" s="2121" t="s">
        <v>5306</v>
      </c>
      <c r="S53" s="2121" t="s">
        <v>5307</v>
      </c>
      <c r="T53" s="2121" t="s">
        <v>5308</v>
      </c>
      <c r="U53" s="2121" t="s">
        <v>5309</v>
      </c>
      <c r="V53" s="2121" t="s">
        <v>5310</v>
      </c>
      <c r="W53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3" s="2465" t="str">
        <f t="shared" si="25"/>
        <v xml:space="preserve"> * La variable Espacios Amigables/ Adolescentes no  puede ser mayor al Total.</v>
      </c>
      <c r="BS53" s="2465" t="str">
        <f t="shared" si="31"/>
        <v/>
      </c>
      <c r="BT53" s="2465" t="str">
        <f t="shared" si="26"/>
        <v xml:space="preserve"> * La variable Pueblos Originarios no  puede ser mayor al Total.</v>
      </c>
      <c r="BU53" s="2465" t="str">
        <f t="shared" si="27"/>
        <v xml:space="preserve"> * La variable Migrantes no  puede ser mayor al Total.</v>
      </c>
      <c r="BV53" s="2465" t="str">
        <f t="shared" si="28"/>
        <v xml:space="preserve"> * La variable Inicio precoz de MAC nivel secundario y terciario no  puede ser mayor al Total.</v>
      </c>
      <c r="BW53"/>
      <c r="BX53"/>
      <c r="BY53"/>
      <c r="CA53"/>
      <c r="CB53"/>
      <c r="CC53" s="5874">
        <f t="shared" si="29"/>
        <v>1</v>
      </c>
      <c r="CD53" s="1725">
        <f t="shared" si="30"/>
        <v>0</v>
      </c>
      <c r="CE53" s="6102">
        <f t="shared" si="21"/>
        <v>1</v>
      </c>
      <c r="CF53" s="5874">
        <f t="shared" si="22"/>
        <v>1</v>
      </c>
      <c r="CG53" s="1725"/>
      <c r="CH53" s="5874">
        <f t="shared" si="23"/>
        <v>1</v>
      </c>
    </row>
    <row r="54" spans="1:86" ht="15" customHeight="1" x14ac:dyDescent="0.3">
      <c r="A54" s="6233" t="s">
        <v>4312</v>
      </c>
      <c r="B54" s="6780"/>
      <c r="C54" s="4460" t="s">
        <v>22</v>
      </c>
      <c r="D54" s="2151" t="s">
        <v>5292</v>
      </c>
      <c r="E54" s="2152" t="s">
        <v>5293</v>
      </c>
      <c r="F54" s="2153" t="s">
        <v>5294</v>
      </c>
      <c r="G54" s="2153" t="s">
        <v>5295</v>
      </c>
      <c r="H54" s="2153" t="s">
        <v>5296</v>
      </c>
      <c r="I54" s="2153" t="s">
        <v>5297</v>
      </c>
      <c r="J54" s="2153" t="s">
        <v>5298</v>
      </c>
      <c r="K54" s="2153" t="s">
        <v>5299</v>
      </c>
      <c r="L54" s="2153" t="s">
        <v>5300</v>
      </c>
      <c r="M54" s="2153" t="s">
        <v>5301</v>
      </c>
      <c r="N54" s="2153" t="s">
        <v>5302</v>
      </c>
      <c r="O54" s="2157" t="s">
        <v>5303</v>
      </c>
      <c r="P54" s="2153" t="s">
        <v>5304</v>
      </c>
      <c r="Q54" s="2158" t="s">
        <v>5305</v>
      </c>
      <c r="R54" s="1704" t="s">
        <v>5306</v>
      </c>
      <c r="S54" s="1704" t="s">
        <v>5307</v>
      </c>
      <c r="T54" s="1704" t="s">
        <v>5308</v>
      </c>
      <c r="U54" s="1704" t="s">
        <v>5309</v>
      </c>
      <c r="V54" s="1704" t="s">
        <v>5310</v>
      </c>
      <c r="W54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4" s="2465" t="str">
        <f t="shared" si="25"/>
        <v xml:space="preserve"> * La variable Espacios Amigables/ Adolescentes no  puede ser mayor al Total.</v>
      </c>
      <c r="BS54" s="2465" t="str">
        <f t="shared" si="31"/>
        <v/>
      </c>
      <c r="BT54" s="2465" t="str">
        <f t="shared" si="26"/>
        <v xml:space="preserve"> * La variable Pueblos Originarios no  puede ser mayor al Total.</v>
      </c>
      <c r="BU54" s="2465" t="str">
        <f t="shared" si="27"/>
        <v xml:space="preserve"> * La variable Migrantes no  puede ser mayor al Total.</v>
      </c>
      <c r="BV54" s="2465" t="str">
        <f t="shared" si="28"/>
        <v xml:space="preserve"> * La variable Inicio precoz de MAC nivel secundario y terciario no  puede ser mayor al Total.</v>
      </c>
      <c r="BW54"/>
      <c r="BX54"/>
      <c r="BY54"/>
      <c r="CA54"/>
      <c r="CB54"/>
      <c r="CC54" s="5874">
        <f t="shared" si="29"/>
        <v>1</v>
      </c>
      <c r="CD54" s="1725">
        <f t="shared" si="30"/>
        <v>0</v>
      </c>
      <c r="CE54" s="6102">
        <f t="shared" si="21"/>
        <v>1</v>
      </c>
      <c r="CF54" s="5874">
        <f t="shared" si="22"/>
        <v>1</v>
      </c>
      <c r="CG54" s="1725"/>
      <c r="CH54" s="5874">
        <f t="shared" si="23"/>
        <v>1</v>
      </c>
    </row>
    <row r="55" spans="1:86" ht="15" customHeight="1" x14ac:dyDescent="0.3">
      <c r="A55" s="6248" t="s">
        <v>4313</v>
      </c>
      <c r="B55" s="6860" t="s">
        <v>1914</v>
      </c>
      <c r="C55" s="6861"/>
      <c r="D55" s="2151" t="s">
        <v>5292</v>
      </c>
      <c r="E55" s="2152" t="s">
        <v>5293</v>
      </c>
      <c r="F55" s="2153" t="s">
        <v>5294</v>
      </c>
      <c r="G55" s="2153" t="s">
        <v>5295</v>
      </c>
      <c r="H55" s="2153" t="s">
        <v>5296</v>
      </c>
      <c r="I55" s="2153" t="s">
        <v>5297</v>
      </c>
      <c r="J55" s="2153" t="s">
        <v>5298</v>
      </c>
      <c r="K55" s="2153" t="s">
        <v>5299</v>
      </c>
      <c r="L55" s="2153" t="s">
        <v>5300</v>
      </c>
      <c r="M55" s="2153" t="s">
        <v>5301</v>
      </c>
      <c r="N55" s="2153" t="s">
        <v>5302</v>
      </c>
      <c r="O55" s="2157" t="s">
        <v>5303</v>
      </c>
      <c r="P55" s="2153" t="s">
        <v>5304</v>
      </c>
      <c r="Q55" s="2158" t="s">
        <v>5305</v>
      </c>
      <c r="R55" s="1704" t="s">
        <v>5306</v>
      </c>
      <c r="S55" s="1704" t="s">
        <v>5307</v>
      </c>
      <c r="T55" s="1704" t="s">
        <v>5308</v>
      </c>
      <c r="U55" s="1704" t="s">
        <v>5309</v>
      </c>
      <c r="V55" s="1704" t="s">
        <v>5310</v>
      </c>
      <c r="W55" t="str">
        <f t="shared" si="24"/>
        <v xml:space="preserve"> * La variable Espacios Amigables/ Adolescentes no  puede ser mayor al Total. * La variable Pueblos Originarios no  puede ser mayor al Total. * La variable Migrantes no  puede ser mayor al Total. * La variable Inicio precoz de MAC nivel secundario y terciario no  puede ser mayor al Total.</v>
      </c>
      <c r="BR55" s="2465" t="str">
        <f t="shared" si="25"/>
        <v xml:space="preserve"> * La variable Espacios Amigables/ Adolescentes no  puede ser mayor al Total.</v>
      </c>
      <c r="BS55" s="2465" t="str">
        <f t="shared" si="31"/>
        <v/>
      </c>
      <c r="BT55" s="2465" t="str">
        <f t="shared" si="26"/>
        <v xml:space="preserve"> * La variable Pueblos Originarios no  puede ser mayor al Total.</v>
      </c>
      <c r="BU55" s="2465" t="str">
        <f t="shared" si="27"/>
        <v xml:space="preserve"> * La variable Migrantes no  puede ser mayor al Total.</v>
      </c>
      <c r="BV55" s="2465" t="str">
        <f t="shared" si="28"/>
        <v xml:space="preserve"> * La variable Inicio precoz de MAC nivel secundario y terciario no  puede ser mayor al Total.</v>
      </c>
      <c r="BW55"/>
      <c r="BX55"/>
      <c r="BY55"/>
      <c r="CA55"/>
      <c r="CB55"/>
      <c r="CC55" s="5874">
        <f t="shared" si="29"/>
        <v>1</v>
      </c>
      <c r="CD55" s="1725">
        <f t="shared" si="30"/>
        <v>0</v>
      </c>
      <c r="CE55" s="6102">
        <f t="shared" si="21"/>
        <v>1</v>
      </c>
      <c r="CF55" s="5874">
        <f t="shared" si="22"/>
        <v>1</v>
      </c>
      <c r="CG55" s="1725"/>
      <c r="CH55" s="5874">
        <f t="shared" si="23"/>
        <v>1</v>
      </c>
    </row>
    <row r="56" spans="1:86" s="17" customFormat="1" ht="18" customHeight="1" x14ac:dyDescent="0.25">
      <c r="A56" s="20"/>
      <c r="B56" s="14" t="s">
        <v>3703</v>
      </c>
      <c r="C56" s="2639"/>
      <c r="D56" s="2640"/>
      <c r="E56" s="15"/>
      <c r="F56" s="15"/>
      <c r="G56" s="14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</row>
    <row r="57" spans="1:86" x14ac:dyDescent="0.3">
      <c r="A57" s="20"/>
      <c r="B57" s="6836" t="s">
        <v>1902</v>
      </c>
      <c r="C57" s="6399"/>
      <c r="D57" s="6772" t="s">
        <v>1</v>
      </c>
      <c r="E57" s="6838" t="s">
        <v>12</v>
      </c>
      <c r="F57" s="6839"/>
      <c r="G57" s="6839"/>
      <c r="H57" s="6839"/>
      <c r="I57" s="6839"/>
      <c r="J57" s="6839"/>
      <c r="K57" s="6839"/>
      <c r="L57" s="6839"/>
      <c r="M57" s="6839"/>
      <c r="N57" s="6839"/>
      <c r="O57" s="6839"/>
      <c r="P57" s="6839"/>
      <c r="Q57" s="6840"/>
      <c r="R57" s="6399" t="s">
        <v>2</v>
      </c>
      <c r="S57" s="6399" t="s">
        <v>3</v>
      </c>
      <c r="BR57"/>
      <c r="BS57"/>
      <c r="BT57"/>
      <c r="BU57"/>
      <c r="BV57"/>
      <c r="BW57"/>
      <c r="BX57"/>
      <c r="BY57"/>
      <c r="CA57"/>
      <c r="CB57"/>
      <c r="CC57"/>
    </row>
    <row r="58" spans="1:86" ht="20.399999999999999" x14ac:dyDescent="0.3">
      <c r="A58" s="20"/>
      <c r="B58" s="6837"/>
      <c r="C58" s="6831"/>
      <c r="D58" s="6774"/>
      <c r="E58" s="2128" t="s">
        <v>3768</v>
      </c>
      <c r="F58" s="2634" t="s">
        <v>4</v>
      </c>
      <c r="G58" s="2634" t="s">
        <v>5</v>
      </c>
      <c r="H58" s="2634" t="s">
        <v>6</v>
      </c>
      <c r="I58" s="2634" t="s">
        <v>7</v>
      </c>
      <c r="J58" s="2634" t="s">
        <v>8</v>
      </c>
      <c r="K58" s="2634" t="s">
        <v>9</v>
      </c>
      <c r="L58" s="2634" t="s">
        <v>10</v>
      </c>
      <c r="M58" s="2634" t="s">
        <v>11</v>
      </c>
      <c r="N58" s="2634" t="s">
        <v>18</v>
      </c>
      <c r="O58" s="2641" t="s">
        <v>19</v>
      </c>
      <c r="P58" s="2634" t="s">
        <v>20</v>
      </c>
      <c r="Q58" s="2635" t="s">
        <v>1905</v>
      </c>
      <c r="R58" s="6853"/>
      <c r="S58" s="6853"/>
      <c r="BR58"/>
      <c r="BS58"/>
      <c r="BT58"/>
      <c r="BU58"/>
      <c r="BV58"/>
      <c r="BW58"/>
      <c r="BX58"/>
      <c r="BY58"/>
      <c r="CA58"/>
      <c r="CB58"/>
      <c r="CC58"/>
    </row>
    <row r="59" spans="1:86" ht="15" customHeight="1" x14ac:dyDescent="0.3">
      <c r="A59" s="6251"/>
      <c r="B59" s="6854" t="s">
        <v>1906</v>
      </c>
      <c r="C59" s="6854"/>
      <c r="D59" s="2136">
        <f>SUM(E59:Q59)</f>
        <v>0</v>
      </c>
      <c r="E59" s="2136">
        <f>SUM(E60:E72)</f>
        <v>0</v>
      </c>
      <c r="F59" s="2136">
        <f t="shared" ref="F59:N59" si="32">SUM(F60:F72)</f>
        <v>0</v>
      </c>
      <c r="G59" s="2136">
        <f>SUM(G60:G72)</f>
        <v>0</v>
      </c>
      <c r="H59" s="2136">
        <f t="shared" si="32"/>
        <v>0</v>
      </c>
      <c r="I59" s="2136">
        <f t="shared" si="32"/>
        <v>0</v>
      </c>
      <c r="J59" s="2136">
        <f t="shared" si="32"/>
        <v>0</v>
      </c>
      <c r="K59" s="2136">
        <f t="shared" si="32"/>
        <v>0</v>
      </c>
      <c r="L59" s="2136">
        <f t="shared" si="32"/>
        <v>0</v>
      </c>
      <c r="M59" s="2136">
        <f t="shared" si="32"/>
        <v>0</v>
      </c>
      <c r="N59" s="2136">
        <f t="shared" si="32"/>
        <v>0</v>
      </c>
      <c r="O59" s="2136">
        <f>SUM(O75:O79)</f>
        <v>0</v>
      </c>
      <c r="P59" s="2136">
        <f t="shared" ref="P59:Q59" si="33">SUM(P75:P79)</f>
        <v>0</v>
      </c>
      <c r="Q59" s="2642">
        <f t="shared" si="33"/>
        <v>0</v>
      </c>
      <c r="R59" s="2562">
        <f>SUM(R60:R72)</f>
        <v>0</v>
      </c>
      <c r="S59" s="2562">
        <f>SUM(S60:S72)</f>
        <v>0</v>
      </c>
      <c r="BR59"/>
      <c r="BS59"/>
      <c r="BT59"/>
      <c r="BU59"/>
      <c r="BV59"/>
      <c r="BW59"/>
      <c r="BX59"/>
      <c r="BY59"/>
      <c r="CA59"/>
      <c r="CB59"/>
      <c r="CC59"/>
    </row>
    <row r="60" spans="1:86" ht="15" customHeight="1" x14ac:dyDescent="0.3">
      <c r="A60" s="6233" t="s">
        <v>4314</v>
      </c>
      <c r="B60" s="6855" t="s">
        <v>3903</v>
      </c>
      <c r="C60" s="6856"/>
      <c r="D60" s="2117" t="s">
        <v>5292</v>
      </c>
      <c r="E60" s="2120" t="s">
        <v>5293</v>
      </c>
      <c r="F60" s="1422" t="s">
        <v>5294</v>
      </c>
      <c r="G60" s="1422" t="s">
        <v>5295</v>
      </c>
      <c r="H60" s="1422" t="s">
        <v>5296</v>
      </c>
      <c r="I60" s="1422" t="s">
        <v>5297</v>
      </c>
      <c r="J60" s="1422" t="s">
        <v>5298</v>
      </c>
      <c r="K60" s="1422" t="s">
        <v>5299</v>
      </c>
      <c r="L60" s="1422" t="s">
        <v>5300</v>
      </c>
      <c r="M60" s="1422" t="s">
        <v>5301</v>
      </c>
      <c r="N60" s="1422" t="s">
        <v>5302</v>
      </c>
      <c r="O60" s="2137" t="s">
        <v>5303</v>
      </c>
      <c r="P60" s="2138" t="s">
        <v>5304</v>
      </c>
      <c r="Q60" s="2139" t="s">
        <v>5305</v>
      </c>
      <c r="R60" s="2121" t="s">
        <v>5306</v>
      </c>
      <c r="S60" s="2121" t="s">
        <v>5307</v>
      </c>
      <c r="T60" t="str">
        <f>BR60&amp;BS60</f>
        <v xml:space="preserve">  * La variable  Pueblos Originarios No puede ser mayor al Total.  * La variable  Migrantes No puede ser mayor al Total.</v>
      </c>
      <c r="BR60" s="2465" t="str">
        <f>IF(AND(D60&gt;0,R60="")," *   No olvide digitar la variable "&amp;$R$57&amp;""&amp;". Digite Cero si no tiene.",IF(R60&gt;D60,"  * La variable  "&amp;$R$57&amp;""&amp;" No puede ser mayor al Total.",""))</f>
        <v xml:space="preserve">  * La variable  Pueblos Originarios No puede ser mayor al Total.</v>
      </c>
      <c r="BS60" s="2465" t="str">
        <f>IF(AND(D60&gt;0,S60="")," *   No olvide digitar la variable  "&amp;$S$57&amp;""&amp;". Digite Cero si no tiene.",IF(S60&gt;D60,"  * La variable  "&amp;$S$57&amp;""&amp;" No puede ser mayor al Total.",""))</f>
        <v xml:space="preserve">  * La variable  Migrantes No puede ser mayor al Total.</v>
      </c>
      <c r="BT60"/>
      <c r="BU60"/>
      <c r="BV60"/>
      <c r="BW60"/>
      <c r="BX60"/>
      <c r="BY60"/>
      <c r="CA60"/>
      <c r="CB60"/>
      <c r="CC60" s="1725">
        <f>IF(AND(D60&gt;0,R60=""),1,IF(R60&gt;D60,1,0))</f>
        <v>1</v>
      </c>
      <c r="CD60" s="1725">
        <f>IF(AND(D60&gt;0,S60=""),1,IF(S60&gt;D60,1,0))</f>
        <v>1</v>
      </c>
      <c r="CE60" s="1725"/>
    </row>
    <row r="61" spans="1:86" ht="15" customHeight="1" x14ac:dyDescent="0.3">
      <c r="A61" s="6233" t="s">
        <v>4315</v>
      </c>
      <c r="B61" s="6857" t="s">
        <v>3904</v>
      </c>
      <c r="C61" s="6858"/>
      <c r="D61" s="1106" t="s">
        <v>5292</v>
      </c>
      <c r="E61" s="3" t="s">
        <v>5293</v>
      </c>
      <c r="F61" s="4" t="s">
        <v>5294</v>
      </c>
      <c r="G61" s="4" t="s">
        <v>5295</v>
      </c>
      <c r="H61" s="4" t="s">
        <v>5296</v>
      </c>
      <c r="I61" s="4" t="s">
        <v>5297</v>
      </c>
      <c r="J61" s="4" t="s">
        <v>5298</v>
      </c>
      <c r="K61" s="4" t="s">
        <v>5299</v>
      </c>
      <c r="L61" s="4" t="s">
        <v>5300</v>
      </c>
      <c r="M61" s="4" t="s">
        <v>5301</v>
      </c>
      <c r="N61" s="4" t="s">
        <v>5302</v>
      </c>
      <c r="O61" s="2140" t="s">
        <v>5303</v>
      </c>
      <c r="P61" s="2141" t="s">
        <v>5304</v>
      </c>
      <c r="Q61" s="2142" t="s">
        <v>5305</v>
      </c>
      <c r="R61" s="1089" t="s">
        <v>5306</v>
      </c>
      <c r="S61" s="1089" t="s">
        <v>5307</v>
      </c>
      <c r="T61" t="str">
        <f t="shared" ref="T61:T79" si="34">BR61&amp;BS61</f>
        <v xml:space="preserve">  * La variable  Pueblos Originarios No puede ser mayor al Total.  * La variable  Migrantes No puede ser mayor al Total.</v>
      </c>
      <c r="BR61" s="2465" t="str">
        <f t="shared" ref="BR61:BR79" si="35">IF(AND(D61&gt;0,R61="")," *   No olvide digitar la variable "&amp;$R$57&amp;""&amp;". Digite Cero si no tiene.",IF(R61&gt;D61,"  * La variable  "&amp;$R$57&amp;""&amp;" No puede ser mayor al Total.",""))</f>
        <v xml:space="preserve">  * La variable  Pueblos Originarios No puede ser mayor al Total.</v>
      </c>
      <c r="BS61" s="2465" t="str">
        <f t="shared" ref="BS61:BS79" si="36">IF(AND(D61&gt;0,S61="")," *   No olvide digitar la variable  "&amp;$S$57&amp;""&amp;". Digite Cero si no tiene.",IF(S61&gt;D61,"  * La variable  "&amp;$S$57&amp;""&amp;" No puede ser mayor al Total.",""))</f>
        <v xml:space="preserve">  * La variable  Migrantes No puede ser mayor al Total.</v>
      </c>
      <c r="BT61"/>
      <c r="BU61"/>
      <c r="BV61"/>
      <c r="BW61"/>
      <c r="BX61"/>
      <c r="BY61"/>
      <c r="CA61"/>
      <c r="CB61"/>
      <c r="CC61" s="1725">
        <f t="shared" ref="CC61:CC79" si="37">IF(AND(D61&gt;0,R61=""),1,IF(R61&gt;D61,1,0))</f>
        <v>1</v>
      </c>
      <c r="CD61" s="1725">
        <f t="shared" ref="CD61:CD79" si="38">IF(AND(D61&gt;0,S61=""),1,IF(S61&gt;D61,1,0))</f>
        <v>1</v>
      </c>
      <c r="CE61" s="1725"/>
    </row>
    <row r="62" spans="1:86" ht="15" customHeight="1" x14ac:dyDescent="0.3">
      <c r="A62" s="6233" t="s">
        <v>4316</v>
      </c>
      <c r="B62" s="6859" t="s">
        <v>1114</v>
      </c>
      <c r="C62" s="4453" t="s">
        <v>1115</v>
      </c>
      <c r="D62" s="2117" t="s">
        <v>5292</v>
      </c>
      <c r="E62" s="2120" t="s">
        <v>5293</v>
      </c>
      <c r="F62" s="1422" t="s">
        <v>5294</v>
      </c>
      <c r="G62" s="1422" t="s">
        <v>5295</v>
      </c>
      <c r="H62" s="1422" t="s">
        <v>5296</v>
      </c>
      <c r="I62" s="1422" t="s">
        <v>5297</v>
      </c>
      <c r="J62" s="1422" t="s">
        <v>5298</v>
      </c>
      <c r="K62" s="1422" t="s">
        <v>5299</v>
      </c>
      <c r="L62" s="1422" t="s">
        <v>5300</v>
      </c>
      <c r="M62" s="1422" t="s">
        <v>5301</v>
      </c>
      <c r="N62" s="1422" t="s">
        <v>5302</v>
      </c>
      <c r="O62" s="2137" t="s">
        <v>5303</v>
      </c>
      <c r="P62" s="2138" t="s">
        <v>5304</v>
      </c>
      <c r="Q62" s="2139" t="s">
        <v>5305</v>
      </c>
      <c r="R62" s="2121" t="s">
        <v>5306</v>
      </c>
      <c r="S62" s="2121" t="s">
        <v>5307</v>
      </c>
      <c r="T62" t="str">
        <f t="shared" si="34"/>
        <v xml:space="preserve">  * La variable  Pueblos Originarios No puede ser mayor al Total.  * La variable  Migrantes No puede ser mayor al Total.</v>
      </c>
      <c r="BR62" s="2465" t="str">
        <f t="shared" si="35"/>
        <v xml:space="preserve">  * La variable  Pueblos Originarios No puede ser mayor al Total.</v>
      </c>
      <c r="BS62" s="2465" t="str">
        <f t="shared" si="36"/>
        <v xml:space="preserve">  * La variable  Migrantes No puede ser mayor al Total.</v>
      </c>
      <c r="BT62"/>
      <c r="BU62"/>
      <c r="BV62"/>
      <c r="BW62"/>
      <c r="BX62"/>
      <c r="BY62"/>
      <c r="CA62"/>
      <c r="CB62"/>
      <c r="CC62" s="1725">
        <f t="shared" si="37"/>
        <v>1</v>
      </c>
      <c r="CD62" s="1725">
        <f t="shared" si="38"/>
        <v>1</v>
      </c>
      <c r="CE62" s="1725"/>
    </row>
    <row r="63" spans="1:86" ht="15" customHeight="1" x14ac:dyDescent="0.3">
      <c r="A63" s="6248" t="s">
        <v>4317</v>
      </c>
      <c r="B63" s="6859"/>
      <c r="C63" s="4454" t="s">
        <v>1116</v>
      </c>
      <c r="D63" s="1105" t="s">
        <v>5292</v>
      </c>
      <c r="E63" s="1095" t="s">
        <v>5293</v>
      </c>
      <c r="F63" s="1426" t="s">
        <v>5294</v>
      </c>
      <c r="G63" s="1426" t="s">
        <v>5295</v>
      </c>
      <c r="H63" s="1426" t="s">
        <v>5296</v>
      </c>
      <c r="I63" s="1426" t="s">
        <v>5297</v>
      </c>
      <c r="J63" s="1426" t="s">
        <v>5298</v>
      </c>
      <c r="K63" s="1426" t="s">
        <v>5299</v>
      </c>
      <c r="L63" s="1426" t="s">
        <v>5300</v>
      </c>
      <c r="M63" s="1426" t="s">
        <v>5301</v>
      </c>
      <c r="N63" s="1426" t="s">
        <v>5302</v>
      </c>
      <c r="O63" s="2144" t="s">
        <v>5303</v>
      </c>
      <c r="P63" s="1440" t="s">
        <v>5304</v>
      </c>
      <c r="Q63" s="1441" t="s">
        <v>5305</v>
      </c>
      <c r="R63" s="8" t="s">
        <v>5306</v>
      </c>
      <c r="S63" s="8" t="s">
        <v>5307</v>
      </c>
      <c r="T63" t="str">
        <f t="shared" si="34"/>
        <v xml:space="preserve">  * La variable  Pueblos Originarios No puede ser mayor al Total.  * La variable  Migrantes No puede ser mayor al Total.</v>
      </c>
      <c r="BR63" s="2465" t="str">
        <f>IF(AND(D63&gt;0,R63="")," *   No olvide digitar la variable "&amp;$R$57&amp;""&amp;". Digite Cero si no tiene.",IF(R63&gt;D63,"  * La variable  "&amp;$R$57&amp;""&amp;" No puede ser mayor al Total.",""))</f>
        <v xml:space="preserve">  * La variable  Pueblos Originarios No puede ser mayor al Total.</v>
      </c>
      <c r="BS63" s="2465" t="str">
        <f t="shared" si="36"/>
        <v xml:space="preserve">  * La variable  Migrantes No puede ser mayor al Total.</v>
      </c>
      <c r="BT63"/>
      <c r="BU63"/>
      <c r="BV63"/>
      <c r="BW63"/>
      <c r="BX63"/>
      <c r="BY63"/>
      <c r="CA63"/>
      <c r="CB63"/>
      <c r="CC63" s="1725">
        <f t="shared" si="37"/>
        <v>1</v>
      </c>
      <c r="CD63" s="1725">
        <f t="shared" si="38"/>
        <v>1</v>
      </c>
      <c r="CE63" s="1725"/>
    </row>
    <row r="64" spans="1:86" ht="15" customHeight="1" x14ac:dyDescent="0.3">
      <c r="A64" s="6233" t="s">
        <v>4318</v>
      </c>
      <c r="B64" s="6859"/>
      <c r="C64" s="4454" t="s">
        <v>1117</v>
      </c>
      <c r="D64" s="1105" t="s">
        <v>5292</v>
      </c>
      <c r="E64" s="1095" t="s">
        <v>5293</v>
      </c>
      <c r="F64" s="1426" t="s">
        <v>5294</v>
      </c>
      <c r="G64" s="1426" t="s">
        <v>5295</v>
      </c>
      <c r="H64" s="1426" t="s">
        <v>5296</v>
      </c>
      <c r="I64" s="1426" t="s">
        <v>5297</v>
      </c>
      <c r="J64" s="1426" t="s">
        <v>5298</v>
      </c>
      <c r="K64" s="1426" t="s">
        <v>5299</v>
      </c>
      <c r="L64" s="1426" t="s">
        <v>5300</v>
      </c>
      <c r="M64" s="1426" t="s">
        <v>5301</v>
      </c>
      <c r="N64" s="1426" t="s">
        <v>5302</v>
      </c>
      <c r="O64" s="2144" t="s">
        <v>5303</v>
      </c>
      <c r="P64" s="1440" t="s">
        <v>5304</v>
      </c>
      <c r="Q64" s="1441" t="s">
        <v>5305</v>
      </c>
      <c r="R64" s="8" t="s">
        <v>5306</v>
      </c>
      <c r="S64" s="8" t="s">
        <v>5307</v>
      </c>
      <c r="T64" t="str">
        <f t="shared" si="34"/>
        <v xml:space="preserve">  * La variable  Pueblos Originarios No puede ser mayor al Total.  * La variable  Migrantes No puede ser mayor al Total.</v>
      </c>
      <c r="BR64" s="2465" t="str">
        <f t="shared" si="35"/>
        <v xml:space="preserve">  * La variable  Pueblos Originarios No puede ser mayor al Total.</v>
      </c>
      <c r="BS64" s="2465" t="str">
        <f t="shared" si="36"/>
        <v xml:space="preserve">  * La variable  Migrantes No puede ser mayor al Total.</v>
      </c>
      <c r="BT64"/>
      <c r="BU64"/>
      <c r="BV64"/>
      <c r="BW64"/>
      <c r="BX64"/>
      <c r="BY64"/>
      <c r="CA64"/>
      <c r="CB64"/>
      <c r="CC64" s="1725">
        <f t="shared" si="37"/>
        <v>1</v>
      </c>
      <c r="CD64" s="1725">
        <f t="shared" si="38"/>
        <v>1</v>
      </c>
      <c r="CE64" s="1725"/>
    </row>
    <row r="65" spans="1:83" ht="15" customHeight="1" x14ac:dyDescent="0.3">
      <c r="A65" s="6233" t="s">
        <v>4319</v>
      </c>
      <c r="B65" s="6859"/>
      <c r="C65" s="4454" t="s">
        <v>1118</v>
      </c>
      <c r="D65" s="1105" t="s">
        <v>5292</v>
      </c>
      <c r="E65" s="1095" t="s">
        <v>5293</v>
      </c>
      <c r="F65" s="1426" t="s">
        <v>5294</v>
      </c>
      <c r="G65" s="1426" t="s">
        <v>5295</v>
      </c>
      <c r="H65" s="1426" t="s">
        <v>5296</v>
      </c>
      <c r="I65" s="1426" t="s">
        <v>5297</v>
      </c>
      <c r="J65" s="1426" t="s">
        <v>5298</v>
      </c>
      <c r="K65" s="1426" t="s">
        <v>5299</v>
      </c>
      <c r="L65" s="1426" t="s">
        <v>5300</v>
      </c>
      <c r="M65" s="1426" t="s">
        <v>5301</v>
      </c>
      <c r="N65" s="1426" t="s">
        <v>5302</v>
      </c>
      <c r="O65" s="2144" t="s">
        <v>5303</v>
      </c>
      <c r="P65" s="1440" t="s">
        <v>5304</v>
      </c>
      <c r="Q65" s="1441" t="s">
        <v>5305</v>
      </c>
      <c r="R65" s="8" t="s">
        <v>5306</v>
      </c>
      <c r="S65" s="8" t="s">
        <v>5307</v>
      </c>
      <c r="T65" t="str">
        <f t="shared" si="34"/>
        <v xml:space="preserve">  * La variable  Pueblos Originarios No puede ser mayor al Total.  * La variable  Migrantes No puede ser mayor al Total.</v>
      </c>
      <c r="BR65" s="2465" t="str">
        <f t="shared" si="35"/>
        <v xml:space="preserve">  * La variable  Pueblos Originarios No puede ser mayor al Total.</v>
      </c>
      <c r="BS65" s="2465" t="str">
        <f t="shared" si="36"/>
        <v xml:space="preserve">  * La variable  Migrantes No puede ser mayor al Total.</v>
      </c>
      <c r="BT65"/>
      <c r="BU65"/>
      <c r="BV65"/>
      <c r="BW65"/>
      <c r="BX65"/>
      <c r="BY65"/>
      <c r="CA65"/>
      <c r="CB65"/>
      <c r="CC65" s="1725">
        <f t="shared" si="37"/>
        <v>1</v>
      </c>
      <c r="CD65" s="1725">
        <f t="shared" si="38"/>
        <v>1</v>
      </c>
      <c r="CE65" s="1725"/>
    </row>
    <row r="66" spans="1:83" ht="15" customHeight="1" x14ac:dyDescent="0.3">
      <c r="A66" s="6233" t="s">
        <v>4320</v>
      </c>
      <c r="B66" s="6859"/>
      <c r="C66" s="4454" t="s">
        <v>1119</v>
      </c>
      <c r="D66" s="1105" t="s">
        <v>5292</v>
      </c>
      <c r="E66" s="1095" t="s">
        <v>5293</v>
      </c>
      <c r="F66" s="1426" t="s">
        <v>5294</v>
      </c>
      <c r="G66" s="1426" t="s">
        <v>5295</v>
      </c>
      <c r="H66" s="1426" t="s">
        <v>5296</v>
      </c>
      <c r="I66" s="1426" t="s">
        <v>5297</v>
      </c>
      <c r="J66" s="1426" t="s">
        <v>5298</v>
      </c>
      <c r="K66" s="1426" t="s">
        <v>5299</v>
      </c>
      <c r="L66" s="1426" t="s">
        <v>5300</v>
      </c>
      <c r="M66" s="1426" t="s">
        <v>5301</v>
      </c>
      <c r="N66" s="1426" t="s">
        <v>5302</v>
      </c>
      <c r="O66" s="2144" t="s">
        <v>5303</v>
      </c>
      <c r="P66" s="1440" t="s">
        <v>5304</v>
      </c>
      <c r="Q66" s="1441" t="s">
        <v>5305</v>
      </c>
      <c r="R66" s="8" t="s">
        <v>5306</v>
      </c>
      <c r="S66" s="8" t="s">
        <v>5307</v>
      </c>
      <c r="T66" t="str">
        <f t="shared" si="34"/>
        <v xml:space="preserve">  * La variable  Pueblos Originarios No puede ser mayor al Total.  * La variable  Migrantes No puede ser mayor al Total.</v>
      </c>
      <c r="BR66" s="2465" t="str">
        <f t="shared" si="35"/>
        <v xml:space="preserve">  * La variable  Pueblos Originarios No puede ser mayor al Total.</v>
      </c>
      <c r="BS66" s="2465" t="str">
        <f t="shared" si="36"/>
        <v xml:space="preserve">  * La variable  Migrantes No puede ser mayor al Total.</v>
      </c>
      <c r="BT66"/>
      <c r="BU66"/>
      <c r="BV66"/>
      <c r="BW66"/>
      <c r="BX66"/>
      <c r="BY66"/>
      <c r="CA66"/>
      <c r="CB66"/>
      <c r="CC66" s="1725">
        <f t="shared" si="37"/>
        <v>1</v>
      </c>
      <c r="CD66" s="1725">
        <f t="shared" si="38"/>
        <v>1</v>
      </c>
      <c r="CE66" s="1725"/>
    </row>
    <row r="67" spans="1:83" ht="15" customHeight="1" x14ac:dyDescent="0.3">
      <c r="A67" s="6233" t="s">
        <v>4321</v>
      </c>
      <c r="B67" s="6859"/>
      <c r="C67" s="4455" t="s">
        <v>1120</v>
      </c>
      <c r="D67" s="1702" t="s">
        <v>5292</v>
      </c>
      <c r="E67" s="1332" t="s">
        <v>5293</v>
      </c>
      <c r="F67" s="2145" t="s">
        <v>5294</v>
      </c>
      <c r="G67" s="2145" t="s">
        <v>5295</v>
      </c>
      <c r="H67" s="2145" t="s">
        <v>5296</v>
      </c>
      <c r="I67" s="2145" t="s">
        <v>5297</v>
      </c>
      <c r="J67" s="2145" t="s">
        <v>5298</v>
      </c>
      <c r="K67" s="2145" t="s">
        <v>5299</v>
      </c>
      <c r="L67" s="2145" t="s">
        <v>5300</v>
      </c>
      <c r="M67" s="2145" t="s">
        <v>5301</v>
      </c>
      <c r="N67" s="2145" t="s">
        <v>5302</v>
      </c>
      <c r="O67" s="2146" t="s">
        <v>5303</v>
      </c>
      <c r="P67" s="2147" t="s">
        <v>5304</v>
      </c>
      <c r="Q67" s="2148" t="s">
        <v>5305</v>
      </c>
      <c r="R67" s="1258" t="s">
        <v>5306</v>
      </c>
      <c r="S67" s="1258" t="s">
        <v>5307</v>
      </c>
      <c r="T67" t="str">
        <f t="shared" si="34"/>
        <v xml:space="preserve">  * La variable  Pueblos Originarios No puede ser mayor al Total.  * La variable  Migrantes No puede ser mayor al Total.</v>
      </c>
      <c r="BR67" s="2465" t="str">
        <f t="shared" si="35"/>
        <v xml:space="preserve">  * La variable  Pueblos Originarios No puede ser mayor al Total.</v>
      </c>
      <c r="BS67" s="2465" t="str">
        <f t="shared" si="36"/>
        <v xml:space="preserve">  * La variable  Migrantes No puede ser mayor al Total.</v>
      </c>
      <c r="BT67"/>
      <c r="BU67"/>
      <c r="BV67"/>
      <c r="BW67"/>
      <c r="BX67"/>
      <c r="BY67"/>
      <c r="CA67"/>
      <c r="CB67"/>
      <c r="CC67" s="1725">
        <f t="shared" si="37"/>
        <v>1</v>
      </c>
      <c r="CD67" s="1725">
        <f t="shared" si="38"/>
        <v>1</v>
      </c>
      <c r="CE67" s="1725"/>
    </row>
    <row r="68" spans="1:83" ht="15" customHeight="1" x14ac:dyDescent="0.3">
      <c r="A68" s="6233" t="s">
        <v>4322</v>
      </c>
      <c r="B68" s="6859"/>
      <c r="C68" s="55" t="s">
        <v>1907</v>
      </c>
      <c r="D68" s="1106" t="s">
        <v>5292</v>
      </c>
      <c r="E68" s="3" t="s">
        <v>5293</v>
      </c>
      <c r="F68" s="4" t="s">
        <v>5294</v>
      </c>
      <c r="G68" s="4" t="s">
        <v>5295</v>
      </c>
      <c r="H68" s="4" t="s">
        <v>5296</v>
      </c>
      <c r="I68" s="4" t="s">
        <v>5297</v>
      </c>
      <c r="J68" s="4" t="s">
        <v>5298</v>
      </c>
      <c r="K68" s="4" t="s">
        <v>5299</v>
      </c>
      <c r="L68" s="4" t="s">
        <v>5300</v>
      </c>
      <c r="M68" s="4" t="s">
        <v>5301</v>
      </c>
      <c r="N68" s="4" t="s">
        <v>5302</v>
      </c>
      <c r="O68" s="2140" t="s">
        <v>5303</v>
      </c>
      <c r="P68" s="2141" t="s">
        <v>5304</v>
      </c>
      <c r="Q68" s="2142" t="s">
        <v>5305</v>
      </c>
      <c r="R68" s="12" t="s">
        <v>5306</v>
      </c>
      <c r="S68" s="12" t="s">
        <v>5307</v>
      </c>
      <c r="T68" t="str">
        <f t="shared" si="34"/>
        <v xml:space="preserve">  * La variable  Pueblos Originarios No puede ser mayor al Total.  * La variable  Migrantes No puede ser mayor al Total.</v>
      </c>
      <c r="BR68" s="2465" t="str">
        <f t="shared" si="35"/>
        <v xml:space="preserve">  * La variable  Pueblos Originarios No puede ser mayor al Total.</v>
      </c>
      <c r="BS68" s="2465" t="str">
        <f t="shared" si="36"/>
        <v xml:space="preserve">  * La variable  Migrantes No puede ser mayor al Total.</v>
      </c>
      <c r="BT68"/>
      <c r="BU68"/>
      <c r="BV68"/>
      <c r="BW68"/>
      <c r="BX68"/>
      <c r="BY68"/>
      <c r="CA68"/>
      <c r="CB68"/>
      <c r="CC68" s="1725">
        <f t="shared" si="37"/>
        <v>1</v>
      </c>
      <c r="CD68" s="1725">
        <f t="shared" si="38"/>
        <v>1</v>
      </c>
      <c r="CE68" s="1725"/>
    </row>
    <row r="69" spans="1:83" ht="15" customHeight="1" x14ac:dyDescent="0.3">
      <c r="A69" s="6233" t="s">
        <v>4323</v>
      </c>
      <c r="B69" s="6781" t="s">
        <v>1908</v>
      </c>
      <c r="C69" s="4453" t="s">
        <v>21</v>
      </c>
      <c r="D69" s="2117" t="s">
        <v>5292</v>
      </c>
      <c r="E69" s="2120" t="s">
        <v>5293</v>
      </c>
      <c r="F69" s="1422" t="s">
        <v>5294</v>
      </c>
      <c r="G69" s="1422" t="s">
        <v>5295</v>
      </c>
      <c r="H69" s="1422" t="s">
        <v>5296</v>
      </c>
      <c r="I69" s="1422" t="s">
        <v>5297</v>
      </c>
      <c r="J69" s="1422" t="s">
        <v>5298</v>
      </c>
      <c r="K69" s="1422" t="s">
        <v>5299</v>
      </c>
      <c r="L69" s="1422" t="s">
        <v>5300</v>
      </c>
      <c r="M69" s="1422" t="s">
        <v>5301</v>
      </c>
      <c r="N69" s="1422" t="s">
        <v>5302</v>
      </c>
      <c r="O69" s="2137" t="s">
        <v>5303</v>
      </c>
      <c r="P69" s="2138" t="s">
        <v>5304</v>
      </c>
      <c r="Q69" s="2139" t="s">
        <v>5305</v>
      </c>
      <c r="R69" s="2121" t="s">
        <v>5306</v>
      </c>
      <c r="S69" s="2121" t="s">
        <v>5307</v>
      </c>
      <c r="T69" t="str">
        <f t="shared" si="34"/>
        <v xml:space="preserve">  * La variable  Pueblos Originarios No puede ser mayor al Total.  * La variable  Migrantes No puede ser mayor al Total.</v>
      </c>
      <c r="BR69" s="2465" t="str">
        <f t="shared" si="35"/>
        <v xml:space="preserve">  * La variable  Pueblos Originarios No puede ser mayor al Total.</v>
      </c>
      <c r="BS69" s="2465" t="str">
        <f t="shared" si="36"/>
        <v xml:space="preserve">  * La variable  Migrantes No puede ser mayor al Total.</v>
      </c>
      <c r="BT69"/>
      <c r="BU69"/>
      <c r="BV69"/>
      <c r="BW69"/>
      <c r="BX69"/>
      <c r="BY69"/>
      <c r="CA69"/>
      <c r="CB69"/>
      <c r="CC69" s="1725">
        <f t="shared" si="37"/>
        <v>1</v>
      </c>
      <c r="CD69" s="1725">
        <f t="shared" si="38"/>
        <v>1</v>
      </c>
      <c r="CE69" s="1725"/>
    </row>
    <row r="70" spans="1:83" ht="15" customHeight="1" x14ac:dyDescent="0.3">
      <c r="A70" s="6233" t="s">
        <v>4324</v>
      </c>
      <c r="B70" s="6780"/>
      <c r="C70" s="4456" t="s">
        <v>22</v>
      </c>
      <c r="D70" s="1106" t="s">
        <v>5292</v>
      </c>
      <c r="E70" s="3" t="s">
        <v>5293</v>
      </c>
      <c r="F70" s="4" t="s">
        <v>5294</v>
      </c>
      <c r="G70" s="4" t="s">
        <v>5295</v>
      </c>
      <c r="H70" s="4" t="s">
        <v>5296</v>
      </c>
      <c r="I70" s="4" t="s">
        <v>5297</v>
      </c>
      <c r="J70" s="4" t="s">
        <v>5298</v>
      </c>
      <c r="K70" s="4" t="s">
        <v>5299</v>
      </c>
      <c r="L70" s="4" t="s">
        <v>5300</v>
      </c>
      <c r="M70" s="4" t="s">
        <v>5301</v>
      </c>
      <c r="N70" s="4" t="s">
        <v>5302</v>
      </c>
      <c r="O70" s="2140" t="s">
        <v>5303</v>
      </c>
      <c r="P70" s="2141" t="s">
        <v>5304</v>
      </c>
      <c r="Q70" s="2142" t="s">
        <v>5305</v>
      </c>
      <c r="R70" s="12" t="s">
        <v>5306</v>
      </c>
      <c r="S70" s="12" t="s">
        <v>5307</v>
      </c>
      <c r="T70" t="str">
        <f t="shared" si="34"/>
        <v xml:space="preserve">  * La variable  Pueblos Originarios No puede ser mayor al Total.  * La variable  Migrantes No puede ser mayor al Total.</v>
      </c>
      <c r="BR70" s="2465" t="str">
        <f t="shared" si="35"/>
        <v xml:space="preserve">  * La variable  Pueblos Originarios No puede ser mayor al Total.</v>
      </c>
      <c r="BS70" s="2465" t="str">
        <f t="shared" si="36"/>
        <v xml:space="preserve">  * La variable  Migrantes No puede ser mayor al Total.</v>
      </c>
      <c r="BT70"/>
      <c r="BU70"/>
      <c r="BV70"/>
      <c r="BW70"/>
      <c r="BX70"/>
      <c r="BY70"/>
      <c r="CA70"/>
      <c r="CB70"/>
      <c r="CC70" s="1725">
        <f t="shared" si="37"/>
        <v>1</v>
      </c>
      <c r="CD70" s="1725">
        <f t="shared" si="38"/>
        <v>1</v>
      </c>
      <c r="CE70" s="1725"/>
    </row>
    <row r="71" spans="1:83" ht="15" customHeight="1" x14ac:dyDescent="0.3">
      <c r="A71" s="6233" t="s">
        <v>4325</v>
      </c>
      <c r="B71" s="6862" t="s">
        <v>1909</v>
      </c>
      <c r="C71" s="6077" t="s">
        <v>21</v>
      </c>
      <c r="D71" s="6078" t="s">
        <v>5292</v>
      </c>
      <c r="E71" s="5439" t="s">
        <v>5293</v>
      </c>
      <c r="F71" s="5439" t="s">
        <v>5294</v>
      </c>
      <c r="G71" s="5439" t="s">
        <v>5295</v>
      </c>
      <c r="H71" s="5439" t="s">
        <v>5296</v>
      </c>
      <c r="I71" s="5439" t="s">
        <v>5297</v>
      </c>
      <c r="J71" s="5439" t="s">
        <v>5298</v>
      </c>
      <c r="K71" s="5439" t="s">
        <v>5299</v>
      </c>
      <c r="L71" s="5439" t="s">
        <v>5300</v>
      </c>
      <c r="M71" s="5439" t="s">
        <v>5301</v>
      </c>
      <c r="N71" s="5439" t="s">
        <v>5302</v>
      </c>
      <c r="O71" s="6079" t="s">
        <v>5303</v>
      </c>
      <c r="P71" s="5440" t="s">
        <v>5304</v>
      </c>
      <c r="Q71" s="5441" t="s">
        <v>5305</v>
      </c>
      <c r="R71" s="5700" t="s">
        <v>5306</v>
      </c>
      <c r="S71" s="5700" t="s">
        <v>5307</v>
      </c>
      <c r="T71" t="str">
        <f t="shared" si="34"/>
        <v xml:space="preserve">  * La variable  Pueblos Originarios No puede ser mayor al Total.  * La variable  Migrantes No puede ser mayor al Total.</v>
      </c>
      <c r="BR71" s="2465" t="str">
        <f t="shared" si="35"/>
        <v xml:space="preserve">  * La variable  Pueblos Originarios No puede ser mayor al Total.</v>
      </c>
      <c r="BS71" s="2465" t="str">
        <f t="shared" si="36"/>
        <v xml:space="preserve">  * La variable  Migrantes No puede ser mayor al Total.</v>
      </c>
      <c r="BT71"/>
      <c r="BU71"/>
      <c r="BV71"/>
      <c r="BW71"/>
      <c r="BX71"/>
      <c r="BY71"/>
      <c r="CA71"/>
      <c r="CB71"/>
      <c r="CC71" s="1725">
        <f t="shared" si="37"/>
        <v>1</v>
      </c>
      <c r="CD71" s="1725">
        <f t="shared" si="38"/>
        <v>1</v>
      </c>
      <c r="CE71" s="1725"/>
    </row>
    <row r="72" spans="1:83" ht="15" customHeight="1" thickBot="1" x14ac:dyDescent="0.35">
      <c r="A72" s="6233" t="s">
        <v>4326</v>
      </c>
      <c r="B72" s="6863"/>
      <c r="C72" s="6080" t="s">
        <v>22</v>
      </c>
      <c r="D72" s="6081" t="s">
        <v>5292</v>
      </c>
      <c r="E72" s="6083" t="s">
        <v>5293</v>
      </c>
      <c r="F72" s="6083" t="s">
        <v>5294</v>
      </c>
      <c r="G72" s="6083" t="s">
        <v>5295</v>
      </c>
      <c r="H72" s="6083" t="s">
        <v>5296</v>
      </c>
      <c r="I72" s="6083" t="s">
        <v>5297</v>
      </c>
      <c r="J72" s="6083" t="s">
        <v>5298</v>
      </c>
      <c r="K72" s="6083" t="s">
        <v>5299</v>
      </c>
      <c r="L72" s="6083" t="s">
        <v>5300</v>
      </c>
      <c r="M72" s="6083" t="s">
        <v>5301</v>
      </c>
      <c r="N72" s="6083" t="s">
        <v>5302</v>
      </c>
      <c r="O72" s="6084" t="s">
        <v>5303</v>
      </c>
      <c r="P72" s="6085" t="s">
        <v>5304</v>
      </c>
      <c r="Q72" s="6086" t="s">
        <v>5305</v>
      </c>
      <c r="R72" s="6088" t="s">
        <v>5306</v>
      </c>
      <c r="S72" s="6088" t="s">
        <v>5307</v>
      </c>
      <c r="T72" t="str">
        <f t="shared" si="34"/>
        <v xml:space="preserve">  * La variable  Pueblos Originarios No puede ser mayor al Total.  * La variable  Migrantes No puede ser mayor al Total.</v>
      </c>
      <c r="BR72" s="2465" t="str">
        <f t="shared" si="35"/>
        <v xml:space="preserve">  * La variable  Pueblos Originarios No puede ser mayor al Total.</v>
      </c>
      <c r="BS72" s="2465" t="str">
        <f t="shared" si="36"/>
        <v xml:space="preserve">  * La variable  Migrantes No puede ser mayor al Total.</v>
      </c>
      <c r="BT72"/>
      <c r="BU72"/>
      <c r="BV72"/>
      <c r="BW72"/>
      <c r="BX72"/>
      <c r="BY72"/>
      <c r="CA72"/>
      <c r="CB72"/>
      <c r="CC72" s="1725">
        <f t="shared" si="37"/>
        <v>1</v>
      </c>
      <c r="CD72" s="1725">
        <f t="shared" si="38"/>
        <v>1</v>
      </c>
      <c r="CE72" s="1725"/>
    </row>
    <row r="73" spans="1:83" ht="15" customHeight="1" thickTop="1" x14ac:dyDescent="0.3">
      <c r="A73" s="6233" t="s">
        <v>4327</v>
      </c>
      <c r="B73" s="6864" t="s">
        <v>1915</v>
      </c>
      <c r="C73" s="6865"/>
      <c r="D73" s="5433" t="s">
        <v>5292</v>
      </c>
      <c r="E73" s="5434" t="s">
        <v>5293</v>
      </c>
      <c r="F73" s="5434" t="s">
        <v>5294</v>
      </c>
      <c r="G73" s="5434" t="s">
        <v>5295</v>
      </c>
      <c r="H73" s="5434" t="s">
        <v>5296</v>
      </c>
      <c r="I73" s="5434" t="s">
        <v>5297</v>
      </c>
      <c r="J73" s="5434" t="s">
        <v>5298</v>
      </c>
      <c r="K73" s="5434" t="s">
        <v>5299</v>
      </c>
      <c r="L73" s="5434" t="s">
        <v>5300</v>
      </c>
      <c r="M73" s="5434" t="s">
        <v>5301</v>
      </c>
      <c r="N73" s="5434" t="s">
        <v>5302</v>
      </c>
      <c r="O73" s="2150" t="s">
        <v>5303</v>
      </c>
      <c r="P73" s="5435" t="s">
        <v>5304</v>
      </c>
      <c r="Q73" s="5436" t="s">
        <v>5305</v>
      </c>
      <c r="R73" s="4407" t="s">
        <v>5306</v>
      </c>
      <c r="S73" s="4407" t="s">
        <v>5307</v>
      </c>
      <c r="T73" t="str">
        <f t="shared" si="34"/>
        <v xml:space="preserve">  * La variable  Pueblos Originarios No puede ser mayor al Total.  * La variable  Migrantes No puede ser mayor al Total.</v>
      </c>
      <c r="BR73" s="2465" t="str">
        <f t="shared" si="35"/>
        <v xml:space="preserve">  * La variable  Pueblos Originarios No puede ser mayor al Total.</v>
      </c>
      <c r="BS73" s="2465" t="str">
        <f t="shared" si="36"/>
        <v xml:space="preserve">  * La variable  Migrantes No puede ser mayor al Total.</v>
      </c>
      <c r="BT73"/>
      <c r="BU73"/>
      <c r="BV73"/>
      <c r="BW73"/>
      <c r="BX73"/>
      <c r="BY73"/>
      <c r="CA73"/>
      <c r="CB73"/>
      <c r="CC73" s="1725">
        <f t="shared" si="37"/>
        <v>1</v>
      </c>
      <c r="CD73" s="1725">
        <f t="shared" si="38"/>
        <v>1</v>
      </c>
      <c r="CE73" s="1725"/>
    </row>
    <row r="74" spans="1:83" ht="15" customHeight="1" x14ac:dyDescent="0.3">
      <c r="A74" s="6233" t="s">
        <v>4328</v>
      </c>
      <c r="B74" s="6866" t="s">
        <v>1911</v>
      </c>
      <c r="C74" s="6867"/>
      <c r="D74" s="2151" t="s">
        <v>5292</v>
      </c>
      <c r="E74" s="2153" t="s">
        <v>5293</v>
      </c>
      <c r="F74" s="2153" t="s">
        <v>5294</v>
      </c>
      <c r="G74" s="2153" t="s">
        <v>5295</v>
      </c>
      <c r="H74" s="2153" t="s">
        <v>5296</v>
      </c>
      <c r="I74" s="2153" t="s">
        <v>5297</v>
      </c>
      <c r="J74" s="2153" t="s">
        <v>5298</v>
      </c>
      <c r="K74" s="2153" t="s">
        <v>5299</v>
      </c>
      <c r="L74" s="2153" t="s">
        <v>5300</v>
      </c>
      <c r="M74" s="2153" t="s">
        <v>5301</v>
      </c>
      <c r="N74" s="2153" t="s">
        <v>5302</v>
      </c>
      <c r="O74" s="2154" t="s">
        <v>5303</v>
      </c>
      <c r="P74" s="2155" t="s">
        <v>5304</v>
      </c>
      <c r="Q74" s="2156" t="s">
        <v>5305</v>
      </c>
      <c r="R74" s="12" t="s">
        <v>5306</v>
      </c>
      <c r="S74" s="12" t="s">
        <v>5307</v>
      </c>
      <c r="T74" t="str">
        <f t="shared" si="34"/>
        <v xml:space="preserve">  * La variable  Pueblos Originarios No puede ser mayor al Total.  * La variable  Migrantes No puede ser mayor al Total.</v>
      </c>
      <c r="BR74" s="2465" t="str">
        <f t="shared" si="35"/>
        <v xml:space="preserve">  * La variable  Pueblos Originarios No puede ser mayor al Total.</v>
      </c>
      <c r="BS74" s="2465" t="str">
        <f t="shared" si="36"/>
        <v xml:space="preserve">  * La variable  Migrantes No puede ser mayor al Total.</v>
      </c>
      <c r="BT74"/>
      <c r="BU74"/>
      <c r="BV74"/>
      <c r="BW74"/>
      <c r="BX74"/>
      <c r="BY74"/>
      <c r="CA74"/>
      <c r="CB74"/>
      <c r="CC74" s="1725">
        <f t="shared" si="37"/>
        <v>1</v>
      </c>
      <c r="CD74" s="1725">
        <f t="shared" si="38"/>
        <v>1</v>
      </c>
      <c r="CE74" s="1725"/>
    </row>
    <row r="75" spans="1:83" ht="15" customHeight="1" x14ac:dyDescent="0.3">
      <c r="A75" s="6233" t="s">
        <v>4329</v>
      </c>
      <c r="B75" s="6868" t="s">
        <v>1912</v>
      </c>
      <c r="C75" s="4457" t="s">
        <v>21</v>
      </c>
      <c r="D75" s="2117" t="s">
        <v>5292</v>
      </c>
      <c r="E75" s="2120" t="s">
        <v>5293</v>
      </c>
      <c r="F75" s="1422" t="s">
        <v>5294</v>
      </c>
      <c r="G75" s="1422" t="s">
        <v>5295</v>
      </c>
      <c r="H75" s="1422" t="s">
        <v>5296</v>
      </c>
      <c r="I75" s="1422" t="s">
        <v>5297</v>
      </c>
      <c r="J75" s="1422" t="s">
        <v>5298</v>
      </c>
      <c r="K75" s="1422" t="s">
        <v>5299</v>
      </c>
      <c r="L75" s="1422" t="s">
        <v>5300</v>
      </c>
      <c r="M75" s="1422" t="s">
        <v>5301</v>
      </c>
      <c r="N75" s="1422" t="s">
        <v>5302</v>
      </c>
      <c r="O75" s="2123" t="s">
        <v>5303</v>
      </c>
      <c r="P75" s="1422" t="s">
        <v>5304</v>
      </c>
      <c r="Q75" s="2131" t="s">
        <v>5305</v>
      </c>
      <c r="R75" s="2121" t="s">
        <v>5306</v>
      </c>
      <c r="S75" s="2121" t="s">
        <v>5307</v>
      </c>
      <c r="T75" t="str">
        <f t="shared" si="34"/>
        <v xml:space="preserve">  * La variable  Pueblos Originarios No puede ser mayor al Total.  * La variable  Migrantes No puede ser mayor al Total.</v>
      </c>
      <c r="BR75" s="2465" t="str">
        <f t="shared" si="35"/>
        <v xml:space="preserve">  * La variable  Pueblos Originarios No puede ser mayor al Total.</v>
      </c>
      <c r="BS75" s="2465" t="str">
        <f t="shared" si="36"/>
        <v xml:space="preserve">  * La variable  Migrantes No puede ser mayor al Total.</v>
      </c>
      <c r="BT75"/>
      <c r="BU75"/>
      <c r="BV75"/>
      <c r="BW75"/>
      <c r="BX75"/>
      <c r="BY75"/>
      <c r="CA75"/>
      <c r="CB75"/>
      <c r="CC75" s="1725">
        <f t="shared" si="37"/>
        <v>1</v>
      </c>
      <c r="CD75" s="1725">
        <f t="shared" si="38"/>
        <v>1</v>
      </c>
      <c r="CE75" s="1725"/>
    </row>
    <row r="76" spans="1:83" ht="15" customHeight="1" x14ac:dyDescent="0.3">
      <c r="A76" s="6233" t="s">
        <v>4330</v>
      </c>
      <c r="B76" s="6767"/>
      <c r="C76" s="4458" t="s">
        <v>22</v>
      </c>
      <c r="D76" s="2151" t="s">
        <v>5292</v>
      </c>
      <c r="E76" s="2152" t="s">
        <v>5293</v>
      </c>
      <c r="F76" s="2153" t="s">
        <v>5294</v>
      </c>
      <c r="G76" s="2153" t="s">
        <v>5295</v>
      </c>
      <c r="H76" s="2153" t="s">
        <v>5296</v>
      </c>
      <c r="I76" s="2153" t="s">
        <v>5297</v>
      </c>
      <c r="J76" s="2153" t="s">
        <v>5298</v>
      </c>
      <c r="K76" s="2153" t="s">
        <v>5299</v>
      </c>
      <c r="L76" s="2153" t="s">
        <v>5300</v>
      </c>
      <c r="M76" s="2153" t="s">
        <v>5301</v>
      </c>
      <c r="N76" s="2153" t="s">
        <v>5302</v>
      </c>
      <c r="O76" s="2157" t="s">
        <v>5303</v>
      </c>
      <c r="P76" s="2153" t="s">
        <v>5304</v>
      </c>
      <c r="Q76" s="2158" t="s">
        <v>5305</v>
      </c>
      <c r="R76" s="1704" t="s">
        <v>5306</v>
      </c>
      <c r="S76" s="1704" t="s">
        <v>5307</v>
      </c>
      <c r="T76" t="str">
        <f t="shared" si="34"/>
        <v xml:space="preserve">  * La variable  Pueblos Originarios No puede ser mayor al Total.  * La variable  Migrantes No puede ser mayor al Total.</v>
      </c>
      <c r="BR76" s="2465" t="str">
        <f t="shared" si="35"/>
        <v xml:space="preserve">  * La variable  Pueblos Originarios No puede ser mayor al Total.</v>
      </c>
      <c r="BS76" s="2465" t="str">
        <f t="shared" si="36"/>
        <v xml:space="preserve">  * La variable  Migrantes No puede ser mayor al Total.</v>
      </c>
      <c r="BT76"/>
      <c r="BU76"/>
      <c r="BV76"/>
      <c r="BW76"/>
      <c r="BX76"/>
      <c r="BY76"/>
      <c r="CA76"/>
      <c r="CB76"/>
      <c r="CC76" s="1725">
        <f t="shared" si="37"/>
        <v>1</v>
      </c>
      <c r="CD76" s="1725">
        <f t="shared" si="38"/>
        <v>1</v>
      </c>
      <c r="CE76" s="1725"/>
    </row>
    <row r="77" spans="1:83" ht="15" customHeight="1" x14ac:dyDescent="0.3">
      <c r="A77" s="6233" t="s">
        <v>4331</v>
      </c>
      <c r="B77" s="6781" t="s">
        <v>1913</v>
      </c>
      <c r="C77" s="4459" t="s">
        <v>21</v>
      </c>
      <c r="D77" s="2117" t="s">
        <v>5292</v>
      </c>
      <c r="E77" s="1422" t="s">
        <v>5293</v>
      </c>
      <c r="F77" s="1422" t="s">
        <v>5294</v>
      </c>
      <c r="G77" s="1422" t="s">
        <v>5295</v>
      </c>
      <c r="H77" s="1422" t="s">
        <v>5296</v>
      </c>
      <c r="I77" s="1422" t="s">
        <v>5297</v>
      </c>
      <c r="J77" s="1422" t="s">
        <v>5298</v>
      </c>
      <c r="K77" s="1422" t="s">
        <v>5299</v>
      </c>
      <c r="L77" s="1422" t="s">
        <v>5300</v>
      </c>
      <c r="M77" s="1422" t="s">
        <v>5301</v>
      </c>
      <c r="N77" s="1422" t="s">
        <v>5302</v>
      </c>
      <c r="O77" s="2123" t="s">
        <v>5303</v>
      </c>
      <c r="P77" s="1422" t="s">
        <v>5304</v>
      </c>
      <c r="Q77" s="2131" t="s">
        <v>5305</v>
      </c>
      <c r="R77" s="1089" t="s">
        <v>5306</v>
      </c>
      <c r="S77" s="1089" t="s">
        <v>5307</v>
      </c>
      <c r="T77" t="str">
        <f t="shared" si="34"/>
        <v xml:space="preserve">  * La variable  Pueblos Originarios No puede ser mayor al Total.  * La variable  Migrantes No puede ser mayor al Total.</v>
      </c>
      <c r="BR77" s="2465" t="str">
        <f t="shared" si="35"/>
        <v xml:space="preserve">  * La variable  Pueblos Originarios No puede ser mayor al Total.</v>
      </c>
      <c r="BS77" s="2465" t="str">
        <f t="shared" si="36"/>
        <v xml:space="preserve">  * La variable  Migrantes No puede ser mayor al Total.</v>
      </c>
      <c r="BT77"/>
      <c r="BU77"/>
      <c r="BV77"/>
      <c r="BW77"/>
      <c r="BX77"/>
      <c r="BY77"/>
      <c r="CA77"/>
      <c r="CB77"/>
      <c r="CC77" s="1725">
        <f t="shared" si="37"/>
        <v>1</v>
      </c>
      <c r="CD77" s="1725">
        <f t="shared" si="38"/>
        <v>1</v>
      </c>
      <c r="CE77" s="1725"/>
    </row>
    <row r="78" spans="1:83" ht="15" customHeight="1" x14ac:dyDescent="0.3">
      <c r="A78" s="6233" t="s">
        <v>4332</v>
      </c>
      <c r="B78" s="6780"/>
      <c r="C78" s="4460" t="s">
        <v>22</v>
      </c>
      <c r="D78" s="2151" t="s">
        <v>5292</v>
      </c>
      <c r="E78" s="2153" t="s">
        <v>5293</v>
      </c>
      <c r="F78" s="2153" t="s">
        <v>5294</v>
      </c>
      <c r="G78" s="2153" t="s">
        <v>5295</v>
      </c>
      <c r="H78" s="2153" t="s">
        <v>5296</v>
      </c>
      <c r="I78" s="2153" t="s">
        <v>5297</v>
      </c>
      <c r="J78" s="2153" t="s">
        <v>5298</v>
      </c>
      <c r="K78" s="2153" t="s">
        <v>5299</v>
      </c>
      <c r="L78" s="2153" t="s">
        <v>5300</v>
      </c>
      <c r="M78" s="2153" t="s">
        <v>5301</v>
      </c>
      <c r="N78" s="2153" t="s">
        <v>5302</v>
      </c>
      <c r="O78" s="2157" t="s">
        <v>5303</v>
      </c>
      <c r="P78" s="2153" t="s">
        <v>5304</v>
      </c>
      <c r="Q78" s="2158" t="s">
        <v>5305</v>
      </c>
      <c r="R78" s="1704" t="s">
        <v>5306</v>
      </c>
      <c r="S78" s="1704" t="s">
        <v>5307</v>
      </c>
      <c r="T78" t="str">
        <f t="shared" si="34"/>
        <v xml:space="preserve">  * La variable  Pueblos Originarios No puede ser mayor al Total.  * La variable  Migrantes No puede ser mayor al Total.</v>
      </c>
      <c r="BR78" s="2465" t="str">
        <f t="shared" si="35"/>
        <v xml:space="preserve">  * La variable  Pueblos Originarios No puede ser mayor al Total.</v>
      </c>
      <c r="BS78" s="2465" t="str">
        <f t="shared" si="36"/>
        <v xml:space="preserve">  * La variable  Migrantes No puede ser mayor al Total.</v>
      </c>
      <c r="BT78"/>
      <c r="BU78"/>
      <c r="BV78"/>
      <c r="BW78"/>
      <c r="BX78"/>
      <c r="BY78"/>
      <c r="CA78"/>
      <c r="CB78"/>
      <c r="CC78" s="1725">
        <f t="shared" si="37"/>
        <v>1</v>
      </c>
      <c r="CD78" s="1725">
        <f t="shared" si="38"/>
        <v>1</v>
      </c>
      <c r="CE78" s="1725"/>
    </row>
    <row r="79" spans="1:83" ht="15" customHeight="1" x14ac:dyDescent="0.3">
      <c r="A79" s="6248" t="s">
        <v>4333</v>
      </c>
      <c r="B79" s="6871" t="s">
        <v>1914</v>
      </c>
      <c r="C79" s="6872"/>
      <c r="D79" s="2151" t="s">
        <v>5292</v>
      </c>
      <c r="E79" s="2152" t="s">
        <v>5293</v>
      </c>
      <c r="F79" s="2153" t="s">
        <v>5294</v>
      </c>
      <c r="G79" s="2153" t="s">
        <v>5295</v>
      </c>
      <c r="H79" s="2153" t="s">
        <v>5296</v>
      </c>
      <c r="I79" s="2153" t="s">
        <v>5297</v>
      </c>
      <c r="J79" s="2153" t="s">
        <v>5298</v>
      </c>
      <c r="K79" s="2153" t="s">
        <v>5299</v>
      </c>
      <c r="L79" s="2153" t="s">
        <v>5300</v>
      </c>
      <c r="M79" s="2153" t="s">
        <v>5301</v>
      </c>
      <c r="N79" s="2153" t="s">
        <v>5302</v>
      </c>
      <c r="O79" s="2157" t="s">
        <v>5303</v>
      </c>
      <c r="P79" s="2153" t="s">
        <v>5304</v>
      </c>
      <c r="Q79" s="2158" t="s">
        <v>5305</v>
      </c>
      <c r="R79" s="1704" t="s">
        <v>5306</v>
      </c>
      <c r="S79" s="1704" t="s">
        <v>5307</v>
      </c>
      <c r="T79" t="str">
        <f t="shared" si="34"/>
        <v xml:space="preserve">  * La variable  Pueblos Originarios No puede ser mayor al Total.  * La variable  Migrantes No puede ser mayor al Total.</v>
      </c>
      <c r="BR79" s="2465" t="str">
        <f t="shared" si="35"/>
        <v xml:space="preserve">  * La variable  Pueblos Originarios No puede ser mayor al Total.</v>
      </c>
      <c r="BS79" s="2465" t="str">
        <f t="shared" si="36"/>
        <v xml:space="preserve">  * La variable  Migrantes No puede ser mayor al Total.</v>
      </c>
      <c r="BT79"/>
      <c r="BU79"/>
      <c r="BV79"/>
      <c r="BW79"/>
      <c r="BX79"/>
      <c r="BY79"/>
      <c r="CA79"/>
      <c r="CB79"/>
      <c r="CC79" s="1725">
        <f t="shared" si="37"/>
        <v>1</v>
      </c>
      <c r="CD79" s="1725">
        <f t="shared" si="38"/>
        <v>1</v>
      </c>
      <c r="CE79" s="1725"/>
    </row>
    <row r="80" spans="1:83" ht="18" customHeight="1" x14ac:dyDescent="0.3">
      <c r="B80" s="14" t="s">
        <v>1916</v>
      </c>
      <c r="C80" s="15"/>
      <c r="D80" s="2643"/>
      <c r="BR80"/>
      <c r="BS80"/>
      <c r="BT80"/>
      <c r="BU80"/>
      <c r="BV80"/>
      <c r="BW80"/>
      <c r="BX80"/>
      <c r="BY80"/>
      <c r="CA80"/>
      <c r="CB80"/>
      <c r="CC80"/>
    </row>
    <row r="81" spans="1:84" x14ac:dyDescent="0.3">
      <c r="B81" s="2143" t="s">
        <v>23</v>
      </c>
      <c r="C81" s="2143" t="s">
        <v>24</v>
      </c>
      <c r="BR81"/>
      <c r="BS81"/>
      <c r="BT81"/>
      <c r="BU81"/>
      <c r="BV81"/>
      <c r="BW81"/>
      <c r="BX81"/>
      <c r="BY81"/>
      <c r="CA81"/>
      <c r="CB81"/>
      <c r="CC81"/>
    </row>
    <row r="82" spans="1:84" x14ac:dyDescent="0.3">
      <c r="A82" s="6233" t="s">
        <v>4334</v>
      </c>
      <c r="B82" s="2159" t="s">
        <v>25</v>
      </c>
      <c r="C82" s="2160" t="s">
        <v>5292</v>
      </c>
      <c r="BR82"/>
      <c r="BS82"/>
      <c r="BT82"/>
      <c r="BU82"/>
      <c r="BV82"/>
      <c r="BW82"/>
      <c r="BX82"/>
      <c r="BY82"/>
      <c r="CA82"/>
      <c r="CB82"/>
      <c r="CC82"/>
    </row>
    <row r="83" spans="1:84" ht="18" customHeight="1" x14ac:dyDescent="0.3">
      <c r="A83" s="6249"/>
      <c r="B83" s="2161" t="s">
        <v>1917</v>
      </c>
      <c r="C83" s="15"/>
      <c r="D83" s="19"/>
      <c r="E83" s="19"/>
      <c r="F83" s="2162"/>
      <c r="BR83"/>
      <c r="BS83"/>
      <c r="BT83"/>
      <c r="BU83"/>
      <c r="BV83"/>
      <c r="BW83"/>
      <c r="BX83"/>
      <c r="BY83"/>
      <c r="CA83"/>
      <c r="CB83"/>
      <c r="CC83"/>
    </row>
    <row r="84" spans="1:84" x14ac:dyDescent="0.3">
      <c r="A84" s="6249"/>
      <c r="B84" s="6836" t="s">
        <v>1918</v>
      </c>
      <c r="C84" s="6399"/>
      <c r="D84" s="2143" t="s">
        <v>24</v>
      </c>
      <c r="E84" s="2128" t="s">
        <v>1919</v>
      </c>
      <c r="F84" s="2163" t="s">
        <v>1920</v>
      </c>
      <c r="BR84"/>
      <c r="BS84"/>
      <c r="BT84"/>
      <c r="BU84"/>
      <c r="BV84"/>
      <c r="BW84"/>
      <c r="BX84"/>
      <c r="BY84"/>
      <c r="CA84"/>
      <c r="CB84"/>
      <c r="CC84"/>
    </row>
    <row r="85" spans="1:84" ht="15" customHeight="1" x14ac:dyDescent="0.3">
      <c r="A85" s="6233" t="s">
        <v>4335</v>
      </c>
      <c r="B85" s="6869" t="s">
        <v>1921</v>
      </c>
      <c r="C85" s="6870"/>
      <c r="D85" s="2136" t="s">
        <v>5292</v>
      </c>
      <c r="E85" s="2134" t="s">
        <v>5293</v>
      </c>
      <c r="F85" s="2135" t="s">
        <v>5294</v>
      </c>
      <c r="BR85"/>
      <c r="BS85"/>
      <c r="BT85"/>
      <c r="BU85"/>
      <c r="BV85"/>
      <c r="BW85"/>
      <c r="BX85"/>
      <c r="BY85"/>
      <c r="CA85"/>
      <c r="CB85"/>
      <c r="CC85"/>
    </row>
    <row r="86" spans="1:84" s="17" customFormat="1" ht="18" customHeight="1" x14ac:dyDescent="0.25">
      <c r="B86" s="2161" t="s">
        <v>1922</v>
      </c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</row>
    <row r="87" spans="1:84" s="17" customFormat="1" ht="18" customHeight="1" x14ac:dyDescent="0.25">
      <c r="B87" s="6825" t="s">
        <v>1923</v>
      </c>
      <c r="C87" s="6827"/>
      <c r="D87" s="6825" t="s">
        <v>1924</v>
      </c>
      <c r="E87" s="6826"/>
      <c r="F87" s="6827"/>
      <c r="G87" s="6823" t="s">
        <v>2233</v>
      </c>
      <c r="H87" s="6823"/>
      <c r="I87" s="6823"/>
      <c r="J87" s="6823"/>
      <c r="K87" s="6823"/>
      <c r="L87" s="6823"/>
      <c r="M87" s="6832" t="s">
        <v>2234</v>
      </c>
      <c r="N87" s="6832"/>
      <c r="O87" s="6832"/>
      <c r="P87" s="6832"/>
      <c r="Q87" s="6832"/>
      <c r="R87" s="6822"/>
      <c r="S87" s="6808" t="s">
        <v>1925</v>
      </c>
      <c r="T87" s="6808"/>
      <c r="U87" s="6808"/>
      <c r="V87" s="6808"/>
      <c r="W87" s="6808"/>
      <c r="X87" s="6809"/>
      <c r="Y87" s="6873" t="s">
        <v>31</v>
      </c>
      <c r="Z87" s="6873"/>
      <c r="AA87" s="6873"/>
      <c r="AB87" s="6874"/>
      <c r="AC87" s="6875" t="s">
        <v>1926</v>
      </c>
      <c r="AD87" s="6876"/>
      <c r="AE87" s="6802" t="s">
        <v>2</v>
      </c>
      <c r="AF87" s="6803" t="s">
        <v>3</v>
      </c>
    </row>
    <row r="88" spans="1:84" s="17" customFormat="1" ht="18" customHeight="1" x14ac:dyDescent="0.25">
      <c r="B88" s="6830"/>
      <c r="C88" s="6831"/>
      <c r="D88" s="6828"/>
      <c r="E88" s="6829"/>
      <c r="F88" s="6400"/>
      <c r="G88" s="6805" t="s">
        <v>2235</v>
      </c>
      <c r="H88" s="6806"/>
      <c r="I88" s="6805" t="s">
        <v>2236</v>
      </c>
      <c r="J88" s="6806"/>
      <c r="K88" s="6805" t="s">
        <v>2237</v>
      </c>
      <c r="L88" s="6806"/>
      <c r="M88" s="6805" t="s">
        <v>2235</v>
      </c>
      <c r="N88" s="6806"/>
      <c r="O88" s="6805" t="s">
        <v>2236</v>
      </c>
      <c r="P88" s="6806"/>
      <c r="Q88" s="6805" t="s">
        <v>2238</v>
      </c>
      <c r="R88" s="6806"/>
      <c r="S88" s="6805" t="s">
        <v>2235</v>
      </c>
      <c r="T88" s="6806"/>
      <c r="U88" s="6805" t="s">
        <v>2236</v>
      </c>
      <c r="V88" s="6806"/>
      <c r="W88" s="6805" t="s">
        <v>2238</v>
      </c>
      <c r="X88" s="6847"/>
      <c r="Y88" s="6389" t="s">
        <v>1927</v>
      </c>
      <c r="Z88" s="6389"/>
      <c r="AA88" s="6389"/>
      <c r="AB88" s="6848"/>
      <c r="AC88" s="6877"/>
      <c r="AD88" s="6878"/>
      <c r="AE88" s="6344"/>
      <c r="AF88" s="6598"/>
    </row>
    <row r="89" spans="1:84" s="17" customFormat="1" ht="36.75" customHeight="1" x14ac:dyDescent="0.25">
      <c r="B89" s="6828"/>
      <c r="C89" s="6400"/>
      <c r="D89" s="2748" t="s">
        <v>26</v>
      </c>
      <c r="E89" s="2749" t="s">
        <v>22</v>
      </c>
      <c r="F89" s="2713" t="s">
        <v>27</v>
      </c>
      <c r="G89" s="2750" t="s">
        <v>22</v>
      </c>
      <c r="H89" s="2745" t="s">
        <v>27</v>
      </c>
      <c r="I89" s="2750" t="s">
        <v>22</v>
      </c>
      <c r="J89" s="2745" t="s">
        <v>27</v>
      </c>
      <c r="K89" s="2750" t="s">
        <v>22</v>
      </c>
      <c r="L89" s="2745" t="s">
        <v>27</v>
      </c>
      <c r="M89" s="2750" t="s">
        <v>22</v>
      </c>
      <c r="N89" s="2745" t="s">
        <v>27</v>
      </c>
      <c r="O89" s="2750" t="s">
        <v>22</v>
      </c>
      <c r="P89" s="2745" t="s">
        <v>27</v>
      </c>
      <c r="Q89" s="2750" t="s">
        <v>22</v>
      </c>
      <c r="R89" s="2745" t="s">
        <v>27</v>
      </c>
      <c r="S89" s="2750" t="s">
        <v>22</v>
      </c>
      <c r="T89" s="2745" t="s">
        <v>27</v>
      </c>
      <c r="U89" s="2750" t="s">
        <v>22</v>
      </c>
      <c r="V89" s="4296" t="s">
        <v>27</v>
      </c>
      <c r="W89" s="4299" t="s">
        <v>22</v>
      </c>
      <c r="X89" s="4300" t="s">
        <v>27</v>
      </c>
      <c r="Y89" s="2747" t="s">
        <v>3922</v>
      </c>
      <c r="Z89" s="2751" t="s">
        <v>1928</v>
      </c>
      <c r="AA89" s="2751" t="s">
        <v>28</v>
      </c>
      <c r="AB89" s="2751" t="s">
        <v>29</v>
      </c>
      <c r="AC89" s="2751" t="s">
        <v>1929</v>
      </c>
      <c r="AD89" s="2751" t="s">
        <v>1930</v>
      </c>
      <c r="AE89" s="6383"/>
      <c r="AF89" s="6804"/>
    </row>
    <row r="90" spans="1:84" s="17" customFormat="1" ht="18" customHeight="1" x14ac:dyDescent="0.3">
      <c r="A90" s="6233" t="s">
        <v>4336</v>
      </c>
      <c r="B90" s="6879" t="s">
        <v>1931</v>
      </c>
      <c r="C90" s="6880"/>
      <c r="D90" s="2752" t="s">
        <v>5292</v>
      </c>
      <c r="E90" s="2753" t="s">
        <v>5293</v>
      </c>
      <c r="F90" s="2754" t="s">
        <v>5294</v>
      </c>
      <c r="G90" s="2755" t="s">
        <v>5295</v>
      </c>
      <c r="H90" s="2737" t="s">
        <v>5296</v>
      </c>
      <c r="I90" s="2755" t="s">
        <v>5297</v>
      </c>
      <c r="J90" s="2737" t="s">
        <v>5298</v>
      </c>
      <c r="K90" s="2755" t="s">
        <v>5299</v>
      </c>
      <c r="L90" s="2737" t="s">
        <v>5300</v>
      </c>
      <c r="M90" s="2755" t="s">
        <v>5301</v>
      </c>
      <c r="N90" s="2737" t="s">
        <v>5302</v>
      </c>
      <c r="O90" s="2755" t="s">
        <v>5303</v>
      </c>
      <c r="P90" s="2737" t="s">
        <v>5304</v>
      </c>
      <c r="Q90" s="2755" t="s">
        <v>5305</v>
      </c>
      <c r="R90" s="2737" t="s">
        <v>5306</v>
      </c>
      <c r="S90" s="2755" t="s">
        <v>5307</v>
      </c>
      <c r="T90" s="2737" t="s">
        <v>5308</v>
      </c>
      <c r="U90" s="2755" t="s">
        <v>5309</v>
      </c>
      <c r="V90" s="4298" t="s">
        <v>5310</v>
      </c>
      <c r="W90" s="4301" t="s">
        <v>5311</v>
      </c>
      <c r="X90" s="4302" t="s">
        <v>5312</v>
      </c>
      <c r="Y90" s="2757" t="s">
        <v>5313</v>
      </c>
      <c r="Z90" s="2755" t="s">
        <v>5314</v>
      </c>
      <c r="AA90" s="2758" t="s">
        <v>5315</v>
      </c>
      <c r="AB90" s="2758" t="s">
        <v>5316</v>
      </c>
      <c r="AC90" s="2758" t="s">
        <v>5317</v>
      </c>
      <c r="AD90" s="2656" t="s">
        <v>5318</v>
      </c>
      <c r="AE90" s="2755" t="s">
        <v>5319</v>
      </c>
      <c r="AF90" s="2331" t="s">
        <v>5320</v>
      </c>
      <c r="AG90" t="str">
        <f>BR90&amp;BS90</f>
        <v xml:space="preserve">  * La variable Pueblos originarios No puede ser mayor al Total.  * La variable Migrantes No puede ser mayor al Total.</v>
      </c>
      <c r="BR90" s="2465" t="str">
        <f>IF(AND(D90&gt;0,AE90=""),"  * No olvide digitar la variable Pueblos originarios. Digite Cero si no tiene.",IF(AE90&gt;D90,"  * La variable Pueblos originarios No puede ser mayor al Total.",""))</f>
        <v xml:space="preserve">  * La variable Pueblos originarios No puede ser mayor al Total.</v>
      </c>
      <c r="BS90" s="2465" t="str">
        <f>IF(AND(D90&gt;0,AF90=""),"  * No olvide digitar la variable Migrantes. Digite Cero si no tiene.",IF(AF90&gt;D90,"  * La variable Migrantes No puede ser mayor al Total.",""))</f>
        <v xml:space="preserve">  * La variable Migrantes No puede ser mayor al Total.</v>
      </c>
      <c r="BT90" s="1722"/>
      <c r="BU90" s="1722"/>
      <c r="BV90" s="1722"/>
      <c r="BW90" s="1722"/>
      <c r="BX90" s="1722"/>
      <c r="BY90" s="1722"/>
      <c r="CC90" s="1722">
        <f>IF(AND(D90&gt;0,AE90=""),1,IF(AE90&gt;D90,1,0))</f>
        <v>1</v>
      </c>
      <c r="CD90" s="1722">
        <f>IF(AND(D90&gt;0,AF90=""),1,IF(AF90&gt;D90,1,0))</f>
        <v>1</v>
      </c>
      <c r="CE90" s="1722"/>
      <c r="CF90" s="1722"/>
    </row>
    <row r="91" spans="1:84" s="17" customFormat="1" ht="18" customHeight="1" x14ac:dyDescent="0.3">
      <c r="A91" s="6233" t="s">
        <v>4337</v>
      </c>
      <c r="B91" s="6881" t="s">
        <v>1932</v>
      </c>
      <c r="C91" s="6821"/>
      <c r="D91" s="1253" t="s">
        <v>5292</v>
      </c>
      <c r="E91" s="2167" t="s">
        <v>5293</v>
      </c>
      <c r="F91" s="2192" t="s">
        <v>5294</v>
      </c>
      <c r="G91" s="1095" t="s">
        <v>5295</v>
      </c>
      <c r="H91" s="8" t="s">
        <v>5296</v>
      </c>
      <c r="I91" s="1095" t="s">
        <v>5297</v>
      </c>
      <c r="J91" s="8" t="s">
        <v>5298</v>
      </c>
      <c r="K91" s="1095" t="s">
        <v>5299</v>
      </c>
      <c r="L91" s="8" t="s">
        <v>5300</v>
      </c>
      <c r="M91" s="1095" t="s">
        <v>5301</v>
      </c>
      <c r="N91" s="8" t="s">
        <v>5302</v>
      </c>
      <c r="O91" s="1095" t="s">
        <v>5303</v>
      </c>
      <c r="P91" s="8" t="s">
        <v>5304</v>
      </c>
      <c r="Q91" s="1095" t="s">
        <v>5305</v>
      </c>
      <c r="R91" s="8" t="s">
        <v>5306</v>
      </c>
      <c r="S91" s="1095" t="s">
        <v>5307</v>
      </c>
      <c r="T91" s="8" t="s">
        <v>5308</v>
      </c>
      <c r="U91" s="1095" t="s">
        <v>5309</v>
      </c>
      <c r="V91" s="3943" t="s">
        <v>5310</v>
      </c>
      <c r="W91" s="3929" t="s">
        <v>5311</v>
      </c>
      <c r="X91" s="3931" t="s">
        <v>5312</v>
      </c>
      <c r="Y91" s="2115" t="s">
        <v>5313</v>
      </c>
      <c r="Z91" s="1095" t="s">
        <v>5314</v>
      </c>
      <c r="AA91" s="1255" t="s">
        <v>5315</v>
      </c>
      <c r="AB91" s="1255" t="s">
        <v>5316</v>
      </c>
      <c r="AC91" s="1255" t="s">
        <v>5317</v>
      </c>
      <c r="AD91" s="1092" t="s">
        <v>5318</v>
      </c>
      <c r="AE91" s="1095" t="s">
        <v>5319</v>
      </c>
      <c r="AF91" s="1099" t="s">
        <v>5320</v>
      </c>
      <c r="AG91" t="str">
        <f t="shared" ref="AG91:AG93" si="39">BR91&amp;BS91</f>
        <v xml:space="preserve">  * La variable Pueblos originarios No puede ser mayor al Total.  * La variable Migrantes No puede ser mayor al Total.</v>
      </c>
      <c r="BR91" s="2465" t="str">
        <f t="shared" ref="BR91:BR93" si="40">IF(AND(D91&gt;0,AE91=""),"  * No olvide digitar la variable Pueblos originarios. Digite Cero si no tiene.",IF(AE91&gt;D91,"  * La variable Pueblos originarios No puede ser mayor al Total.",""))</f>
        <v xml:space="preserve">  * La variable Pueblos originarios No puede ser mayor al Total.</v>
      </c>
      <c r="BS91" s="2465" t="str">
        <f t="shared" ref="BS91:BS93" si="41">IF(AND(D91&gt;0,AF91=""),"  * No olvide digitar la variable Migrantes. Digite Cero si no tiene.",IF(AF91&gt;D91,"  * La variable Migrantes No puede ser mayor al Total.",""))</f>
        <v xml:space="preserve">  * La variable Migrantes No puede ser mayor al Total.</v>
      </c>
      <c r="BT91" s="1722"/>
      <c r="BU91" s="1722"/>
      <c r="BV91" s="1722"/>
      <c r="BW91" s="1722"/>
      <c r="BX91" s="1722"/>
      <c r="BY91" s="1722"/>
      <c r="CC91" s="1722">
        <f t="shared" ref="CC91:CC93" si="42">IF(AND(D91&gt;0,AE91=""),1,IF(AE91&gt;D91,1,0))</f>
        <v>1</v>
      </c>
      <c r="CD91" s="1722">
        <f t="shared" ref="CD91:CD93" si="43">IF(AND(D91&gt;0,AF91=""),1,IF(AF91&gt;D91,1,0))</f>
        <v>1</v>
      </c>
      <c r="CE91" s="1722"/>
      <c r="CF91" s="1722"/>
    </row>
    <row r="92" spans="1:84" s="17" customFormat="1" ht="18" customHeight="1" x14ac:dyDescent="0.3">
      <c r="A92" s="6233" t="s">
        <v>4338</v>
      </c>
      <c r="B92" s="6881" t="s">
        <v>1933</v>
      </c>
      <c r="C92" s="6821"/>
      <c r="D92" s="1253" t="s">
        <v>5292</v>
      </c>
      <c r="E92" s="2167" t="s">
        <v>5293</v>
      </c>
      <c r="F92" s="2192" t="s">
        <v>5294</v>
      </c>
      <c r="G92" s="1095" t="s">
        <v>5295</v>
      </c>
      <c r="H92" s="8" t="s">
        <v>5296</v>
      </c>
      <c r="I92" s="1095" t="s">
        <v>5297</v>
      </c>
      <c r="J92" s="8" t="s">
        <v>5298</v>
      </c>
      <c r="K92" s="1095" t="s">
        <v>5299</v>
      </c>
      <c r="L92" s="8" t="s">
        <v>5300</v>
      </c>
      <c r="M92" s="1095" t="s">
        <v>5301</v>
      </c>
      <c r="N92" s="8" t="s">
        <v>5302</v>
      </c>
      <c r="O92" s="1095" t="s">
        <v>5303</v>
      </c>
      <c r="P92" s="8" t="s">
        <v>5304</v>
      </c>
      <c r="Q92" s="1095" t="s">
        <v>5305</v>
      </c>
      <c r="R92" s="8" t="s">
        <v>5306</v>
      </c>
      <c r="S92" s="1095" t="s">
        <v>5307</v>
      </c>
      <c r="T92" s="8" t="s">
        <v>5308</v>
      </c>
      <c r="U92" s="1095" t="s">
        <v>5309</v>
      </c>
      <c r="V92" s="3943" t="s">
        <v>5310</v>
      </c>
      <c r="W92" s="3929" t="s">
        <v>5311</v>
      </c>
      <c r="X92" s="3931" t="s">
        <v>5312</v>
      </c>
      <c r="Y92" s="2115" t="s">
        <v>5313</v>
      </c>
      <c r="Z92" s="1095" t="s">
        <v>5314</v>
      </c>
      <c r="AA92" s="1255" t="s">
        <v>5315</v>
      </c>
      <c r="AB92" s="1255" t="s">
        <v>5316</v>
      </c>
      <c r="AC92" s="1255" t="s">
        <v>5317</v>
      </c>
      <c r="AD92" s="1092" t="s">
        <v>5318</v>
      </c>
      <c r="AE92" s="1095" t="s">
        <v>5319</v>
      </c>
      <c r="AF92" s="1099" t="s">
        <v>5320</v>
      </c>
      <c r="AG92" t="str">
        <f t="shared" si="39"/>
        <v xml:space="preserve">  * La variable Pueblos originarios No puede ser mayor al Total.  * La variable Migrantes No puede ser mayor al Total.</v>
      </c>
      <c r="BR92" s="2465" t="str">
        <f t="shared" si="40"/>
        <v xml:space="preserve">  * La variable Pueblos originarios No puede ser mayor al Total.</v>
      </c>
      <c r="BS92" s="2465" t="str">
        <f t="shared" si="41"/>
        <v xml:space="preserve">  * La variable Migrantes No puede ser mayor al Total.</v>
      </c>
      <c r="BT92" s="1722"/>
      <c r="BU92" s="1722"/>
      <c r="BV92" s="1722"/>
      <c r="BW92" s="1722"/>
      <c r="BX92" s="1722"/>
      <c r="BY92" s="1722"/>
      <c r="CC92" s="1722">
        <f t="shared" si="42"/>
        <v>1</v>
      </c>
      <c r="CD92" s="1722">
        <f t="shared" si="43"/>
        <v>1</v>
      </c>
      <c r="CE92" s="1722"/>
      <c r="CF92" s="1722"/>
    </row>
    <row r="93" spans="1:84" s="17" customFormat="1" ht="18" customHeight="1" x14ac:dyDescent="0.3">
      <c r="A93" s="6247" t="s">
        <v>4339</v>
      </c>
      <c r="B93" s="6849" t="s">
        <v>1934</v>
      </c>
      <c r="C93" s="6882"/>
      <c r="D93" s="2759" t="s">
        <v>5292</v>
      </c>
      <c r="E93" s="2205" t="s">
        <v>5293</v>
      </c>
      <c r="F93" s="2206" t="s">
        <v>5294</v>
      </c>
      <c r="G93" s="3" t="s">
        <v>5295</v>
      </c>
      <c r="H93" s="2760" t="s">
        <v>5296</v>
      </c>
      <c r="I93" s="3" t="s">
        <v>5297</v>
      </c>
      <c r="J93" s="2760" t="s">
        <v>5298</v>
      </c>
      <c r="K93" s="3" t="s">
        <v>5299</v>
      </c>
      <c r="L93" s="2760" t="s">
        <v>5300</v>
      </c>
      <c r="M93" s="3" t="s">
        <v>5301</v>
      </c>
      <c r="N93" s="2760" t="s">
        <v>5302</v>
      </c>
      <c r="O93" s="3" t="s">
        <v>5303</v>
      </c>
      <c r="P93" s="2760" t="s">
        <v>5304</v>
      </c>
      <c r="Q93" s="3" t="s">
        <v>5305</v>
      </c>
      <c r="R93" s="2760" t="s">
        <v>5306</v>
      </c>
      <c r="S93" s="3" t="s">
        <v>5307</v>
      </c>
      <c r="T93" s="2760" t="s">
        <v>5308</v>
      </c>
      <c r="U93" s="3" t="s">
        <v>5309</v>
      </c>
      <c r="V93" s="2290" t="s">
        <v>5310</v>
      </c>
      <c r="W93" s="4303" t="s">
        <v>5311</v>
      </c>
      <c r="X93" s="1698" t="s">
        <v>5312</v>
      </c>
      <c r="Y93" s="21" t="s">
        <v>5313</v>
      </c>
      <c r="Z93" s="3" t="s">
        <v>5314</v>
      </c>
      <c r="AA93" s="22" t="s">
        <v>5315</v>
      </c>
      <c r="AB93" s="22" t="s">
        <v>5316</v>
      </c>
      <c r="AC93" s="2302" t="s">
        <v>5317</v>
      </c>
      <c r="AD93" s="2302" t="s">
        <v>5318</v>
      </c>
      <c r="AE93" s="3" t="s">
        <v>5319</v>
      </c>
      <c r="AF93" s="6" t="s">
        <v>5320</v>
      </c>
      <c r="AG93" t="str">
        <f t="shared" si="39"/>
        <v xml:space="preserve">  * La variable Pueblos originarios No puede ser mayor al Total.  * La variable Migrantes No puede ser mayor al Total.</v>
      </c>
      <c r="BR93" s="2465" t="str">
        <f t="shared" si="40"/>
        <v xml:space="preserve">  * La variable Pueblos originarios No puede ser mayor al Total.</v>
      </c>
      <c r="BS93" s="2465" t="str">
        <f t="shared" si="41"/>
        <v xml:space="preserve">  * La variable Migrantes No puede ser mayor al Total.</v>
      </c>
      <c r="BT93" s="1722"/>
      <c r="BU93" s="1722"/>
      <c r="BV93" s="1722"/>
      <c r="BW93" s="1722"/>
      <c r="BX93" s="1722"/>
      <c r="BY93" s="1722"/>
      <c r="CC93" s="1722">
        <f t="shared" si="42"/>
        <v>1</v>
      </c>
      <c r="CD93" s="1722">
        <f t="shared" si="43"/>
        <v>1</v>
      </c>
      <c r="CE93" s="1722"/>
      <c r="CF93" s="1722"/>
    </row>
    <row r="94" spans="1:84" s="17" customFormat="1" ht="18" customHeight="1" x14ac:dyDescent="0.25">
      <c r="B94" s="2646" t="s">
        <v>3890</v>
      </c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</row>
    <row r="95" spans="1:84" s="17" customFormat="1" ht="18" customHeight="1" x14ac:dyDescent="0.25">
      <c r="B95" s="6825" t="s">
        <v>1923</v>
      </c>
      <c r="C95" s="6827"/>
      <c r="D95" s="6825" t="s">
        <v>1924</v>
      </c>
      <c r="E95" s="6826"/>
      <c r="F95" s="6827"/>
      <c r="G95" s="6421" t="s">
        <v>2240</v>
      </c>
      <c r="H95" s="6422"/>
      <c r="I95" s="6422"/>
      <c r="J95" s="6422"/>
      <c r="K95" s="6422"/>
      <c r="L95" s="6423"/>
      <c r="M95" s="6832" t="s">
        <v>2239</v>
      </c>
      <c r="N95" s="6832"/>
      <c r="O95" s="6832"/>
      <c r="P95" s="6832"/>
      <c r="Q95" s="6832"/>
      <c r="R95" s="6822"/>
      <c r="S95" s="6822" t="s">
        <v>1875</v>
      </c>
      <c r="T95" s="6823"/>
      <c r="U95" s="6823"/>
      <c r="V95" s="6823"/>
      <c r="W95" s="6823"/>
      <c r="X95" s="6824"/>
      <c r="Y95" s="6810" t="s">
        <v>1935</v>
      </c>
      <c r="Z95" s="6810"/>
      <c r="AA95" s="6810"/>
      <c r="AB95" s="6810"/>
      <c r="AC95" s="6810"/>
      <c r="AD95" s="6811"/>
      <c r="AE95" s="6802" t="s">
        <v>2</v>
      </c>
      <c r="AF95" s="6803" t="s">
        <v>3</v>
      </c>
    </row>
    <row r="96" spans="1:84" s="17" customFormat="1" ht="18" customHeight="1" x14ac:dyDescent="0.25">
      <c r="B96" s="6830"/>
      <c r="C96" s="6831"/>
      <c r="D96" s="6828"/>
      <c r="E96" s="6829"/>
      <c r="F96" s="6400"/>
      <c r="G96" s="6805" t="s">
        <v>2235</v>
      </c>
      <c r="H96" s="6806"/>
      <c r="I96" s="6805" t="s">
        <v>2236</v>
      </c>
      <c r="J96" s="6806"/>
      <c r="K96" s="6805" t="s">
        <v>2238</v>
      </c>
      <c r="L96" s="6806"/>
      <c r="M96" s="6805" t="s">
        <v>2235</v>
      </c>
      <c r="N96" s="6806"/>
      <c r="O96" s="6805" t="s">
        <v>2236</v>
      </c>
      <c r="P96" s="6806"/>
      <c r="Q96" s="6805" t="s">
        <v>2237</v>
      </c>
      <c r="R96" s="6806"/>
      <c r="S96" s="6807" t="s">
        <v>2235</v>
      </c>
      <c r="T96" s="6806"/>
      <c r="U96" s="6805" t="s">
        <v>2236</v>
      </c>
      <c r="V96" s="6806"/>
      <c r="W96" s="6808" t="s">
        <v>2237</v>
      </c>
      <c r="X96" s="6809"/>
      <c r="Y96" s="6807" t="s">
        <v>1927</v>
      </c>
      <c r="Z96" s="6807"/>
      <c r="AA96" s="6807"/>
      <c r="AB96" s="6806"/>
      <c r="AC96" s="6805" t="s">
        <v>1936</v>
      </c>
      <c r="AD96" s="6806"/>
      <c r="AE96" s="6344"/>
      <c r="AF96" s="6598"/>
    </row>
    <row r="97" spans="1:84" s="17" customFormat="1" ht="35.25" customHeight="1" x14ac:dyDescent="0.25">
      <c r="B97" s="6828"/>
      <c r="C97" s="6400"/>
      <c r="D97" s="2748" t="s">
        <v>26</v>
      </c>
      <c r="E97" s="2749" t="s">
        <v>22</v>
      </c>
      <c r="F97" s="2713" t="s">
        <v>27</v>
      </c>
      <c r="G97" s="2750" t="s">
        <v>22</v>
      </c>
      <c r="H97" s="2745" t="s">
        <v>27</v>
      </c>
      <c r="I97" s="2750" t="s">
        <v>22</v>
      </c>
      <c r="J97" s="2745" t="s">
        <v>27</v>
      </c>
      <c r="K97" s="2750" t="s">
        <v>22</v>
      </c>
      <c r="L97" s="2745" t="s">
        <v>27</v>
      </c>
      <c r="M97" s="2750" t="s">
        <v>22</v>
      </c>
      <c r="N97" s="2745" t="s">
        <v>27</v>
      </c>
      <c r="O97" s="2750" t="s">
        <v>22</v>
      </c>
      <c r="P97" s="2745" t="s">
        <v>27</v>
      </c>
      <c r="Q97" s="2750" t="s">
        <v>22</v>
      </c>
      <c r="R97" s="2745" t="s">
        <v>27</v>
      </c>
      <c r="S97" s="2761" t="s">
        <v>22</v>
      </c>
      <c r="T97" s="2745" t="s">
        <v>27</v>
      </c>
      <c r="U97" s="2750" t="s">
        <v>22</v>
      </c>
      <c r="V97" s="2745" t="s">
        <v>27</v>
      </c>
      <c r="W97" s="2741" t="s">
        <v>22</v>
      </c>
      <c r="X97" s="2743" t="s">
        <v>27</v>
      </c>
      <c r="Y97" s="2745" t="s">
        <v>3767</v>
      </c>
      <c r="Z97" s="2742" t="s">
        <v>1928</v>
      </c>
      <c r="AA97" s="2738" t="s">
        <v>28</v>
      </c>
      <c r="AB97" s="2738" t="s">
        <v>29</v>
      </c>
      <c r="AC97" s="2744" t="s">
        <v>1929</v>
      </c>
      <c r="AD97" s="2742" t="s">
        <v>1930</v>
      </c>
      <c r="AE97" s="6383"/>
      <c r="AF97" s="6804"/>
    </row>
    <row r="98" spans="1:84" s="17" customFormat="1" ht="18" customHeight="1" x14ac:dyDescent="0.3">
      <c r="A98" s="6233" t="s">
        <v>4340</v>
      </c>
      <c r="B98" s="6879" t="s">
        <v>1931</v>
      </c>
      <c r="C98" s="6880"/>
      <c r="D98" s="2753" t="s">
        <v>5292</v>
      </c>
      <c r="E98" s="2762" t="s">
        <v>5293</v>
      </c>
      <c r="F98" s="2754" t="s">
        <v>5294</v>
      </c>
      <c r="G98" s="2755" t="s">
        <v>5295</v>
      </c>
      <c r="H98" s="2737" t="s">
        <v>5296</v>
      </c>
      <c r="I98" s="2755" t="s">
        <v>5297</v>
      </c>
      <c r="J98" s="2737" t="s">
        <v>5298</v>
      </c>
      <c r="K98" s="2755" t="s">
        <v>5299</v>
      </c>
      <c r="L98" s="2737" t="s">
        <v>5300</v>
      </c>
      <c r="M98" s="2755" t="s">
        <v>5301</v>
      </c>
      <c r="N98" s="2737" t="s">
        <v>5302</v>
      </c>
      <c r="O98" s="2755" t="s">
        <v>5303</v>
      </c>
      <c r="P98" s="2737" t="s">
        <v>5304</v>
      </c>
      <c r="Q98" s="2755" t="s">
        <v>5305</v>
      </c>
      <c r="R98" s="2737" t="s">
        <v>5306</v>
      </c>
      <c r="S98" s="2757" t="s">
        <v>5307</v>
      </c>
      <c r="T98" s="2737" t="s">
        <v>5308</v>
      </c>
      <c r="U98" s="2755" t="s">
        <v>5309</v>
      </c>
      <c r="V98" s="2737" t="s">
        <v>5310</v>
      </c>
      <c r="W98" s="2755" t="s">
        <v>5311</v>
      </c>
      <c r="X98" s="2756" t="s">
        <v>5312</v>
      </c>
      <c r="Y98" s="2757" t="s">
        <v>5313</v>
      </c>
      <c r="Z98" s="2755" t="s">
        <v>5314</v>
      </c>
      <c r="AA98" s="2758" t="s">
        <v>5315</v>
      </c>
      <c r="AB98" s="2758" t="s">
        <v>5316</v>
      </c>
      <c r="AC98" s="2758" t="s">
        <v>5317</v>
      </c>
      <c r="AD98" s="2656" t="s">
        <v>5318</v>
      </c>
      <c r="AE98" s="2755" t="s">
        <v>5319</v>
      </c>
      <c r="AF98" s="2331" t="s">
        <v>5320</v>
      </c>
      <c r="AG98" t="str">
        <f>BR98&amp;BS98</f>
        <v xml:space="preserve">  * La variable Pueblos originarios No puede ser mayor al Total.  * La variable Migrantes No puede ser mayor al Total.</v>
      </c>
      <c r="BR98" s="2465" t="str">
        <f>IF(AND(D98&gt;0,AE98="")," * No olvide digitar la variable Pueblos originarios. Digite Cero si no tiene.",IF(AE98&gt;D98,"  * La variable Pueblos originarios No puede ser mayor al Total.",""))</f>
        <v xml:space="preserve">  * La variable Pueblos originarios No puede ser mayor al Total.</v>
      </c>
      <c r="BS98" s="2465" t="str">
        <f>IF(AND(D98&gt;0,AF98="")," * No olvide digitar la variable Migrantes. Digite Cero si no tiene.",IF(AF98&gt;D98,"  * La variable Migrantes No puede ser mayor al Total.",""))</f>
        <v xml:space="preserve">  * La variable Migrantes No puede ser mayor al Total.</v>
      </c>
      <c r="BT98" s="1722"/>
      <c r="BU98" s="1722"/>
      <c r="BV98" s="1722"/>
      <c r="BW98" s="1722"/>
      <c r="BX98" s="1722"/>
      <c r="BY98" s="1722"/>
      <c r="CC98" s="1722">
        <f>IF(AND(D98&gt;0,AE98=""),1,IF(AE98&gt;D98,1,0))</f>
        <v>1</v>
      </c>
      <c r="CD98" s="1722">
        <f>IF(AND(D98&gt;0,AF98=""),1,IF(AF98&gt;D98,1,0))</f>
        <v>1</v>
      </c>
      <c r="CE98" s="1722"/>
      <c r="CF98" s="1722"/>
    </row>
    <row r="99" spans="1:84" s="17" customFormat="1" ht="18" customHeight="1" x14ac:dyDescent="0.3">
      <c r="A99" s="6233" t="s">
        <v>4341</v>
      </c>
      <c r="B99" s="6881" t="s">
        <v>1932</v>
      </c>
      <c r="C99" s="6821"/>
      <c r="D99" s="2167" t="s">
        <v>5292</v>
      </c>
      <c r="E99" s="2111" t="s">
        <v>5293</v>
      </c>
      <c r="F99" s="2192" t="s">
        <v>5294</v>
      </c>
      <c r="G99" s="1095" t="s">
        <v>5295</v>
      </c>
      <c r="H99" s="8" t="s">
        <v>5296</v>
      </c>
      <c r="I99" s="1095" t="s">
        <v>5297</v>
      </c>
      <c r="J99" s="8" t="s">
        <v>5298</v>
      </c>
      <c r="K99" s="1095" t="s">
        <v>5299</v>
      </c>
      <c r="L99" s="8" t="s">
        <v>5300</v>
      </c>
      <c r="M99" s="1095" t="s">
        <v>5301</v>
      </c>
      <c r="N99" s="8" t="s">
        <v>5302</v>
      </c>
      <c r="O99" s="1095" t="s">
        <v>5303</v>
      </c>
      <c r="P99" s="8" t="s">
        <v>5304</v>
      </c>
      <c r="Q99" s="1095" t="s">
        <v>5305</v>
      </c>
      <c r="R99" s="8" t="s">
        <v>5306</v>
      </c>
      <c r="S99" s="2115" t="s">
        <v>5307</v>
      </c>
      <c r="T99" s="8" t="s">
        <v>5308</v>
      </c>
      <c r="U99" s="1095" t="s">
        <v>5309</v>
      </c>
      <c r="V99" s="8" t="s">
        <v>5310</v>
      </c>
      <c r="W99" s="1095" t="s">
        <v>5311</v>
      </c>
      <c r="X99" s="2114" t="s">
        <v>5312</v>
      </c>
      <c r="Y99" s="2115" t="s">
        <v>5313</v>
      </c>
      <c r="Z99" s="1095" t="s">
        <v>5314</v>
      </c>
      <c r="AA99" s="1255" t="s">
        <v>5315</v>
      </c>
      <c r="AB99" s="1255" t="s">
        <v>5316</v>
      </c>
      <c r="AC99" s="1255" t="s">
        <v>5317</v>
      </c>
      <c r="AD99" s="1092" t="s">
        <v>5318</v>
      </c>
      <c r="AE99" s="1095" t="s">
        <v>5319</v>
      </c>
      <c r="AF99" s="1099" t="s">
        <v>5320</v>
      </c>
      <c r="AG99" t="str">
        <f t="shared" ref="AG99:AG101" si="44">BR99&amp;BS99</f>
        <v xml:space="preserve">  * La variable Pueblos originarios No puede ser mayor al Total.  * La variable Migrantes No puede ser mayor al Total.</v>
      </c>
      <c r="BR99" s="2465" t="str">
        <f t="shared" ref="BR99:BR101" si="45">IF(AND(D99&gt;0,AE99="")," * No olvide digitar la variable Pueblos originarios. Digite Cero si no tiene.",IF(AE99&gt;D99,"  * La variable Pueblos originarios No puede ser mayor al Total.",""))</f>
        <v xml:space="preserve">  * La variable Pueblos originarios No puede ser mayor al Total.</v>
      </c>
      <c r="BS99" s="2465" t="str">
        <f t="shared" ref="BS99:BS101" si="46">IF(AND(D99&gt;0,AF99="")," * No olvide digitar la variable Migrantes. Digite Cero si no tiene.",IF(AF99&gt;D99,"  * La variable Migrantes No puede ser mayor al Total.",""))</f>
        <v xml:space="preserve">  * La variable Migrantes No puede ser mayor al Total.</v>
      </c>
      <c r="BT99" s="1722"/>
      <c r="BU99" s="1722"/>
      <c r="BV99" s="1722"/>
      <c r="BW99" s="1722"/>
      <c r="BX99" s="1722"/>
      <c r="BY99" s="1722"/>
      <c r="CC99" s="1722">
        <f t="shared" ref="CC99:CC101" si="47">IF(AND(D99&gt;0,AE99=""),1,IF(AE99&gt;D99,1,0))</f>
        <v>1</v>
      </c>
      <c r="CD99" s="1722">
        <f t="shared" ref="CD99:CD101" si="48">IF(AND(D99&gt;0,AF99=""),1,IF(AF99&gt;D99,1,0))</f>
        <v>1</v>
      </c>
      <c r="CE99" s="1722"/>
      <c r="CF99" s="1722"/>
    </row>
    <row r="100" spans="1:84" s="17" customFormat="1" ht="18" customHeight="1" x14ac:dyDescent="0.3">
      <c r="A100" s="6233" t="s">
        <v>4342</v>
      </c>
      <c r="B100" s="6881" t="s">
        <v>1933</v>
      </c>
      <c r="C100" s="6821"/>
      <c r="D100" s="2167" t="s">
        <v>5292</v>
      </c>
      <c r="E100" s="2111" t="s">
        <v>5293</v>
      </c>
      <c r="F100" s="2192" t="s">
        <v>5294</v>
      </c>
      <c r="G100" s="1095" t="s">
        <v>5295</v>
      </c>
      <c r="H100" s="8" t="s">
        <v>5296</v>
      </c>
      <c r="I100" s="1095" t="s">
        <v>5297</v>
      </c>
      <c r="J100" s="8" t="s">
        <v>5298</v>
      </c>
      <c r="K100" s="1095" t="s">
        <v>5299</v>
      </c>
      <c r="L100" s="8" t="s">
        <v>5300</v>
      </c>
      <c r="M100" s="1095" t="s">
        <v>5301</v>
      </c>
      <c r="N100" s="8" t="s">
        <v>5302</v>
      </c>
      <c r="O100" s="1095" t="s">
        <v>5303</v>
      </c>
      <c r="P100" s="8" t="s">
        <v>5304</v>
      </c>
      <c r="Q100" s="1095" t="s">
        <v>5305</v>
      </c>
      <c r="R100" s="8" t="s">
        <v>5306</v>
      </c>
      <c r="S100" s="2115" t="s">
        <v>5307</v>
      </c>
      <c r="T100" s="8" t="s">
        <v>5308</v>
      </c>
      <c r="U100" s="1095" t="s">
        <v>5309</v>
      </c>
      <c r="V100" s="8" t="s">
        <v>5310</v>
      </c>
      <c r="W100" s="1095" t="s">
        <v>5311</v>
      </c>
      <c r="X100" s="2114" t="s">
        <v>5312</v>
      </c>
      <c r="Y100" s="2115" t="s">
        <v>5313</v>
      </c>
      <c r="Z100" s="1095" t="s">
        <v>5314</v>
      </c>
      <c r="AA100" s="1255" t="s">
        <v>5315</v>
      </c>
      <c r="AB100" s="1255" t="s">
        <v>5316</v>
      </c>
      <c r="AC100" s="1255" t="s">
        <v>5317</v>
      </c>
      <c r="AD100" s="1092" t="s">
        <v>5318</v>
      </c>
      <c r="AE100" s="1095" t="s">
        <v>5319</v>
      </c>
      <c r="AF100" s="1099" t="s">
        <v>5320</v>
      </c>
      <c r="AG100" t="str">
        <f t="shared" si="44"/>
        <v xml:space="preserve">  * La variable Pueblos originarios No puede ser mayor al Total.  * La variable Migrantes No puede ser mayor al Total.</v>
      </c>
      <c r="BR100" s="2465" t="str">
        <f t="shared" si="45"/>
        <v xml:space="preserve">  * La variable Pueblos originarios No puede ser mayor al Total.</v>
      </c>
      <c r="BS100" s="2465" t="str">
        <f t="shared" si="46"/>
        <v xml:space="preserve">  * La variable Migrantes No puede ser mayor al Total.</v>
      </c>
      <c r="BT100" s="1722"/>
      <c r="BU100" s="1722"/>
      <c r="BV100" s="1722"/>
      <c r="BW100" s="1722"/>
      <c r="BX100" s="1722"/>
      <c r="BY100" s="1722"/>
      <c r="CC100" s="1722">
        <f t="shared" si="47"/>
        <v>1</v>
      </c>
      <c r="CD100" s="1722">
        <f t="shared" si="48"/>
        <v>1</v>
      </c>
      <c r="CE100" s="1722"/>
      <c r="CF100" s="1722"/>
    </row>
    <row r="101" spans="1:84" s="17" customFormat="1" ht="18" customHeight="1" x14ac:dyDescent="0.3">
      <c r="A101" s="6247" t="s">
        <v>4343</v>
      </c>
      <c r="B101" s="6849" t="s">
        <v>1934</v>
      </c>
      <c r="C101" s="6882"/>
      <c r="D101" s="2169" t="s">
        <v>5292</v>
      </c>
      <c r="E101" s="52" t="s">
        <v>5293</v>
      </c>
      <c r="F101" s="2206" t="s">
        <v>5294</v>
      </c>
      <c r="G101" s="3" t="s">
        <v>5295</v>
      </c>
      <c r="H101" s="2760" t="s">
        <v>5296</v>
      </c>
      <c r="I101" s="3" t="s">
        <v>5297</v>
      </c>
      <c r="J101" s="2760" t="s">
        <v>5298</v>
      </c>
      <c r="K101" s="3" t="s">
        <v>5299</v>
      </c>
      <c r="L101" s="2760" t="s">
        <v>5300</v>
      </c>
      <c r="M101" s="3" t="s">
        <v>5301</v>
      </c>
      <c r="N101" s="2760" t="s">
        <v>5302</v>
      </c>
      <c r="O101" s="3" t="s">
        <v>5303</v>
      </c>
      <c r="P101" s="2760" t="s">
        <v>5304</v>
      </c>
      <c r="Q101" s="3" t="s">
        <v>5305</v>
      </c>
      <c r="R101" s="2760" t="s">
        <v>5306</v>
      </c>
      <c r="S101" s="21" t="s">
        <v>5307</v>
      </c>
      <c r="T101" s="2760" t="s">
        <v>5308</v>
      </c>
      <c r="U101" s="3" t="s">
        <v>5309</v>
      </c>
      <c r="V101" s="2760" t="s">
        <v>5310</v>
      </c>
      <c r="W101" s="3" t="s">
        <v>5311</v>
      </c>
      <c r="X101" s="1698" t="s">
        <v>5312</v>
      </c>
      <c r="Y101" s="21" t="s">
        <v>5313</v>
      </c>
      <c r="Z101" s="3" t="s">
        <v>5314</v>
      </c>
      <c r="AA101" s="22" t="s">
        <v>5315</v>
      </c>
      <c r="AB101" s="22" t="s">
        <v>5316</v>
      </c>
      <c r="AC101" s="2302" t="s">
        <v>5317</v>
      </c>
      <c r="AD101" s="2302" t="s">
        <v>5318</v>
      </c>
      <c r="AE101" s="3" t="s">
        <v>5319</v>
      </c>
      <c r="AF101" s="6" t="s">
        <v>5320</v>
      </c>
      <c r="AG101" t="str">
        <f t="shared" si="44"/>
        <v xml:space="preserve">  * La variable Pueblos originarios No puede ser mayor al Total.  * La variable Migrantes No puede ser mayor al Total.</v>
      </c>
      <c r="BR101" s="2465" t="str">
        <f t="shared" si="45"/>
        <v xml:space="preserve">  * La variable Pueblos originarios No puede ser mayor al Total.</v>
      </c>
      <c r="BS101" s="2465" t="str">
        <f t="shared" si="46"/>
        <v xml:space="preserve">  * La variable Migrantes No puede ser mayor al Total.</v>
      </c>
      <c r="BT101" s="1722"/>
      <c r="BU101" s="1722"/>
      <c r="BV101" s="1722"/>
      <c r="BW101" s="1722"/>
      <c r="BX101" s="1722"/>
      <c r="BY101" s="1722"/>
      <c r="CC101" s="1722">
        <f t="shared" si="47"/>
        <v>1</v>
      </c>
      <c r="CD101" s="1722">
        <f t="shared" si="48"/>
        <v>1</v>
      </c>
      <c r="CE101" s="1722"/>
      <c r="CF101" s="1722"/>
    </row>
    <row r="102" spans="1:84" s="17" customFormat="1" ht="18" customHeight="1" x14ac:dyDescent="0.25">
      <c r="B102" s="2646" t="s">
        <v>3889</v>
      </c>
      <c r="C102" s="2647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</row>
    <row r="103" spans="1:84" x14ac:dyDescent="0.3">
      <c r="B103" s="6836" t="s">
        <v>1937</v>
      </c>
      <c r="C103" s="6399"/>
      <c r="D103" s="6836" t="s">
        <v>24</v>
      </c>
      <c r="E103" s="6891"/>
      <c r="F103" s="6399"/>
      <c r="G103" s="6883" t="s">
        <v>30</v>
      </c>
      <c r="H103" s="6884"/>
      <c r="I103" s="6884"/>
      <c r="J103" s="6884"/>
      <c r="K103" s="6884"/>
      <c r="L103" s="6884"/>
      <c r="M103" s="6884"/>
      <c r="N103" s="6885"/>
      <c r="BR103"/>
      <c r="BS103"/>
      <c r="BT103"/>
      <c r="BU103"/>
      <c r="BV103"/>
      <c r="BW103"/>
      <c r="BX103"/>
      <c r="BY103"/>
      <c r="CA103"/>
      <c r="CB103"/>
      <c r="CC103"/>
    </row>
    <row r="104" spans="1:84" x14ac:dyDescent="0.3">
      <c r="B104" s="6830"/>
      <c r="C104" s="6831"/>
      <c r="D104" s="6830"/>
      <c r="E104" s="6892"/>
      <c r="F104" s="6831"/>
      <c r="G104" s="6883" t="s">
        <v>1938</v>
      </c>
      <c r="H104" s="6885"/>
      <c r="I104" s="6883" t="s">
        <v>1939</v>
      </c>
      <c r="J104" s="6885"/>
      <c r="K104" s="6883" t="s">
        <v>1940</v>
      </c>
      <c r="L104" s="6885"/>
      <c r="M104" s="6883" t="s">
        <v>4</v>
      </c>
      <c r="N104" s="6885"/>
      <c r="BR104"/>
      <c r="BS104"/>
      <c r="BT104"/>
      <c r="BU104"/>
      <c r="BV104"/>
      <c r="BW104"/>
      <c r="BX104"/>
      <c r="BY104"/>
      <c r="CA104"/>
      <c r="CB104"/>
      <c r="CC104"/>
    </row>
    <row r="105" spans="1:84" x14ac:dyDescent="0.3">
      <c r="B105" s="6893"/>
      <c r="C105" s="6853"/>
      <c r="D105" s="2648" t="s">
        <v>26</v>
      </c>
      <c r="E105" s="2645" t="s">
        <v>22</v>
      </c>
      <c r="F105" s="2644" t="s">
        <v>27</v>
      </c>
      <c r="G105" s="2128" t="s">
        <v>22</v>
      </c>
      <c r="H105" s="2644" t="s">
        <v>27</v>
      </c>
      <c r="I105" s="2128" t="s">
        <v>22</v>
      </c>
      <c r="J105" s="2644" t="s">
        <v>27</v>
      </c>
      <c r="K105" s="2128" t="s">
        <v>22</v>
      </c>
      <c r="L105" s="2644" t="s">
        <v>27</v>
      </c>
      <c r="M105" s="2128" t="s">
        <v>22</v>
      </c>
      <c r="N105" s="2644" t="s">
        <v>27</v>
      </c>
      <c r="BR105"/>
      <c r="BS105"/>
      <c r="BT105"/>
      <c r="BU105"/>
      <c r="BV105"/>
      <c r="BW105"/>
      <c r="BX105"/>
      <c r="BY105"/>
      <c r="CA105"/>
      <c r="CB105"/>
      <c r="CC105"/>
    </row>
    <row r="106" spans="1:84" ht="15" customHeight="1" x14ac:dyDescent="0.3">
      <c r="A106" s="6235"/>
      <c r="B106" s="6886" t="s">
        <v>1941</v>
      </c>
      <c r="C106" s="6887"/>
      <c r="D106" s="2171">
        <f>SUM(E106:F106)</f>
        <v>0</v>
      </c>
      <c r="E106" s="2172">
        <f t="shared" ref="E106:F109" si="49">+G106+I106+K106+M106</f>
        <v>0</v>
      </c>
      <c r="F106" s="2173">
        <f t="shared" si="49"/>
        <v>0</v>
      </c>
      <c r="G106" s="2186">
        <f>SUM(G107:G109)</f>
        <v>0</v>
      </c>
      <c r="H106" s="2186">
        <f t="shared" ref="H106:N106" si="50">SUM(H107:H109)</f>
        <v>0</v>
      </c>
      <c r="I106" s="2186">
        <f t="shared" si="50"/>
        <v>0</v>
      </c>
      <c r="J106" s="2186">
        <f t="shared" si="50"/>
        <v>0</v>
      </c>
      <c r="K106" s="2186">
        <f t="shared" si="50"/>
        <v>0</v>
      </c>
      <c r="L106" s="2186">
        <f t="shared" si="50"/>
        <v>0</v>
      </c>
      <c r="M106" s="2186">
        <f t="shared" si="50"/>
        <v>0</v>
      </c>
      <c r="N106" s="4295">
        <f t="shared" si="50"/>
        <v>0</v>
      </c>
      <c r="BR106"/>
      <c r="BS106"/>
      <c r="BT106"/>
      <c r="BU106"/>
      <c r="BV106"/>
      <c r="BW106"/>
      <c r="BX106"/>
      <c r="BY106"/>
      <c r="CA106"/>
      <c r="CB106"/>
      <c r="CC106"/>
    </row>
    <row r="107" spans="1:84" ht="15" customHeight="1" x14ac:dyDescent="0.3">
      <c r="A107" s="6247" t="s">
        <v>4344</v>
      </c>
      <c r="B107" s="6888" t="s">
        <v>1942</v>
      </c>
      <c r="C107" s="6889"/>
      <c r="D107" s="2174" t="s">
        <v>5292</v>
      </c>
      <c r="E107" s="2175" t="s">
        <v>5293</v>
      </c>
      <c r="F107" s="2176" t="s">
        <v>5294</v>
      </c>
      <c r="G107" s="2120" t="s">
        <v>5295</v>
      </c>
      <c r="H107" s="2177" t="s">
        <v>5296</v>
      </c>
      <c r="I107" s="2120" t="s">
        <v>5297</v>
      </c>
      <c r="J107" s="2177" t="s">
        <v>5298</v>
      </c>
      <c r="K107" s="2120" t="s">
        <v>5299</v>
      </c>
      <c r="L107" s="2132" t="s">
        <v>5300</v>
      </c>
      <c r="M107" s="2120" t="s">
        <v>5301</v>
      </c>
      <c r="N107" s="2132" t="s">
        <v>5302</v>
      </c>
      <c r="BR107"/>
      <c r="BS107"/>
      <c r="BT107"/>
      <c r="BU107"/>
      <c r="BV107"/>
      <c r="BW107"/>
      <c r="BX107"/>
      <c r="BY107"/>
      <c r="CA107"/>
      <c r="CB107"/>
      <c r="CC107"/>
    </row>
    <row r="108" spans="1:84" ht="15" customHeight="1" x14ac:dyDescent="0.3">
      <c r="A108" s="6247" t="s">
        <v>4345</v>
      </c>
      <c r="B108" s="6816" t="s">
        <v>1943</v>
      </c>
      <c r="C108" s="6817"/>
      <c r="D108" s="2178" t="s">
        <v>5292</v>
      </c>
      <c r="E108" s="2179" t="s">
        <v>5293</v>
      </c>
      <c r="F108" s="2180" t="s">
        <v>5294</v>
      </c>
      <c r="G108" s="1095" t="s">
        <v>5295</v>
      </c>
      <c r="H108" s="8" t="s">
        <v>5296</v>
      </c>
      <c r="I108" s="1095" t="s">
        <v>5297</v>
      </c>
      <c r="J108" s="8" t="s">
        <v>5298</v>
      </c>
      <c r="K108" s="1095" t="s">
        <v>5299</v>
      </c>
      <c r="L108" s="1099" t="s">
        <v>5300</v>
      </c>
      <c r="M108" s="1095" t="s">
        <v>5301</v>
      </c>
      <c r="N108" s="1099" t="s">
        <v>5302</v>
      </c>
      <c r="BR108"/>
      <c r="BS108"/>
      <c r="BT108"/>
      <c r="BU108"/>
      <c r="BV108"/>
      <c r="BW108"/>
      <c r="BX108"/>
      <c r="BY108"/>
      <c r="CA108"/>
      <c r="CB108"/>
      <c r="CC108"/>
    </row>
    <row r="109" spans="1:84" ht="15" customHeight="1" x14ac:dyDescent="0.3">
      <c r="A109" s="6247" t="s">
        <v>4346</v>
      </c>
      <c r="B109" s="6818" t="s">
        <v>1944</v>
      </c>
      <c r="C109" s="6819"/>
      <c r="D109" s="2181" t="s">
        <v>5292</v>
      </c>
      <c r="E109" s="2182" t="s">
        <v>5293</v>
      </c>
      <c r="F109" s="2183" t="s">
        <v>5294</v>
      </c>
      <c r="G109" s="3" t="s">
        <v>5295</v>
      </c>
      <c r="H109" s="12" t="s">
        <v>5296</v>
      </c>
      <c r="I109" s="3" t="s">
        <v>5297</v>
      </c>
      <c r="J109" s="12" t="s">
        <v>5298</v>
      </c>
      <c r="K109" s="3" t="s">
        <v>5299</v>
      </c>
      <c r="L109" s="6" t="s">
        <v>5300</v>
      </c>
      <c r="M109" s="3" t="s">
        <v>5301</v>
      </c>
      <c r="N109" s="6" t="s">
        <v>5302</v>
      </c>
      <c r="BR109"/>
      <c r="BS109"/>
      <c r="BT109"/>
      <c r="BU109"/>
      <c r="BV109"/>
      <c r="BW109"/>
      <c r="BX109"/>
      <c r="BY109"/>
      <c r="CA109"/>
      <c r="CB109"/>
      <c r="CC109"/>
    </row>
    <row r="110" spans="1:84" s="17" customFormat="1" ht="18" customHeight="1" x14ac:dyDescent="0.25">
      <c r="B110" s="2184" t="s">
        <v>1945</v>
      </c>
      <c r="C110" s="2185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</row>
    <row r="111" spans="1:84" x14ac:dyDescent="0.3">
      <c r="B111" s="6836" t="s">
        <v>23</v>
      </c>
      <c r="C111" s="6399"/>
      <c r="D111" s="6836" t="s">
        <v>24</v>
      </c>
      <c r="E111" s="6891"/>
      <c r="F111" s="6399"/>
      <c r="G111" s="6883" t="s">
        <v>30</v>
      </c>
      <c r="H111" s="6884"/>
      <c r="I111" s="6884"/>
      <c r="J111" s="6884"/>
      <c r="K111" s="6884"/>
      <c r="L111" s="6884"/>
      <c r="M111" s="6884"/>
      <c r="N111" s="6884"/>
      <c r="O111" s="6884"/>
      <c r="P111" s="6884"/>
      <c r="Q111" s="6884"/>
      <c r="R111" s="6884"/>
      <c r="S111" s="6884"/>
      <c r="T111" s="6884"/>
      <c r="U111" s="6884"/>
      <c r="V111" s="6884"/>
      <c r="W111" s="6884"/>
      <c r="X111" s="6884"/>
      <c r="Y111" s="6884"/>
      <c r="Z111" s="6884"/>
      <c r="AA111" s="6884"/>
      <c r="AB111" s="6884"/>
      <c r="AC111" s="6884"/>
      <c r="AD111" s="6884"/>
      <c r="AE111" s="6884"/>
      <c r="AF111" s="6884"/>
      <c r="AG111" s="6884"/>
      <c r="AH111" s="6894"/>
      <c r="AI111" s="6891" t="s">
        <v>2</v>
      </c>
      <c r="AJ111" s="6895" t="s">
        <v>3</v>
      </c>
      <c r="BR111"/>
      <c r="BS111"/>
      <c r="BT111"/>
      <c r="BU111"/>
      <c r="BV111"/>
      <c r="BW111"/>
      <c r="BX111"/>
      <c r="BY111"/>
      <c r="CA111"/>
      <c r="CB111"/>
      <c r="CC111"/>
    </row>
    <row r="112" spans="1:84" x14ac:dyDescent="0.3">
      <c r="B112" s="6830"/>
      <c r="C112" s="6831"/>
      <c r="D112" s="6830"/>
      <c r="E112" s="6892"/>
      <c r="F112" s="6831"/>
      <c r="G112" s="6838" t="s">
        <v>4</v>
      </c>
      <c r="H112" s="6897"/>
      <c r="I112" s="6898" t="s">
        <v>5</v>
      </c>
      <c r="J112" s="6898"/>
      <c r="K112" s="6898" t="s">
        <v>6</v>
      </c>
      <c r="L112" s="6898"/>
      <c r="M112" s="6898" t="s">
        <v>7</v>
      </c>
      <c r="N112" s="6898"/>
      <c r="O112" s="6898" t="s">
        <v>8</v>
      </c>
      <c r="P112" s="6898"/>
      <c r="Q112" s="6898" t="s">
        <v>9</v>
      </c>
      <c r="R112" s="6898"/>
      <c r="S112" s="6898" t="s">
        <v>10</v>
      </c>
      <c r="T112" s="6898"/>
      <c r="U112" s="6898" t="s">
        <v>11</v>
      </c>
      <c r="V112" s="6898"/>
      <c r="W112" s="6898" t="s">
        <v>18</v>
      </c>
      <c r="X112" s="6898"/>
      <c r="Y112" s="6898" t="s">
        <v>19</v>
      </c>
      <c r="Z112" s="6898"/>
      <c r="AA112" s="6883" t="s">
        <v>20</v>
      </c>
      <c r="AB112" s="6885"/>
      <c r="AC112" s="6883" t="s">
        <v>70</v>
      </c>
      <c r="AD112" s="6885"/>
      <c r="AE112" s="6883" t="s">
        <v>71</v>
      </c>
      <c r="AF112" s="6885"/>
      <c r="AG112" s="6883" t="s">
        <v>32</v>
      </c>
      <c r="AH112" s="6894"/>
      <c r="AI112" s="6892"/>
      <c r="AJ112" s="6773"/>
      <c r="BR112"/>
      <c r="BS112"/>
      <c r="BT112"/>
      <c r="BU112"/>
      <c r="BV112"/>
      <c r="BW112"/>
      <c r="BX112"/>
      <c r="BY112"/>
      <c r="CA112"/>
      <c r="CB112"/>
      <c r="CC112"/>
    </row>
    <row r="113" spans="1:83" x14ac:dyDescent="0.3">
      <c r="B113" s="6890"/>
      <c r="C113" s="6853"/>
      <c r="D113" s="2128" t="s">
        <v>26</v>
      </c>
      <c r="E113" s="2645" t="s">
        <v>22</v>
      </c>
      <c r="F113" s="2644" t="s">
        <v>27</v>
      </c>
      <c r="G113" s="2637" t="s">
        <v>22</v>
      </c>
      <c r="H113" s="2649" t="s">
        <v>27</v>
      </c>
      <c r="I113" s="2637" t="s">
        <v>22</v>
      </c>
      <c r="J113" s="2649" t="s">
        <v>27</v>
      </c>
      <c r="K113" s="2637" t="s">
        <v>22</v>
      </c>
      <c r="L113" s="2649" t="s">
        <v>27</v>
      </c>
      <c r="M113" s="2637" t="s">
        <v>22</v>
      </c>
      <c r="N113" s="2649" t="s">
        <v>27</v>
      </c>
      <c r="O113" s="2637" t="s">
        <v>22</v>
      </c>
      <c r="P113" s="2649" t="s">
        <v>27</v>
      </c>
      <c r="Q113" s="2637" t="s">
        <v>22</v>
      </c>
      <c r="R113" s="2649" t="s">
        <v>27</v>
      </c>
      <c r="S113" s="2637" t="s">
        <v>22</v>
      </c>
      <c r="T113" s="2649" t="s">
        <v>27</v>
      </c>
      <c r="U113" s="2637" t="s">
        <v>22</v>
      </c>
      <c r="V113" s="2649" t="s">
        <v>27</v>
      </c>
      <c r="W113" s="2637" t="s">
        <v>22</v>
      </c>
      <c r="X113" s="2649" t="s">
        <v>27</v>
      </c>
      <c r="Y113" s="2637" t="s">
        <v>22</v>
      </c>
      <c r="Z113" s="2649" t="s">
        <v>27</v>
      </c>
      <c r="AA113" s="2637" t="s">
        <v>22</v>
      </c>
      <c r="AB113" s="2649" t="s">
        <v>27</v>
      </c>
      <c r="AC113" s="2637" t="s">
        <v>22</v>
      </c>
      <c r="AD113" s="2649" t="s">
        <v>27</v>
      </c>
      <c r="AE113" s="2637" t="s">
        <v>22</v>
      </c>
      <c r="AF113" s="2649" t="s">
        <v>27</v>
      </c>
      <c r="AG113" s="2637" t="s">
        <v>22</v>
      </c>
      <c r="AH113" s="2650" t="s">
        <v>27</v>
      </c>
      <c r="AI113" s="6829"/>
      <c r="AJ113" s="6896"/>
      <c r="BR113"/>
      <c r="BS113"/>
      <c r="BT113"/>
      <c r="BU113"/>
      <c r="BV113"/>
      <c r="BW113"/>
      <c r="BX113"/>
      <c r="BY113"/>
      <c r="CA113"/>
      <c r="CB113"/>
      <c r="CC113"/>
    </row>
    <row r="114" spans="1:83" ht="15" customHeight="1" x14ac:dyDescent="0.3">
      <c r="A114" s="6248" t="s">
        <v>4347</v>
      </c>
      <c r="B114" s="6869" t="s">
        <v>1946</v>
      </c>
      <c r="C114" s="6870"/>
      <c r="D114" s="2186" t="s">
        <v>5292</v>
      </c>
      <c r="E114" s="2187" t="s">
        <v>5293</v>
      </c>
      <c r="F114" s="2188" t="s">
        <v>5294</v>
      </c>
      <c r="G114" s="2120" t="s">
        <v>5295</v>
      </c>
      <c r="H114" s="2123" t="s">
        <v>5296</v>
      </c>
      <c r="I114" s="2120" t="s">
        <v>5297</v>
      </c>
      <c r="J114" s="2123" t="s">
        <v>5298</v>
      </c>
      <c r="K114" s="2120" t="s">
        <v>5299</v>
      </c>
      <c r="L114" s="2123" t="s">
        <v>5300</v>
      </c>
      <c r="M114" s="2120" t="s">
        <v>5301</v>
      </c>
      <c r="N114" s="2123" t="s">
        <v>5302</v>
      </c>
      <c r="O114" s="2120" t="s">
        <v>5303</v>
      </c>
      <c r="P114" s="2123" t="s">
        <v>5304</v>
      </c>
      <c r="Q114" s="2120" t="s">
        <v>5305</v>
      </c>
      <c r="R114" s="2123" t="s">
        <v>5306</v>
      </c>
      <c r="S114" s="2120" t="s">
        <v>5307</v>
      </c>
      <c r="T114" s="2123" t="s">
        <v>5308</v>
      </c>
      <c r="U114" s="2120" t="s">
        <v>5309</v>
      </c>
      <c r="V114" s="2123" t="s">
        <v>5310</v>
      </c>
      <c r="W114" s="2120" t="s">
        <v>5311</v>
      </c>
      <c r="X114" s="2123" t="s">
        <v>5312</v>
      </c>
      <c r="Y114" s="2120" t="s">
        <v>5313</v>
      </c>
      <c r="Z114" s="2123" t="s">
        <v>5314</v>
      </c>
      <c r="AA114" s="2120" t="s">
        <v>5315</v>
      </c>
      <c r="AB114" s="2123" t="s">
        <v>5316</v>
      </c>
      <c r="AC114" s="2120" t="s">
        <v>5317</v>
      </c>
      <c r="AD114" s="2123" t="s">
        <v>5318</v>
      </c>
      <c r="AE114" s="2120" t="s">
        <v>5319</v>
      </c>
      <c r="AF114" s="2123" t="s">
        <v>5320</v>
      </c>
      <c r="AG114" s="2120" t="s">
        <v>5321</v>
      </c>
      <c r="AH114" s="2131" t="s">
        <v>5322</v>
      </c>
      <c r="AI114" s="2654" t="s">
        <v>5323</v>
      </c>
      <c r="AJ114" s="2656" t="s">
        <v>5324</v>
      </c>
      <c r="AK114" t="str">
        <f>BR114&amp;BS114</f>
        <v>* La variable Pueblos originarios No puede ser mayor al Total.* La variable Migrantes No puede ser mayor al Total.</v>
      </c>
      <c r="BR114" s="2465" t="str">
        <f>IF(AND(D114&gt;0,AI114="")," * No olvide digitar la variable Pueblos originarios. Digite Cero si no tiene.",IF(AI114&gt;D114,"* La variable Pueblos originarios No puede ser mayor al Total.",""))</f>
        <v>* La variable Pueblos originarios No puede ser mayor al Total.</v>
      </c>
      <c r="BS114" s="2465" t="str">
        <f>IF(AND(D114&gt;0,AJ114="")," * No olvide digitar la variable Migrantes. Digite Cero si no tiene.",IF(AJ114&gt;D114,"* La variable Migrantes No puede ser mayor al Total.",""))</f>
        <v>* La variable Migrantes No puede ser mayor al Total.</v>
      </c>
      <c r="BT114"/>
      <c r="BU114"/>
      <c r="BV114"/>
      <c r="BW114"/>
      <c r="BX114"/>
      <c r="BY114"/>
      <c r="CA114"/>
      <c r="CB114"/>
      <c r="CC114" s="1725">
        <f>IF(AND(D114&gt;0,AI114=""),1,IF(AI114&gt;D114,1,0))</f>
        <v>1</v>
      </c>
      <c r="CD114" s="1725">
        <f>IF(AND(D114&gt;0,AJ114=""),1,IF(AJ114&gt;D114,1,0))</f>
        <v>1</v>
      </c>
      <c r="CE114" s="1725"/>
    </row>
    <row r="115" spans="1:83" ht="15" customHeight="1" x14ac:dyDescent="0.3">
      <c r="A115" s="6248" t="s">
        <v>4348</v>
      </c>
      <c r="B115" s="6781" t="s">
        <v>1947</v>
      </c>
      <c r="C115" s="2117" t="s">
        <v>1948</v>
      </c>
      <c r="D115" s="2189" t="s">
        <v>5292</v>
      </c>
      <c r="E115" s="2190" t="s">
        <v>5293</v>
      </c>
      <c r="F115" s="2191" t="s">
        <v>5294</v>
      </c>
      <c r="G115" s="2120" t="s">
        <v>5295</v>
      </c>
      <c r="H115" s="2177" t="s">
        <v>5296</v>
      </c>
      <c r="I115" s="2120" t="s">
        <v>5297</v>
      </c>
      <c r="J115" s="2177" t="s">
        <v>5298</v>
      </c>
      <c r="K115" s="2120" t="s">
        <v>5299</v>
      </c>
      <c r="L115" s="2177" t="s">
        <v>5300</v>
      </c>
      <c r="M115" s="2120" t="s">
        <v>5301</v>
      </c>
      <c r="N115" s="2177" t="s">
        <v>5302</v>
      </c>
      <c r="O115" s="2120" t="s">
        <v>5303</v>
      </c>
      <c r="P115" s="2177" t="s">
        <v>5304</v>
      </c>
      <c r="Q115" s="2120" t="s">
        <v>5305</v>
      </c>
      <c r="R115" s="2177" t="s">
        <v>5306</v>
      </c>
      <c r="S115" s="2120" t="s">
        <v>5307</v>
      </c>
      <c r="T115" s="2177" t="s">
        <v>5308</v>
      </c>
      <c r="U115" s="2120" t="s">
        <v>5309</v>
      </c>
      <c r="V115" s="2177" t="s">
        <v>5310</v>
      </c>
      <c r="W115" s="2120" t="s">
        <v>5311</v>
      </c>
      <c r="X115" s="2177" t="s">
        <v>5312</v>
      </c>
      <c r="Y115" s="2120" t="s">
        <v>5313</v>
      </c>
      <c r="Z115" s="2177" t="s">
        <v>5314</v>
      </c>
      <c r="AA115" s="2120" t="s">
        <v>5315</v>
      </c>
      <c r="AB115" s="2177" t="s">
        <v>5316</v>
      </c>
      <c r="AC115" s="2120" t="s">
        <v>5317</v>
      </c>
      <c r="AD115" s="2177" t="s">
        <v>5318</v>
      </c>
      <c r="AE115" s="2120" t="s">
        <v>5319</v>
      </c>
      <c r="AF115" s="2177" t="s">
        <v>5320</v>
      </c>
      <c r="AG115" s="2120" t="s">
        <v>5321</v>
      </c>
      <c r="AH115" s="2131" t="s">
        <v>5322</v>
      </c>
      <c r="AI115" s="2654" t="s">
        <v>5323</v>
      </c>
      <c r="AJ115" s="2656" t="s">
        <v>5324</v>
      </c>
      <c r="AK115" t="str">
        <f t="shared" ref="AK115:AK122" si="51">BR115&amp;BS115</f>
        <v>* La variable Pueblos originarios No puede ser mayor al Total.* La variable Migrantes No puede ser mayor al Total.</v>
      </c>
      <c r="BR115" s="2465" t="str">
        <f t="shared" ref="BR115:BR122" si="52">IF(AND(D115&gt;0,AI115="")," * No olvide digitar la variable Pueblos originarios. Digite Cero si no tiene.",IF(AI115&gt;D115,"* La variable Pueblos originarios No puede ser mayor al Total.",""))</f>
        <v>* La variable Pueblos originarios No puede ser mayor al Total.</v>
      </c>
      <c r="BS115" s="2465" t="str">
        <f t="shared" ref="BS115:BS122" si="53">IF(AND(D115&gt;0,AJ115="")," * No olvide digitar la variable Migrantes. Digite Cero si no tiene.",IF(AJ115&gt;D115,"* La variable Migrantes No puede ser mayor al Total.",""))</f>
        <v>* La variable Migrantes No puede ser mayor al Total.</v>
      </c>
      <c r="BT115"/>
      <c r="BU115"/>
      <c r="BV115"/>
      <c r="BW115"/>
      <c r="BX115"/>
      <c r="BY115"/>
      <c r="CA115"/>
      <c r="CB115"/>
      <c r="CC115" s="1725">
        <f t="shared" ref="CC115:CC122" si="54">IF(AND(D115&gt;0,AI115=""),1,IF(AI115&gt;D115,1,0))</f>
        <v>1</v>
      </c>
      <c r="CD115" s="1725">
        <f t="shared" ref="CD115:CD122" si="55">IF(AND(D115&gt;0,AJ115=""),1,IF(AJ115&gt;D115,1,0))</f>
        <v>1</v>
      </c>
      <c r="CE115" s="1725"/>
    </row>
    <row r="116" spans="1:83" ht="15" customHeight="1" x14ac:dyDescent="0.3">
      <c r="A116" s="6248" t="s">
        <v>4349</v>
      </c>
      <c r="B116" s="6899"/>
      <c r="C116" s="1105" t="s">
        <v>1949</v>
      </c>
      <c r="D116" s="2167" t="s">
        <v>5292</v>
      </c>
      <c r="E116" s="2168" t="s">
        <v>5293</v>
      </c>
      <c r="F116" s="2192" t="s">
        <v>5294</v>
      </c>
      <c r="G116" s="1095" t="s">
        <v>5295</v>
      </c>
      <c r="H116" s="8" t="s">
        <v>5296</v>
      </c>
      <c r="I116" s="1095" t="s">
        <v>5297</v>
      </c>
      <c r="J116" s="8" t="s">
        <v>5298</v>
      </c>
      <c r="K116" s="1095" t="s">
        <v>5299</v>
      </c>
      <c r="L116" s="8" t="s">
        <v>5300</v>
      </c>
      <c r="M116" s="1095" t="s">
        <v>5301</v>
      </c>
      <c r="N116" s="8" t="s">
        <v>5302</v>
      </c>
      <c r="O116" s="1095" t="s">
        <v>5303</v>
      </c>
      <c r="P116" s="8" t="s">
        <v>5304</v>
      </c>
      <c r="Q116" s="1095" t="s">
        <v>5305</v>
      </c>
      <c r="R116" s="8" t="s">
        <v>5306</v>
      </c>
      <c r="S116" s="1095" t="s">
        <v>5307</v>
      </c>
      <c r="T116" s="8" t="s">
        <v>5308</v>
      </c>
      <c r="U116" s="1095" t="s">
        <v>5309</v>
      </c>
      <c r="V116" s="8" t="s">
        <v>5310</v>
      </c>
      <c r="W116" s="1095" t="s">
        <v>5311</v>
      </c>
      <c r="X116" s="8" t="s">
        <v>5312</v>
      </c>
      <c r="Y116" s="1095" t="s">
        <v>5313</v>
      </c>
      <c r="Z116" s="8" t="s">
        <v>5314</v>
      </c>
      <c r="AA116" s="1095" t="s">
        <v>5315</v>
      </c>
      <c r="AB116" s="8" t="s">
        <v>5316</v>
      </c>
      <c r="AC116" s="1095" t="s">
        <v>5317</v>
      </c>
      <c r="AD116" s="8" t="s">
        <v>5318</v>
      </c>
      <c r="AE116" s="1095" t="s">
        <v>5319</v>
      </c>
      <c r="AF116" s="8" t="s">
        <v>5320</v>
      </c>
      <c r="AG116" s="1095" t="s">
        <v>5321</v>
      </c>
      <c r="AH116" s="1100" t="s">
        <v>5322</v>
      </c>
      <c r="AI116" s="1697" t="s">
        <v>5323</v>
      </c>
      <c r="AJ116" s="1092" t="s">
        <v>5324</v>
      </c>
      <c r="AK116" t="str">
        <f t="shared" si="51"/>
        <v>* La variable Pueblos originarios No puede ser mayor al Total.* La variable Migrantes No puede ser mayor al Total.</v>
      </c>
      <c r="BR116" s="2465" t="str">
        <f t="shared" si="52"/>
        <v>* La variable Pueblos originarios No puede ser mayor al Total.</v>
      </c>
      <c r="BS116" s="2465" t="str">
        <f t="shared" si="53"/>
        <v>* La variable Migrantes No puede ser mayor al Total.</v>
      </c>
      <c r="BT116"/>
      <c r="BU116"/>
      <c r="BV116"/>
      <c r="BW116"/>
      <c r="BX116"/>
      <c r="BY116"/>
      <c r="CA116"/>
      <c r="CB116"/>
      <c r="CC116" s="1725">
        <f t="shared" si="54"/>
        <v>1</v>
      </c>
      <c r="CD116" s="1725">
        <f t="shared" si="55"/>
        <v>1</v>
      </c>
      <c r="CE116" s="1725"/>
    </row>
    <row r="117" spans="1:83" ht="15" customHeight="1" x14ac:dyDescent="0.3">
      <c r="A117" s="6248" t="s">
        <v>4350</v>
      </c>
      <c r="B117" s="6899"/>
      <c r="C117" s="1105" t="s">
        <v>1950</v>
      </c>
      <c r="D117" s="2167" t="s">
        <v>5292</v>
      </c>
      <c r="E117" s="2168" t="s">
        <v>5293</v>
      </c>
      <c r="F117" s="2192" t="s">
        <v>5294</v>
      </c>
      <c r="G117" s="1095" t="s">
        <v>5295</v>
      </c>
      <c r="H117" s="8" t="s">
        <v>5296</v>
      </c>
      <c r="I117" s="1095" t="s">
        <v>5297</v>
      </c>
      <c r="J117" s="8" t="s">
        <v>5298</v>
      </c>
      <c r="K117" s="1095" t="s">
        <v>5299</v>
      </c>
      <c r="L117" s="8" t="s">
        <v>5300</v>
      </c>
      <c r="M117" s="1095" t="s">
        <v>5301</v>
      </c>
      <c r="N117" s="8" t="s">
        <v>5302</v>
      </c>
      <c r="O117" s="1095" t="s">
        <v>5303</v>
      </c>
      <c r="P117" s="8" t="s">
        <v>5304</v>
      </c>
      <c r="Q117" s="1095" t="s">
        <v>5305</v>
      </c>
      <c r="R117" s="8" t="s">
        <v>5306</v>
      </c>
      <c r="S117" s="1095" t="s">
        <v>5307</v>
      </c>
      <c r="T117" s="8" t="s">
        <v>5308</v>
      </c>
      <c r="U117" s="1095" t="s">
        <v>5309</v>
      </c>
      <c r="V117" s="8" t="s">
        <v>5310</v>
      </c>
      <c r="W117" s="1095" t="s">
        <v>5311</v>
      </c>
      <c r="X117" s="8" t="s">
        <v>5312</v>
      </c>
      <c r="Y117" s="1095" t="s">
        <v>5313</v>
      </c>
      <c r="Z117" s="8" t="s">
        <v>5314</v>
      </c>
      <c r="AA117" s="1095" t="s">
        <v>5315</v>
      </c>
      <c r="AB117" s="8" t="s">
        <v>5316</v>
      </c>
      <c r="AC117" s="1095" t="s">
        <v>5317</v>
      </c>
      <c r="AD117" s="8" t="s">
        <v>5318</v>
      </c>
      <c r="AE117" s="1095" t="s">
        <v>5319</v>
      </c>
      <c r="AF117" s="8" t="s">
        <v>5320</v>
      </c>
      <c r="AG117" s="1095" t="s">
        <v>5321</v>
      </c>
      <c r="AH117" s="1100" t="s">
        <v>5322</v>
      </c>
      <c r="AI117" s="1697" t="s">
        <v>5323</v>
      </c>
      <c r="AJ117" s="1092" t="s">
        <v>5324</v>
      </c>
      <c r="AK117" t="str">
        <f t="shared" si="51"/>
        <v>* La variable Pueblos originarios No puede ser mayor al Total.* La variable Migrantes No puede ser mayor al Total.</v>
      </c>
      <c r="BR117" s="2465" t="str">
        <f t="shared" si="52"/>
        <v>* La variable Pueblos originarios No puede ser mayor al Total.</v>
      </c>
      <c r="BS117" s="2465" t="str">
        <f t="shared" si="53"/>
        <v>* La variable Migrantes No puede ser mayor al Total.</v>
      </c>
      <c r="BT117"/>
      <c r="BU117"/>
      <c r="BV117"/>
      <c r="BW117"/>
      <c r="BX117"/>
      <c r="BY117"/>
      <c r="CA117"/>
      <c r="CB117"/>
      <c r="CC117" s="1725">
        <f t="shared" si="54"/>
        <v>1</v>
      </c>
      <c r="CD117" s="1725">
        <f t="shared" si="55"/>
        <v>1</v>
      </c>
      <c r="CE117" s="1725"/>
    </row>
    <row r="118" spans="1:83" ht="26.25" customHeight="1" x14ac:dyDescent="0.3">
      <c r="A118" s="6248" t="s">
        <v>4351</v>
      </c>
      <c r="B118" s="6899"/>
      <c r="C118" s="1094" t="s">
        <v>1951</v>
      </c>
      <c r="D118" s="2167" t="s">
        <v>5292</v>
      </c>
      <c r="E118" s="2168" t="s">
        <v>5293</v>
      </c>
      <c r="F118" s="2192" t="s">
        <v>5294</v>
      </c>
      <c r="G118" s="1095" t="s">
        <v>5295</v>
      </c>
      <c r="H118" s="8" t="s">
        <v>5296</v>
      </c>
      <c r="I118" s="1095" t="s">
        <v>5297</v>
      </c>
      <c r="J118" s="8" t="s">
        <v>5298</v>
      </c>
      <c r="K118" s="1095" t="s">
        <v>5299</v>
      </c>
      <c r="L118" s="8" t="s">
        <v>5300</v>
      </c>
      <c r="M118" s="1095" t="s">
        <v>5301</v>
      </c>
      <c r="N118" s="8" t="s">
        <v>5302</v>
      </c>
      <c r="O118" s="1095" t="s">
        <v>5303</v>
      </c>
      <c r="P118" s="8" t="s">
        <v>5304</v>
      </c>
      <c r="Q118" s="1095" t="s">
        <v>5305</v>
      </c>
      <c r="R118" s="8" t="s">
        <v>5306</v>
      </c>
      <c r="S118" s="1095" t="s">
        <v>5307</v>
      </c>
      <c r="T118" s="8" t="s">
        <v>5308</v>
      </c>
      <c r="U118" s="1095" t="s">
        <v>5309</v>
      </c>
      <c r="V118" s="8" t="s">
        <v>5310</v>
      </c>
      <c r="W118" s="1095" t="s">
        <v>5311</v>
      </c>
      <c r="X118" s="8" t="s">
        <v>5312</v>
      </c>
      <c r="Y118" s="1095" t="s">
        <v>5313</v>
      </c>
      <c r="Z118" s="8" t="s">
        <v>5314</v>
      </c>
      <c r="AA118" s="1095" t="s">
        <v>5315</v>
      </c>
      <c r="AB118" s="8" t="s">
        <v>5316</v>
      </c>
      <c r="AC118" s="1095" t="s">
        <v>5317</v>
      </c>
      <c r="AD118" s="8" t="s">
        <v>5318</v>
      </c>
      <c r="AE118" s="1095" t="s">
        <v>5319</v>
      </c>
      <c r="AF118" s="8" t="s">
        <v>5320</v>
      </c>
      <c r="AG118" s="1095" t="s">
        <v>5321</v>
      </c>
      <c r="AH118" s="1100" t="s">
        <v>5322</v>
      </c>
      <c r="AI118" s="1697" t="s">
        <v>5323</v>
      </c>
      <c r="AJ118" s="1092" t="s">
        <v>5324</v>
      </c>
      <c r="AK118" t="str">
        <f t="shared" si="51"/>
        <v>* La variable Pueblos originarios No puede ser mayor al Total.* La variable Migrantes No puede ser mayor al Total.</v>
      </c>
      <c r="BR118" s="2465" t="str">
        <f t="shared" si="52"/>
        <v>* La variable Pueblos originarios No puede ser mayor al Total.</v>
      </c>
      <c r="BS118" s="2465" t="str">
        <f t="shared" si="53"/>
        <v>* La variable Migrantes No puede ser mayor al Total.</v>
      </c>
      <c r="BT118"/>
      <c r="BU118"/>
      <c r="BV118"/>
      <c r="BW118"/>
      <c r="BX118"/>
      <c r="BY118"/>
      <c r="CA118"/>
      <c r="CB118"/>
      <c r="CC118" s="1725">
        <f t="shared" si="54"/>
        <v>1</v>
      </c>
      <c r="CD118" s="1725">
        <f t="shared" si="55"/>
        <v>1</v>
      </c>
      <c r="CE118" s="1725"/>
    </row>
    <row r="119" spans="1:83" ht="15" customHeight="1" x14ac:dyDescent="0.3">
      <c r="A119" s="6248" t="s">
        <v>4352</v>
      </c>
      <c r="B119" s="6899"/>
      <c r="C119" s="1094" t="s">
        <v>1952</v>
      </c>
      <c r="D119" s="2167" t="s">
        <v>5292</v>
      </c>
      <c r="E119" s="2168" t="s">
        <v>5293</v>
      </c>
      <c r="F119" s="2192" t="s">
        <v>5294</v>
      </c>
      <c r="G119" s="9" t="s">
        <v>5295</v>
      </c>
      <c r="H119" s="11" t="s">
        <v>5296</v>
      </c>
      <c r="I119" s="9" t="s">
        <v>5297</v>
      </c>
      <c r="J119" s="11" t="s">
        <v>5298</v>
      </c>
      <c r="K119" s="9" t="s">
        <v>5299</v>
      </c>
      <c r="L119" s="11" t="s">
        <v>5300</v>
      </c>
      <c r="M119" s="9" t="s">
        <v>5301</v>
      </c>
      <c r="N119" s="11" t="s">
        <v>5302</v>
      </c>
      <c r="O119" s="9" t="s">
        <v>5303</v>
      </c>
      <c r="P119" s="11" t="s">
        <v>5304</v>
      </c>
      <c r="Q119" s="9" t="s">
        <v>5305</v>
      </c>
      <c r="R119" s="11" t="s">
        <v>5306</v>
      </c>
      <c r="S119" s="9" t="s">
        <v>5307</v>
      </c>
      <c r="T119" s="11" t="s">
        <v>5308</v>
      </c>
      <c r="U119" s="9" t="s">
        <v>5309</v>
      </c>
      <c r="V119" s="11" t="s">
        <v>5310</v>
      </c>
      <c r="W119" s="9" t="s">
        <v>5311</v>
      </c>
      <c r="X119" s="11" t="s">
        <v>5312</v>
      </c>
      <c r="Y119" s="9" t="s">
        <v>5313</v>
      </c>
      <c r="Z119" s="11" t="s">
        <v>5314</v>
      </c>
      <c r="AA119" s="9" t="s">
        <v>5315</v>
      </c>
      <c r="AB119" s="11" t="s">
        <v>5316</v>
      </c>
      <c r="AC119" s="9" t="s">
        <v>5317</v>
      </c>
      <c r="AD119" s="11" t="s">
        <v>5318</v>
      </c>
      <c r="AE119" s="9" t="s">
        <v>5319</v>
      </c>
      <c r="AF119" s="11" t="s">
        <v>5320</v>
      </c>
      <c r="AG119" s="9" t="s">
        <v>5321</v>
      </c>
      <c r="AH119" s="23" t="s">
        <v>5322</v>
      </c>
      <c r="AI119" s="2236" t="s">
        <v>5323</v>
      </c>
      <c r="AJ119" s="27" t="s">
        <v>5324</v>
      </c>
      <c r="AK119" t="str">
        <f t="shared" si="51"/>
        <v>* La variable Pueblos originarios No puede ser mayor al Total.* La variable Migrantes No puede ser mayor al Total.</v>
      </c>
      <c r="BR119" s="2465" t="str">
        <f t="shared" si="52"/>
        <v>* La variable Pueblos originarios No puede ser mayor al Total.</v>
      </c>
      <c r="BS119" s="2465" t="str">
        <f t="shared" si="53"/>
        <v>* La variable Migrantes No puede ser mayor al Total.</v>
      </c>
      <c r="BT119"/>
      <c r="BU119"/>
      <c r="BV119"/>
      <c r="BW119"/>
      <c r="BX119"/>
      <c r="BY119"/>
      <c r="CA119"/>
      <c r="CB119"/>
      <c r="CC119" s="1725">
        <f t="shared" si="54"/>
        <v>1</v>
      </c>
      <c r="CD119" s="1725">
        <f t="shared" si="55"/>
        <v>1</v>
      </c>
      <c r="CE119" s="1725"/>
    </row>
    <row r="120" spans="1:83" ht="15" customHeight="1" x14ac:dyDescent="0.3">
      <c r="A120" s="6248" t="s">
        <v>4353</v>
      </c>
      <c r="B120" s="6899"/>
      <c r="C120" s="1694" t="s">
        <v>1953</v>
      </c>
      <c r="D120" s="2167" t="s">
        <v>5292</v>
      </c>
      <c r="E120" s="2168" t="s">
        <v>5293</v>
      </c>
      <c r="F120" s="2192" t="s">
        <v>5294</v>
      </c>
      <c r="G120" s="9" t="s">
        <v>5295</v>
      </c>
      <c r="H120" s="11" t="s">
        <v>5296</v>
      </c>
      <c r="I120" s="9" t="s">
        <v>5297</v>
      </c>
      <c r="J120" s="11" t="s">
        <v>5298</v>
      </c>
      <c r="K120" s="9" t="s">
        <v>5299</v>
      </c>
      <c r="L120" s="11" t="s">
        <v>5300</v>
      </c>
      <c r="M120" s="9" t="s">
        <v>5301</v>
      </c>
      <c r="N120" s="11" t="s">
        <v>5302</v>
      </c>
      <c r="O120" s="9" t="s">
        <v>5303</v>
      </c>
      <c r="P120" s="11" t="s">
        <v>5304</v>
      </c>
      <c r="Q120" s="9" t="s">
        <v>5305</v>
      </c>
      <c r="R120" s="11" t="s">
        <v>5306</v>
      </c>
      <c r="S120" s="9" t="s">
        <v>5307</v>
      </c>
      <c r="T120" s="11" t="s">
        <v>5308</v>
      </c>
      <c r="U120" s="9" t="s">
        <v>5309</v>
      </c>
      <c r="V120" s="11" t="s">
        <v>5310</v>
      </c>
      <c r="W120" s="9" t="s">
        <v>5311</v>
      </c>
      <c r="X120" s="11" t="s">
        <v>5312</v>
      </c>
      <c r="Y120" s="9" t="s">
        <v>5313</v>
      </c>
      <c r="Z120" s="11" t="s">
        <v>5314</v>
      </c>
      <c r="AA120" s="9" t="s">
        <v>5315</v>
      </c>
      <c r="AB120" s="11" t="s">
        <v>5316</v>
      </c>
      <c r="AC120" s="9" t="s">
        <v>5317</v>
      </c>
      <c r="AD120" s="11" t="s">
        <v>5318</v>
      </c>
      <c r="AE120" s="9" t="s">
        <v>5319</v>
      </c>
      <c r="AF120" s="11" t="s">
        <v>5320</v>
      </c>
      <c r="AG120" s="9" t="s">
        <v>5321</v>
      </c>
      <c r="AH120" s="23" t="s">
        <v>5322</v>
      </c>
      <c r="AI120" s="2236" t="s">
        <v>5323</v>
      </c>
      <c r="AJ120" s="27" t="s">
        <v>5324</v>
      </c>
      <c r="AK120" t="str">
        <f t="shared" si="51"/>
        <v>* La variable Pueblos originarios No puede ser mayor al Total.* La variable Migrantes No puede ser mayor al Total.</v>
      </c>
      <c r="BR120" s="2465" t="str">
        <f t="shared" si="52"/>
        <v>* La variable Pueblos originarios No puede ser mayor al Total.</v>
      </c>
      <c r="BS120" s="2465" t="str">
        <f t="shared" si="53"/>
        <v>* La variable Migrantes No puede ser mayor al Total.</v>
      </c>
      <c r="BT120"/>
      <c r="BU120"/>
      <c r="BV120"/>
      <c r="BW120"/>
      <c r="BX120"/>
      <c r="BY120"/>
      <c r="CA120"/>
      <c r="CB120"/>
      <c r="CC120" s="1725">
        <f t="shared" si="54"/>
        <v>1</v>
      </c>
      <c r="CD120" s="1725">
        <f t="shared" si="55"/>
        <v>1</v>
      </c>
      <c r="CE120" s="1725"/>
    </row>
    <row r="121" spans="1:83" ht="15" customHeight="1" x14ac:dyDescent="0.3">
      <c r="A121" s="6248" t="s">
        <v>4354</v>
      </c>
      <c r="B121" s="6780"/>
      <c r="C121" s="1106" t="s">
        <v>33</v>
      </c>
      <c r="D121" s="2193" t="s">
        <v>5292</v>
      </c>
      <c r="E121" s="2194" t="s">
        <v>5293</v>
      </c>
      <c r="F121" s="2195" t="s">
        <v>5294</v>
      </c>
      <c r="G121" s="3" t="s">
        <v>5295</v>
      </c>
      <c r="H121" s="12" t="s">
        <v>5296</v>
      </c>
      <c r="I121" s="3" t="s">
        <v>5297</v>
      </c>
      <c r="J121" s="12" t="s">
        <v>5298</v>
      </c>
      <c r="K121" s="3" t="s">
        <v>5299</v>
      </c>
      <c r="L121" s="12" t="s">
        <v>5300</v>
      </c>
      <c r="M121" s="3" t="s">
        <v>5301</v>
      </c>
      <c r="N121" s="12" t="s">
        <v>5302</v>
      </c>
      <c r="O121" s="3" t="s">
        <v>5303</v>
      </c>
      <c r="P121" s="12" t="s">
        <v>5304</v>
      </c>
      <c r="Q121" s="3" t="s">
        <v>5305</v>
      </c>
      <c r="R121" s="12" t="s">
        <v>5306</v>
      </c>
      <c r="S121" s="3" t="s">
        <v>5307</v>
      </c>
      <c r="T121" s="12" t="s">
        <v>5308</v>
      </c>
      <c r="U121" s="3" t="s">
        <v>5309</v>
      </c>
      <c r="V121" s="12" t="s">
        <v>5310</v>
      </c>
      <c r="W121" s="3" t="s">
        <v>5311</v>
      </c>
      <c r="X121" s="12" t="s">
        <v>5312</v>
      </c>
      <c r="Y121" s="3" t="s">
        <v>5313</v>
      </c>
      <c r="Z121" s="12" t="s">
        <v>5314</v>
      </c>
      <c r="AA121" s="3" t="s">
        <v>5315</v>
      </c>
      <c r="AB121" s="12" t="s">
        <v>5316</v>
      </c>
      <c r="AC121" s="3" t="s">
        <v>5317</v>
      </c>
      <c r="AD121" s="12" t="s">
        <v>5318</v>
      </c>
      <c r="AE121" s="3" t="s">
        <v>5319</v>
      </c>
      <c r="AF121" s="12" t="s">
        <v>5320</v>
      </c>
      <c r="AG121" s="3" t="s">
        <v>5321</v>
      </c>
      <c r="AH121" s="5" t="s">
        <v>5322</v>
      </c>
      <c r="AI121" s="2290" t="s">
        <v>5323</v>
      </c>
      <c r="AJ121" s="30" t="s">
        <v>5324</v>
      </c>
      <c r="AK121" t="str">
        <f t="shared" si="51"/>
        <v>* La variable Pueblos originarios No puede ser mayor al Total.* La variable Migrantes No puede ser mayor al Total.</v>
      </c>
      <c r="BR121" s="2465" t="str">
        <f t="shared" si="52"/>
        <v>* La variable Pueblos originarios No puede ser mayor al Total.</v>
      </c>
      <c r="BS121" s="2465" t="str">
        <f t="shared" si="53"/>
        <v>* La variable Migrantes No puede ser mayor al Total.</v>
      </c>
      <c r="BT121"/>
      <c r="BU121"/>
      <c r="BV121"/>
      <c r="BW121"/>
      <c r="BX121"/>
      <c r="BY121"/>
      <c r="CA121"/>
      <c r="CB121"/>
      <c r="CC121" s="1725">
        <f t="shared" si="54"/>
        <v>1</v>
      </c>
      <c r="CD121" s="1725">
        <f t="shared" si="55"/>
        <v>1</v>
      </c>
      <c r="CE121" s="1725"/>
    </row>
    <row r="122" spans="1:83" ht="15" customHeight="1" x14ac:dyDescent="0.3">
      <c r="A122" s="6248" t="s">
        <v>4355</v>
      </c>
      <c r="B122" s="6859" t="s">
        <v>1954</v>
      </c>
      <c r="C122" s="6859"/>
      <c r="D122" s="2186" t="s">
        <v>5292</v>
      </c>
      <c r="E122" s="2187" t="s">
        <v>5293</v>
      </c>
      <c r="F122" s="2188" t="s">
        <v>5294</v>
      </c>
      <c r="G122" s="2134" t="s">
        <v>5295</v>
      </c>
      <c r="H122" s="2135" t="s">
        <v>5296</v>
      </c>
      <c r="I122" s="2134" t="s">
        <v>5297</v>
      </c>
      <c r="J122" s="2135" t="s">
        <v>5298</v>
      </c>
      <c r="K122" s="2134" t="s">
        <v>5299</v>
      </c>
      <c r="L122" s="2135" t="s">
        <v>5300</v>
      </c>
      <c r="M122" s="2134" t="s">
        <v>5301</v>
      </c>
      <c r="N122" s="2135" t="s">
        <v>5302</v>
      </c>
      <c r="O122" s="2134" t="s">
        <v>5303</v>
      </c>
      <c r="P122" s="2135" t="s">
        <v>5304</v>
      </c>
      <c r="Q122" s="2134" t="s">
        <v>5305</v>
      </c>
      <c r="R122" s="2135" t="s">
        <v>5306</v>
      </c>
      <c r="S122" s="2134" t="s">
        <v>5307</v>
      </c>
      <c r="T122" s="2135" t="s">
        <v>5308</v>
      </c>
      <c r="U122" s="2134" t="s">
        <v>5309</v>
      </c>
      <c r="V122" s="2135" t="s">
        <v>5310</v>
      </c>
      <c r="W122" s="2134" t="s">
        <v>5311</v>
      </c>
      <c r="X122" s="2135" t="s">
        <v>5312</v>
      </c>
      <c r="Y122" s="2134" t="s">
        <v>5313</v>
      </c>
      <c r="Z122" s="2135" t="s">
        <v>5314</v>
      </c>
      <c r="AA122" s="2134" t="s">
        <v>5315</v>
      </c>
      <c r="AB122" s="2135" t="s">
        <v>5316</v>
      </c>
      <c r="AC122" s="2134" t="s">
        <v>5317</v>
      </c>
      <c r="AD122" s="2135" t="s">
        <v>5318</v>
      </c>
      <c r="AE122" s="2134" t="s">
        <v>5319</v>
      </c>
      <c r="AF122" s="2135" t="s">
        <v>5320</v>
      </c>
      <c r="AG122" s="2134" t="s">
        <v>5321</v>
      </c>
      <c r="AH122" s="2196" t="s">
        <v>5322</v>
      </c>
      <c r="AI122" s="2655" t="s">
        <v>5323</v>
      </c>
      <c r="AJ122" s="2657" t="s">
        <v>5324</v>
      </c>
      <c r="AK122" t="str">
        <f t="shared" si="51"/>
        <v>* La variable Pueblos originarios No puede ser mayor al Total.* La variable Migrantes No puede ser mayor al Total.</v>
      </c>
      <c r="BR122" s="2465" t="str">
        <f t="shared" si="52"/>
        <v>* La variable Pueblos originarios No puede ser mayor al Total.</v>
      </c>
      <c r="BS122" s="2465" t="str">
        <f t="shared" si="53"/>
        <v>* La variable Migrantes No puede ser mayor al Total.</v>
      </c>
      <c r="BT122"/>
      <c r="BU122"/>
      <c r="BV122"/>
      <c r="BW122"/>
      <c r="BX122"/>
      <c r="BY122"/>
      <c r="CA122"/>
      <c r="CB122"/>
      <c r="CC122" s="1725">
        <f t="shared" si="54"/>
        <v>1</v>
      </c>
      <c r="CD122" s="1725">
        <f t="shared" si="55"/>
        <v>1</v>
      </c>
      <c r="CE122" s="1725"/>
    </row>
    <row r="123" spans="1:83" s="17" customFormat="1" ht="18" customHeight="1" x14ac:dyDescent="0.25">
      <c r="B123" s="2646" t="s">
        <v>1955</v>
      </c>
      <c r="C123" s="2646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2651"/>
      <c r="AN123" s="2651"/>
    </row>
    <row r="124" spans="1:83" x14ac:dyDescent="0.3">
      <c r="B124" s="6836" t="s">
        <v>23</v>
      </c>
      <c r="C124" s="6399"/>
      <c r="D124" s="6772" t="s">
        <v>24</v>
      </c>
      <c r="E124" s="6772"/>
      <c r="F124" s="6772"/>
      <c r="G124" s="6883" t="s">
        <v>30</v>
      </c>
      <c r="H124" s="6884"/>
      <c r="I124" s="6884"/>
      <c r="J124" s="6884"/>
      <c r="K124" s="6884"/>
      <c r="L124" s="6884"/>
      <c r="M124" s="6884"/>
      <c r="N124" s="6884"/>
      <c r="O124" s="6884"/>
      <c r="P124" s="6884"/>
      <c r="Q124" s="6884"/>
      <c r="R124" s="6884"/>
      <c r="S124" s="6884"/>
      <c r="T124" s="6884"/>
      <c r="U124" s="6884"/>
      <c r="V124" s="6884"/>
      <c r="W124" s="6884"/>
      <c r="X124" s="6884"/>
      <c r="Y124" s="6884"/>
      <c r="Z124" s="6884"/>
      <c r="AA124" s="6884"/>
      <c r="AB124" s="6884"/>
      <c r="AC124" s="6884"/>
      <c r="AD124" s="6884"/>
      <c r="AE124" s="6884"/>
      <c r="AF124" s="6884"/>
      <c r="AG124" s="6884"/>
      <c r="AH124" s="6894"/>
      <c r="AI124" s="6901" t="s">
        <v>1956</v>
      </c>
      <c r="AJ124" s="6902"/>
      <c r="AK124" s="6902"/>
      <c r="AL124" s="6903"/>
      <c r="AM124" s="6851" t="s">
        <v>2</v>
      </c>
      <c r="AN124" s="6772" t="s">
        <v>3</v>
      </c>
      <c r="BR124"/>
      <c r="BS124"/>
      <c r="BT124"/>
      <c r="BU124"/>
      <c r="BV124"/>
      <c r="BW124"/>
      <c r="BX124"/>
      <c r="BY124"/>
      <c r="CA124"/>
      <c r="CB124"/>
      <c r="CC124"/>
    </row>
    <row r="125" spans="1:83" x14ac:dyDescent="0.3">
      <c r="B125" s="6830"/>
      <c r="C125" s="6831"/>
      <c r="D125" s="6900"/>
      <c r="E125" s="6900"/>
      <c r="F125" s="6900"/>
      <c r="G125" s="6898" t="s">
        <v>4</v>
      </c>
      <c r="H125" s="6898"/>
      <c r="I125" s="6898" t="s">
        <v>5</v>
      </c>
      <c r="J125" s="6898"/>
      <c r="K125" s="6898" t="s">
        <v>6</v>
      </c>
      <c r="L125" s="6898"/>
      <c r="M125" s="6898" t="s">
        <v>7</v>
      </c>
      <c r="N125" s="6898"/>
      <c r="O125" s="6898" t="s">
        <v>8</v>
      </c>
      <c r="P125" s="6898"/>
      <c r="Q125" s="6898" t="s">
        <v>9</v>
      </c>
      <c r="R125" s="6898"/>
      <c r="S125" s="6898" t="s">
        <v>10</v>
      </c>
      <c r="T125" s="6898"/>
      <c r="U125" s="6898" t="s">
        <v>11</v>
      </c>
      <c r="V125" s="6898"/>
      <c r="W125" s="6898" t="s">
        <v>18</v>
      </c>
      <c r="X125" s="6898"/>
      <c r="Y125" s="6898" t="s">
        <v>19</v>
      </c>
      <c r="Z125" s="6898"/>
      <c r="AA125" s="6883" t="s">
        <v>20</v>
      </c>
      <c r="AB125" s="6885"/>
      <c r="AC125" s="6883" t="s">
        <v>70</v>
      </c>
      <c r="AD125" s="6885"/>
      <c r="AE125" s="6883" t="s">
        <v>71</v>
      </c>
      <c r="AF125" s="6885"/>
      <c r="AG125" s="6883" t="s">
        <v>32</v>
      </c>
      <c r="AH125" s="6894"/>
      <c r="AI125" s="6851" t="s">
        <v>1034</v>
      </c>
      <c r="AJ125" s="6772" t="s">
        <v>1179</v>
      </c>
      <c r="AK125" s="6772" t="s">
        <v>1035</v>
      </c>
      <c r="AL125" s="6906" t="s">
        <v>1957</v>
      </c>
      <c r="AM125" s="6904"/>
      <c r="AN125" s="6900"/>
      <c r="BR125"/>
      <c r="BS125"/>
      <c r="BT125"/>
      <c r="BU125"/>
      <c r="BV125"/>
      <c r="BW125"/>
      <c r="BX125"/>
      <c r="BY125"/>
      <c r="CA125"/>
      <c r="CB125"/>
      <c r="CC125"/>
    </row>
    <row r="126" spans="1:83" x14ac:dyDescent="0.3">
      <c r="B126" s="6890"/>
      <c r="C126" s="6853"/>
      <c r="D126" s="2128" t="s">
        <v>26</v>
      </c>
      <c r="E126" s="2652" t="s">
        <v>22</v>
      </c>
      <c r="F126" s="2644" t="s">
        <v>27</v>
      </c>
      <c r="G126" s="2637" t="s">
        <v>22</v>
      </c>
      <c r="H126" s="2559" t="s">
        <v>27</v>
      </c>
      <c r="I126" s="2637" t="s">
        <v>22</v>
      </c>
      <c r="J126" s="2559" t="s">
        <v>27</v>
      </c>
      <c r="K126" s="2637" t="s">
        <v>22</v>
      </c>
      <c r="L126" s="2559" t="s">
        <v>27</v>
      </c>
      <c r="M126" s="2637" t="s">
        <v>22</v>
      </c>
      <c r="N126" s="2559" t="s">
        <v>27</v>
      </c>
      <c r="O126" s="2637" t="s">
        <v>22</v>
      </c>
      <c r="P126" s="2559" t="s">
        <v>27</v>
      </c>
      <c r="Q126" s="2637" t="s">
        <v>22</v>
      </c>
      <c r="R126" s="2559" t="s">
        <v>27</v>
      </c>
      <c r="S126" s="2637" t="s">
        <v>22</v>
      </c>
      <c r="T126" s="2559" t="s">
        <v>27</v>
      </c>
      <c r="U126" s="2637" t="s">
        <v>22</v>
      </c>
      <c r="V126" s="2559" t="s">
        <v>27</v>
      </c>
      <c r="W126" s="2637" t="s">
        <v>22</v>
      </c>
      <c r="X126" s="2559" t="s">
        <v>27</v>
      </c>
      <c r="Y126" s="2637" t="s">
        <v>22</v>
      </c>
      <c r="Z126" s="2559" t="s">
        <v>27</v>
      </c>
      <c r="AA126" s="2637" t="s">
        <v>22</v>
      </c>
      <c r="AB126" s="2559" t="s">
        <v>27</v>
      </c>
      <c r="AC126" s="2637" t="s">
        <v>22</v>
      </c>
      <c r="AD126" s="2559" t="s">
        <v>27</v>
      </c>
      <c r="AE126" s="2637" t="s">
        <v>22</v>
      </c>
      <c r="AF126" s="2559" t="s">
        <v>27</v>
      </c>
      <c r="AG126" s="2637" t="s">
        <v>22</v>
      </c>
      <c r="AH126" s="2653" t="s">
        <v>27</v>
      </c>
      <c r="AI126" s="6905"/>
      <c r="AJ126" s="6774"/>
      <c r="AK126" s="6774"/>
      <c r="AL126" s="6907"/>
      <c r="AM126" s="6905"/>
      <c r="AN126" s="6896"/>
      <c r="BR126"/>
      <c r="BS126"/>
      <c r="BT126"/>
      <c r="BU126"/>
      <c r="BV126"/>
      <c r="BW126"/>
      <c r="BX126"/>
      <c r="BY126"/>
      <c r="CA126"/>
      <c r="CB126"/>
      <c r="CC126"/>
    </row>
    <row r="127" spans="1:83" x14ac:dyDescent="0.3">
      <c r="A127" s="6248" t="s">
        <v>4356</v>
      </c>
      <c r="B127" s="6869" t="s">
        <v>1958</v>
      </c>
      <c r="C127" s="6870"/>
      <c r="D127" s="2186" t="s">
        <v>5292</v>
      </c>
      <c r="E127" s="2197" t="s">
        <v>5293</v>
      </c>
      <c r="F127" s="2188" t="s">
        <v>5294</v>
      </c>
      <c r="G127" s="2198" t="s">
        <v>5295</v>
      </c>
      <c r="H127" s="2199" t="s">
        <v>5296</v>
      </c>
      <c r="I127" s="2198" t="s">
        <v>5297</v>
      </c>
      <c r="J127" s="2199" t="s">
        <v>5298</v>
      </c>
      <c r="K127" s="2198" t="s">
        <v>5299</v>
      </c>
      <c r="L127" s="2199" t="s">
        <v>5300</v>
      </c>
      <c r="M127" s="2198" t="s">
        <v>5301</v>
      </c>
      <c r="N127" s="2199" t="s">
        <v>5302</v>
      </c>
      <c r="O127" s="2198" t="s">
        <v>5303</v>
      </c>
      <c r="P127" s="2199" t="s">
        <v>5304</v>
      </c>
      <c r="Q127" s="2198" t="s">
        <v>5305</v>
      </c>
      <c r="R127" s="2199" t="s">
        <v>5306</v>
      </c>
      <c r="S127" s="2198" t="s">
        <v>5307</v>
      </c>
      <c r="T127" s="2199" t="s">
        <v>5308</v>
      </c>
      <c r="U127" s="2198" t="s">
        <v>5309</v>
      </c>
      <c r="V127" s="2199" t="s">
        <v>5310</v>
      </c>
      <c r="W127" s="2198" t="s">
        <v>5311</v>
      </c>
      <c r="X127" s="2199" t="s">
        <v>5312</v>
      </c>
      <c r="Y127" s="2198" t="s">
        <v>5313</v>
      </c>
      <c r="Z127" s="2199" t="s">
        <v>5314</v>
      </c>
      <c r="AA127" s="2198" t="s">
        <v>5315</v>
      </c>
      <c r="AB127" s="2199" t="s">
        <v>5316</v>
      </c>
      <c r="AC127" s="2198" t="s">
        <v>5317</v>
      </c>
      <c r="AD127" s="2199" t="s">
        <v>5318</v>
      </c>
      <c r="AE127" s="2198" t="s">
        <v>5319</v>
      </c>
      <c r="AF127" s="2199" t="s">
        <v>5320</v>
      </c>
      <c r="AG127" s="2198" t="s">
        <v>5321</v>
      </c>
      <c r="AH127" s="2200" t="s">
        <v>5322</v>
      </c>
      <c r="AI127" s="2201" t="s">
        <v>5323</v>
      </c>
      <c r="AJ127" s="2202" t="s">
        <v>5324</v>
      </c>
      <c r="AK127" s="2202" t="s">
        <v>5325</v>
      </c>
      <c r="AL127" s="2203" t="s">
        <v>5326</v>
      </c>
      <c r="AM127" s="2199" t="s">
        <v>5327</v>
      </c>
      <c r="AN127" s="2202" t="s">
        <v>5328</v>
      </c>
      <c r="AO127" t="e">
        <f>BR127&amp;BS127&amp;BT127</f>
        <v>#VALUE!</v>
      </c>
      <c r="BR127" s="2465" t="str">
        <f>IF(AND(D127&gt;0,AM127=""),"  * No olvide digitar la variable Pueblos originarios. Digite Cero si no tiene.",IF(AM127&gt;D127,"  * La variable Pueblos originarios No puede ser mayor al Total.",""))</f>
        <v xml:space="preserve">  * La variable Pueblos originarios No puede ser mayor al Total.</v>
      </c>
      <c r="BS127" s="2465" t="str">
        <f>IF(AND(D127&gt;0,AN127=""),"  * No olvide digitar la variable Migrantes. Digite Cero si no tiene.",IF(AN127&gt;D127,"  * La variable Migrantes No puede ser mayor al Total.",""))</f>
        <v xml:space="preserve">  * La variable Migrantes No puede ser mayor al Total.</v>
      </c>
      <c r="BT127" s="1723" t="e">
        <f>IF(OR(AI127+AJ127+AK127+AL127&gt;D127,)," ** La suma de Causal de Egresos no deben ser mayor que el total Ambos Sexos","")</f>
        <v>#VALUE!</v>
      </c>
      <c r="BU127"/>
      <c r="BV127"/>
      <c r="BW127"/>
      <c r="BX127"/>
      <c r="BY127"/>
      <c r="CA127"/>
      <c r="CB127"/>
      <c r="CC127" s="1725">
        <f>IF(AND(D127&gt;0,AM127=""),1,IF(AM127&gt;D127,1,0))</f>
        <v>1</v>
      </c>
      <c r="CD127" s="1725">
        <f>IF(AND(D127&gt;0,AN127=""),1,IF(AN127&gt;D127,1,0))</f>
        <v>1</v>
      </c>
      <c r="CE127" s="1725" t="e">
        <f>IF((AI127+AJ127+AK127+AL127)&gt;D127,1,0)</f>
        <v>#VALUE!</v>
      </c>
    </row>
    <row r="128" spans="1:83" x14ac:dyDescent="0.3">
      <c r="A128" s="6248" t="s">
        <v>4357</v>
      </c>
      <c r="B128" s="6781" t="s">
        <v>1947</v>
      </c>
      <c r="C128" s="2204" t="s">
        <v>1948</v>
      </c>
      <c r="D128" s="2189" t="s">
        <v>5292</v>
      </c>
      <c r="E128" s="2190" t="s">
        <v>5293</v>
      </c>
      <c r="F128" s="2191" t="s">
        <v>5294</v>
      </c>
      <c r="G128" s="2198" t="s">
        <v>5295</v>
      </c>
      <c r="H128" s="2199" t="s">
        <v>5296</v>
      </c>
      <c r="I128" s="2198" t="s">
        <v>5297</v>
      </c>
      <c r="J128" s="2199" t="s">
        <v>5298</v>
      </c>
      <c r="K128" s="2198" t="s">
        <v>5299</v>
      </c>
      <c r="L128" s="2199" t="s">
        <v>5300</v>
      </c>
      <c r="M128" s="2198" t="s">
        <v>5301</v>
      </c>
      <c r="N128" s="2199" t="s">
        <v>5302</v>
      </c>
      <c r="O128" s="2198" t="s">
        <v>5303</v>
      </c>
      <c r="P128" s="2199" t="s">
        <v>5304</v>
      </c>
      <c r="Q128" s="2198" t="s">
        <v>5305</v>
      </c>
      <c r="R128" s="2199" t="s">
        <v>5306</v>
      </c>
      <c r="S128" s="2198" t="s">
        <v>5307</v>
      </c>
      <c r="T128" s="2199" t="s">
        <v>5308</v>
      </c>
      <c r="U128" s="2198" t="s">
        <v>5309</v>
      </c>
      <c r="V128" s="2199" t="s">
        <v>5310</v>
      </c>
      <c r="W128" s="2198" t="s">
        <v>5311</v>
      </c>
      <c r="X128" s="2199" t="s">
        <v>5312</v>
      </c>
      <c r="Y128" s="2198" t="s">
        <v>5313</v>
      </c>
      <c r="Z128" s="2199" t="s">
        <v>5314</v>
      </c>
      <c r="AA128" s="2198" t="s">
        <v>5315</v>
      </c>
      <c r="AB128" s="2199" t="s">
        <v>5316</v>
      </c>
      <c r="AC128" s="2198" t="s">
        <v>5317</v>
      </c>
      <c r="AD128" s="2199" t="s">
        <v>5318</v>
      </c>
      <c r="AE128" s="2198" t="s">
        <v>5319</v>
      </c>
      <c r="AF128" s="2199" t="s">
        <v>5320</v>
      </c>
      <c r="AG128" s="2198" t="s">
        <v>5321</v>
      </c>
      <c r="AH128" s="2200" t="s">
        <v>5322</v>
      </c>
      <c r="AI128" s="2201" t="s">
        <v>5323</v>
      </c>
      <c r="AJ128" s="2202" t="s">
        <v>5324</v>
      </c>
      <c r="AK128" s="2202" t="s">
        <v>5325</v>
      </c>
      <c r="AL128" s="2203" t="s">
        <v>5326</v>
      </c>
      <c r="AM128" s="2199" t="s">
        <v>5327</v>
      </c>
      <c r="AN128" s="2202" t="s">
        <v>5328</v>
      </c>
      <c r="AO128" t="e">
        <f t="shared" ref="AO128:AO134" si="56">BR128&amp;BS128&amp;BT128</f>
        <v>#VALUE!</v>
      </c>
      <c r="BR128" s="2465" t="str">
        <f t="shared" ref="BR128:BR134" si="57">IF(AND(D128&gt;0,AM128=""),"  * No olvide digitar la variable Pueblos originarios. Digite Cero si no tiene.",IF(AM128&gt;D128,"  * La variable Pueblos originarios No puede ser mayor al Total.",""))</f>
        <v xml:space="preserve">  * La variable Pueblos originarios No puede ser mayor al Total.</v>
      </c>
      <c r="BS128" s="2465" t="str">
        <f t="shared" ref="BS128:BS134" si="58">IF(AND(D128&gt;0,AN128=""),"  * No olvide digitar la variable Migrantes. Digite Cero si no tiene.",IF(AN128&gt;D128,"  * La variable Migrantes No puede ser mayor al Total.",""))</f>
        <v xml:space="preserve">  * La variable Migrantes No puede ser mayor al Total.</v>
      </c>
      <c r="BT128" s="1723" t="e">
        <f t="shared" ref="BT128:BT134" si="59">IF(OR(AI128+AJ128+AK128+AL128&gt;D128,)," ** La suma de Causal de Egresos no deben ser mayor que el total Ambos Sexos","")</f>
        <v>#VALUE!</v>
      </c>
      <c r="BU128"/>
      <c r="BV128"/>
      <c r="BW128"/>
      <c r="BX128"/>
      <c r="BY128"/>
      <c r="CA128"/>
      <c r="CB128"/>
      <c r="CC128" s="1725">
        <f t="shared" ref="CC128:CC134" si="60">IF(AND(D128&gt;0,AM128=""),1,IF(AM128&gt;D128,1,0))</f>
        <v>1</v>
      </c>
      <c r="CD128" s="1725">
        <f t="shared" ref="CD128:CD134" si="61">IF(AND(D128&gt;0,AN128=""),1,IF(AN128&gt;D128,1,0))</f>
        <v>1</v>
      </c>
      <c r="CE128" s="1725" t="e">
        <f t="shared" ref="CE128:CE134" si="62">IF((AI128+AJ128+AK128+AL128)&gt;D128,1,0)</f>
        <v>#VALUE!</v>
      </c>
    </row>
    <row r="129" spans="1:83" x14ac:dyDescent="0.3">
      <c r="A129" s="6248" t="s">
        <v>4358</v>
      </c>
      <c r="B129" s="6899"/>
      <c r="C129" s="1105" t="s">
        <v>1949</v>
      </c>
      <c r="D129" s="2167" t="s">
        <v>5292</v>
      </c>
      <c r="E129" s="2168" t="s">
        <v>5293</v>
      </c>
      <c r="F129" s="2192" t="s">
        <v>5294</v>
      </c>
      <c r="G129" s="1095" t="s">
        <v>5295</v>
      </c>
      <c r="H129" s="8" t="s">
        <v>5296</v>
      </c>
      <c r="I129" s="1095" t="s">
        <v>5297</v>
      </c>
      <c r="J129" s="8" t="s">
        <v>5298</v>
      </c>
      <c r="K129" s="1095" t="s">
        <v>5299</v>
      </c>
      <c r="L129" s="8" t="s">
        <v>5300</v>
      </c>
      <c r="M129" s="1095" t="s">
        <v>5301</v>
      </c>
      <c r="N129" s="8" t="s">
        <v>5302</v>
      </c>
      <c r="O129" s="1095" t="s">
        <v>5303</v>
      </c>
      <c r="P129" s="8" t="s">
        <v>5304</v>
      </c>
      <c r="Q129" s="1095" t="s">
        <v>5305</v>
      </c>
      <c r="R129" s="8" t="s">
        <v>5306</v>
      </c>
      <c r="S129" s="1095" t="s">
        <v>5307</v>
      </c>
      <c r="T129" s="8" t="s">
        <v>5308</v>
      </c>
      <c r="U129" s="1095" t="s">
        <v>5309</v>
      </c>
      <c r="V129" s="8" t="s">
        <v>5310</v>
      </c>
      <c r="W129" s="1095" t="s">
        <v>5311</v>
      </c>
      <c r="X129" s="8" t="s">
        <v>5312</v>
      </c>
      <c r="Y129" s="1095" t="s">
        <v>5313</v>
      </c>
      <c r="Z129" s="8" t="s">
        <v>5314</v>
      </c>
      <c r="AA129" s="1095" t="s">
        <v>5315</v>
      </c>
      <c r="AB129" s="8" t="s">
        <v>5316</v>
      </c>
      <c r="AC129" s="1095" t="s">
        <v>5317</v>
      </c>
      <c r="AD129" s="8" t="s">
        <v>5318</v>
      </c>
      <c r="AE129" s="1095" t="s">
        <v>5319</v>
      </c>
      <c r="AF129" s="8" t="s">
        <v>5320</v>
      </c>
      <c r="AG129" s="1095" t="s">
        <v>5321</v>
      </c>
      <c r="AH129" s="2114" t="s">
        <v>5322</v>
      </c>
      <c r="AI129" s="1424" t="s">
        <v>5323</v>
      </c>
      <c r="AJ129" s="1092" t="s">
        <v>5324</v>
      </c>
      <c r="AK129" s="1092" t="s">
        <v>5325</v>
      </c>
      <c r="AL129" s="1093" t="s">
        <v>5326</v>
      </c>
      <c r="AM129" s="8" t="s">
        <v>5327</v>
      </c>
      <c r="AN129" s="1092" t="s">
        <v>5328</v>
      </c>
      <c r="AO129" t="e">
        <f t="shared" si="56"/>
        <v>#VALUE!</v>
      </c>
      <c r="BR129" s="2465" t="str">
        <f t="shared" si="57"/>
        <v xml:space="preserve">  * La variable Pueblos originarios No puede ser mayor al Total.</v>
      </c>
      <c r="BS129" s="2465" t="str">
        <f t="shared" si="58"/>
        <v xml:space="preserve">  * La variable Migrantes No puede ser mayor al Total.</v>
      </c>
      <c r="BT129" s="1723" t="e">
        <f t="shared" si="59"/>
        <v>#VALUE!</v>
      </c>
      <c r="BU129"/>
      <c r="BV129"/>
      <c r="BW129"/>
      <c r="BX129"/>
      <c r="BY129"/>
      <c r="CA129"/>
      <c r="CB129"/>
      <c r="CC129" s="1725">
        <f t="shared" si="60"/>
        <v>1</v>
      </c>
      <c r="CD129" s="1725">
        <f t="shared" si="61"/>
        <v>1</v>
      </c>
      <c r="CE129" s="1725" t="e">
        <f t="shared" si="62"/>
        <v>#VALUE!</v>
      </c>
    </row>
    <row r="130" spans="1:83" x14ac:dyDescent="0.3">
      <c r="A130" s="6248" t="s">
        <v>4359</v>
      </c>
      <c r="B130" s="6899"/>
      <c r="C130" s="1105" t="s">
        <v>1950</v>
      </c>
      <c r="D130" s="2167" t="s">
        <v>5292</v>
      </c>
      <c r="E130" s="2168" t="s">
        <v>5293</v>
      </c>
      <c r="F130" s="2192" t="s">
        <v>5294</v>
      </c>
      <c r="G130" s="1095" t="s">
        <v>5295</v>
      </c>
      <c r="H130" s="8" t="s">
        <v>5296</v>
      </c>
      <c r="I130" s="1095" t="s">
        <v>5297</v>
      </c>
      <c r="J130" s="8" t="s">
        <v>5298</v>
      </c>
      <c r="K130" s="1095" t="s">
        <v>5299</v>
      </c>
      <c r="L130" s="8" t="s">
        <v>5300</v>
      </c>
      <c r="M130" s="1095" t="s">
        <v>5301</v>
      </c>
      <c r="N130" s="8" t="s">
        <v>5302</v>
      </c>
      <c r="O130" s="1095" t="s">
        <v>5303</v>
      </c>
      <c r="P130" s="8" t="s">
        <v>5304</v>
      </c>
      <c r="Q130" s="1095" t="s">
        <v>5305</v>
      </c>
      <c r="R130" s="8" t="s">
        <v>5306</v>
      </c>
      <c r="S130" s="1095" t="s">
        <v>5307</v>
      </c>
      <c r="T130" s="8" t="s">
        <v>5308</v>
      </c>
      <c r="U130" s="1095" t="s">
        <v>5309</v>
      </c>
      <c r="V130" s="8" t="s">
        <v>5310</v>
      </c>
      <c r="W130" s="1095" t="s">
        <v>5311</v>
      </c>
      <c r="X130" s="8" t="s">
        <v>5312</v>
      </c>
      <c r="Y130" s="1095" t="s">
        <v>5313</v>
      </c>
      <c r="Z130" s="8" t="s">
        <v>5314</v>
      </c>
      <c r="AA130" s="1095" t="s">
        <v>5315</v>
      </c>
      <c r="AB130" s="8" t="s">
        <v>5316</v>
      </c>
      <c r="AC130" s="1095" t="s">
        <v>5317</v>
      </c>
      <c r="AD130" s="8" t="s">
        <v>5318</v>
      </c>
      <c r="AE130" s="1095" t="s">
        <v>5319</v>
      </c>
      <c r="AF130" s="8" t="s">
        <v>5320</v>
      </c>
      <c r="AG130" s="1095" t="s">
        <v>5321</v>
      </c>
      <c r="AH130" s="2114" t="s">
        <v>5322</v>
      </c>
      <c r="AI130" s="1424" t="s">
        <v>5323</v>
      </c>
      <c r="AJ130" s="1092" t="s">
        <v>5324</v>
      </c>
      <c r="AK130" s="1092" t="s">
        <v>5325</v>
      </c>
      <c r="AL130" s="1093" t="s">
        <v>5326</v>
      </c>
      <c r="AM130" s="8" t="s">
        <v>5327</v>
      </c>
      <c r="AN130" s="1092" t="s">
        <v>5328</v>
      </c>
      <c r="AO130" t="e">
        <f t="shared" si="56"/>
        <v>#VALUE!</v>
      </c>
      <c r="BR130" s="2465" t="str">
        <f t="shared" si="57"/>
        <v xml:space="preserve">  * La variable Pueblos originarios No puede ser mayor al Total.</v>
      </c>
      <c r="BS130" s="2465" t="str">
        <f t="shared" si="58"/>
        <v xml:space="preserve">  * La variable Migrantes No puede ser mayor al Total.</v>
      </c>
      <c r="BT130" s="1723" t="e">
        <f t="shared" si="59"/>
        <v>#VALUE!</v>
      </c>
      <c r="BU130"/>
      <c r="BV130"/>
      <c r="BW130"/>
      <c r="BX130"/>
      <c r="BY130"/>
      <c r="CA130"/>
      <c r="CB130"/>
      <c r="CC130" s="1725">
        <f t="shared" si="60"/>
        <v>1</v>
      </c>
      <c r="CD130" s="1725">
        <f t="shared" si="61"/>
        <v>1</v>
      </c>
      <c r="CE130" s="1725" t="e">
        <f t="shared" si="62"/>
        <v>#VALUE!</v>
      </c>
    </row>
    <row r="131" spans="1:83" ht="21.6" x14ac:dyDescent="0.3">
      <c r="A131" s="6248" t="s">
        <v>4360</v>
      </c>
      <c r="B131" s="6899"/>
      <c r="C131" s="1094" t="s">
        <v>1951</v>
      </c>
      <c r="D131" s="2167" t="s">
        <v>5292</v>
      </c>
      <c r="E131" s="2168" t="s">
        <v>5293</v>
      </c>
      <c r="F131" s="2192" t="s">
        <v>5294</v>
      </c>
      <c r="G131" s="1095" t="s">
        <v>5295</v>
      </c>
      <c r="H131" s="8" t="s">
        <v>5296</v>
      </c>
      <c r="I131" s="1095" t="s">
        <v>5297</v>
      </c>
      <c r="J131" s="8" t="s">
        <v>5298</v>
      </c>
      <c r="K131" s="1095" t="s">
        <v>5299</v>
      </c>
      <c r="L131" s="8" t="s">
        <v>5300</v>
      </c>
      <c r="M131" s="1095" t="s">
        <v>5301</v>
      </c>
      <c r="N131" s="8" t="s">
        <v>5302</v>
      </c>
      <c r="O131" s="1095" t="s">
        <v>5303</v>
      </c>
      <c r="P131" s="8" t="s">
        <v>5304</v>
      </c>
      <c r="Q131" s="1095" t="s">
        <v>5305</v>
      </c>
      <c r="R131" s="8" t="s">
        <v>5306</v>
      </c>
      <c r="S131" s="1095" t="s">
        <v>5307</v>
      </c>
      <c r="T131" s="8" t="s">
        <v>5308</v>
      </c>
      <c r="U131" s="1095" t="s">
        <v>5309</v>
      </c>
      <c r="V131" s="8" t="s">
        <v>5310</v>
      </c>
      <c r="W131" s="1095" t="s">
        <v>5311</v>
      </c>
      <c r="X131" s="8" t="s">
        <v>5312</v>
      </c>
      <c r="Y131" s="1095" t="s">
        <v>5313</v>
      </c>
      <c r="Z131" s="8" t="s">
        <v>5314</v>
      </c>
      <c r="AA131" s="1095" t="s">
        <v>5315</v>
      </c>
      <c r="AB131" s="8" t="s">
        <v>5316</v>
      </c>
      <c r="AC131" s="1095" t="s">
        <v>5317</v>
      </c>
      <c r="AD131" s="8" t="s">
        <v>5318</v>
      </c>
      <c r="AE131" s="1095" t="s">
        <v>5319</v>
      </c>
      <c r="AF131" s="8" t="s">
        <v>5320</v>
      </c>
      <c r="AG131" s="1095" t="s">
        <v>5321</v>
      </c>
      <c r="AH131" s="2114" t="s">
        <v>5322</v>
      </c>
      <c r="AI131" s="1424" t="s">
        <v>5323</v>
      </c>
      <c r="AJ131" s="1092" t="s">
        <v>5324</v>
      </c>
      <c r="AK131" s="1092" t="s">
        <v>5325</v>
      </c>
      <c r="AL131" s="1093" t="s">
        <v>5326</v>
      </c>
      <c r="AM131" s="8" t="s">
        <v>5327</v>
      </c>
      <c r="AN131" s="1092" t="s">
        <v>5328</v>
      </c>
      <c r="AO131" t="e">
        <f t="shared" si="56"/>
        <v>#VALUE!</v>
      </c>
      <c r="BR131" s="2465" t="str">
        <f t="shared" si="57"/>
        <v xml:space="preserve">  * La variable Pueblos originarios No puede ser mayor al Total.</v>
      </c>
      <c r="BS131" s="2465" t="str">
        <f t="shared" si="58"/>
        <v xml:space="preserve">  * La variable Migrantes No puede ser mayor al Total.</v>
      </c>
      <c r="BT131" s="1723" t="e">
        <f t="shared" si="59"/>
        <v>#VALUE!</v>
      </c>
      <c r="BU131"/>
      <c r="BV131"/>
      <c r="BW131"/>
      <c r="BX131"/>
      <c r="BY131"/>
      <c r="CA131"/>
      <c r="CB131"/>
      <c r="CC131" s="1725">
        <f t="shared" si="60"/>
        <v>1</v>
      </c>
      <c r="CD131" s="1725">
        <f t="shared" si="61"/>
        <v>1</v>
      </c>
      <c r="CE131" s="1725" t="e">
        <f t="shared" si="62"/>
        <v>#VALUE!</v>
      </c>
    </row>
    <row r="132" spans="1:83" x14ac:dyDescent="0.3">
      <c r="A132" s="6248" t="s">
        <v>4361</v>
      </c>
      <c r="B132" s="6899"/>
      <c r="C132" s="1094" t="s">
        <v>1952</v>
      </c>
      <c r="D132" s="2167" t="s">
        <v>5292</v>
      </c>
      <c r="E132" s="2168" t="s">
        <v>5293</v>
      </c>
      <c r="F132" s="2192" t="s">
        <v>5294</v>
      </c>
      <c r="G132" s="9" t="s">
        <v>5295</v>
      </c>
      <c r="H132" s="11" t="s">
        <v>5296</v>
      </c>
      <c r="I132" s="9" t="s">
        <v>5297</v>
      </c>
      <c r="J132" s="11" t="s">
        <v>5298</v>
      </c>
      <c r="K132" s="9" t="s">
        <v>5299</v>
      </c>
      <c r="L132" s="11" t="s">
        <v>5300</v>
      </c>
      <c r="M132" s="9" t="s">
        <v>5301</v>
      </c>
      <c r="N132" s="11" t="s">
        <v>5302</v>
      </c>
      <c r="O132" s="9" t="s">
        <v>5303</v>
      </c>
      <c r="P132" s="11" t="s">
        <v>5304</v>
      </c>
      <c r="Q132" s="9" t="s">
        <v>5305</v>
      </c>
      <c r="R132" s="11" t="s">
        <v>5306</v>
      </c>
      <c r="S132" s="9" t="s">
        <v>5307</v>
      </c>
      <c r="T132" s="11" t="s">
        <v>5308</v>
      </c>
      <c r="U132" s="9" t="s">
        <v>5309</v>
      </c>
      <c r="V132" s="11" t="s">
        <v>5310</v>
      </c>
      <c r="W132" s="9" t="s">
        <v>5311</v>
      </c>
      <c r="X132" s="11" t="s">
        <v>5312</v>
      </c>
      <c r="Y132" s="9" t="s">
        <v>5313</v>
      </c>
      <c r="Z132" s="11" t="s">
        <v>5314</v>
      </c>
      <c r="AA132" s="9" t="s">
        <v>5315</v>
      </c>
      <c r="AB132" s="11" t="s">
        <v>5316</v>
      </c>
      <c r="AC132" s="9" t="s">
        <v>5317</v>
      </c>
      <c r="AD132" s="11" t="s">
        <v>5318</v>
      </c>
      <c r="AE132" s="9" t="s">
        <v>5319</v>
      </c>
      <c r="AF132" s="11" t="s">
        <v>5320</v>
      </c>
      <c r="AG132" s="9" t="s">
        <v>5321</v>
      </c>
      <c r="AH132" s="1696" t="s">
        <v>5322</v>
      </c>
      <c r="AI132" s="26" t="s">
        <v>5323</v>
      </c>
      <c r="AJ132" s="27" t="s">
        <v>5324</v>
      </c>
      <c r="AK132" s="27" t="s">
        <v>5325</v>
      </c>
      <c r="AL132" s="1696" t="s">
        <v>5326</v>
      </c>
      <c r="AM132" s="11" t="s">
        <v>5327</v>
      </c>
      <c r="AN132" s="27" t="s">
        <v>5328</v>
      </c>
      <c r="AO132" t="e">
        <f t="shared" si="56"/>
        <v>#VALUE!</v>
      </c>
      <c r="BR132" s="2465" t="str">
        <f t="shared" si="57"/>
        <v xml:space="preserve">  * La variable Pueblos originarios No puede ser mayor al Total.</v>
      </c>
      <c r="BS132" s="2465" t="str">
        <f t="shared" si="58"/>
        <v xml:space="preserve">  * La variable Migrantes No puede ser mayor al Total.</v>
      </c>
      <c r="BT132" s="1723" t="e">
        <f t="shared" si="59"/>
        <v>#VALUE!</v>
      </c>
      <c r="BU132"/>
      <c r="BV132"/>
      <c r="BW132"/>
      <c r="BX132"/>
      <c r="BY132"/>
      <c r="CA132"/>
      <c r="CB132"/>
      <c r="CC132" s="1725">
        <f t="shared" si="60"/>
        <v>1</v>
      </c>
      <c r="CD132" s="1725">
        <f t="shared" si="61"/>
        <v>1</v>
      </c>
      <c r="CE132" s="1725" t="e">
        <f t="shared" si="62"/>
        <v>#VALUE!</v>
      </c>
    </row>
    <row r="133" spans="1:83" x14ac:dyDescent="0.3">
      <c r="A133" s="6248" t="s">
        <v>4362</v>
      </c>
      <c r="B133" s="6899"/>
      <c r="C133" s="1694" t="s">
        <v>1953</v>
      </c>
      <c r="D133" s="2167" t="s">
        <v>5292</v>
      </c>
      <c r="E133" s="2168" t="s">
        <v>5293</v>
      </c>
      <c r="F133" s="2192" t="s">
        <v>5294</v>
      </c>
      <c r="G133" s="9" t="s">
        <v>5295</v>
      </c>
      <c r="H133" s="11" t="s">
        <v>5296</v>
      </c>
      <c r="I133" s="9" t="s">
        <v>5297</v>
      </c>
      <c r="J133" s="11" t="s">
        <v>5298</v>
      </c>
      <c r="K133" s="9" t="s">
        <v>5299</v>
      </c>
      <c r="L133" s="11" t="s">
        <v>5300</v>
      </c>
      <c r="M133" s="9" t="s">
        <v>5301</v>
      </c>
      <c r="N133" s="11" t="s">
        <v>5302</v>
      </c>
      <c r="O133" s="9" t="s">
        <v>5303</v>
      </c>
      <c r="P133" s="11" t="s">
        <v>5304</v>
      </c>
      <c r="Q133" s="9" t="s">
        <v>5305</v>
      </c>
      <c r="R133" s="11" t="s">
        <v>5306</v>
      </c>
      <c r="S133" s="9" t="s">
        <v>5307</v>
      </c>
      <c r="T133" s="11" t="s">
        <v>5308</v>
      </c>
      <c r="U133" s="9" t="s">
        <v>5309</v>
      </c>
      <c r="V133" s="11" t="s">
        <v>5310</v>
      </c>
      <c r="W133" s="9" t="s">
        <v>5311</v>
      </c>
      <c r="X133" s="11" t="s">
        <v>5312</v>
      </c>
      <c r="Y133" s="9" t="s">
        <v>5313</v>
      </c>
      <c r="Z133" s="11" t="s">
        <v>5314</v>
      </c>
      <c r="AA133" s="9" t="s">
        <v>5315</v>
      </c>
      <c r="AB133" s="11" t="s">
        <v>5316</v>
      </c>
      <c r="AC133" s="9" t="s">
        <v>5317</v>
      </c>
      <c r="AD133" s="11" t="s">
        <v>5318</v>
      </c>
      <c r="AE133" s="9" t="s">
        <v>5319</v>
      </c>
      <c r="AF133" s="11" t="s">
        <v>5320</v>
      </c>
      <c r="AG133" s="9" t="s">
        <v>5321</v>
      </c>
      <c r="AH133" s="1696" t="s">
        <v>5322</v>
      </c>
      <c r="AI133" s="26" t="s">
        <v>5323</v>
      </c>
      <c r="AJ133" s="27" t="s">
        <v>5324</v>
      </c>
      <c r="AK133" s="27" t="s">
        <v>5325</v>
      </c>
      <c r="AL133" s="1696" t="s">
        <v>5326</v>
      </c>
      <c r="AM133" s="11" t="s">
        <v>5327</v>
      </c>
      <c r="AN133" s="27" t="s">
        <v>5328</v>
      </c>
      <c r="AO133" t="e">
        <f>BR133&amp;BS133&amp;BT133</f>
        <v>#VALUE!</v>
      </c>
      <c r="BR133" s="2465" t="str">
        <f t="shared" si="57"/>
        <v xml:space="preserve">  * La variable Pueblos originarios No puede ser mayor al Total.</v>
      </c>
      <c r="BS133" s="2465" t="str">
        <f t="shared" si="58"/>
        <v xml:space="preserve">  * La variable Migrantes No puede ser mayor al Total.</v>
      </c>
      <c r="BT133" s="1723" t="e">
        <f t="shared" si="59"/>
        <v>#VALUE!</v>
      </c>
      <c r="BU133"/>
      <c r="BV133"/>
      <c r="BW133"/>
      <c r="BX133"/>
      <c r="BY133"/>
      <c r="CA133"/>
      <c r="CB133"/>
      <c r="CC133" s="1725">
        <f t="shared" si="60"/>
        <v>1</v>
      </c>
      <c r="CD133" s="1725">
        <f t="shared" si="61"/>
        <v>1</v>
      </c>
      <c r="CE133" s="1725" t="e">
        <f t="shared" si="62"/>
        <v>#VALUE!</v>
      </c>
    </row>
    <row r="134" spans="1:83" x14ac:dyDescent="0.3">
      <c r="A134" s="6248" t="s">
        <v>4363</v>
      </c>
      <c r="B134" s="6908"/>
      <c r="C134" s="1106" t="s">
        <v>33</v>
      </c>
      <c r="D134" s="2205" t="s">
        <v>5292</v>
      </c>
      <c r="E134" s="28" t="s">
        <v>5293</v>
      </c>
      <c r="F134" s="2206" t="s">
        <v>5294</v>
      </c>
      <c r="G134" s="3" t="s">
        <v>5295</v>
      </c>
      <c r="H134" s="12" t="s">
        <v>5296</v>
      </c>
      <c r="I134" s="3" t="s">
        <v>5297</v>
      </c>
      <c r="J134" s="12" t="s">
        <v>5298</v>
      </c>
      <c r="K134" s="3" t="s">
        <v>5299</v>
      </c>
      <c r="L134" s="12" t="s">
        <v>5300</v>
      </c>
      <c r="M134" s="3" t="s">
        <v>5301</v>
      </c>
      <c r="N134" s="12" t="s">
        <v>5302</v>
      </c>
      <c r="O134" s="3" t="s">
        <v>5303</v>
      </c>
      <c r="P134" s="12" t="s">
        <v>5304</v>
      </c>
      <c r="Q134" s="3" t="s">
        <v>5305</v>
      </c>
      <c r="R134" s="12" t="s">
        <v>5306</v>
      </c>
      <c r="S134" s="3" t="s">
        <v>5307</v>
      </c>
      <c r="T134" s="12" t="s">
        <v>5308</v>
      </c>
      <c r="U134" s="3" t="s">
        <v>5309</v>
      </c>
      <c r="V134" s="12" t="s">
        <v>5310</v>
      </c>
      <c r="W134" s="3" t="s">
        <v>5311</v>
      </c>
      <c r="X134" s="12" t="s">
        <v>5312</v>
      </c>
      <c r="Y134" s="3" t="s">
        <v>5313</v>
      </c>
      <c r="Z134" s="12" t="s">
        <v>5314</v>
      </c>
      <c r="AA134" s="3" t="s">
        <v>5315</v>
      </c>
      <c r="AB134" s="12" t="s">
        <v>5316</v>
      </c>
      <c r="AC134" s="3" t="s">
        <v>5317</v>
      </c>
      <c r="AD134" s="12" t="s">
        <v>5318</v>
      </c>
      <c r="AE134" s="3" t="s">
        <v>5319</v>
      </c>
      <c r="AF134" s="12" t="s">
        <v>5320</v>
      </c>
      <c r="AG134" s="3" t="s">
        <v>5321</v>
      </c>
      <c r="AH134" s="1698" t="s">
        <v>5322</v>
      </c>
      <c r="AI134" s="29" t="s">
        <v>5323</v>
      </c>
      <c r="AJ134" s="30" t="s">
        <v>5324</v>
      </c>
      <c r="AK134" s="30" t="s">
        <v>5325</v>
      </c>
      <c r="AL134" s="1698" t="s">
        <v>5326</v>
      </c>
      <c r="AM134" s="12" t="s">
        <v>5327</v>
      </c>
      <c r="AN134" s="30" t="s">
        <v>5328</v>
      </c>
      <c r="AO134" t="e">
        <f t="shared" si="56"/>
        <v>#VALUE!</v>
      </c>
      <c r="BR134" s="2465" t="str">
        <f t="shared" si="57"/>
        <v xml:space="preserve">  * La variable Pueblos originarios No puede ser mayor al Total.</v>
      </c>
      <c r="BS134" s="2465" t="str">
        <f t="shared" si="58"/>
        <v xml:space="preserve">  * La variable Migrantes No puede ser mayor al Total.</v>
      </c>
      <c r="BT134" s="1723" t="e">
        <f t="shared" si="59"/>
        <v>#VALUE!</v>
      </c>
      <c r="BU134"/>
      <c r="BV134"/>
      <c r="BW134"/>
      <c r="BX134"/>
      <c r="BY134"/>
      <c r="CA134"/>
      <c r="CB134"/>
      <c r="CC134" s="1725">
        <f t="shared" si="60"/>
        <v>1</v>
      </c>
      <c r="CD134" s="1725">
        <f t="shared" si="61"/>
        <v>1</v>
      </c>
      <c r="CE134" s="1725" t="e">
        <f t="shared" si="62"/>
        <v>#VALUE!</v>
      </c>
    </row>
    <row r="135" spans="1:83" s="17" customFormat="1" ht="18" customHeight="1" x14ac:dyDescent="0.25">
      <c r="B135" s="2646" t="s">
        <v>1959</v>
      </c>
      <c r="C135" s="2646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</row>
    <row r="136" spans="1:83" ht="15" customHeight="1" x14ac:dyDescent="0.3">
      <c r="B136" s="6836" t="s">
        <v>23</v>
      </c>
      <c r="C136" s="6399"/>
      <c r="D136" s="6836" t="s">
        <v>24</v>
      </c>
      <c r="E136" s="6891"/>
      <c r="F136" s="6399"/>
      <c r="G136" s="6883" t="s">
        <v>30</v>
      </c>
      <c r="H136" s="6884"/>
      <c r="I136" s="6884"/>
      <c r="J136" s="6884"/>
      <c r="K136" s="6884"/>
      <c r="L136" s="6884"/>
      <c r="M136" s="6884"/>
      <c r="N136" s="6884"/>
      <c r="O136" s="6884"/>
      <c r="P136" s="6884"/>
      <c r="Q136" s="6884"/>
      <c r="R136" s="6884"/>
      <c r="S136" s="6884"/>
      <c r="T136" s="6884"/>
      <c r="U136" s="6884"/>
      <c r="V136" s="6884"/>
      <c r="W136" s="6884"/>
      <c r="X136" s="6884"/>
      <c r="Y136" s="6884"/>
      <c r="Z136" s="6884"/>
      <c r="AA136" s="6884"/>
      <c r="AB136" s="6884"/>
      <c r="AC136" s="6884"/>
      <c r="AD136" s="6884"/>
      <c r="AE136" s="6884"/>
      <c r="AF136" s="6884"/>
      <c r="AG136" s="6884"/>
      <c r="AH136" s="6884"/>
      <c r="AI136" s="6884"/>
      <c r="AJ136" s="6884"/>
      <c r="AK136" s="6884"/>
      <c r="AL136" s="6884"/>
      <c r="AM136" s="6884"/>
      <c r="AN136" s="6894"/>
      <c r="AO136" s="6910" t="s">
        <v>1956</v>
      </c>
      <c r="AP136" s="6911"/>
      <c r="AQ136" s="6912"/>
      <c r="AR136" s="6399" t="s">
        <v>2</v>
      </c>
      <c r="AS136" s="6772" t="s">
        <v>3</v>
      </c>
      <c r="BR136"/>
      <c r="BS136"/>
      <c r="BT136"/>
      <c r="BU136"/>
      <c r="BV136"/>
      <c r="BW136"/>
      <c r="BX136"/>
      <c r="BY136"/>
      <c r="CA136"/>
      <c r="CB136"/>
      <c r="CC136"/>
    </row>
    <row r="137" spans="1:83" ht="15" customHeight="1" x14ac:dyDescent="0.3">
      <c r="B137" s="6830"/>
      <c r="C137" s="6831"/>
      <c r="D137" s="6830"/>
      <c r="E137" s="6892"/>
      <c r="F137" s="6831"/>
      <c r="G137" s="6883" t="s">
        <v>1938</v>
      </c>
      <c r="H137" s="6885"/>
      <c r="I137" s="6883" t="s">
        <v>1939</v>
      </c>
      <c r="J137" s="6885"/>
      <c r="K137" s="6883" t="s">
        <v>1316</v>
      </c>
      <c r="L137" s="6885"/>
      <c r="M137" s="6883" t="s">
        <v>4</v>
      </c>
      <c r="N137" s="6885"/>
      <c r="O137" s="6898" t="s">
        <v>5</v>
      </c>
      <c r="P137" s="6898"/>
      <c r="Q137" s="6898" t="s">
        <v>6</v>
      </c>
      <c r="R137" s="6898"/>
      <c r="S137" s="6898" t="s">
        <v>7</v>
      </c>
      <c r="T137" s="6898"/>
      <c r="U137" s="6898" t="s">
        <v>8</v>
      </c>
      <c r="V137" s="6898"/>
      <c r="W137" s="6898" t="s">
        <v>9</v>
      </c>
      <c r="X137" s="6898"/>
      <c r="Y137" s="6898" t="s">
        <v>10</v>
      </c>
      <c r="Z137" s="6898"/>
      <c r="AA137" s="6898" t="s">
        <v>11</v>
      </c>
      <c r="AB137" s="6898"/>
      <c r="AC137" s="6898" t="s">
        <v>18</v>
      </c>
      <c r="AD137" s="6898"/>
      <c r="AE137" s="6898" t="s">
        <v>19</v>
      </c>
      <c r="AF137" s="6898"/>
      <c r="AG137" s="6883" t="s">
        <v>20</v>
      </c>
      <c r="AH137" s="6885"/>
      <c r="AI137" s="6883" t="s">
        <v>70</v>
      </c>
      <c r="AJ137" s="6885"/>
      <c r="AK137" s="6883" t="s">
        <v>71</v>
      </c>
      <c r="AL137" s="6885"/>
      <c r="AM137" s="6883" t="s">
        <v>32</v>
      </c>
      <c r="AN137" s="6894"/>
      <c r="AO137" s="6851" t="s">
        <v>34</v>
      </c>
      <c r="AP137" s="6772" t="s">
        <v>1960</v>
      </c>
      <c r="AQ137" s="6906" t="s">
        <v>1035</v>
      </c>
      <c r="AR137" s="6831"/>
      <c r="AS137" s="6900"/>
      <c r="BR137"/>
      <c r="BS137"/>
      <c r="BT137"/>
      <c r="BU137"/>
      <c r="BV137"/>
      <c r="BW137"/>
      <c r="BX137"/>
      <c r="BY137"/>
      <c r="CA137"/>
      <c r="CB137"/>
      <c r="CC137"/>
    </row>
    <row r="138" spans="1:83" ht="15" customHeight="1" x14ac:dyDescent="0.3">
      <c r="B138" s="6909"/>
      <c r="C138" s="6796"/>
      <c r="D138" s="2128" t="s">
        <v>26</v>
      </c>
      <c r="E138" s="2652" t="s">
        <v>22</v>
      </c>
      <c r="F138" s="2644" t="s">
        <v>27</v>
      </c>
      <c r="G138" s="2637" t="s">
        <v>22</v>
      </c>
      <c r="H138" s="2559" t="s">
        <v>27</v>
      </c>
      <c r="I138" s="2637" t="s">
        <v>22</v>
      </c>
      <c r="J138" s="2559" t="s">
        <v>27</v>
      </c>
      <c r="K138" s="2637" t="s">
        <v>22</v>
      </c>
      <c r="L138" s="2559" t="s">
        <v>27</v>
      </c>
      <c r="M138" s="2637" t="s">
        <v>22</v>
      </c>
      <c r="N138" s="2559" t="s">
        <v>27</v>
      </c>
      <c r="O138" s="2637" t="s">
        <v>22</v>
      </c>
      <c r="P138" s="2559" t="s">
        <v>27</v>
      </c>
      <c r="Q138" s="2637" t="s">
        <v>22</v>
      </c>
      <c r="R138" s="2559" t="s">
        <v>27</v>
      </c>
      <c r="S138" s="2637" t="s">
        <v>22</v>
      </c>
      <c r="T138" s="2559" t="s">
        <v>27</v>
      </c>
      <c r="U138" s="2637" t="s">
        <v>22</v>
      </c>
      <c r="V138" s="2559" t="s">
        <v>27</v>
      </c>
      <c r="W138" s="2637" t="s">
        <v>22</v>
      </c>
      <c r="X138" s="2559" t="s">
        <v>27</v>
      </c>
      <c r="Y138" s="2637" t="s">
        <v>22</v>
      </c>
      <c r="Z138" s="2559" t="s">
        <v>27</v>
      </c>
      <c r="AA138" s="2637" t="s">
        <v>22</v>
      </c>
      <c r="AB138" s="2559" t="s">
        <v>27</v>
      </c>
      <c r="AC138" s="2637" t="s">
        <v>22</v>
      </c>
      <c r="AD138" s="2559" t="s">
        <v>27</v>
      </c>
      <c r="AE138" s="2637" t="s">
        <v>22</v>
      </c>
      <c r="AF138" s="2559" t="s">
        <v>27</v>
      </c>
      <c r="AG138" s="2637" t="s">
        <v>22</v>
      </c>
      <c r="AH138" s="2559" t="s">
        <v>27</v>
      </c>
      <c r="AI138" s="2637" t="s">
        <v>22</v>
      </c>
      <c r="AJ138" s="2559" t="s">
        <v>27</v>
      </c>
      <c r="AK138" s="2637" t="s">
        <v>22</v>
      </c>
      <c r="AL138" s="2559" t="s">
        <v>27</v>
      </c>
      <c r="AM138" s="2637" t="s">
        <v>22</v>
      </c>
      <c r="AN138" s="2653" t="s">
        <v>27</v>
      </c>
      <c r="AO138" s="6905"/>
      <c r="AP138" s="6896"/>
      <c r="AQ138" s="6907"/>
      <c r="AR138" s="6796"/>
      <c r="AS138" s="6896"/>
      <c r="BR138"/>
      <c r="BS138"/>
      <c r="BT138"/>
      <c r="BU138"/>
      <c r="BV138"/>
      <c r="BW138"/>
      <c r="BX138"/>
      <c r="BY138"/>
      <c r="CA138"/>
      <c r="CB138"/>
      <c r="CC138"/>
    </row>
    <row r="139" spans="1:83" ht="15" customHeight="1" x14ac:dyDescent="0.3">
      <c r="A139" s="6233" t="s">
        <v>4364</v>
      </c>
      <c r="B139" s="6913" t="s">
        <v>1961</v>
      </c>
      <c r="C139" s="6914"/>
      <c r="D139" s="2164" t="s">
        <v>5292</v>
      </c>
      <c r="E139" s="2165" t="s">
        <v>5293</v>
      </c>
      <c r="F139" s="2207" t="s">
        <v>5294</v>
      </c>
      <c r="G139" s="2120" t="s">
        <v>5295</v>
      </c>
      <c r="H139" s="2199" t="s">
        <v>5296</v>
      </c>
      <c r="I139" s="2120" t="s">
        <v>5297</v>
      </c>
      <c r="J139" s="2199" t="s">
        <v>5298</v>
      </c>
      <c r="K139" s="2120" t="s">
        <v>5299</v>
      </c>
      <c r="L139" s="2199" t="s">
        <v>5300</v>
      </c>
      <c r="M139" s="2120" t="s">
        <v>5301</v>
      </c>
      <c r="N139" s="2199" t="s">
        <v>5302</v>
      </c>
      <c r="O139" s="2120" t="s">
        <v>5303</v>
      </c>
      <c r="P139" s="2199" t="s">
        <v>5304</v>
      </c>
      <c r="Q139" s="2120" t="s">
        <v>5305</v>
      </c>
      <c r="R139" s="2199" t="s">
        <v>5306</v>
      </c>
      <c r="S139" s="2120" t="s">
        <v>5307</v>
      </c>
      <c r="T139" s="2199" t="s">
        <v>5308</v>
      </c>
      <c r="U139" s="2120" t="s">
        <v>5309</v>
      </c>
      <c r="V139" s="2199" t="s">
        <v>5310</v>
      </c>
      <c r="W139" s="2120" t="s">
        <v>5311</v>
      </c>
      <c r="X139" s="2199" t="s">
        <v>5312</v>
      </c>
      <c r="Y139" s="2120" t="s">
        <v>5313</v>
      </c>
      <c r="Z139" s="2199" t="s">
        <v>5314</v>
      </c>
      <c r="AA139" s="2120" t="s">
        <v>5315</v>
      </c>
      <c r="AB139" s="2199" t="s">
        <v>5316</v>
      </c>
      <c r="AC139" s="2120" t="s">
        <v>5317</v>
      </c>
      <c r="AD139" s="2199" t="s">
        <v>5318</v>
      </c>
      <c r="AE139" s="2120" t="s">
        <v>5319</v>
      </c>
      <c r="AF139" s="2199" t="s">
        <v>5320</v>
      </c>
      <c r="AG139" s="2120" t="s">
        <v>5321</v>
      </c>
      <c r="AH139" s="2199" t="s">
        <v>5322</v>
      </c>
      <c r="AI139" s="2120" t="s">
        <v>5323</v>
      </c>
      <c r="AJ139" s="2199" t="s">
        <v>5324</v>
      </c>
      <c r="AK139" s="2120" t="s">
        <v>5325</v>
      </c>
      <c r="AL139" s="2199" t="s">
        <v>5326</v>
      </c>
      <c r="AM139" s="2120" t="s">
        <v>5327</v>
      </c>
      <c r="AN139" s="2200" t="s">
        <v>5328</v>
      </c>
      <c r="AO139" s="2208" t="s">
        <v>5329</v>
      </c>
      <c r="AP139" s="2202" t="s">
        <v>5330</v>
      </c>
      <c r="AQ139" s="2209" t="s">
        <v>5331</v>
      </c>
      <c r="AR139" s="2199" t="s">
        <v>5332</v>
      </c>
      <c r="AS139" s="2166" t="s">
        <v>5333</v>
      </c>
      <c r="AT139" t="str">
        <f>BR139&amp;BS139</f>
        <v xml:space="preserve">  * La variable Pueblos originarios No puede ser mayor al Total.  * La variable Migrantes No puede ser mayor al Total.</v>
      </c>
      <c r="BR139" s="2465" t="str">
        <f>IF(AND(D139&gt;0,AR139=""),"  * No olvide digitar la variable Pueblos originarios. Digite Cero si no tiene.",IF(AR139&gt;D139,"  * La variable Pueblos originarios No puede ser mayor al Total.",""))</f>
        <v xml:space="preserve">  * La variable Pueblos originarios No puede ser mayor al Total.</v>
      </c>
      <c r="BS139" s="2465" t="str">
        <f>IF(AND(D139&gt;0,AS139=""),"  * No olvide digitar la variable Migrantes. Digite Cero si no tiene.",IF(AS139&gt;D139,"  * La variable Migrantes No puede ser mayor al Total.",""))</f>
        <v xml:space="preserve">  * La variable Migrantes No puede ser mayor al Total.</v>
      </c>
      <c r="CA139"/>
      <c r="CB139"/>
      <c r="CC139" s="1725">
        <f>IF(AND(D139&gt;0,AR139=""),1,IF(AR139&gt;D139,1,0))</f>
        <v>1</v>
      </c>
      <c r="CD139" s="1725">
        <f>IF(AND(D139&gt;0,AS139=""),1,IF(AS139&gt;D139,1,0))</f>
        <v>1</v>
      </c>
      <c r="CE139" s="1725"/>
    </row>
    <row r="140" spans="1:83" ht="15" customHeight="1" x14ac:dyDescent="0.3">
      <c r="A140" s="6233" t="s">
        <v>4365</v>
      </c>
      <c r="B140" s="6849" t="s">
        <v>1962</v>
      </c>
      <c r="C140" s="6850"/>
      <c r="D140" s="2193" t="s">
        <v>5292</v>
      </c>
      <c r="E140" s="2194" t="s">
        <v>5293</v>
      </c>
      <c r="F140" s="2125" t="s">
        <v>5294</v>
      </c>
      <c r="G140" s="9" t="s">
        <v>5295</v>
      </c>
      <c r="H140" s="11" t="s">
        <v>5296</v>
      </c>
      <c r="I140" s="9" t="s">
        <v>5297</v>
      </c>
      <c r="J140" s="11" t="s">
        <v>5298</v>
      </c>
      <c r="K140" s="9" t="s">
        <v>5299</v>
      </c>
      <c r="L140" s="11" t="s">
        <v>5300</v>
      </c>
      <c r="M140" s="9" t="s">
        <v>5301</v>
      </c>
      <c r="N140" s="11" t="s">
        <v>5302</v>
      </c>
      <c r="O140" s="9" t="s">
        <v>5303</v>
      </c>
      <c r="P140" s="11" t="s">
        <v>5304</v>
      </c>
      <c r="Q140" s="9" t="s">
        <v>5305</v>
      </c>
      <c r="R140" s="11" t="s">
        <v>5306</v>
      </c>
      <c r="S140" s="9" t="s">
        <v>5307</v>
      </c>
      <c r="T140" s="11" t="s">
        <v>5308</v>
      </c>
      <c r="U140" s="9" t="s">
        <v>5309</v>
      </c>
      <c r="V140" s="11" t="s">
        <v>5310</v>
      </c>
      <c r="W140" s="9" t="s">
        <v>5311</v>
      </c>
      <c r="X140" s="11" t="s">
        <v>5312</v>
      </c>
      <c r="Y140" s="9" t="s">
        <v>5313</v>
      </c>
      <c r="Z140" s="11" t="s">
        <v>5314</v>
      </c>
      <c r="AA140" s="9" t="s">
        <v>5315</v>
      </c>
      <c r="AB140" s="11" t="s">
        <v>5316</v>
      </c>
      <c r="AC140" s="9" t="s">
        <v>5317</v>
      </c>
      <c r="AD140" s="11" t="s">
        <v>5318</v>
      </c>
      <c r="AE140" s="9" t="s">
        <v>5319</v>
      </c>
      <c r="AF140" s="11" t="s">
        <v>5320</v>
      </c>
      <c r="AG140" s="9" t="s">
        <v>5321</v>
      </c>
      <c r="AH140" s="11" t="s">
        <v>5322</v>
      </c>
      <c r="AI140" s="9" t="s">
        <v>5323</v>
      </c>
      <c r="AJ140" s="11" t="s">
        <v>5324</v>
      </c>
      <c r="AK140" s="9" t="s">
        <v>5325</v>
      </c>
      <c r="AL140" s="11" t="s">
        <v>5326</v>
      </c>
      <c r="AM140" s="9" t="s">
        <v>5327</v>
      </c>
      <c r="AN140" s="1696" t="s">
        <v>5328</v>
      </c>
      <c r="AO140" s="26" t="s">
        <v>5329</v>
      </c>
      <c r="AP140" s="27" t="s">
        <v>5330</v>
      </c>
      <c r="AQ140" s="2210" t="s">
        <v>5331</v>
      </c>
      <c r="AR140" s="11" t="s">
        <v>5332</v>
      </c>
      <c r="AS140" s="27" t="s">
        <v>5333</v>
      </c>
      <c r="AT140" t="str">
        <f t="shared" ref="AT140:AT143" si="63">BR140&amp;BS140</f>
        <v xml:space="preserve">  * La variable Pueblos originarios No puede ser mayor al Total.  * La variable Migrantes No puede ser mayor al Total.</v>
      </c>
      <c r="BR140" s="2465" t="str">
        <f t="shared" ref="BR140:BR143" si="64">IF(AND(D140&gt;0,AR140=""),"  * No olvide digitar la variable Pueblos originarios. Digite Cero si no tiene.",IF(AR140&gt;D140,"  * La variable Pueblos originarios No puede ser mayor al Total.",""))</f>
        <v xml:space="preserve">  * La variable Pueblos originarios No puede ser mayor al Total.</v>
      </c>
      <c r="BS140" s="2465" t="str">
        <f t="shared" ref="BS140:BS143" si="65">IF(AND(D140&gt;0,AS140=""),"  * No olvide digitar la variable Migrantes. Digite Cero si no tiene.",IF(AS140&gt;D140,"  * La variable Migrantes No puede ser mayor al Total.",""))</f>
        <v xml:space="preserve">  * La variable Migrantes No puede ser mayor al Total.</v>
      </c>
      <c r="CA140"/>
      <c r="CB140"/>
      <c r="CC140" s="1725">
        <f t="shared" ref="CC140:CC143" si="66">IF(AND(D140&gt;0,AR140=""),1,IF(AR140&gt;D140,1,0))</f>
        <v>1</v>
      </c>
      <c r="CD140" s="1725">
        <f t="shared" ref="CD140:CD143" si="67">IF(AND(D140&gt;0,AS140=""),1,IF(AS140&gt;D140,1,0))</f>
        <v>1</v>
      </c>
      <c r="CE140" s="1725"/>
    </row>
    <row r="141" spans="1:83" ht="15" customHeight="1" x14ac:dyDescent="0.3">
      <c r="A141" s="6233" t="s">
        <v>4366</v>
      </c>
      <c r="B141" s="6781" t="s">
        <v>1963</v>
      </c>
      <c r="C141" s="2117" t="s">
        <v>1964</v>
      </c>
      <c r="D141" s="2164" t="s">
        <v>5292</v>
      </c>
      <c r="E141" s="2165" t="s">
        <v>5293</v>
      </c>
      <c r="F141" s="2207" t="s">
        <v>5294</v>
      </c>
      <c r="G141" s="2120" t="s">
        <v>5295</v>
      </c>
      <c r="H141" s="2199" t="s">
        <v>5296</v>
      </c>
      <c r="I141" s="2120" t="s">
        <v>5297</v>
      </c>
      <c r="J141" s="2199" t="s">
        <v>5298</v>
      </c>
      <c r="K141" s="2120" t="s">
        <v>5299</v>
      </c>
      <c r="L141" s="2199" t="s">
        <v>5300</v>
      </c>
      <c r="M141" s="2120" t="s">
        <v>5301</v>
      </c>
      <c r="N141" s="2199" t="s">
        <v>5302</v>
      </c>
      <c r="O141" s="2120" t="s">
        <v>5303</v>
      </c>
      <c r="P141" s="2199" t="s">
        <v>5304</v>
      </c>
      <c r="Q141" s="2120" t="s">
        <v>5305</v>
      </c>
      <c r="R141" s="2199" t="s">
        <v>5306</v>
      </c>
      <c r="S141" s="2120" t="s">
        <v>5307</v>
      </c>
      <c r="T141" s="2199" t="s">
        <v>5308</v>
      </c>
      <c r="U141" s="2120" t="s">
        <v>5309</v>
      </c>
      <c r="V141" s="2199" t="s">
        <v>5310</v>
      </c>
      <c r="W141" s="2120" t="s">
        <v>5311</v>
      </c>
      <c r="X141" s="2199" t="s">
        <v>5312</v>
      </c>
      <c r="Y141" s="2120" t="s">
        <v>5313</v>
      </c>
      <c r="Z141" s="2199" t="s">
        <v>5314</v>
      </c>
      <c r="AA141" s="2120" t="s">
        <v>5315</v>
      </c>
      <c r="AB141" s="2199" t="s">
        <v>5316</v>
      </c>
      <c r="AC141" s="2120" t="s">
        <v>5317</v>
      </c>
      <c r="AD141" s="2199" t="s">
        <v>5318</v>
      </c>
      <c r="AE141" s="2120" t="s">
        <v>5319</v>
      </c>
      <c r="AF141" s="2199" t="s">
        <v>5320</v>
      </c>
      <c r="AG141" s="2120" t="s">
        <v>5321</v>
      </c>
      <c r="AH141" s="2199" t="s">
        <v>5322</v>
      </c>
      <c r="AI141" s="2120" t="s">
        <v>5323</v>
      </c>
      <c r="AJ141" s="2199" t="s">
        <v>5324</v>
      </c>
      <c r="AK141" s="2120" t="s">
        <v>5325</v>
      </c>
      <c r="AL141" s="2199" t="s">
        <v>5326</v>
      </c>
      <c r="AM141" s="2120" t="s">
        <v>5327</v>
      </c>
      <c r="AN141" s="2200" t="s">
        <v>5328</v>
      </c>
      <c r="AO141" s="2208" t="s">
        <v>5329</v>
      </c>
      <c r="AP141" s="2166" t="s">
        <v>5330</v>
      </c>
      <c r="AQ141" s="2209" t="s">
        <v>5331</v>
      </c>
      <c r="AR141" s="2199" t="s">
        <v>5332</v>
      </c>
      <c r="AS141" s="2166" t="s">
        <v>5333</v>
      </c>
      <c r="AT141" t="str">
        <f t="shared" si="63"/>
        <v xml:space="preserve">  * La variable Pueblos originarios No puede ser mayor al Total.  * La variable Migrantes No puede ser mayor al Total.</v>
      </c>
      <c r="BR141" s="2465" t="str">
        <f t="shared" si="64"/>
        <v xml:space="preserve">  * La variable Pueblos originarios No puede ser mayor al Total.</v>
      </c>
      <c r="BS141" s="2465" t="str">
        <f t="shared" si="65"/>
        <v xml:space="preserve">  * La variable Migrantes No puede ser mayor al Total.</v>
      </c>
      <c r="CA141"/>
      <c r="CB141"/>
      <c r="CC141" s="1725">
        <f t="shared" si="66"/>
        <v>1</v>
      </c>
      <c r="CD141" s="1725">
        <f t="shared" si="67"/>
        <v>1</v>
      </c>
      <c r="CE141" s="1725"/>
    </row>
    <row r="142" spans="1:83" ht="15" customHeight="1" x14ac:dyDescent="0.3">
      <c r="A142" s="6233" t="s">
        <v>4367</v>
      </c>
      <c r="B142" s="6908"/>
      <c r="C142" s="1106" t="s">
        <v>1965</v>
      </c>
      <c r="D142" s="2205" t="s">
        <v>5292</v>
      </c>
      <c r="E142" s="28" t="s">
        <v>5293</v>
      </c>
      <c r="F142" s="13" t="s">
        <v>5294</v>
      </c>
      <c r="G142" s="3" t="s">
        <v>5295</v>
      </c>
      <c r="H142" s="12" t="s">
        <v>5296</v>
      </c>
      <c r="I142" s="3" t="s">
        <v>5297</v>
      </c>
      <c r="J142" s="12" t="s">
        <v>5298</v>
      </c>
      <c r="K142" s="3" t="s">
        <v>5299</v>
      </c>
      <c r="L142" s="12" t="s">
        <v>5300</v>
      </c>
      <c r="M142" s="3" t="s">
        <v>5301</v>
      </c>
      <c r="N142" s="12" t="s">
        <v>5302</v>
      </c>
      <c r="O142" s="3" t="s">
        <v>5303</v>
      </c>
      <c r="P142" s="12" t="s">
        <v>5304</v>
      </c>
      <c r="Q142" s="3" t="s">
        <v>5305</v>
      </c>
      <c r="R142" s="12" t="s">
        <v>5306</v>
      </c>
      <c r="S142" s="3" t="s">
        <v>5307</v>
      </c>
      <c r="T142" s="12" t="s">
        <v>5308</v>
      </c>
      <c r="U142" s="3" t="s">
        <v>5309</v>
      </c>
      <c r="V142" s="12" t="s">
        <v>5310</v>
      </c>
      <c r="W142" s="3" t="s">
        <v>5311</v>
      </c>
      <c r="X142" s="12" t="s">
        <v>5312</v>
      </c>
      <c r="Y142" s="3" t="s">
        <v>5313</v>
      </c>
      <c r="Z142" s="12" t="s">
        <v>5314</v>
      </c>
      <c r="AA142" s="3" t="s">
        <v>5315</v>
      </c>
      <c r="AB142" s="12" t="s">
        <v>5316</v>
      </c>
      <c r="AC142" s="3" t="s">
        <v>5317</v>
      </c>
      <c r="AD142" s="12" t="s">
        <v>5318</v>
      </c>
      <c r="AE142" s="3" t="s">
        <v>5319</v>
      </c>
      <c r="AF142" s="12" t="s">
        <v>5320</v>
      </c>
      <c r="AG142" s="3" t="s">
        <v>5321</v>
      </c>
      <c r="AH142" s="12" t="s">
        <v>5322</v>
      </c>
      <c r="AI142" s="3" t="s">
        <v>5323</v>
      </c>
      <c r="AJ142" s="12" t="s">
        <v>5324</v>
      </c>
      <c r="AK142" s="3" t="s">
        <v>5325</v>
      </c>
      <c r="AL142" s="12" t="s">
        <v>5326</v>
      </c>
      <c r="AM142" s="3" t="s">
        <v>5327</v>
      </c>
      <c r="AN142" s="1698" t="s">
        <v>5328</v>
      </c>
      <c r="AO142" s="29" t="s">
        <v>5329</v>
      </c>
      <c r="AP142" s="30" t="s">
        <v>5330</v>
      </c>
      <c r="AQ142" s="1103" t="s">
        <v>5331</v>
      </c>
      <c r="AR142" s="12" t="s">
        <v>5332</v>
      </c>
      <c r="AS142" s="30" t="s">
        <v>5333</v>
      </c>
      <c r="AT142" t="str">
        <f t="shared" si="63"/>
        <v xml:space="preserve">  * La variable Pueblos originarios No puede ser mayor al Total.  * La variable Migrantes No puede ser mayor al Total.</v>
      </c>
      <c r="BR142" s="2465" t="str">
        <f t="shared" si="64"/>
        <v xml:space="preserve">  * La variable Pueblos originarios No puede ser mayor al Total.</v>
      </c>
      <c r="BS142" s="2465" t="str">
        <f t="shared" si="65"/>
        <v xml:space="preserve">  * La variable Migrantes No puede ser mayor al Total.</v>
      </c>
      <c r="CA142"/>
      <c r="CB142"/>
      <c r="CC142" s="1725">
        <f t="shared" si="66"/>
        <v>1</v>
      </c>
      <c r="CD142" s="1725">
        <f t="shared" si="67"/>
        <v>1</v>
      </c>
      <c r="CE142" s="1725"/>
    </row>
    <row r="143" spans="1:83" ht="15" customHeight="1" x14ac:dyDescent="0.3">
      <c r="A143" s="6233" t="s">
        <v>4368</v>
      </c>
      <c r="B143" s="6919" t="s">
        <v>1966</v>
      </c>
      <c r="C143" s="6920"/>
      <c r="D143" s="2169" t="s">
        <v>5292</v>
      </c>
      <c r="E143" s="2170" t="s">
        <v>5293</v>
      </c>
      <c r="F143" s="2211" t="s">
        <v>5294</v>
      </c>
      <c r="G143" s="2152" t="s">
        <v>5295</v>
      </c>
      <c r="H143" s="2212" t="s">
        <v>5296</v>
      </c>
      <c r="I143" s="2152" t="s">
        <v>5297</v>
      </c>
      <c r="J143" s="2212" t="s">
        <v>5298</v>
      </c>
      <c r="K143" s="2152" t="s">
        <v>5299</v>
      </c>
      <c r="L143" s="2212" t="s">
        <v>5300</v>
      </c>
      <c r="M143" s="2152" t="s">
        <v>5301</v>
      </c>
      <c r="N143" s="2212" t="s">
        <v>5302</v>
      </c>
      <c r="O143" s="2152" t="s">
        <v>5303</v>
      </c>
      <c r="P143" s="2212" t="s">
        <v>5304</v>
      </c>
      <c r="Q143" s="2152" t="s">
        <v>5305</v>
      </c>
      <c r="R143" s="2212" t="s">
        <v>5306</v>
      </c>
      <c r="S143" s="2152" t="s">
        <v>5307</v>
      </c>
      <c r="T143" s="2212" t="s">
        <v>5308</v>
      </c>
      <c r="U143" s="2152" t="s">
        <v>5309</v>
      </c>
      <c r="V143" s="2212" t="s">
        <v>5310</v>
      </c>
      <c r="W143" s="2152" t="s">
        <v>5311</v>
      </c>
      <c r="X143" s="2212" t="s">
        <v>5312</v>
      </c>
      <c r="Y143" s="2152" t="s">
        <v>5313</v>
      </c>
      <c r="Z143" s="2212" t="s">
        <v>5314</v>
      </c>
      <c r="AA143" s="2152" t="s">
        <v>5315</v>
      </c>
      <c r="AB143" s="2212" t="s">
        <v>5316</v>
      </c>
      <c r="AC143" s="2152" t="s">
        <v>5317</v>
      </c>
      <c r="AD143" s="2212" t="s">
        <v>5318</v>
      </c>
      <c r="AE143" s="2152" t="s">
        <v>5319</v>
      </c>
      <c r="AF143" s="2212" t="s">
        <v>5320</v>
      </c>
      <c r="AG143" s="2152" t="s">
        <v>5321</v>
      </c>
      <c r="AH143" s="2212" t="s">
        <v>5322</v>
      </c>
      <c r="AI143" s="2152" t="s">
        <v>5323</v>
      </c>
      <c r="AJ143" s="2212" t="s">
        <v>5324</v>
      </c>
      <c r="AK143" s="2152" t="s">
        <v>5325</v>
      </c>
      <c r="AL143" s="2212" t="s">
        <v>5326</v>
      </c>
      <c r="AM143" s="2152" t="s">
        <v>5327</v>
      </c>
      <c r="AN143" s="2213" t="s">
        <v>5328</v>
      </c>
      <c r="AO143" s="2214" t="s">
        <v>5329</v>
      </c>
      <c r="AP143" s="2215" t="s">
        <v>5330</v>
      </c>
      <c r="AQ143" s="2216" t="s">
        <v>5331</v>
      </c>
      <c r="AR143" s="2212" t="s">
        <v>5332</v>
      </c>
      <c r="AS143" s="2215" t="s">
        <v>5333</v>
      </c>
      <c r="AT143" t="str">
        <f t="shared" si="63"/>
        <v xml:space="preserve">  * La variable Pueblos originarios No puede ser mayor al Total.  * La variable Migrantes No puede ser mayor al Total.</v>
      </c>
      <c r="BR143" s="2465" t="str">
        <f t="shared" si="64"/>
        <v xml:space="preserve">  * La variable Pueblos originarios No puede ser mayor al Total.</v>
      </c>
      <c r="BS143" s="2465" t="str">
        <f t="shared" si="65"/>
        <v xml:space="preserve">  * La variable Migrantes No puede ser mayor al Total.</v>
      </c>
      <c r="CA143"/>
      <c r="CB143"/>
      <c r="CC143" s="1725">
        <f t="shared" si="66"/>
        <v>1</v>
      </c>
      <c r="CD143" s="1725">
        <f t="shared" si="67"/>
        <v>1</v>
      </c>
      <c r="CE143" s="1725"/>
    </row>
    <row r="144" spans="1:83" s="17" customFormat="1" ht="18" customHeight="1" x14ac:dyDescent="0.25">
      <c r="A144" s="6249"/>
      <c r="B144" s="2646" t="s">
        <v>1967</v>
      </c>
      <c r="C144" s="2646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2658"/>
      <c r="O144" s="2659"/>
      <c r="P144" s="2660"/>
    </row>
    <row r="145" spans="1:83" ht="15" customHeight="1" x14ac:dyDescent="0.3">
      <c r="A145" s="6249"/>
      <c r="B145" s="6921" t="s">
        <v>0</v>
      </c>
      <c r="C145" s="6399"/>
      <c r="D145" s="6800" t="s">
        <v>24</v>
      </c>
      <c r="E145" s="6922"/>
      <c r="F145" s="6915"/>
      <c r="G145" s="6800" t="s">
        <v>20</v>
      </c>
      <c r="H145" s="6915"/>
      <c r="I145" s="6800" t="s">
        <v>70</v>
      </c>
      <c r="J145" s="6915"/>
      <c r="K145" s="6800" t="s">
        <v>71</v>
      </c>
      <c r="L145" s="6915"/>
      <c r="M145" s="6800" t="s">
        <v>32</v>
      </c>
      <c r="N145" s="6801"/>
      <c r="O145" s="6916" t="s">
        <v>2</v>
      </c>
      <c r="P145" s="6399" t="s">
        <v>3</v>
      </c>
      <c r="BR145"/>
      <c r="BS145"/>
      <c r="BT145"/>
      <c r="BU145"/>
      <c r="BV145"/>
      <c r="BW145"/>
      <c r="BX145"/>
      <c r="BY145"/>
      <c r="CA145"/>
      <c r="CB145"/>
      <c r="CC145"/>
    </row>
    <row r="146" spans="1:83" ht="15" customHeight="1" x14ac:dyDescent="0.3">
      <c r="A146" s="6249"/>
      <c r="B146" s="6909"/>
      <c r="C146" s="6796"/>
      <c r="D146" s="2665" t="s">
        <v>26</v>
      </c>
      <c r="E146" s="2666" t="s">
        <v>22</v>
      </c>
      <c r="F146" s="2663" t="s">
        <v>27</v>
      </c>
      <c r="G146" s="2665" t="s">
        <v>22</v>
      </c>
      <c r="H146" s="2663" t="s">
        <v>27</v>
      </c>
      <c r="I146" s="2665" t="s">
        <v>22</v>
      </c>
      <c r="J146" s="2663" t="s">
        <v>27</v>
      </c>
      <c r="K146" s="2665" t="s">
        <v>22</v>
      </c>
      <c r="L146" s="2663" t="s">
        <v>27</v>
      </c>
      <c r="M146" s="2665" t="s">
        <v>22</v>
      </c>
      <c r="N146" s="2664" t="s">
        <v>27</v>
      </c>
      <c r="O146" s="6905"/>
      <c r="P146" s="6796"/>
      <c r="BR146"/>
      <c r="BS146"/>
      <c r="BT146"/>
      <c r="BU146"/>
      <c r="BV146"/>
      <c r="BW146"/>
      <c r="BX146"/>
      <c r="BY146"/>
      <c r="CA146"/>
      <c r="CB146"/>
      <c r="CC146"/>
    </row>
    <row r="147" spans="1:83" ht="15" customHeight="1" x14ac:dyDescent="0.3">
      <c r="A147" s="6248" t="s">
        <v>4369</v>
      </c>
      <c r="B147" s="6917" t="s">
        <v>1968</v>
      </c>
      <c r="C147" s="2217" t="s">
        <v>1969</v>
      </c>
      <c r="D147" s="2218" t="s">
        <v>5292</v>
      </c>
      <c r="E147" s="2219" t="s">
        <v>5293</v>
      </c>
      <c r="F147" s="2220" t="s">
        <v>5294</v>
      </c>
      <c r="G147" s="2112" t="s">
        <v>5295</v>
      </c>
      <c r="H147" s="1089" t="s">
        <v>5296</v>
      </c>
      <c r="I147" s="2112" t="s">
        <v>5297</v>
      </c>
      <c r="J147" s="1089" t="s">
        <v>5298</v>
      </c>
      <c r="K147" s="2112" t="s">
        <v>5299</v>
      </c>
      <c r="L147" s="1089" t="s">
        <v>5300</v>
      </c>
      <c r="M147" s="2112" t="s">
        <v>5301</v>
      </c>
      <c r="N147" s="2113" t="s">
        <v>5302</v>
      </c>
      <c r="O147" s="1430" t="s">
        <v>5303</v>
      </c>
      <c r="P147" s="1089" t="s">
        <v>5304</v>
      </c>
      <c r="Q147" t="str">
        <f>BR147&amp;BS147</f>
        <v xml:space="preserve">  * La variable Pueblos originarios No puede ser mayor al Total.  * La variable Pueblos Migrantes No puede ser mayor al Total.</v>
      </c>
      <c r="BR147" s="2465" t="str">
        <f>IF(AND(D147&gt;0,O147=""),"  * No olvide digitar la variable Pueblos originarios. Digite Cero si no tiene.",IF(O147&gt;D147,"  * La variable Pueblos originarios No puede ser mayor al Total.",""))</f>
        <v xml:space="preserve">  * La variable Pueblos originarios No puede ser mayor al Total.</v>
      </c>
      <c r="BS147" s="2465" t="str">
        <f>IF(AND(D147&gt;0,P147=""),"  * No olvide digitar la variable Migrantes. Digite Cero si no tiene.",IF(P147&gt;D147,"  * La variable Pueblos Migrantes No puede ser mayor al Total.",""))</f>
        <v xml:space="preserve">  * La variable Pueblos Migrantes No puede ser mayor al Total.</v>
      </c>
      <c r="CA147"/>
      <c r="CB147"/>
      <c r="CC147" s="1725">
        <f>IF(AND(D147&gt;0,O147=""),1,IF(O147&gt;D147,1,0))</f>
        <v>1</v>
      </c>
      <c r="CD147" s="1725">
        <f>IF(AND(D147&gt;0,P147=""),1,IF(P147&gt;D147,1,0))</f>
        <v>1</v>
      </c>
      <c r="CE147" s="1725"/>
    </row>
    <row r="148" spans="1:83" ht="15" customHeight="1" x14ac:dyDescent="0.3">
      <c r="A148" s="6248" t="s">
        <v>4370</v>
      </c>
      <c r="B148" s="6779"/>
      <c r="C148" s="1105" t="s">
        <v>1970</v>
      </c>
      <c r="D148" s="2167" t="s">
        <v>5292</v>
      </c>
      <c r="E148" s="2168" t="s">
        <v>5293</v>
      </c>
      <c r="F148" s="1701" t="s">
        <v>5294</v>
      </c>
      <c r="G148" s="2112" t="s">
        <v>5295</v>
      </c>
      <c r="H148" s="1089" t="s">
        <v>5296</v>
      </c>
      <c r="I148" s="2112" t="s">
        <v>5297</v>
      </c>
      <c r="J148" s="1089" t="s">
        <v>5298</v>
      </c>
      <c r="K148" s="2112" t="s">
        <v>5299</v>
      </c>
      <c r="L148" s="1089" t="s">
        <v>5300</v>
      </c>
      <c r="M148" s="2112" t="s">
        <v>5301</v>
      </c>
      <c r="N148" s="2113" t="s">
        <v>5302</v>
      </c>
      <c r="O148" s="1430" t="s">
        <v>5303</v>
      </c>
      <c r="P148" s="1089" t="s">
        <v>5304</v>
      </c>
      <c r="Q148" t="str">
        <f t="shared" ref="Q148:Q149" si="68">BR148&amp;BS148</f>
        <v xml:space="preserve">  * La variable Pueblos originarios No puede ser mayor al Total.  * La variable Pueblos Migrantes No puede ser mayor al Total.</v>
      </c>
      <c r="BR148" s="2465" t="str">
        <f t="shared" ref="BR148:BR154" si="69">IF(AND(D148&gt;0,O148=""),"  * No olvide digitar la variable Pueblos originarios. Digite Cero si no tiene.",IF(O148&gt;D148,"  * La variable Pueblos originarios No puede ser mayor al Total.",""))</f>
        <v xml:space="preserve">  * La variable Pueblos originarios No puede ser mayor al Total.</v>
      </c>
      <c r="BS148" s="2465" t="str">
        <f t="shared" ref="BS148:BS154" si="70">IF(AND(D148&gt;0,P148=""),"  * No olvide digitar la variable Migrantes. Digite Cero si no tiene.",IF(P148&gt;D148,"  * La variable Pueblos Migrantes No puede ser mayor al Total.",""))</f>
        <v xml:space="preserve">  * La variable Pueblos Migrantes No puede ser mayor al Total.</v>
      </c>
      <c r="CA148"/>
      <c r="CB148"/>
      <c r="CC148" s="1725">
        <f t="shared" ref="CC148:CC154" si="71">IF(AND(D148&gt;0,O148=""),1,IF(O148&gt;D148,1,0))</f>
        <v>1</v>
      </c>
      <c r="CD148" s="1725">
        <f t="shared" ref="CD148:CD154" si="72">IF(AND(D148&gt;0,P148=""),1,IF(P148&gt;D148,1,0))</f>
        <v>1</v>
      </c>
      <c r="CE148" s="1725"/>
    </row>
    <row r="149" spans="1:83" ht="15" customHeight="1" x14ac:dyDescent="0.3">
      <c r="A149" s="6248" t="s">
        <v>4371</v>
      </c>
      <c r="B149" s="6779"/>
      <c r="C149" s="2221" t="s">
        <v>1971</v>
      </c>
      <c r="D149" s="2193" t="s">
        <v>5292</v>
      </c>
      <c r="E149" s="2194" t="s">
        <v>5293</v>
      </c>
      <c r="F149" s="2125" t="s">
        <v>5294</v>
      </c>
      <c r="G149" s="2112" t="s">
        <v>5295</v>
      </c>
      <c r="H149" s="1089" t="s">
        <v>5296</v>
      </c>
      <c r="I149" s="2112" t="s">
        <v>5297</v>
      </c>
      <c r="J149" s="1089" t="s">
        <v>5298</v>
      </c>
      <c r="K149" s="2112" t="s">
        <v>5299</v>
      </c>
      <c r="L149" s="1089" t="s">
        <v>5300</v>
      </c>
      <c r="M149" s="2112" t="s">
        <v>5301</v>
      </c>
      <c r="N149" s="2113" t="s">
        <v>5302</v>
      </c>
      <c r="O149" s="1430" t="s">
        <v>5303</v>
      </c>
      <c r="P149" s="1089" t="s">
        <v>5304</v>
      </c>
      <c r="Q149" t="str">
        <f t="shared" si="68"/>
        <v xml:space="preserve">  * La variable Pueblos originarios No puede ser mayor al Total.  * La variable Pueblos Migrantes No puede ser mayor al Total.</v>
      </c>
      <c r="BR149" s="2465" t="str">
        <f t="shared" si="69"/>
        <v xml:space="preserve">  * La variable Pueblos originarios No puede ser mayor al Total.</v>
      </c>
      <c r="BS149" s="2465" t="str">
        <f t="shared" si="70"/>
        <v xml:space="preserve">  * La variable Pueblos Migrantes No puede ser mayor al Total.</v>
      </c>
      <c r="CA149"/>
      <c r="CB149"/>
      <c r="CC149" s="1725">
        <f t="shared" si="71"/>
        <v>1</v>
      </c>
      <c r="CD149" s="1725">
        <f t="shared" si="72"/>
        <v>1</v>
      </c>
      <c r="CE149" s="1725"/>
    </row>
    <row r="150" spans="1:83" s="1386" customFormat="1" ht="15" customHeight="1" x14ac:dyDescent="0.25">
      <c r="A150" s="6250"/>
      <c r="B150" s="6918" t="s">
        <v>1972</v>
      </c>
      <c r="C150" s="6918"/>
      <c r="D150" s="2222">
        <v>0</v>
      </c>
      <c r="E150" s="2223">
        <v>0</v>
      </c>
      <c r="F150" s="2224">
        <v>0</v>
      </c>
      <c r="G150" s="2222">
        <v>0</v>
      </c>
      <c r="H150" s="2224">
        <v>0</v>
      </c>
      <c r="I150" s="2222">
        <v>0</v>
      </c>
      <c r="J150" s="2224">
        <v>0</v>
      </c>
      <c r="K150" s="2222">
        <v>0</v>
      </c>
      <c r="L150" s="2224">
        <v>0</v>
      </c>
      <c r="M150" s="2222">
        <v>0</v>
      </c>
      <c r="N150" s="2670">
        <v>0</v>
      </c>
      <c r="O150" s="2671">
        <v>0</v>
      </c>
      <c r="P150" s="2224">
        <v>0</v>
      </c>
    </row>
    <row r="151" spans="1:83" x14ac:dyDescent="0.3">
      <c r="A151" s="6248" t="s">
        <v>4372</v>
      </c>
      <c r="B151" s="6917" t="s">
        <v>1973</v>
      </c>
      <c r="C151" s="1699" t="s">
        <v>1974</v>
      </c>
      <c r="D151" s="2189" t="s">
        <v>5292</v>
      </c>
      <c r="E151" s="2190" t="s">
        <v>5293</v>
      </c>
      <c r="F151" s="2225" t="s">
        <v>5294</v>
      </c>
      <c r="G151" s="2112" t="s">
        <v>5295</v>
      </c>
      <c r="H151" s="1089" t="s">
        <v>5296</v>
      </c>
      <c r="I151" s="2112" t="s">
        <v>5297</v>
      </c>
      <c r="J151" s="1089" t="s">
        <v>5298</v>
      </c>
      <c r="K151" s="2112" t="s">
        <v>5299</v>
      </c>
      <c r="L151" s="1089" t="s">
        <v>5300</v>
      </c>
      <c r="M151" s="2112" t="s">
        <v>5301</v>
      </c>
      <c r="N151" s="2113" t="s">
        <v>5302</v>
      </c>
      <c r="O151" s="1430" t="s">
        <v>5303</v>
      </c>
      <c r="P151" s="1089" t="s">
        <v>5304</v>
      </c>
      <c r="Q151" t="str">
        <f>BR151&amp;BS151</f>
        <v xml:space="preserve">  * La variable Pueblos originarios No puede ser mayor al Total.  * La variable Pueblos Migrantes No puede ser mayor al Total.</v>
      </c>
      <c r="BR151" s="2465" t="str">
        <f t="shared" si="69"/>
        <v xml:space="preserve">  * La variable Pueblos originarios No puede ser mayor al Total.</v>
      </c>
      <c r="BS151" s="2465" t="str">
        <f t="shared" si="70"/>
        <v xml:space="preserve">  * La variable Pueblos Migrantes No puede ser mayor al Total.</v>
      </c>
      <c r="CA151"/>
      <c r="CB151"/>
      <c r="CC151" s="1725">
        <f t="shared" si="71"/>
        <v>1</v>
      </c>
      <c r="CD151" s="1725">
        <f t="shared" si="72"/>
        <v>1</v>
      </c>
      <c r="CE151" s="1725"/>
    </row>
    <row r="152" spans="1:83" x14ac:dyDescent="0.3">
      <c r="A152" s="6248" t="s">
        <v>4373</v>
      </c>
      <c r="B152" s="6779"/>
      <c r="C152" s="1105" t="s">
        <v>1975</v>
      </c>
      <c r="D152" s="2167" t="s">
        <v>5292</v>
      </c>
      <c r="E152" s="2168" t="s">
        <v>5293</v>
      </c>
      <c r="F152" s="1701" t="s">
        <v>5294</v>
      </c>
      <c r="G152" s="1095" t="s">
        <v>5295</v>
      </c>
      <c r="H152" s="8" t="s">
        <v>5296</v>
      </c>
      <c r="I152" s="1095" t="s">
        <v>5297</v>
      </c>
      <c r="J152" s="8" t="s">
        <v>5298</v>
      </c>
      <c r="K152" s="1095" t="s">
        <v>5299</v>
      </c>
      <c r="L152" s="8" t="s">
        <v>5300</v>
      </c>
      <c r="M152" s="1095" t="s">
        <v>5301</v>
      </c>
      <c r="N152" s="2114" t="s">
        <v>5302</v>
      </c>
      <c r="O152" s="1424" t="s">
        <v>5303</v>
      </c>
      <c r="P152" s="8" t="s">
        <v>5304</v>
      </c>
      <c r="Q152" t="str">
        <f t="shared" ref="Q152:Q154" si="73">BR152&amp;BS152</f>
        <v xml:space="preserve">  * La variable Pueblos originarios No puede ser mayor al Total.  * La variable Pueblos Migrantes No puede ser mayor al Total.</v>
      </c>
      <c r="BR152" s="2465" t="str">
        <f t="shared" si="69"/>
        <v xml:space="preserve">  * La variable Pueblos originarios No puede ser mayor al Total.</v>
      </c>
      <c r="BS152" s="2465" t="str">
        <f t="shared" si="70"/>
        <v xml:space="preserve">  * La variable Pueblos Migrantes No puede ser mayor al Total.</v>
      </c>
      <c r="CA152"/>
      <c r="CB152"/>
      <c r="CC152" s="1725">
        <f t="shared" si="71"/>
        <v>1</v>
      </c>
      <c r="CD152" s="1725">
        <f t="shared" si="72"/>
        <v>1</v>
      </c>
      <c r="CE152" s="1725"/>
    </row>
    <row r="153" spans="1:83" x14ac:dyDescent="0.3">
      <c r="A153" s="6248" t="s">
        <v>4374</v>
      </c>
      <c r="B153" s="6779"/>
      <c r="C153" s="1105" t="s">
        <v>1976</v>
      </c>
      <c r="D153" s="2167" t="s">
        <v>5292</v>
      </c>
      <c r="E153" s="2168" t="s">
        <v>5293</v>
      </c>
      <c r="F153" s="1701" t="s">
        <v>5294</v>
      </c>
      <c r="G153" s="1095" t="s">
        <v>5295</v>
      </c>
      <c r="H153" s="8" t="s">
        <v>5296</v>
      </c>
      <c r="I153" s="1095" t="s">
        <v>5297</v>
      </c>
      <c r="J153" s="8" t="s">
        <v>5298</v>
      </c>
      <c r="K153" s="1095" t="s">
        <v>5299</v>
      </c>
      <c r="L153" s="8" t="s">
        <v>5300</v>
      </c>
      <c r="M153" s="1095" t="s">
        <v>5301</v>
      </c>
      <c r="N153" s="2114" t="s">
        <v>5302</v>
      </c>
      <c r="O153" s="1424" t="s">
        <v>5303</v>
      </c>
      <c r="P153" s="8" t="s">
        <v>5304</v>
      </c>
      <c r="Q153" t="str">
        <f t="shared" si="73"/>
        <v xml:space="preserve">  * La variable Pueblos originarios No puede ser mayor al Total.  * La variable Pueblos Migrantes No puede ser mayor al Total.</v>
      </c>
      <c r="BR153" s="2465" t="str">
        <f t="shared" si="69"/>
        <v xml:space="preserve">  * La variable Pueblos originarios No puede ser mayor al Total.</v>
      </c>
      <c r="BS153" s="2465" t="str">
        <f t="shared" si="70"/>
        <v xml:space="preserve">  * La variable Pueblos Migrantes No puede ser mayor al Total.</v>
      </c>
      <c r="CA153"/>
      <c r="CB153"/>
      <c r="CC153" s="1725">
        <f t="shared" si="71"/>
        <v>1</v>
      </c>
      <c r="CD153" s="1725">
        <f t="shared" si="72"/>
        <v>1</v>
      </c>
      <c r="CE153" s="1725"/>
    </row>
    <row r="154" spans="1:83" x14ac:dyDescent="0.3">
      <c r="A154" s="6248" t="s">
        <v>4375</v>
      </c>
      <c r="B154" s="6908"/>
      <c r="C154" s="1700" t="s">
        <v>1977</v>
      </c>
      <c r="D154" s="2193" t="s">
        <v>5292</v>
      </c>
      <c r="E154" s="2194" t="s">
        <v>5293</v>
      </c>
      <c r="F154" s="2125" t="s">
        <v>5294</v>
      </c>
      <c r="G154" s="9" t="s">
        <v>5295</v>
      </c>
      <c r="H154" s="11" t="s">
        <v>5296</v>
      </c>
      <c r="I154" s="9" t="s">
        <v>5297</v>
      </c>
      <c r="J154" s="11" t="s">
        <v>5298</v>
      </c>
      <c r="K154" s="9" t="s">
        <v>5299</v>
      </c>
      <c r="L154" s="11" t="s">
        <v>5300</v>
      </c>
      <c r="M154" s="9" t="s">
        <v>5301</v>
      </c>
      <c r="N154" s="1696" t="s">
        <v>5302</v>
      </c>
      <c r="O154" s="26" t="s">
        <v>5303</v>
      </c>
      <c r="P154" s="11" t="s">
        <v>5304</v>
      </c>
      <c r="Q154" t="str">
        <f t="shared" si="73"/>
        <v xml:space="preserve">  * La variable Pueblos originarios No puede ser mayor al Total.  * La variable Pueblos Migrantes No puede ser mayor al Total.</v>
      </c>
      <c r="BR154" s="2465" t="str">
        <f t="shared" si="69"/>
        <v xml:space="preserve">  * La variable Pueblos originarios No puede ser mayor al Total.</v>
      </c>
      <c r="BS154" s="2465" t="str">
        <f t="shared" si="70"/>
        <v xml:space="preserve">  * La variable Pueblos Migrantes No puede ser mayor al Total.</v>
      </c>
      <c r="CA154"/>
      <c r="CB154"/>
      <c r="CC154" s="1725">
        <f t="shared" si="71"/>
        <v>1</v>
      </c>
      <c r="CD154" s="1725">
        <f t="shared" si="72"/>
        <v>1</v>
      </c>
      <c r="CE154" s="1725"/>
    </row>
    <row r="155" spans="1:83" s="1386" customFormat="1" ht="15" customHeight="1" x14ac:dyDescent="0.25">
      <c r="A155" s="6250"/>
      <c r="B155" s="6924" t="s">
        <v>1972</v>
      </c>
      <c r="C155" s="6918"/>
      <c r="D155" s="2222">
        <f>SUM(D151:D154)</f>
        <v>0</v>
      </c>
      <c r="E155" s="2223">
        <f>SUM(E151:E154)</f>
        <v>0</v>
      </c>
      <c r="F155" s="2224">
        <f>SUM(F151:F154)</f>
        <v>0</v>
      </c>
      <c r="G155" s="2222">
        <f>SUM(G151:G154)</f>
        <v>0</v>
      </c>
      <c r="H155" s="2224">
        <f t="shared" ref="H155:N155" si="74">SUM(H151:H154)</f>
        <v>0</v>
      </c>
      <c r="I155" s="2222">
        <f t="shared" si="74"/>
        <v>0</v>
      </c>
      <c r="J155" s="2224">
        <f t="shared" si="74"/>
        <v>0</v>
      </c>
      <c r="K155" s="2222">
        <f t="shared" si="74"/>
        <v>0</v>
      </c>
      <c r="L155" s="2224">
        <f t="shared" si="74"/>
        <v>0</v>
      </c>
      <c r="M155" s="2222">
        <f t="shared" si="74"/>
        <v>0</v>
      </c>
      <c r="N155" s="2670">
        <f t="shared" si="74"/>
        <v>0</v>
      </c>
      <c r="O155" s="2671">
        <f>SUM(O151:O154)</f>
        <v>0</v>
      </c>
      <c r="P155" s="2224">
        <f>SUM(P151:P154)</f>
        <v>0</v>
      </c>
    </row>
    <row r="156" spans="1:83" x14ac:dyDescent="0.3">
      <c r="A156" s="6250"/>
      <c r="B156" s="6924" t="s">
        <v>35</v>
      </c>
      <c r="C156" s="6924"/>
      <c r="D156" s="2169">
        <f>SUM(D150+D155)</f>
        <v>0</v>
      </c>
      <c r="E156" s="2170">
        <f>SUM(E150+E155)</f>
        <v>0</v>
      </c>
      <c r="F156" s="2211">
        <f>SUM(F150+F155)</f>
        <v>0</v>
      </c>
      <c r="G156" s="2169">
        <f>SUM(G150+G155)</f>
        <v>0</v>
      </c>
      <c r="H156" s="2211">
        <f>SUM(H150+H155)</f>
        <v>0</v>
      </c>
      <c r="I156" s="2169">
        <f t="shared" ref="I156:N156" si="75">SUM(I150+I155)</f>
        <v>0</v>
      </c>
      <c r="J156" s="2211">
        <f t="shared" si="75"/>
        <v>0</v>
      </c>
      <c r="K156" s="2169">
        <f t="shared" si="75"/>
        <v>0</v>
      </c>
      <c r="L156" s="2211">
        <f t="shared" si="75"/>
        <v>0</v>
      </c>
      <c r="M156" s="2169">
        <f t="shared" si="75"/>
        <v>0</v>
      </c>
      <c r="N156" s="2672">
        <f t="shared" si="75"/>
        <v>0</v>
      </c>
      <c r="O156" s="2673">
        <f>SUM(O150+O155)</f>
        <v>0</v>
      </c>
      <c r="P156" s="2211">
        <f>SUM(P150+P155)</f>
        <v>0</v>
      </c>
      <c r="BR156"/>
      <c r="BS156"/>
      <c r="BT156"/>
      <c r="BU156"/>
      <c r="BV156"/>
      <c r="BW156"/>
      <c r="BX156"/>
      <c r="BY156"/>
      <c r="CA156"/>
      <c r="CB156"/>
      <c r="CC156"/>
    </row>
    <row r="157" spans="1:83" s="17" customFormat="1" ht="18" customHeight="1" x14ac:dyDescent="0.25">
      <c r="B157" s="2646" t="s">
        <v>1978</v>
      </c>
      <c r="C157" s="2646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2667"/>
      <c r="S157" s="2668"/>
    </row>
    <row r="158" spans="1:83" x14ac:dyDescent="0.3">
      <c r="B158" s="6921" t="s">
        <v>0</v>
      </c>
      <c r="C158" s="6399"/>
      <c r="D158" s="6800" t="s">
        <v>24</v>
      </c>
      <c r="E158" s="6922"/>
      <c r="F158" s="6915"/>
      <c r="G158" s="6800" t="s">
        <v>20</v>
      </c>
      <c r="H158" s="6915"/>
      <c r="I158" s="6800" t="s">
        <v>70</v>
      </c>
      <c r="J158" s="6915"/>
      <c r="K158" s="6800" t="s">
        <v>71</v>
      </c>
      <c r="L158" s="6915"/>
      <c r="M158" s="6800" t="s">
        <v>32</v>
      </c>
      <c r="N158" s="6801"/>
      <c r="O158" s="6923" t="s">
        <v>1956</v>
      </c>
      <c r="P158" s="6922"/>
      <c r="Q158" s="6801"/>
      <c r="R158" s="6399" t="s">
        <v>2</v>
      </c>
      <c r="S158" s="6399" t="s">
        <v>3</v>
      </c>
      <c r="BR158"/>
      <c r="BS158"/>
      <c r="BT158"/>
      <c r="BU158"/>
      <c r="BV158"/>
      <c r="BW158"/>
      <c r="BX158"/>
      <c r="BY158"/>
      <c r="CA158"/>
      <c r="CB158"/>
      <c r="CC158"/>
    </row>
    <row r="159" spans="1:83" x14ac:dyDescent="0.3">
      <c r="B159" s="6909"/>
      <c r="C159" s="6796"/>
      <c r="D159" s="2665" t="s">
        <v>26</v>
      </c>
      <c r="E159" s="2666" t="s">
        <v>22</v>
      </c>
      <c r="F159" s="2663" t="s">
        <v>27</v>
      </c>
      <c r="G159" s="2665" t="s">
        <v>22</v>
      </c>
      <c r="H159" s="2663" t="s">
        <v>27</v>
      </c>
      <c r="I159" s="2665" t="s">
        <v>22</v>
      </c>
      <c r="J159" s="2663" t="s">
        <v>27</v>
      </c>
      <c r="K159" s="2665" t="s">
        <v>22</v>
      </c>
      <c r="L159" s="2663" t="s">
        <v>27</v>
      </c>
      <c r="M159" s="2665" t="s">
        <v>22</v>
      </c>
      <c r="N159" s="2662" t="s">
        <v>27</v>
      </c>
      <c r="O159" s="2669" t="s">
        <v>1034</v>
      </c>
      <c r="P159" s="2666" t="s">
        <v>1179</v>
      </c>
      <c r="Q159" s="2664" t="s">
        <v>1035</v>
      </c>
      <c r="R159" s="6796"/>
      <c r="S159" s="6796"/>
      <c r="BR159"/>
      <c r="BS159"/>
      <c r="BT159"/>
      <c r="BU159"/>
      <c r="BV159"/>
      <c r="BW159"/>
      <c r="BX159"/>
      <c r="BY159"/>
      <c r="CA159"/>
      <c r="CB159"/>
      <c r="CC159"/>
    </row>
    <row r="160" spans="1:83" x14ac:dyDescent="0.3">
      <c r="A160" s="6248" t="s">
        <v>4376</v>
      </c>
      <c r="B160" s="6917" t="s">
        <v>1968</v>
      </c>
      <c r="C160" s="2117" t="s">
        <v>1969</v>
      </c>
      <c r="D160" s="2226" t="s">
        <v>5292</v>
      </c>
      <c r="E160" s="2227" t="s">
        <v>5293</v>
      </c>
      <c r="F160" s="2228" t="s">
        <v>5294</v>
      </c>
      <c r="G160" s="2120" t="s">
        <v>5295</v>
      </c>
      <c r="H160" s="2229" t="s">
        <v>5296</v>
      </c>
      <c r="I160" s="2120" t="s">
        <v>5297</v>
      </c>
      <c r="J160" s="2229" t="s">
        <v>5298</v>
      </c>
      <c r="K160" s="2120" t="s">
        <v>5299</v>
      </c>
      <c r="L160" s="2229" t="s">
        <v>5300</v>
      </c>
      <c r="M160" s="2120" t="s">
        <v>5301</v>
      </c>
      <c r="N160" s="2230" t="s">
        <v>5302</v>
      </c>
      <c r="O160" s="2231" t="s">
        <v>5303</v>
      </c>
      <c r="P160" s="2232" t="s">
        <v>5304</v>
      </c>
      <c r="Q160" s="2200" t="s">
        <v>5305</v>
      </c>
      <c r="R160" s="2229" t="s">
        <v>5306</v>
      </c>
      <c r="S160" s="2229" t="s">
        <v>5307</v>
      </c>
      <c r="T160" t="str">
        <f>BR160&amp;BS160&amp;BT160</f>
        <v xml:space="preserve"> *  La variable Pueblos originarios No puede ser mayor al Total. *  La variable Migrantes No puede ser mayor al Total.</v>
      </c>
      <c r="BR160" s="2465" t="str">
        <f>IF(AND(D160&gt;0,R160=""),"   * No olvide digitar la variable Pueblos originarios. Digite Cero si no tiene.",IF(R160&gt;D160," *  La variable Pueblos originarios No puede ser mayor al Total.",""))</f>
        <v xml:space="preserve"> *  La variable Pueblos originarios No puede ser mayor al Total.</v>
      </c>
      <c r="BS160" s="2465" t="str">
        <f>IF(AND(D160&gt;0,S160=""),"   * No olvide digitar la variable Migrantes. Digite Cero si no tiene.",IF(S160&gt;D160," *  La variable Migrantes No puede ser mayor al Total.",""))</f>
        <v xml:space="preserve"> *  La variable Migrantes No puede ser mayor al Total.</v>
      </c>
      <c r="BT160"/>
      <c r="BU160"/>
      <c r="BV160"/>
      <c r="BW160"/>
      <c r="BX160"/>
      <c r="BY160"/>
      <c r="CA160"/>
      <c r="CB160"/>
      <c r="CC160" s="1725">
        <f>IF(AND(D160&gt;0,R160=""),1,IF(R160&gt;D160,1,0))</f>
        <v>1</v>
      </c>
      <c r="CD160" s="1725">
        <f>IF(AND(D160&gt;0,S160=""),1,IF(S160&gt;D160,1,0))</f>
        <v>1</v>
      </c>
    </row>
    <row r="161" spans="1:83" x14ac:dyDescent="0.3">
      <c r="A161" s="6248" t="s">
        <v>4377</v>
      </c>
      <c r="B161" s="6779"/>
      <c r="C161" s="1105" t="s">
        <v>1970</v>
      </c>
      <c r="D161" s="1563" t="s">
        <v>5292</v>
      </c>
      <c r="E161" s="1555" t="s">
        <v>5293</v>
      </c>
      <c r="F161" s="31" t="s">
        <v>5294</v>
      </c>
      <c r="G161" s="1095" t="s">
        <v>5295</v>
      </c>
      <c r="H161" s="8" t="s">
        <v>5296</v>
      </c>
      <c r="I161" s="1095" t="s">
        <v>5297</v>
      </c>
      <c r="J161" s="8" t="s">
        <v>5298</v>
      </c>
      <c r="K161" s="1095" t="s">
        <v>5299</v>
      </c>
      <c r="L161" s="8" t="s">
        <v>5300</v>
      </c>
      <c r="M161" s="1095" t="s">
        <v>5301</v>
      </c>
      <c r="N161" s="1697" t="s">
        <v>5302</v>
      </c>
      <c r="O161" s="2233" t="s">
        <v>5303</v>
      </c>
      <c r="P161" s="1426" t="s">
        <v>5304</v>
      </c>
      <c r="Q161" s="2114" t="s">
        <v>5305</v>
      </c>
      <c r="R161" s="8" t="s">
        <v>5306</v>
      </c>
      <c r="S161" s="8" t="s">
        <v>5307</v>
      </c>
      <c r="T161" t="str">
        <f t="shared" ref="T161:T167" si="76">BR161&amp;BS161&amp;BT161</f>
        <v xml:space="preserve"> *  La variable Pueblos originarios No puede ser mayor al Total. *  La variable Migrantes No puede ser mayor al Total.</v>
      </c>
      <c r="BR161" s="2465" t="str">
        <f t="shared" ref="BR161:BR167" si="77">IF(AND(D161&gt;0,R161=""),"   * No olvide digitar la variable Pueblos originarios. Digite Cero si no tiene.",IF(R161&gt;D161," *  La variable Pueblos originarios No puede ser mayor al Total.",""))</f>
        <v xml:space="preserve"> *  La variable Pueblos originarios No puede ser mayor al Total.</v>
      </c>
      <c r="BS161" s="2465" t="str">
        <f t="shared" ref="BS161:BS167" si="78">IF(AND(D161&gt;0,S161=""),"   * No olvide digitar la variable Migrantes. Digite Cero si no tiene.",IF(S161&gt;D161," *  La variable Migrantes No puede ser mayor al Total.",""))</f>
        <v xml:space="preserve"> *  La variable Migrantes No puede ser mayor al Total.</v>
      </c>
      <c r="BT161"/>
      <c r="BU161"/>
      <c r="BV161"/>
      <c r="BW161"/>
      <c r="BX161"/>
      <c r="BY161"/>
      <c r="CA161"/>
      <c r="CB161"/>
      <c r="CC161" s="1725">
        <f t="shared" ref="CC161:CC167" si="79">IF(AND(D161&gt;0,R161=""),1,IF(R161&gt;D161,1,0))</f>
        <v>1</v>
      </c>
      <c r="CD161" s="1725">
        <f t="shared" ref="CD161:CD167" si="80">IF(AND(D161&gt;0,S161=""),1,IF(S161&gt;D161,1,0))</f>
        <v>1</v>
      </c>
    </row>
    <row r="162" spans="1:83" x14ac:dyDescent="0.3">
      <c r="A162" s="6248" t="s">
        <v>4378</v>
      </c>
      <c r="B162" s="6779"/>
      <c r="C162" s="2221" t="s">
        <v>1971</v>
      </c>
      <c r="D162" s="2234" t="s">
        <v>5292</v>
      </c>
      <c r="E162" s="2235" t="s">
        <v>5293</v>
      </c>
      <c r="F162" s="32" t="s">
        <v>5294</v>
      </c>
      <c r="G162" s="9" t="s">
        <v>5295</v>
      </c>
      <c r="H162" s="11" t="s">
        <v>5296</v>
      </c>
      <c r="I162" s="9" t="s">
        <v>5297</v>
      </c>
      <c r="J162" s="11" t="s">
        <v>5298</v>
      </c>
      <c r="K162" s="9" t="s">
        <v>5299</v>
      </c>
      <c r="L162" s="11" t="s">
        <v>5300</v>
      </c>
      <c r="M162" s="9" t="s">
        <v>5301</v>
      </c>
      <c r="N162" s="2236" t="s">
        <v>5302</v>
      </c>
      <c r="O162" s="2237" t="s">
        <v>5303</v>
      </c>
      <c r="P162" s="10" t="s">
        <v>5304</v>
      </c>
      <c r="Q162" s="1696" t="s">
        <v>5305</v>
      </c>
      <c r="R162" s="11" t="s">
        <v>5306</v>
      </c>
      <c r="S162" s="11" t="s">
        <v>5307</v>
      </c>
      <c r="T162" t="str">
        <f t="shared" si="76"/>
        <v xml:space="preserve"> *  La variable Pueblos originarios No puede ser mayor al Total. *  La variable Migrantes No puede ser mayor al Total.</v>
      </c>
      <c r="BR162" s="2465" t="str">
        <f t="shared" si="77"/>
        <v xml:space="preserve"> *  La variable Pueblos originarios No puede ser mayor al Total.</v>
      </c>
      <c r="BS162" s="2465" t="str">
        <f t="shared" si="78"/>
        <v xml:space="preserve"> *  La variable Migrantes No puede ser mayor al Total.</v>
      </c>
      <c r="BT162"/>
      <c r="BU162"/>
      <c r="BV162"/>
      <c r="BW162"/>
      <c r="BX162"/>
      <c r="BY162"/>
      <c r="CA162"/>
      <c r="CB162"/>
      <c r="CC162" s="1725">
        <f t="shared" si="79"/>
        <v>1</v>
      </c>
      <c r="CD162" s="1725">
        <f t="shared" si="80"/>
        <v>1</v>
      </c>
    </row>
    <row r="163" spans="1:83" ht="15" customHeight="1" x14ac:dyDescent="0.3">
      <c r="A163" s="6250"/>
      <c r="B163" s="6918" t="s">
        <v>1972</v>
      </c>
      <c r="C163" s="6918"/>
      <c r="D163" s="2674">
        <v>0</v>
      </c>
      <c r="E163" s="2675">
        <v>0</v>
      </c>
      <c r="F163" s="2676">
        <v>0</v>
      </c>
      <c r="G163" s="2674">
        <v>0</v>
      </c>
      <c r="H163" s="2676">
        <v>0</v>
      </c>
      <c r="I163" s="2674">
        <v>0</v>
      </c>
      <c r="J163" s="2676">
        <v>0</v>
      </c>
      <c r="K163" s="2674">
        <v>0</v>
      </c>
      <c r="L163" s="2676">
        <v>0</v>
      </c>
      <c r="M163" s="2674">
        <v>0</v>
      </c>
      <c r="N163" s="2677">
        <v>0</v>
      </c>
      <c r="O163" s="2678">
        <v>0</v>
      </c>
      <c r="P163" s="2675">
        <v>0</v>
      </c>
      <c r="Q163" s="2679">
        <v>0</v>
      </c>
      <c r="R163" s="2676">
        <v>0</v>
      </c>
      <c r="S163" s="2676">
        <v>0</v>
      </c>
      <c r="BR163"/>
      <c r="BS163"/>
      <c r="BT163"/>
      <c r="BU163"/>
      <c r="BV163"/>
      <c r="BW163"/>
      <c r="BX163"/>
      <c r="BY163"/>
      <c r="CA163"/>
      <c r="CB163"/>
      <c r="CC163"/>
    </row>
    <row r="164" spans="1:83" x14ac:dyDescent="0.3">
      <c r="A164" s="6248" t="s">
        <v>4379</v>
      </c>
      <c r="B164" s="6917" t="s">
        <v>1973</v>
      </c>
      <c r="C164" s="1699" t="s">
        <v>1974</v>
      </c>
      <c r="D164" s="2238" t="s">
        <v>5292</v>
      </c>
      <c r="E164" s="1562" t="s">
        <v>5293</v>
      </c>
      <c r="F164" s="33" t="s">
        <v>5294</v>
      </c>
      <c r="G164" s="2112" t="s">
        <v>5295</v>
      </c>
      <c r="H164" s="1089" t="s">
        <v>5296</v>
      </c>
      <c r="I164" s="2112" t="s">
        <v>5297</v>
      </c>
      <c r="J164" s="1089" t="s">
        <v>5298</v>
      </c>
      <c r="K164" s="2112" t="s">
        <v>5299</v>
      </c>
      <c r="L164" s="1089" t="s">
        <v>5300</v>
      </c>
      <c r="M164" s="2112" t="s">
        <v>5301</v>
      </c>
      <c r="N164" s="2239" t="s">
        <v>5302</v>
      </c>
      <c r="O164" s="1573" t="s">
        <v>5303</v>
      </c>
      <c r="P164" s="1437" t="s">
        <v>5304</v>
      </c>
      <c r="Q164" s="2113" t="s">
        <v>5305</v>
      </c>
      <c r="R164" s="1089" t="s">
        <v>5306</v>
      </c>
      <c r="S164" s="1089" t="s">
        <v>5307</v>
      </c>
      <c r="T164" t="str">
        <f t="shared" si="76"/>
        <v xml:space="preserve"> *  La variable Pueblos originarios No puede ser mayor al Total. *  La variable Migrantes No puede ser mayor al Total.</v>
      </c>
      <c r="BR164" s="2465" t="str">
        <f t="shared" si="77"/>
        <v xml:space="preserve"> *  La variable Pueblos originarios No puede ser mayor al Total.</v>
      </c>
      <c r="BS164" s="2465" t="str">
        <f t="shared" si="78"/>
        <v xml:space="preserve"> *  La variable Migrantes No puede ser mayor al Total.</v>
      </c>
      <c r="BT164"/>
      <c r="BU164"/>
      <c r="BV164"/>
      <c r="BW164"/>
      <c r="BX164"/>
      <c r="BY164"/>
      <c r="CA164"/>
      <c r="CB164"/>
      <c r="CC164" s="1725">
        <f t="shared" si="79"/>
        <v>1</v>
      </c>
      <c r="CD164" s="1725">
        <f t="shared" si="80"/>
        <v>1</v>
      </c>
    </row>
    <row r="165" spans="1:83" x14ac:dyDescent="0.3">
      <c r="A165" s="6248" t="s">
        <v>4380</v>
      </c>
      <c r="B165" s="6779"/>
      <c r="C165" s="1105" t="s">
        <v>1975</v>
      </c>
      <c r="D165" s="1563" t="s">
        <v>5292</v>
      </c>
      <c r="E165" s="1555" t="s">
        <v>5293</v>
      </c>
      <c r="F165" s="31" t="s">
        <v>5294</v>
      </c>
      <c r="G165" s="1095" t="s">
        <v>5295</v>
      </c>
      <c r="H165" s="8" t="s">
        <v>5296</v>
      </c>
      <c r="I165" s="1095" t="s">
        <v>5297</v>
      </c>
      <c r="J165" s="8" t="s">
        <v>5298</v>
      </c>
      <c r="K165" s="1095" t="s">
        <v>5299</v>
      </c>
      <c r="L165" s="8" t="s">
        <v>5300</v>
      </c>
      <c r="M165" s="1095" t="s">
        <v>5301</v>
      </c>
      <c r="N165" s="1697" t="s">
        <v>5302</v>
      </c>
      <c r="O165" s="2233" t="s">
        <v>5303</v>
      </c>
      <c r="P165" s="1426" t="s">
        <v>5304</v>
      </c>
      <c r="Q165" s="2114" t="s">
        <v>5305</v>
      </c>
      <c r="R165" s="8" t="s">
        <v>5306</v>
      </c>
      <c r="S165" s="8" t="s">
        <v>5307</v>
      </c>
      <c r="T165" t="str">
        <f t="shared" si="76"/>
        <v xml:space="preserve"> *  La variable Pueblos originarios No puede ser mayor al Total. *  La variable Migrantes No puede ser mayor al Total.</v>
      </c>
      <c r="BR165" s="2465" t="str">
        <f t="shared" si="77"/>
        <v xml:space="preserve"> *  La variable Pueblos originarios No puede ser mayor al Total.</v>
      </c>
      <c r="BS165" s="2465" t="str">
        <f t="shared" si="78"/>
        <v xml:space="preserve"> *  La variable Migrantes No puede ser mayor al Total.</v>
      </c>
      <c r="BT165"/>
      <c r="BU165"/>
      <c r="BV165"/>
      <c r="BW165"/>
      <c r="BX165"/>
      <c r="BY165"/>
      <c r="CA165"/>
      <c r="CB165"/>
      <c r="CC165" s="1725">
        <f t="shared" si="79"/>
        <v>1</v>
      </c>
      <c r="CD165" s="1725">
        <f t="shared" si="80"/>
        <v>1</v>
      </c>
    </row>
    <row r="166" spans="1:83" x14ac:dyDescent="0.3">
      <c r="A166" s="6248" t="s">
        <v>4381</v>
      </c>
      <c r="B166" s="6779"/>
      <c r="C166" s="1105" t="s">
        <v>1976</v>
      </c>
      <c r="D166" s="1563" t="s">
        <v>5292</v>
      </c>
      <c r="E166" s="1555" t="s">
        <v>5293</v>
      </c>
      <c r="F166" s="31" t="s">
        <v>5294</v>
      </c>
      <c r="G166" s="1095" t="s">
        <v>5295</v>
      </c>
      <c r="H166" s="8" t="s">
        <v>5296</v>
      </c>
      <c r="I166" s="1095" t="s">
        <v>5297</v>
      </c>
      <c r="J166" s="8" t="s">
        <v>5298</v>
      </c>
      <c r="K166" s="1095" t="s">
        <v>5299</v>
      </c>
      <c r="L166" s="8" t="s">
        <v>5300</v>
      </c>
      <c r="M166" s="1095" t="s">
        <v>5301</v>
      </c>
      <c r="N166" s="1697" t="s">
        <v>5302</v>
      </c>
      <c r="O166" s="2233" t="s">
        <v>5303</v>
      </c>
      <c r="P166" s="1426" t="s">
        <v>5304</v>
      </c>
      <c r="Q166" s="2114" t="s">
        <v>5305</v>
      </c>
      <c r="R166" s="8" t="s">
        <v>5306</v>
      </c>
      <c r="S166" s="8" t="s">
        <v>5307</v>
      </c>
      <c r="T166" t="str">
        <f t="shared" si="76"/>
        <v xml:space="preserve"> *  La variable Pueblos originarios No puede ser mayor al Total. *  La variable Migrantes No puede ser mayor al Total.</v>
      </c>
      <c r="BR166" s="2465" t="str">
        <f t="shared" si="77"/>
        <v xml:space="preserve"> *  La variable Pueblos originarios No puede ser mayor al Total.</v>
      </c>
      <c r="BS166" s="2465" t="str">
        <f t="shared" si="78"/>
        <v xml:space="preserve"> *  La variable Migrantes No puede ser mayor al Total.</v>
      </c>
      <c r="BT166"/>
      <c r="BU166"/>
      <c r="BV166"/>
      <c r="BW166"/>
      <c r="BX166"/>
      <c r="BY166"/>
      <c r="CA166"/>
      <c r="CB166"/>
      <c r="CC166" s="1725">
        <f t="shared" si="79"/>
        <v>1</v>
      </c>
      <c r="CD166" s="1725">
        <f t="shared" si="80"/>
        <v>1</v>
      </c>
    </row>
    <row r="167" spans="1:83" x14ac:dyDescent="0.3">
      <c r="A167" s="6248" t="s">
        <v>4382</v>
      </c>
      <c r="B167" s="6908"/>
      <c r="C167" s="1700" t="s">
        <v>1977</v>
      </c>
      <c r="D167" s="2234" t="s">
        <v>5292</v>
      </c>
      <c r="E167" s="2235" t="s">
        <v>5293</v>
      </c>
      <c r="F167" s="32" t="s">
        <v>5294</v>
      </c>
      <c r="G167" s="9" t="s">
        <v>5295</v>
      </c>
      <c r="H167" s="11" t="s">
        <v>5296</v>
      </c>
      <c r="I167" s="9" t="s">
        <v>5297</v>
      </c>
      <c r="J167" s="11" t="s">
        <v>5298</v>
      </c>
      <c r="K167" s="9" t="s">
        <v>5299</v>
      </c>
      <c r="L167" s="11" t="s">
        <v>5300</v>
      </c>
      <c r="M167" s="9" t="s">
        <v>5301</v>
      </c>
      <c r="N167" s="2236" t="s">
        <v>5302</v>
      </c>
      <c r="O167" s="2237" t="s">
        <v>5303</v>
      </c>
      <c r="P167" s="10" t="s">
        <v>5304</v>
      </c>
      <c r="Q167" s="1696" t="s">
        <v>5305</v>
      </c>
      <c r="R167" s="11" t="s">
        <v>5306</v>
      </c>
      <c r="S167" s="11" t="s">
        <v>5307</v>
      </c>
      <c r="T167" t="str">
        <f t="shared" si="76"/>
        <v xml:space="preserve"> *  La variable Pueblos originarios No puede ser mayor al Total. *  La variable Migrantes No puede ser mayor al Total.</v>
      </c>
      <c r="BR167" s="2465" t="str">
        <f t="shared" si="77"/>
        <v xml:space="preserve"> *  La variable Pueblos originarios No puede ser mayor al Total.</v>
      </c>
      <c r="BS167" s="2465" t="str">
        <f t="shared" si="78"/>
        <v xml:space="preserve"> *  La variable Migrantes No puede ser mayor al Total.</v>
      </c>
      <c r="BT167"/>
      <c r="BU167"/>
      <c r="BV167"/>
      <c r="BW167"/>
      <c r="BX167"/>
      <c r="BY167"/>
      <c r="CA167"/>
      <c r="CB167"/>
      <c r="CC167" s="1725">
        <f t="shared" si="79"/>
        <v>1</v>
      </c>
      <c r="CD167" s="1725">
        <f t="shared" si="80"/>
        <v>1</v>
      </c>
    </row>
    <row r="168" spans="1:83" ht="15" customHeight="1" x14ac:dyDescent="0.3">
      <c r="A168" s="6250"/>
      <c r="B168" s="6924" t="s">
        <v>1972</v>
      </c>
      <c r="C168" s="6918"/>
      <c r="D168" s="2674">
        <f>SUM(D164:D167)</f>
        <v>0</v>
      </c>
      <c r="E168" s="2675">
        <f>SUM(E164:E167)</f>
        <v>0</v>
      </c>
      <c r="F168" s="2676">
        <f>SUM(F164:F167)</f>
        <v>0</v>
      </c>
      <c r="G168" s="2674">
        <f>SUM(G164:G167)</f>
        <v>0</v>
      </c>
      <c r="H168" s="2676">
        <f t="shared" ref="H168:Q168" si="81">SUM(H164:H167)</f>
        <v>0</v>
      </c>
      <c r="I168" s="2674">
        <f t="shared" si="81"/>
        <v>0</v>
      </c>
      <c r="J168" s="2676">
        <f t="shared" si="81"/>
        <v>0</v>
      </c>
      <c r="K168" s="2674">
        <f t="shared" si="81"/>
        <v>0</v>
      </c>
      <c r="L168" s="2676">
        <f t="shared" si="81"/>
        <v>0</v>
      </c>
      <c r="M168" s="2674">
        <f t="shared" si="81"/>
        <v>0</v>
      </c>
      <c r="N168" s="2677">
        <f t="shared" si="81"/>
        <v>0</v>
      </c>
      <c r="O168" s="2678">
        <f t="shared" si="81"/>
        <v>0</v>
      </c>
      <c r="P168" s="2675">
        <f t="shared" si="81"/>
        <v>0</v>
      </c>
      <c r="Q168" s="2679">
        <f t="shared" si="81"/>
        <v>0</v>
      </c>
      <c r="R168" s="2676">
        <f>SUM(R164:R167)</f>
        <v>0</v>
      </c>
      <c r="S168" s="2676">
        <f>SUM(S164:S167)</f>
        <v>0</v>
      </c>
      <c r="BR168"/>
      <c r="BS168"/>
      <c r="BT168"/>
      <c r="BU168"/>
      <c r="BV168"/>
      <c r="BW168"/>
      <c r="BX168"/>
      <c r="BY168"/>
      <c r="CA168"/>
      <c r="CB168"/>
      <c r="CC168"/>
    </row>
    <row r="169" spans="1:83" x14ac:dyDescent="0.3">
      <c r="A169" s="6250"/>
      <c r="B169" s="6924" t="s">
        <v>35</v>
      </c>
      <c r="C169" s="6924"/>
      <c r="D169" s="2680">
        <f>SUM(D163+D168)</f>
        <v>0</v>
      </c>
      <c r="E169" s="2681">
        <f t="shared" ref="E169:Q169" si="82">SUM(E163+E168)</f>
        <v>0</v>
      </c>
      <c r="F169" s="2682">
        <f t="shared" si="82"/>
        <v>0</v>
      </c>
      <c r="G169" s="2680">
        <f t="shared" si="82"/>
        <v>0</v>
      </c>
      <c r="H169" s="2682">
        <f t="shared" si="82"/>
        <v>0</v>
      </c>
      <c r="I169" s="2680">
        <f t="shared" si="82"/>
        <v>0</v>
      </c>
      <c r="J169" s="2682">
        <f t="shared" si="82"/>
        <v>0</v>
      </c>
      <c r="K169" s="2680">
        <f t="shared" si="82"/>
        <v>0</v>
      </c>
      <c r="L169" s="2682">
        <f t="shared" si="82"/>
        <v>0</v>
      </c>
      <c r="M169" s="2680">
        <f t="shared" si="82"/>
        <v>0</v>
      </c>
      <c r="N169" s="2683">
        <f t="shared" si="82"/>
        <v>0</v>
      </c>
      <c r="O169" s="2684">
        <f t="shared" si="82"/>
        <v>0</v>
      </c>
      <c r="P169" s="2681">
        <f t="shared" si="82"/>
        <v>0</v>
      </c>
      <c r="Q169" s="2685">
        <f t="shared" si="82"/>
        <v>0</v>
      </c>
      <c r="R169" s="2682">
        <f>SUM(R163+R168)</f>
        <v>0</v>
      </c>
      <c r="S169" s="2682">
        <f>SUM(S163+S168)</f>
        <v>0</v>
      </c>
      <c r="BR169"/>
      <c r="BS169"/>
      <c r="BT169"/>
      <c r="BU169"/>
      <c r="BV169"/>
      <c r="BW169"/>
      <c r="BX169"/>
      <c r="BY169"/>
      <c r="CA169"/>
      <c r="CB169"/>
      <c r="CC169"/>
    </row>
    <row r="170" spans="1:83" s="17" customFormat="1" ht="18" customHeight="1" x14ac:dyDescent="0.25">
      <c r="B170" s="2646" t="s">
        <v>1979</v>
      </c>
      <c r="C170" s="2646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</row>
    <row r="171" spans="1:83" ht="15" customHeight="1" x14ac:dyDescent="0.3">
      <c r="B171" s="6921" t="s">
        <v>0</v>
      </c>
      <c r="C171" s="6399"/>
      <c r="D171" s="6922" t="s">
        <v>24</v>
      </c>
      <c r="E171" s="6922"/>
      <c r="F171" s="6915"/>
      <c r="G171" s="6800" t="s">
        <v>19</v>
      </c>
      <c r="H171" s="6915"/>
      <c r="I171" s="6800" t="s">
        <v>20</v>
      </c>
      <c r="J171" s="6915"/>
      <c r="K171" s="6800" t="s">
        <v>70</v>
      </c>
      <c r="L171" s="6915"/>
      <c r="M171" s="6800" t="s">
        <v>71</v>
      </c>
      <c r="N171" s="6915"/>
      <c r="O171" s="6800" t="s">
        <v>32</v>
      </c>
      <c r="P171" s="6801"/>
      <c r="Q171" s="6399" t="s">
        <v>2</v>
      </c>
      <c r="R171" s="6399" t="s">
        <v>3</v>
      </c>
      <c r="BR171"/>
      <c r="BS171"/>
      <c r="BT171"/>
      <c r="BU171"/>
      <c r="BV171"/>
      <c r="BW171"/>
      <c r="BX171"/>
      <c r="BY171"/>
      <c r="CA171"/>
      <c r="CB171"/>
      <c r="CC171"/>
    </row>
    <row r="172" spans="1:83" ht="15" customHeight="1" x14ac:dyDescent="0.3">
      <c r="B172" s="6909"/>
      <c r="C172" s="6796"/>
      <c r="D172" s="2665" t="s">
        <v>26</v>
      </c>
      <c r="E172" s="2666" t="s">
        <v>22</v>
      </c>
      <c r="F172" s="2663" t="s">
        <v>27</v>
      </c>
      <c r="G172" s="2665" t="s">
        <v>22</v>
      </c>
      <c r="H172" s="2663" t="s">
        <v>27</v>
      </c>
      <c r="I172" s="2665" t="s">
        <v>22</v>
      </c>
      <c r="J172" s="2663" t="s">
        <v>27</v>
      </c>
      <c r="K172" s="2665" t="s">
        <v>22</v>
      </c>
      <c r="L172" s="2663" t="s">
        <v>27</v>
      </c>
      <c r="M172" s="2665" t="s">
        <v>22</v>
      </c>
      <c r="N172" s="2663" t="s">
        <v>27</v>
      </c>
      <c r="O172" s="2665" t="s">
        <v>22</v>
      </c>
      <c r="P172" s="2686" t="s">
        <v>27</v>
      </c>
      <c r="Q172" s="6796"/>
      <c r="R172" s="6796"/>
      <c r="BR172"/>
      <c r="BS172"/>
      <c r="BT172"/>
      <c r="BU172"/>
      <c r="BV172"/>
      <c r="BW172"/>
      <c r="BX172"/>
      <c r="BY172"/>
      <c r="CA172"/>
      <c r="CB172"/>
      <c r="CC172"/>
    </row>
    <row r="173" spans="1:83" ht="15" customHeight="1" x14ac:dyDescent="0.3">
      <c r="A173" s="6248" t="s">
        <v>4383</v>
      </c>
      <c r="B173" s="6862" t="s">
        <v>1110</v>
      </c>
      <c r="C173" s="5437" t="s">
        <v>1969</v>
      </c>
      <c r="D173" s="5450" t="s">
        <v>5292</v>
      </c>
      <c r="E173" s="5451" t="s">
        <v>5293</v>
      </c>
      <c r="F173" s="5452" t="s">
        <v>5294</v>
      </c>
      <c r="G173" s="5438" t="s">
        <v>5295</v>
      </c>
      <c r="H173" s="5442" t="s">
        <v>5296</v>
      </c>
      <c r="I173" s="5438" t="s">
        <v>5297</v>
      </c>
      <c r="J173" s="5442" t="s">
        <v>5298</v>
      </c>
      <c r="K173" s="5438" t="s">
        <v>5299</v>
      </c>
      <c r="L173" s="5442" t="s">
        <v>5300</v>
      </c>
      <c r="M173" s="5438" t="s">
        <v>5301</v>
      </c>
      <c r="N173" s="5442" t="s">
        <v>5302</v>
      </c>
      <c r="O173" s="5438" t="s">
        <v>5303</v>
      </c>
      <c r="P173" s="5453" t="s">
        <v>5304</v>
      </c>
      <c r="Q173" s="5442" t="s">
        <v>5305</v>
      </c>
      <c r="R173" s="5442" t="s">
        <v>5306</v>
      </c>
      <c r="S173" t="str">
        <f>BR173&amp;BS173</f>
        <v xml:space="preserve"> *  La variable Pueblos originarios No puede ser mayor al Total. *  La variable Migrantes No puede ser mayor al Total.</v>
      </c>
      <c r="BR173" s="2465" t="str">
        <f>IF(AND(D173&gt;0,Q173=""),"   * No olvide digitar la variable Pueblos originarios. Digite Cero si no tiene.",IF(Q173&gt;D173," *  La variable Pueblos originarios No puede ser mayor al Total.",""))</f>
        <v xml:space="preserve"> *  La variable Pueblos originarios No puede ser mayor al Total.</v>
      </c>
      <c r="BS173" s="2465" t="str">
        <f>IF(AND(D173&gt;0,R173=""),"   * No olvide digitar la variable Migrantes. Digite Cero si no tiene.",IF(R173&gt;D173," *  La variable Migrantes No puede ser mayor al Total.",""))</f>
        <v xml:space="preserve"> *  La variable Migrantes No puede ser mayor al Total.</v>
      </c>
      <c r="CA173"/>
      <c r="CB173"/>
      <c r="CC173" s="1725">
        <f>IF(AND(D173&gt;0,Q173=""),1,IF(Q173&gt;D173,1,0))</f>
        <v>1</v>
      </c>
      <c r="CD173" s="1725">
        <f>IF(AND(D173&gt;0,R173=""),1,IF(R173&gt;D173,1,0))</f>
        <v>1</v>
      </c>
      <c r="CE173" s="1725"/>
    </row>
    <row r="174" spans="1:83" ht="15" customHeight="1" x14ac:dyDescent="0.3">
      <c r="A174" s="6248" t="s">
        <v>4384</v>
      </c>
      <c r="B174" s="6925"/>
      <c r="C174" s="3982" t="s">
        <v>1970</v>
      </c>
      <c r="D174" s="2167" t="s">
        <v>5292</v>
      </c>
      <c r="E174" s="5454" t="s">
        <v>5293</v>
      </c>
      <c r="F174" s="4063" t="s">
        <v>5294</v>
      </c>
      <c r="G174" s="1530" t="s">
        <v>5295</v>
      </c>
      <c r="H174" s="4918" t="s">
        <v>5296</v>
      </c>
      <c r="I174" s="1271" t="s">
        <v>5297</v>
      </c>
      <c r="J174" s="4407" t="s">
        <v>5298</v>
      </c>
      <c r="K174" s="1271" t="s">
        <v>5299</v>
      </c>
      <c r="L174" s="4407" t="s">
        <v>5300</v>
      </c>
      <c r="M174" s="1271" t="s">
        <v>5301</v>
      </c>
      <c r="N174" s="4407" t="s">
        <v>5302</v>
      </c>
      <c r="O174" s="1271" t="s">
        <v>5303</v>
      </c>
      <c r="P174" s="5449" t="s">
        <v>5304</v>
      </c>
      <c r="Q174" s="4407" t="s">
        <v>5305</v>
      </c>
      <c r="R174" s="4407" t="s">
        <v>5306</v>
      </c>
      <c r="S174" t="str">
        <f t="shared" ref="S174:S180" si="83">BR174&amp;BS174</f>
        <v xml:space="preserve"> *  La variable Pueblos originarios No puede ser mayor al Total. *  La variable Migrantes No puede ser mayor al Total.</v>
      </c>
      <c r="BR174" s="2465" t="str">
        <f t="shared" ref="BR174:BR180" si="84">IF(AND(D174&gt;0,Q174=""),"   * No olvide digitar la variable Pueblos originarios. Digite Cero si no tiene.",IF(Q174&gt;D174," *  La variable Pueblos originarios No puede ser mayor al Total.",""))</f>
        <v xml:space="preserve"> *  La variable Pueblos originarios No puede ser mayor al Total.</v>
      </c>
      <c r="BS174" s="2465" t="str">
        <f t="shared" ref="BS174:BS180" si="85">IF(AND(D174&gt;0,R174=""),"   * No olvide digitar la variable Migrantes. Digite Cero si no tiene.",IF(R174&gt;D174," *  La variable Migrantes No puede ser mayor al Total.",""))</f>
        <v xml:space="preserve"> *  La variable Migrantes No puede ser mayor al Total.</v>
      </c>
      <c r="CA174"/>
      <c r="CB174"/>
      <c r="CC174" s="1725">
        <f t="shared" ref="CC174:CC180" si="86">IF(AND(D174&gt;0,Q174=""),1,IF(Q174&gt;D174,1,0))</f>
        <v>1</v>
      </c>
      <c r="CD174" s="1725">
        <f t="shared" ref="CD174:CD180" si="87">IF(AND(D174&gt;0,R174=""),1,IF(R174&gt;D174,1,0))</f>
        <v>1</v>
      </c>
      <c r="CE174" s="1725"/>
    </row>
    <row r="175" spans="1:83" ht="15" customHeight="1" x14ac:dyDescent="0.3">
      <c r="A175" s="6248" t="s">
        <v>4385</v>
      </c>
      <c r="B175" s="6925"/>
      <c r="C175" s="1700" t="s">
        <v>1971</v>
      </c>
      <c r="D175" s="5455" t="s">
        <v>5292</v>
      </c>
      <c r="E175" s="4866" t="s">
        <v>5293</v>
      </c>
      <c r="F175" s="5456" t="s">
        <v>5294</v>
      </c>
      <c r="G175" s="4915" t="s">
        <v>5295</v>
      </c>
      <c r="H175" s="5457" t="s">
        <v>5296</v>
      </c>
      <c r="I175" s="4303" t="s">
        <v>5297</v>
      </c>
      <c r="J175" s="2760" t="s">
        <v>5298</v>
      </c>
      <c r="K175" s="4303" t="s">
        <v>5299</v>
      </c>
      <c r="L175" s="2760" t="s">
        <v>5300</v>
      </c>
      <c r="M175" s="4303" t="s">
        <v>5301</v>
      </c>
      <c r="N175" s="2760" t="s">
        <v>5302</v>
      </c>
      <c r="O175" s="4303" t="s">
        <v>5303</v>
      </c>
      <c r="P175" s="3949" t="s">
        <v>5304</v>
      </c>
      <c r="Q175" s="2760" t="s">
        <v>5305</v>
      </c>
      <c r="R175" s="2760" t="s">
        <v>5306</v>
      </c>
      <c r="S175" t="str">
        <f t="shared" si="83"/>
        <v xml:space="preserve"> *  La variable Pueblos originarios No puede ser mayor al Total. *  La variable Migrantes No puede ser mayor al Total.</v>
      </c>
      <c r="BR175" s="2465" t="str">
        <f t="shared" si="84"/>
        <v xml:space="preserve"> *  La variable Pueblos originarios No puede ser mayor al Total.</v>
      </c>
      <c r="BS175" s="2465" t="str">
        <f t="shared" si="85"/>
        <v xml:space="preserve"> *  La variable Migrantes No puede ser mayor al Total.</v>
      </c>
      <c r="CA175"/>
      <c r="CB175"/>
      <c r="CC175" s="1725">
        <f t="shared" si="86"/>
        <v>1</v>
      </c>
      <c r="CD175" s="1725">
        <f t="shared" si="87"/>
        <v>1</v>
      </c>
      <c r="CE175" s="1725"/>
    </row>
    <row r="176" spans="1:83" ht="15" customHeight="1" x14ac:dyDescent="0.3">
      <c r="A176" s="6252"/>
      <c r="B176" s="6926"/>
      <c r="C176" s="5458" t="s">
        <v>1980</v>
      </c>
      <c r="D176" s="5459">
        <v>0</v>
      </c>
      <c r="E176" s="5460">
        <v>0</v>
      </c>
      <c r="F176" s="5461">
        <v>0</v>
      </c>
      <c r="G176" s="5459">
        <v>0</v>
      </c>
      <c r="H176" s="5461">
        <v>0</v>
      </c>
      <c r="I176" s="5459">
        <v>0</v>
      </c>
      <c r="J176" s="5461">
        <v>0</v>
      </c>
      <c r="K176" s="5459">
        <v>0</v>
      </c>
      <c r="L176" s="5461">
        <v>0</v>
      </c>
      <c r="M176" s="5459">
        <v>0</v>
      </c>
      <c r="N176" s="5461">
        <v>0</v>
      </c>
      <c r="O176" s="5459">
        <v>0</v>
      </c>
      <c r="P176" s="5462">
        <v>0</v>
      </c>
      <c r="Q176" s="5461">
        <v>0</v>
      </c>
      <c r="R176" s="5461">
        <v>0</v>
      </c>
      <c r="BR176"/>
      <c r="BS176"/>
      <c r="BT176"/>
      <c r="BU176"/>
      <c r="BV176"/>
      <c r="BW176"/>
      <c r="BX176"/>
      <c r="BY176"/>
      <c r="CA176"/>
      <c r="CB176"/>
      <c r="CC176"/>
    </row>
    <row r="177" spans="1:90" ht="15" customHeight="1" x14ac:dyDescent="0.3">
      <c r="A177" s="6248" t="s">
        <v>4386</v>
      </c>
      <c r="B177" s="6925" t="s">
        <v>1178</v>
      </c>
      <c r="C177" s="5433" t="s">
        <v>1981</v>
      </c>
      <c r="D177" s="5444" t="s">
        <v>5292</v>
      </c>
      <c r="E177" s="5445" t="s">
        <v>5293</v>
      </c>
      <c r="F177" s="5446" t="s">
        <v>5294</v>
      </c>
      <c r="G177" s="1274" t="s">
        <v>5295</v>
      </c>
      <c r="H177" s="5447" t="s">
        <v>5296</v>
      </c>
      <c r="I177" s="2241" t="s">
        <v>5297</v>
      </c>
      <c r="J177" s="5447" t="s">
        <v>5298</v>
      </c>
      <c r="K177" s="1271" t="s">
        <v>5299</v>
      </c>
      <c r="L177" s="4407" t="s">
        <v>5300</v>
      </c>
      <c r="M177" s="1271" t="s">
        <v>5301</v>
      </c>
      <c r="N177" s="4407" t="s">
        <v>5302</v>
      </c>
      <c r="O177" s="5448" t="s">
        <v>5303</v>
      </c>
      <c r="P177" s="5449" t="s">
        <v>5304</v>
      </c>
      <c r="Q177" s="1258" t="s">
        <v>5305</v>
      </c>
      <c r="R177" s="4407" t="s">
        <v>5306</v>
      </c>
      <c r="S177" t="str">
        <f t="shared" si="83"/>
        <v xml:space="preserve"> *  La variable Pueblos originarios No puede ser mayor al Total. *  La variable Migrantes No puede ser mayor al Total.</v>
      </c>
      <c r="BR177" s="2465" t="str">
        <f t="shared" si="84"/>
        <v xml:space="preserve"> *  La variable Pueblos originarios No puede ser mayor al Total.</v>
      </c>
      <c r="BS177" s="2465" t="str">
        <f t="shared" si="85"/>
        <v xml:space="preserve"> *  La variable Migrantes No puede ser mayor al Total.</v>
      </c>
      <c r="CA177"/>
      <c r="CB177"/>
      <c r="CC177" s="1725">
        <f t="shared" si="86"/>
        <v>1</v>
      </c>
      <c r="CD177" s="1725">
        <f t="shared" si="87"/>
        <v>1</v>
      </c>
      <c r="CE177" s="1725"/>
    </row>
    <row r="178" spans="1:90" ht="15" customHeight="1" x14ac:dyDescent="0.3">
      <c r="A178" s="6248" t="s">
        <v>4387</v>
      </c>
      <c r="B178" s="6779"/>
      <c r="C178" s="1105" t="s">
        <v>1034</v>
      </c>
      <c r="D178" s="2242" t="s">
        <v>5292</v>
      </c>
      <c r="E178" s="1562" t="s">
        <v>5293</v>
      </c>
      <c r="F178" s="33" t="s">
        <v>5294</v>
      </c>
      <c r="G178" s="2112" t="s">
        <v>5295</v>
      </c>
      <c r="H178" s="1089" t="s">
        <v>5296</v>
      </c>
      <c r="I178" s="1095" t="s">
        <v>5297</v>
      </c>
      <c r="J178" s="1089" t="s">
        <v>5298</v>
      </c>
      <c r="K178" s="1095" t="s">
        <v>5299</v>
      </c>
      <c r="L178" s="1089" t="s">
        <v>5300</v>
      </c>
      <c r="M178" s="2112" t="s">
        <v>5301</v>
      </c>
      <c r="N178" s="1089" t="s">
        <v>5302</v>
      </c>
      <c r="O178" s="1095" t="s">
        <v>5303</v>
      </c>
      <c r="P178" s="1275" t="s">
        <v>5304</v>
      </c>
      <c r="Q178" s="8" t="s">
        <v>5305</v>
      </c>
      <c r="R178" s="1089" t="s">
        <v>5306</v>
      </c>
      <c r="S178" t="str">
        <f t="shared" si="83"/>
        <v xml:space="preserve"> *  La variable Pueblos originarios No puede ser mayor al Total. *  La variable Migrantes No puede ser mayor al Total.</v>
      </c>
      <c r="BR178" s="2465" t="str">
        <f t="shared" si="84"/>
        <v xml:space="preserve"> *  La variable Pueblos originarios No puede ser mayor al Total.</v>
      </c>
      <c r="BS178" s="2465" t="str">
        <f t="shared" si="85"/>
        <v xml:space="preserve"> *  La variable Migrantes No puede ser mayor al Total.</v>
      </c>
      <c r="CA178"/>
      <c r="CB178"/>
      <c r="CC178" s="1725">
        <f>IF(AND(D178&gt;0,Q178=""),1,IF(Q178&gt;D178,1,0))</f>
        <v>1</v>
      </c>
      <c r="CD178" s="1725">
        <f t="shared" si="87"/>
        <v>1</v>
      </c>
      <c r="CE178" s="1725"/>
    </row>
    <row r="179" spans="1:90" ht="15" customHeight="1" x14ac:dyDescent="0.3">
      <c r="A179" s="6248" t="s">
        <v>4388</v>
      </c>
      <c r="B179" s="6779"/>
      <c r="C179" s="1105" t="s">
        <v>1179</v>
      </c>
      <c r="D179" s="1563" t="s">
        <v>5292</v>
      </c>
      <c r="E179" s="1555" t="s">
        <v>5293</v>
      </c>
      <c r="F179" s="31" t="s">
        <v>5294</v>
      </c>
      <c r="G179" s="1095" t="s">
        <v>5295</v>
      </c>
      <c r="H179" s="8" t="s">
        <v>5296</v>
      </c>
      <c r="I179" s="1095" t="s">
        <v>5297</v>
      </c>
      <c r="J179" s="8" t="s">
        <v>5298</v>
      </c>
      <c r="K179" s="1095" t="s">
        <v>5299</v>
      </c>
      <c r="L179" s="8" t="s">
        <v>5300</v>
      </c>
      <c r="M179" s="1095" t="s">
        <v>5301</v>
      </c>
      <c r="N179" s="8" t="s">
        <v>5302</v>
      </c>
      <c r="O179" s="1095" t="s">
        <v>5303</v>
      </c>
      <c r="P179" s="1100" t="s">
        <v>5304</v>
      </c>
      <c r="Q179" s="8" t="s">
        <v>5305</v>
      </c>
      <c r="R179" s="8" t="s">
        <v>5306</v>
      </c>
      <c r="S179" t="str">
        <f t="shared" si="83"/>
        <v xml:space="preserve"> *  La variable Pueblos originarios No puede ser mayor al Total. *  La variable Migrantes No puede ser mayor al Total.</v>
      </c>
      <c r="BR179" s="2465" t="str">
        <f t="shared" si="84"/>
        <v xml:space="preserve"> *  La variable Pueblos originarios No puede ser mayor al Total.</v>
      </c>
      <c r="BS179" s="2465" t="str">
        <f t="shared" si="85"/>
        <v xml:space="preserve"> *  La variable Migrantes No puede ser mayor al Total.</v>
      </c>
      <c r="CA179"/>
      <c r="CB179"/>
      <c r="CC179" s="1725">
        <f t="shared" si="86"/>
        <v>1</v>
      </c>
      <c r="CD179" s="1725">
        <f t="shared" si="87"/>
        <v>1</v>
      </c>
      <c r="CE179" s="1725"/>
    </row>
    <row r="180" spans="1:90" ht="15" customHeight="1" x14ac:dyDescent="0.3">
      <c r="A180" s="6248" t="s">
        <v>4389</v>
      </c>
      <c r="B180" s="6908"/>
      <c r="C180" s="1106" t="s">
        <v>1035</v>
      </c>
      <c r="D180" s="1569" t="s">
        <v>5292</v>
      </c>
      <c r="E180" s="1570" t="s">
        <v>5293</v>
      </c>
      <c r="F180" s="37" t="s">
        <v>5294</v>
      </c>
      <c r="G180" s="3" t="s">
        <v>5295</v>
      </c>
      <c r="H180" s="12" t="s">
        <v>5296</v>
      </c>
      <c r="I180" s="3" t="s">
        <v>5297</v>
      </c>
      <c r="J180" s="12" t="s">
        <v>5298</v>
      </c>
      <c r="K180" s="3" t="s">
        <v>5299</v>
      </c>
      <c r="L180" s="12" t="s">
        <v>5300</v>
      </c>
      <c r="M180" s="3" t="s">
        <v>5301</v>
      </c>
      <c r="N180" s="12" t="s">
        <v>5302</v>
      </c>
      <c r="O180" s="3" t="s">
        <v>5303</v>
      </c>
      <c r="P180" s="5" t="s">
        <v>5304</v>
      </c>
      <c r="Q180" s="12" t="s">
        <v>5305</v>
      </c>
      <c r="R180" s="12" t="s">
        <v>5306</v>
      </c>
      <c r="S180" t="str">
        <f t="shared" si="83"/>
        <v xml:space="preserve"> *  La variable Pueblos originarios No puede ser mayor al Total. *  La variable Migrantes No puede ser mayor al Total.</v>
      </c>
      <c r="BR180" s="2465" t="str">
        <f t="shared" si="84"/>
        <v xml:space="preserve"> *  La variable Pueblos originarios No puede ser mayor al Total.</v>
      </c>
      <c r="BS180" s="2465" t="str">
        <f t="shared" si="85"/>
        <v xml:space="preserve"> *  La variable Migrantes No puede ser mayor al Total.</v>
      </c>
      <c r="CA180"/>
      <c r="CB180"/>
      <c r="CC180" s="1725">
        <f t="shared" si="86"/>
        <v>1</v>
      </c>
      <c r="CD180" s="1725">
        <f t="shared" si="87"/>
        <v>1</v>
      </c>
      <c r="CE180" s="1725"/>
    </row>
    <row r="181" spans="1:90" x14ac:dyDescent="0.3">
      <c r="B181" s="1107" t="s">
        <v>1982</v>
      </c>
      <c r="C181" s="1107"/>
      <c r="D181" s="2497"/>
      <c r="E181" s="2497"/>
      <c r="F181" s="2497"/>
      <c r="G181" s="2497"/>
      <c r="H181" s="2497"/>
      <c r="I181" s="2497"/>
      <c r="BR181"/>
      <c r="BS181"/>
      <c r="BT181"/>
      <c r="BU181"/>
      <c r="BV181"/>
      <c r="BW181"/>
      <c r="BX181"/>
      <c r="BY181"/>
      <c r="CA181"/>
      <c r="CB181"/>
      <c r="CC181"/>
    </row>
    <row r="182" spans="1:90" x14ac:dyDescent="0.3">
      <c r="B182" s="1107" t="s">
        <v>3765</v>
      </c>
      <c r="C182" s="1107"/>
      <c r="D182" s="2497"/>
      <c r="E182" s="2497"/>
      <c r="F182" s="2497"/>
      <c r="G182" s="2497"/>
      <c r="H182" s="2497"/>
      <c r="I182" s="2497"/>
      <c r="BR182"/>
      <c r="BS182"/>
      <c r="BT182"/>
      <c r="BU182"/>
      <c r="BV182"/>
      <c r="BW182"/>
      <c r="BX182"/>
      <c r="BY182"/>
      <c r="CA182"/>
      <c r="CB182"/>
      <c r="CC182"/>
    </row>
    <row r="183" spans="1:90" s="17" customFormat="1" ht="18" customHeight="1" x14ac:dyDescent="0.25">
      <c r="B183" s="9049" t="s">
        <v>1983</v>
      </c>
      <c r="C183" s="2646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2687"/>
      <c r="AW183" s="2687"/>
      <c r="AX183" s="2687"/>
    </row>
    <row r="184" spans="1:90" x14ac:dyDescent="0.3">
      <c r="B184" s="6921" t="s">
        <v>1984</v>
      </c>
      <c r="C184" s="6399"/>
      <c r="D184" s="6927" t="s">
        <v>24</v>
      </c>
      <c r="E184" s="6927"/>
      <c r="F184" s="6927"/>
      <c r="G184" s="6927" t="s">
        <v>36</v>
      </c>
      <c r="H184" s="6927"/>
      <c r="I184" s="6927" t="s">
        <v>37</v>
      </c>
      <c r="J184" s="6927"/>
      <c r="K184" s="6927" t="s">
        <v>38</v>
      </c>
      <c r="L184" s="6927"/>
      <c r="M184" s="6927" t="s">
        <v>4</v>
      </c>
      <c r="N184" s="6927"/>
      <c r="O184" s="6797" t="s">
        <v>5</v>
      </c>
      <c r="P184" s="6798"/>
      <c r="Q184" s="6799" t="s">
        <v>6</v>
      </c>
      <c r="R184" s="6799"/>
      <c r="S184" s="6799" t="s">
        <v>7</v>
      </c>
      <c r="T184" s="6799"/>
      <c r="U184" s="6799" t="s">
        <v>8</v>
      </c>
      <c r="V184" s="6799"/>
      <c r="W184" s="6799" t="s">
        <v>9</v>
      </c>
      <c r="X184" s="6799"/>
      <c r="Y184" s="6799" t="s">
        <v>10</v>
      </c>
      <c r="Z184" s="6799"/>
      <c r="AA184" s="6799" t="s">
        <v>11</v>
      </c>
      <c r="AB184" s="6799"/>
      <c r="AC184" s="6799" t="s">
        <v>18</v>
      </c>
      <c r="AD184" s="6799"/>
      <c r="AE184" s="6799" t="s">
        <v>19</v>
      </c>
      <c r="AF184" s="6799"/>
      <c r="AG184" s="6799" t="s">
        <v>20</v>
      </c>
      <c r="AH184" s="6799"/>
      <c r="AI184" s="6799" t="s">
        <v>70</v>
      </c>
      <c r="AJ184" s="6799"/>
      <c r="AK184" s="6799" t="s">
        <v>71</v>
      </c>
      <c r="AL184" s="6799"/>
      <c r="AM184" s="6799" t="s">
        <v>32</v>
      </c>
      <c r="AN184" s="6800"/>
      <c r="AO184" s="6937" t="s">
        <v>39</v>
      </c>
      <c r="AP184" s="6939" t="s">
        <v>1985</v>
      </c>
      <c r="AQ184" s="6800" t="s">
        <v>2</v>
      </c>
      <c r="AR184" s="6915"/>
      <c r="AS184" s="6895" t="s">
        <v>40</v>
      </c>
      <c r="AT184" s="6895" t="s">
        <v>1986</v>
      </c>
      <c r="AU184" s="6800" t="s">
        <v>3</v>
      </c>
      <c r="AV184" s="6915"/>
      <c r="AW184" s="6797" t="s">
        <v>48</v>
      </c>
      <c r="AX184" s="6798" t="s">
        <v>1987</v>
      </c>
      <c r="BR184"/>
      <c r="BS184"/>
      <c r="BT184"/>
      <c r="BU184"/>
      <c r="BV184"/>
      <c r="BW184"/>
      <c r="BX184"/>
      <c r="BY184"/>
      <c r="CA184"/>
      <c r="CB184"/>
      <c r="CC184"/>
    </row>
    <row r="185" spans="1:90" ht="39" customHeight="1" x14ac:dyDescent="0.3">
      <c r="B185" s="6909"/>
      <c r="C185" s="6796"/>
      <c r="D185" s="2691" t="s">
        <v>26</v>
      </c>
      <c r="E185" s="2692" t="s">
        <v>22</v>
      </c>
      <c r="F185" s="2693" t="s">
        <v>27</v>
      </c>
      <c r="G185" s="2691" t="s">
        <v>22</v>
      </c>
      <c r="H185" s="2693" t="s">
        <v>27</v>
      </c>
      <c r="I185" s="2691" t="s">
        <v>22</v>
      </c>
      <c r="J185" s="2693" t="s">
        <v>27</v>
      </c>
      <c r="K185" s="2691" t="s">
        <v>22</v>
      </c>
      <c r="L185" s="2693" t="s">
        <v>27</v>
      </c>
      <c r="M185" s="2691" t="s">
        <v>22</v>
      </c>
      <c r="N185" s="2693" t="s">
        <v>27</v>
      </c>
      <c r="O185" s="2691" t="s">
        <v>22</v>
      </c>
      <c r="P185" s="2693" t="s">
        <v>27</v>
      </c>
      <c r="Q185" s="2691" t="s">
        <v>22</v>
      </c>
      <c r="R185" s="2693" t="s">
        <v>27</v>
      </c>
      <c r="S185" s="2691" t="s">
        <v>22</v>
      </c>
      <c r="T185" s="2693" t="s">
        <v>27</v>
      </c>
      <c r="U185" s="2691" t="s">
        <v>22</v>
      </c>
      <c r="V185" s="2693" t="s">
        <v>27</v>
      </c>
      <c r="W185" s="2691" t="s">
        <v>22</v>
      </c>
      <c r="X185" s="2693" t="s">
        <v>27</v>
      </c>
      <c r="Y185" s="2691" t="s">
        <v>22</v>
      </c>
      <c r="Z185" s="2693" t="s">
        <v>27</v>
      </c>
      <c r="AA185" s="2691" t="s">
        <v>22</v>
      </c>
      <c r="AB185" s="2693" t="s">
        <v>27</v>
      </c>
      <c r="AC185" s="2691" t="s">
        <v>22</v>
      </c>
      <c r="AD185" s="2693" t="s">
        <v>27</v>
      </c>
      <c r="AE185" s="2691" t="s">
        <v>22</v>
      </c>
      <c r="AF185" s="2693" t="s">
        <v>27</v>
      </c>
      <c r="AG185" s="2691" t="s">
        <v>22</v>
      </c>
      <c r="AH185" s="2693" t="s">
        <v>27</v>
      </c>
      <c r="AI185" s="2691" t="s">
        <v>22</v>
      </c>
      <c r="AJ185" s="2693" t="s">
        <v>27</v>
      </c>
      <c r="AK185" s="2691" t="s">
        <v>22</v>
      </c>
      <c r="AL185" s="2693" t="s">
        <v>27</v>
      </c>
      <c r="AM185" s="2691" t="s">
        <v>22</v>
      </c>
      <c r="AN185" s="2694" t="s">
        <v>27</v>
      </c>
      <c r="AO185" s="6938"/>
      <c r="AP185" s="6940"/>
      <c r="AQ185" s="2691" t="s">
        <v>22</v>
      </c>
      <c r="AR185" s="2693" t="s">
        <v>27</v>
      </c>
      <c r="AS185" s="6896"/>
      <c r="AT185" s="6896"/>
      <c r="AU185" s="2691" t="s">
        <v>22</v>
      </c>
      <c r="AV185" s="2693" t="s">
        <v>27</v>
      </c>
      <c r="AW185" s="2695" t="s">
        <v>41</v>
      </c>
      <c r="AX185" s="2638" t="s">
        <v>42</v>
      </c>
      <c r="BR185"/>
      <c r="BS185"/>
      <c r="BT185"/>
      <c r="BU185"/>
      <c r="BV185"/>
      <c r="BW185"/>
      <c r="BX185"/>
      <c r="BY185"/>
      <c r="CA185"/>
      <c r="CB185"/>
      <c r="CC185"/>
    </row>
    <row r="186" spans="1:90" s="17" customFormat="1" ht="18" customHeight="1" x14ac:dyDescent="0.25">
      <c r="A186" s="6248" t="s">
        <v>4390</v>
      </c>
      <c r="B186" s="6931" t="s">
        <v>1988</v>
      </c>
      <c r="C186" s="6932"/>
      <c r="D186" s="2258" t="s">
        <v>5292</v>
      </c>
      <c r="E186" s="2259" t="s">
        <v>5293</v>
      </c>
      <c r="F186" s="2269" t="s">
        <v>5294</v>
      </c>
      <c r="G186" s="2260" t="s">
        <v>5295</v>
      </c>
      <c r="H186" s="1258" t="s">
        <v>5296</v>
      </c>
      <c r="I186" s="2260" t="s">
        <v>5297</v>
      </c>
      <c r="J186" s="1258" t="s">
        <v>5298</v>
      </c>
      <c r="K186" s="2260" t="s">
        <v>5299</v>
      </c>
      <c r="L186" s="1258" t="s">
        <v>5300</v>
      </c>
      <c r="M186" s="2260" t="s">
        <v>5301</v>
      </c>
      <c r="N186" s="1258" t="s">
        <v>5302</v>
      </c>
      <c r="O186" s="2260" t="s">
        <v>5303</v>
      </c>
      <c r="P186" s="1258" t="s">
        <v>5304</v>
      </c>
      <c r="Q186" s="2260" t="s">
        <v>5305</v>
      </c>
      <c r="R186" s="1258" t="s">
        <v>5306</v>
      </c>
      <c r="S186" s="2260" t="s">
        <v>5307</v>
      </c>
      <c r="T186" s="1258" t="s">
        <v>5308</v>
      </c>
      <c r="U186" s="2260" t="s">
        <v>5309</v>
      </c>
      <c r="V186" s="1258" t="s">
        <v>5310</v>
      </c>
      <c r="W186" s="2260" t="s">
        <v>5311</v>
      </c>
      <c r="X186" s="1258" t="s">
        <v>5312</v>
      </c>
      <c r="Y186" s="2260" t="s">
        <v>5313</v>
      </c>
      <c r="Z186" s="1258" t="s">
        <v>5314</v>
      </c>
      <c r="AA186" s="2260" t="s">
        <v>5315</v>
      </c>
      <c r="AB186" s="1258" t="s">
        <v>5316</v>
      </c>
      <c r="AC186" s="2260" t="s">
        <v>5317</v>
      </c>
      <c r="AD186" s="1258" t="s">
        <v>5318</v>
      </c>
      <c r="AE186" s="2152" t="s">
        <v>5319</v>
      </c>
      <c r="AF186" s="1258" t="s">
        <v>5320</v>
      </c>
      <c r="AG186" s="2152" t="s">
        <v>5321</v>
      </c>
      <c r="AH186" s="1258" t="s">
        <v>5322</v>
      </c>
      <c r="AI186" s="2152" t="s">
        <v>5323</v>
      </c>
      <c r="AJ186" s="1258" t="s">
        <v>5324</v>
      </c>
      <c r="AK186" s="2152" t="s">
        <v>5325</v>
      </c>
      <c r="AL186" s="1258" t="s">
        <v>5326</v>
      </c>
      <c r="AM186" s="2152" t="s">
        <v>5327</v>
      </c>
      <c r="AN186" s="2241" t="s">
        <v>5328</v>
      </c>
      <c r="AO186" s="2263" t="s">
        <v>5329</v>
      </c>
      <c r="AP186" s="2316" t="s">
        <v>5330</v>
      </c>
      <c r="AQ186" s="2152" t="s">
        <v>5331</v>
      </c>
      <c r="AR186" s="1258" t="s">
        <v>5332</v>
      </c>
      <c r="AS186" s="2261" t="s">
        <v>5333</v>
      </c>
      <c r="AT186" s="2261" t="s">
        <v>5334</v>
      </c>
      <c r="AU186" s="2655" t="s">
        <v>5335</v>
      </c>
      <c r="AV186" s="2700" t="s">
        <v>5336</v>
      </c>
      <c r="AW186" s="2655" t="s">
        <v>5337</v>
      </c>
      <c r="AX186" s="2700" t="s">
        <v>5338</v>
      </c>
      <c r="AY186" s="17" t="e">
        <f>BR186&amp;BS186&amp;BT186&amp;BU186&amp;BV186&amp;BW186&amp;BX186&amp;BY186&amp;BZ186&amp;CA186</f>
        <v>#VALUE!</v>
      </c>
      <c r="BR186" s="2465" t="str">
        <f>IF(AND(F186&gt;0,AO186=""), "* No olvide digitar la variable Gestantes. Digite Cero si no tiene.",IF(AO186&gt;F186,"  * La variable Gestantes No puede ser mayor al Total Mujeres.",""))</f>
        <v xml:space="preserve">  * La variable Gestantes No puede ser mayor al Total Mujeres.</v>
      </c>
      <c r="BS186" s="2465" t="str">
        <f>IF(AND(F186&gt;0,AP186=""), "* No olvide digitar la variable Madre de hijo menor de 5 años. Digite Cero si no tiene.",IF(AP186&gt;F186,"  * La variable Madre de hijo menor de 5 años No puede ser mayor al Total de Mujeres.",""))</f>
        <v xml:space="preserve">  * La variable Madre de hijo menor de 5 años No puede ser mayor al Total de Mujeres.</v>
      </c>
      <c r="BT186" s="2465" t="str">
        <f>IF(AND(E186&gt;0,OR(AQ186="")), "* No olvide digitar la variable Pueblos originarios - Hombres. Digite Cero si no tiene.",IF((AQ186)&gt;E186,"  * La variable Pueblos originarios - Hombres No puede ser mayor al Total.",""))</f>
        <v xml:space="preserve">  * La variable Pueblos originarios - Hombres No puede ser mayor al Total.</v>
      </c>
      <c r="BU186" s="2465" t="str">
        <f>IF(AND(F186&gt;0,OR(AR186="")), "* No olvide digitar la variable Pueblos originarios - Mujeres. Digite Cero si no tiene.",IF((AR186)&gt;F186,"  * La variable Pueblos originarios - Mujeres No puede ser mayor al Total.",""))</f>
        <v xml:space="preserve">  * La variable Pueblos originarios - Mujeres No puede ser mayor al Total.</v>
      </c>
      <c r="BV186" s="2465" t="str">
        <f>IF(AND(D186&gt;0,AS186=""), "* No olvide digitar la variable Niños, niñas, adolescentes y jóvenes SENAME. Digite Cero si no tiene.",IF(AS186&gt;D186,"  * La variable Niños, niñas, adolescentes y jóvenes SENAME No puede ser mayor al Total.",""))</f>
        <v xml:space="preserve">  * La variable Niños, niñas, adolescentes y jóvenes SENAME No puede ser mayor al Total.</v>
      </c>
      <c r="BW186" s="2465" t="str">
        <f>IF(AND(D186&gt;0,AT186=""), "* No olvide digitar la variable Niños, niñas, adolescentes y jóvenes Mejor Niñez. Digite Cero si no tiene.",IF(AT186&gt;D186,"  * La variable Niños, niñas, adolescentes y jóvenes Mejor Niñez No puede ser mayor al Total.",""))</f>
        <v xml:space="preserve">  * La variable Niños, niñas, adolescentes y jóvenes Mejor Niñez No puede ser mayor al Total.</v>
      </c>
      <c r="BX186" s="2465" t="e">
        <f>IF(AND(E186&gt;0,OR(AU186="")), "* No olvide digitar la variable Migrantes - Hombres. Digite Cero si no tiene.",IF((AU186+AU186)&gt;E186,"  * La variable Migrantes - Hombres No puede ser mayor al Total.",""))</f>
        <v>#VALUE!</v>
      </c>
      <c r="BY186" s="2465" t="str">
        <f>IF(AND(F186&gt;0,OR(AV186="")), "* No olvide digitar la variable Migrantes - Mujeres. Digite Cero si no tiene.",IF((AV186)&gt;F186,"  * La variable Migrantes - Mujeres No puede ser mayor al Total.",""))</f>
        <v xml:space="preserve">  * La variable Migrantes - Mujeres No puede ser mayor al Total.</v>
      </c>
      <c r="BZ186" s="2465" t="str">
        <f>IF(AND(E186&gt;0,OR(AX186="")), "* No olvide digitar la variable Trans (Femenino). Digite Cero si no tiene.",IF((AX186)&gt;E186,"  * La variable Trans (Femenino) No puede ser mayor al Total Hombres.",""))</f>
        <v xml:space="preserve">  * La variable Trans (Femenino) No puede ser mayor al Total Hombres.</v>
      </c>
      <c r="CA186" s="2465" t="str">
        <f>IF(AND(F186&gt;0,OR(AW186="")), "* No olvide digitar la variable Trans (Masculino). Digite Cero si no tiene.",IF((AW186)&gt;F186,"  * La variable Trans (Masculino) No puede ser mayor al Total Mujeres.",""))</f>
        <v xml:space="preserve">  * La variable Trans (Masculino) No puede ser mayor al Total Mujeres.</v>
      </c>
      <c r="CC186" s="1724">
        <f>IF(AND(F186&gt;0,AO186=""),1,IF(AO186&gt;F186,1,0))</f>
        <v>1</v>
      </c>
      <c r="CD186" s="1724">
        <f>IF(AND(F186&gt;0,AP186=""),1,IF(AP186&gt;F186,1,0))</f>
        <v>1</v>
      </c>
      <c r="CE186" s="1724">
        <f>IF(AND(E186&gt;0,OR(AQ186="")),1,IF((AQ186)&gt;E186,1,0))</f>
        <v>1</v>
      </c>
      <c r="CF186" s="1724">
        <f>IF(AND(F186&gt;0,OR(AR186="")),1,IF((AR186)&gt;F186,1,0))</f>
        <v>1</v>
      </c>
      <c r="CG186" s="1724">
        <f>IF(AND(D186&gt;0,AS186=""),1,IF(AS186&gt;D186,1,0))</f>
        <v>1</v>
      </c>
      <c r="CH186" s="1724">
        <f>IF(AND(D186&gt;0,AT186=""),1,IF(AT186&gt;D186,1,0))</f>
        <v>1</v>
      </c>
      <c r="CI186" s="1724">
        <f>IF(AND(E186&gt;0,OR(AU186="")),1,IF((AU186)&gt;E186,1,0))</f>
        <v>1</v>
      </c>
      <c r="CJ186" s="1724">
        <f>IF(AND(F186&gt;0,OR(AV186="")),1,IF((AV186)&gt;F186,1,0))</f>
        <v>1</v>
      </c>
      <c r="CK186" s="1724">
        <f>IF(AND(E186&gt;0,OR(AX186="")),1,IF((AX186)&gt;E186,1,0))</f>
        <v>1</v>
      </c>
      <c r="CL186" s="1724">
        <f>IF(AND(F186&gt;0,OR(AW186="")),1,IF((AW186)&gt;F186,1,0))</f>
        <v>1</v>
      </c>
    </row>
    <row r="187" spans="1:90" s="17" customFormat="1" ht="18" customHeight="1" x14ac:dyDescent="0.25">
      <c r="A187" s="6253"/>
      <c r="B187" s="6933" t="s">
        <v>1989</v>
      </c>
      <c r="C187" s="6934"/>
      <c r="D187" s="2246"/>
      <c r="E187" s="2247"/>
      <c r="F187" s="2247"/>
      <c r="G187" s="2247"/>
      <c r="H187" s="2247"/>
      <c r="I187" s="2247"/>
      <c r="J187" s="2247"/>
      <c r="K187" s="2247"/>
      <c r="L187" s="2247"/>
      <c r="M187" s="2247"/>
      <c r="N187" s="2247"/>
      <c r="O187" s="2247"/>
      <c r="P187" s="2247"/>
      <c r="Q187" s="2247"/>
      <c r="R187" s="2247"/>
      <c r="S187" s="2247"/>
      <c r="T187" s="2247"/>
      <c r="U187" s="2247"/>
      <c r="V187" s="2247"/>
      <c r="W187" s="2247"/>
      <c r="X187" s="2247"/>
      <c r="Y187" s="2247"/>
      <c r="Z187" s="2247"/>
      <c r="AA187" s="2247"/>
      <c r="AB187" s="2247"/>
      <c r="AC187" s="2247"/>
      <c r="AD187" s="2247"/>
      <c r="AE187" s="2247"/>
      <c r="AF187" s="2247"/>
      <c r="AG187" s="2247"/>
      <c r="AH187" s="2247"/>
      <c r="AI187" s="2247"/>
      <c r="AJ187" s="2247"/>
      <c r="AK187" s="2247"/>
      <c r="AL187" s="2247"/>
      <c r="AM187" s="2247"/>
      <c r="AN187" s="2247"/>
      <c r="AO187" s="2247"/>
      <c r="AP187" s="2247"/>
      <c r="AQ187" s="2247"/>
      <c r="AR187" s="2247"/>
      <c r="AS187" s="2247"/>
      <c r="AT187" s="2247"/>
      <c r="AU187" s="2247"/>
      <c r="AV187" s="2247"/>
      <c r="AW187" s="2247"/>
      <c r="AX187" s="2248"/>
    </row>
    <row r="188" spans="1:90" x14ac:dyDescent="0.3">
      <c r="A188" s="6248" t="s">
        <v>4391</v>
      </c>
      <c r="B188" s="6917" t="s">
        <v>1990</v>
      </c>
      <c r="C188" s="2249" t="s">
        <v>1991</v>
      </c>
      <c r="D188" s="2250" t="s">
        <v>5292</v>
      </c>
      <c r="E188" s="2251" t="s">
        <v>5293</v>
      </c>
      <c r="F188" s="2249" t="s">
        <v>5294</v>
      </c>
      <c r="G188" s="2120" t="s">
        <v>5295</v>
      </c>
      <c r="H188" s="2229" t="s">
        <v>5296</v>
      </c>
      <c r="I188" s="2120" t="s">
        <v>5297</v>
      </c>
      <c r="J188" s="2229" t="s">
        <v>5298</v>
      </c>
      <c r="K188" s="2120" t="s">
        <v>5299</v>
      </c>
      <c r="L188" s="2229" t="s">
        <v>5300</v>
      </c>
      <c r="M188" s="2120" t="s">
        <v>5301</v>
      </c>
      <c r="N188" s="2229" t="s">
        <v>5302</v>
      </c>
      <c r="O188" s="2120" t="s">
        <v>5303</v>
      </c>
      <c r="P188" s="2229" t="s">
        <v>5304</v>
      </c>
      <c r="Q188" s="2120" t="s">
        <v>5305</v>
      </c>
      <c r="R188" s="2229" t="s">
        <v>5306</v>
      </c>
      <c r="S188" s="2120" t="s">
        <v>5307</v>
      </c>
      <c r="T188" s="2229" t="s">
        <v>5308</v>
      </c>
      <c r="U188" s="2120" t="s">
        <v>5309</v>
      </c>
      <c r="V188" s="2229" t="s">
        <v>5310</v>
      </c>
      <c r="W188" s="2120" t="s">
        <v>5311</v>
      </c>
      <c r="X188" s="2229" t="s">
        <v>5312</v>
      </c>
      <c r="Y188" s="2120" t="s">
        <v>5313</v>
      </c>
      <c r="Z188" s="2229" t="s">
        <v>5314</v>
      </c>
      <c r="AA188" s="2120" t="s">
        <v>5315</v>
      </c>
      <c r="AB188" s="2229" t="s">
        <v>5316</v>
      </c>
      <c r="AC188" s="2120" t="s">
        <v>5317</v>
      </c>
      <c r="AD188" s="2229" t="s">
        <v>5318</v>
      </c>
      <c r="AE188" s="2120" t="s">
        <v>5319</v>
      </c>
      <c r="AF188" s="2229" t="s">
        <v>5320</v>
      </c>
      <c r="AG188" s="2120" t="s">
        <v>5321</v>
      </c>
      <c r="AH188" s="2229" t="s">
        <v>5322</v>
      </c>
      <c r="AI188" s="2120" t="s">
        <v>5323</v>
      </c>
      <c r="AJ188" s="2229" t="s">
        <v>5324</v>
      </c>
      <c r="AK188" s="2120" t="s">
        <v>5325</v>
      </c>
      <c r="AL188" s="2229" t="s">
        <v>5326</v>
      </c>
      <c r="AM188" s="2120" t="s">
        <v>5327</v>
      </c>
      <c r="AN188" s="2230" t="s">
        <v>5328</v>
      </c>
      <c r="AO188" s="2252" t="s">
        <v>5329</v>
      </c>
      <c r="AP188" s="2166" t="s">
        <v>5330</v>
      </c>
      <c r="AQ188" s="2120" t="s">
        <v>5331</v>
      </c>
      <c r="AR188" s="2229" t="s">
        <v>5332</v>
      </c>
      <c r="AS188" s="2229" t="s">
        <v>5333</v>
      </c>
      <c r="AT188" s="2229" t="s">
        <v>5334</v>
      </c>
      <c r="AU188" s="2654" t="s">
        <v>5335</v>
      </c>
      <c r="AV188" s="2132" t="s">
        <v>5336</v>
      </c>
      <c r="AW188" s="2654" t="s">
        <v>5337</v>
      </c>
      <c r="AX188" s="2132" t="s">
        <v>5338</v>
      </c>
      <c r="AY188" s="17" t="e">
        <f t="shared" ref="AY188:AY230" si="88">BR188&amp;BS188&amp;BT188&amp;BU188&amp;BV188&amp;BW188&amp;BX188&amp;BY188&amp;BZ188&amp;CA188</f>
        <v>#VALUE!</v>
      </c>
      <c r="BR188" s="2465" t="str">
        <f>IF(AND(F188&gt;0,AO188=""), "* No olvide digitar la variable Gestantes. Digite Cero si no tiene.",IF(AO188&gt;F188,"  * La  variable Gestantes No puede ser mayor al Total Mujeres.",""))</f>
        <v xml:space="preserve">  * La  variable Gestantes No puede ser mayor al Total Mujeres.</v>
      </c>
      <c r="BS188" s="2465" t="str">
        <f>IF(AND(F188&gt;0,AP188=""), "* No olvide digitar la variable Madre de hijo menor de 5 años. Digite Cero si no tiene.",IF(AP188&gt;F188,"  * La variable Madre de hijo menor de 5 años No puede ser mayor al Total Mujeres.",""))</f>
        <v xml:space="preserve">  * La variable Madre de hijo menor de 5 años No puede ser mayor al Total Mujeres.</v>
      </c>
      <c r="BT188" s="2465" t="str">
        <f>IF(AND(E188&gt;0,OR(AQ188="")), "* No olvide digitar la variable Pueblos originarios - Hombres. Digite Cero si no tiene.",IF((AQ188)&gt;E188,"  * La variable Pueblos originarios - Hombres No puede ser mayor al Total.",""))</f>
        <v xml:space="preserve">  * La variable Pueblos originarios - Hombres No puede ser mayor al Total.</v>
      </c>
      <c r="BU188" s="2465" t="str">
        <f t="shared" ref="BU188:BU196" si="89">IF(AND(F188&gt;0,OR(AR188="")), "* No olvide digitar la variable Pueblos originarios - Mujeres. Digite Cero si no tiene.",IF((AR188)&gt;F188,"  * La variable Pueblos originarios - Mujeres No puede ser mayor al Total.",""))</f>
        <v xml:space="preserve">  * La variable Pueblos originarios - Mujeres No puede ser mayor al Total.</v>
      </c>
      <c r="BV188" s="2465" t="str">
        <f t="shared" ref="BV188:BV196" si="90">IF(AND(D188&gt;0,AS188=""), "* No olvide digitar la variable Niños, niñas, adolescentes y jóvenes SENAME. Digite Cero si no tiene.",IF(AS188&gt;D188,"  * La variable Niños, niñas, adolescentes y jóvenes SENAME No puede ser mayor al Total.",""))</f>
        <v xml:space="preserve">  * La variable Niños, niñas, adolescentes y jóvenes SENAME No puede ser mayor al Total.</v>
      </c>
      <c r="BW188" s="2465" t="str">
        <f t="shared" ref="BW188:BW196" si="91">IF(AND(D188&gt;0,AT188=""), "* No olvide digitar la variable Niños, niñas, adolescentes y jóvenes Mejor Niñez. Digite Cero si no tiene.",IF(AT188&gt;D188,"  * La variable Niños, niñas, adolescentes y jóvenes Mejor Niñez No puede ser mayor al Total.",""))</f>
        <v xml:space="preserve">  * La variable Niños, niñas, adolescentes y jóvenes Mejor Niñez No puede ser mayor al Total.</v>
      </c>
      <c r="BX188" s="2465" t="e">
        <f t="shared" ref="BX188:BX196" si="92">IF(AND(E188&gt;0,OR(AU188="")), "* No olvide digitar la variable Migrantes - Hombres. Digite Cero si no tiene.",IF((AU188+AU188)&gt;E188,"  * La variable Migrantes - Hombres No puede ser mayor al Total.",""))</f>
        <v>#VALUE!</v>
      </c>
      <c r="BY188" s="2465" t="str">
        <f t="shared" ref="BY188:BY196" si="93">IF(AND(F188&gt;0,OR(AV188="")), "* No olvide digitar la variable Migrantes - Mujeres. Digite Cero si no tiene.",IF((AV188)&gt;F188,"  * La variable Migrantes - Mujeres No puede ser mayor al Total.",""))</f>
        <v xml:space="preserve">  * La variable Migrantes - Mujeres No puede ser mayor al Total.</v>
      </c>
      <c r="BZ188" s="2465" t="str">
        <f>IF(AND(E188&gt;0,OR(AX188="")), "* No olvide digitar la variable Trans (Femenino). Digite Cero si no tiene.",IF((AX188)&gt;E188,"  * La variable Trans (Femenino) No puede ser mayor al Total Hombres.",""))</f>
        <v xml:space="preserve">  * La variable Trans (Femenino) No puede ser mayor al Total Hombres.</v>
      </c>
      <c r="CA188" s="2465" t="str">
        <f t="shared" ref="CA188:CA196" si="94">IF(AND(F188&gt;0,OR(AW188="")), "* No olvide digitar la variable Trans (Masculino). Digite Cero si no tiene.",IF((AW188)&gt;F188,"  * La variable Trans (Masculino) No puede ser mayor al Total Mujeres.",""))</f>
        <v xml:space="preserve">  * La variable Trans (Masculino) No puede ser mayor al Total Mujeres.</v>
      </c>
      <c r="CB188" s="17"/>
      <c r="CC188" s="1724">
        <f t="shared" ref="CC188:CC230" si="95">IF(AND(F188&gt;0,AO188=""),1,IF(AO188&gt;F188,1,0))</f>
        <v>1</v>
      </c>
      <c r="CD188" s="1724">
        <f t="shared" ref="CD188:CD230" si="96">IF(AND(F188&gt;0,AP188=""),1,IF(AP188&gt;F188,1,0))</f>
        <v>1</v>
      </c>
      <c r="CE188" s="1724">
        <f t="shared" ref="CE188:CE230" si="97">IF(AND(E188&gt;0,OR(AQ188="")),1,IF((AQ188)&gt;E188,1,0))</f>
        <v>1</v>
      </c>
      <c r="CF188" s="1724">
        <f t="shared" ref="CF188:CF230" si="98">IF(AND(F188&gt;0,OR(AR188="")),1,IF((AR188)&gt;F188,1,0))</f>
        <v>1</v>
      </c>
      <c r="CG188" s="1724">
        <f t="shared" ref="CG188:CG230" si="99">IF(AND(D188&gt;0,AS188=""),1,IF(AS188&gt;D188,1,0))</f>
        <v>1</v>
      </c>
      <c r="CH188" s="1724">
        <f t="shared" ref="CH188:CH230" si="100">IF(AND(D188&gt;0,AT188=""),1,IF(AT188&gt;D188,1,0))</f>
        <v>1</v>
      </c>
      <c r="CI188" s="1724">
        <f t="shared" ref="CI188:CI230" si="101">IF(AND(E188&gt;0,OR(AU188="")),1,IF((AU188)&gt;E188,1,0))</f>
        <v>1</v>
      </c>
      <c r="CJ188" s="1724">
        <f t="shared" ref="CJ188:CJ230" si="102">IF(AND(F188&gt;0,OR(AV188="")),1,IF((AV188)&gt;F188,1,0))</f>
        <v>1</v>
      </c>
      <c r="CK188" s="1724">
        <f t="shared" ref="CK188:CK230" si="103">IF(AND(E188&gt;0,OR(AX188="")),1,IF((AX188)&gt;E188,1,0))</f>
        <v>1</v>
      </c>
      <c r="CL188" s="1724">
        <f t="shared" ref="CL188:CL230" si="104">IF(AND(F188&gt;0,OR(AW188="")),1,IF((AW188)&gt;F188,1,0))</f>
        <v>1</v>
      </c>
    </row>
    <row r="189" spans="1:90" x14ac:dyDescent="0.3">
      <c r="A189" s="6248" t="s">
        <v>4392</v>
      </c>
      <c r="B189" s="6908"/>
      <c r="C189" s="2" t="s">
        <v>1992</v>
      </c>
      <c r="D189" s="2253" t="s">
        <v>5292</v>
      </c>
      <c r="E189" s="2254" t="s">
        <v>5293</v>
      </c>
      <c r="F189" s="2255" t="s">
        <v>5294</v>
      </c>
      <c r="G189" s="2152" t="s">
        <v>5295</v>
      </c>
      <c r="H189" s="2212" t="s">
        <v>5296</v>
      </c>
      <c r="I189" s="2152" t="s">
        <v>5297</v>
      </c>
      <c r="J189" s="2212" t="s">
        <v>5298</v>
      </c>
      <c r="K189" s="2152" t="s">
        <v>5299</v>
      </c>
      <c r="L189" s="2212" t="s">
        <v>5300</v>
      </c>
      <c r="M189" s="2152" t="s">
        <v>5301</v>
      </c>
      <c r="N189" s="2212" t="s">
        <v>5302</v>
      </c>
      <c r="O189" s="2152" t="s">
        <v>5303</v>
      </c>
      <c r="P189" s="2212" t="s">
        <v>5304</v>
      </c>
      <c r="Q189" s="2152" t="s">
        <v>5305</v>
      </c>
      <c r="R189" s="2212" t="s">
        <v>5306</v>
      </c>
      <c r="S189" s="2152" t="s">
        <v>5307</v>
      </c>
      <c r="T189" s="2212" t="s">
        <v>5308</v>
      </c>
      <c r="U189" s="2152" t="s">
        <v>5309</v>
      </c>
      <c r="V189" s="2212" t="s">
        <v>5310</v>
      </c>
      <c r="W189" s="2152" t="s">
        <v>5311</v>
      </c>
      <c r="X189" s="2212" t="s">
        <v>5312</v>
      </c>
      <c r="Y189" s="2152" t="s">
        <v>5313</v>
      </c>
      <c r="Z189" s="2212" t="s">
        <v>5314</v>
      </c>
      <c r="AA189" s="2152" t="s">
        <v>5315</v>
      </c>
      <c r="AB189" s="2212" t="s">
        <v>5316</v>
      </c>
      <c r="AC189" s="2152" t="s">
        <v>5317</v>
      </c>
      <c r="AD189" s="2212" t="s">
        <v>5318</v>
      </c>
      <c r="AE189" s="2152" t="s">
        <v>5319</v>
      </c>
      <c r="AF189" s="2212" t="s">
        <v>5320</v>
      </c>
      <c r="AG189" s="2152" t="s">
        <v>5321</v>
      </c>
      <c r="AH189" s="2212" t="s">
        <v>5322</v>
      </c>
      <c r="AI189" s="2152" t="s">
        <v>5323</v>
      </c>
      <c r="AJ189" s="2212" t="s">
        <v>5324</v>
      </c>
      <c r="AK189" s="2152" t="s">
        <v>5325</v>
      </c>
      <c r="AL189" s="2212" t="s">
        <v>5326</v>
      </c>
      <c r="AM189" s="2152" t="s">
        <v>5327</v>
      </c>
      <c r="AN189" s="2256" t="s">
        <v>5328</v>
      </c>
      <c r="AO189" s="2214" t="s">
        <v>5329</v>
      </c>
      <c r="AP189" s="2215" t="s">
        <v>5330</v>
      </c>
      <c r="AQ189" s="2152" t="s">
        <v>5331</v>
      </c>
      <c r="AR189" s="2212" t="s">
        <v>5332</v>
      </c>
      <c r="AS189" s="2212" t="s">
        <v>5333</v>
      </c>
      <c r="AT189" s="2212" t="s">
        <v>5334</v>
      </c>
      <c r="AU189" s="2698" t="s">
        <v>5335</v>
      </c>
      <c r="AV189" s="2367" t="s">
        <v>5336</v>
      </c>
      <c r="AW189" s="2698" t="s">
        <v>5337</v>
      </c>
      <c r="AX189" s="2367" t="s">
        <v>5338</v>
      </c>
      <c r="AY189" s="17" t="e">
        <f t="shared" si="88"/>
        <v>#VALUE!</v>
      </c>
      <c r="BR189" s="2465" t="str">
        <f t="shared" ref="BR189:BR211" si="105">IF(AND(F189&gt;0,AO189=""), "* No olvide digitar la variable Gestantes. Digite Cero si no tiene.",IF(AO189&gt;F189,"  * La  variable Gestantes No puede ser mayor al Total Mujeres.",""))</f>
        <v xml:space="preserve">  * La  variable Gestantes No puede ser mayor al Total Mujeres.</v>
      </c>
      <c r="BS189" s="2465" t="str">
        <f t="shared" ref="BS189:BS206" si="106">IF(AND(F189&gt;0,AP189=""), "* No olvide digitar la variable Madre de hijo menor de 5 años. Digite Cero si no tiene.",IF(AP189&gt;F189,"  * La variable Madre de hijo menor de 5 años No puede ser mayor al Total Mujeres.",""))</f>
        <v xml:space="preserve">  * La variable Madre de hijo menor de 5 años No puede ser mayor al Total Mujeres.</v>
      </c>
      <c r="BT189" s="2465" t="str">
        <f t="shared" ref="BT189:BT196" si="107">IF(AND(E189&gt;0,OR(AQ189="")), "* No olvide digitar la variable Pueblos originarios - Hombres. Digite Cero si no tiene.",IF((AQ189)&gt;E189,"  * La variable Pueblos originarios - Hombres No puede ser mayor al Total.",""))</f>
        <v xml:space="preserve">  * La variable Pueblos originarios - Hombres No puede ser mayor al Total.</v>
      </c>
      <c r="BU189" s="2465" t="str">
        <f t="shared" si="89"/>
        <v xml:space="preserve">  * La variable Pueblos originarios - Mujeres No puede ser mayor al Total.</v>
      </c>
      <c r="BV189" s="2465" t="str">
        <f t="shared" si="90"/>
        <v xml:space="preserve">  * La variable Niños, niñas, adolescentes y jóvenes SENAME No puede ser mayor al Total.</v>
      </c>
      <c r="BW189" s="2465" t="str">
        <f t="shared" si="91"/>
        <v xml:space="preserve">  * La variable Niños, niñas, adolescentes y jóvenes Mejor Niñez No puede ser mayor al Total.</v>
      </c>
      <c r="BX189" s="2465" t="e">
        <f t="shared" si="92"/>
        <v>#VALUE!</v>
      </c>
      <c r="BY189" s="2465" t="str">
        <f t="shared" si="93"/>
        <v xml:space="preserve">  * La variable Migrantes - Mujeres No puede ser mayor al Total.</v>
      </c>
      <c r="BZ189" s="2465" t="str">
        <f t="shared" ref="BZ189:BZ230" si="108">IF(AND(E189&gt;0,OR(AX189="")), "* No olvide digitar la variable Trans (Femenino). Digite Cero si no tiene.",IF((AX189)&gt;E189,"  * La variable Trans (Femenino) No puede ser mayor al Total Hombres.",""))</f>
        <v xml:space="preserve">  * La variable Trans (Femenino) No puede ser mayor al Total Hombres.</v>
      </c>
      <c r="CA189" s="2465" t="str">
        <f t="shared" si="94"/>
        <v xml:space="preserve">  * La variable Trans (Masculino) No puede ser mayor al Total Mujeres.</v>
      </c>
      <c r="CB189" s="17"/>
      <c r="CC189" s="1724">
        <f t="shared" si="95"/>
        <v>1</v>
      </c>
      <c r="CD189" s="1724">
        <f t="shared" si="96"/>
        <v>1</v>
      </c>
      <c r="CE189" s="1724">
        <f t="shared" si="97"/>
        <v>1</v>
      </c>
      <c r="CF189" s="1724">
        <f t="shared" si="98"/>
        <v>1</v>
      </c>
      <c r="CG189" s="1724">
        <f t="shared" si="99"/>
        <v>1</v>
      </c>
      <c r="CH189" s="1724">
        <f t="shared" si="100"/>
        <v>1</v>
      </c>
      <c r="CI189" s="1724">
        <f t="shared" si="101"/>
        <v>1</v>
      </c>
      <c r="CJ189" s="1724">
        <f t="shared" si="102"/>
        <v>1</v>
      </c>
      <c r="CK189" s="1724">
        <f t="shared" si="103"/>
        <v>1</v>
      </c>
      <c r="CL189" s="1724">
        <f t="shared" si="104"/>
        <v>1</v>
      </c>
    </row>
    <row r="190" spans="1:90" x14ac:dyDescent="0.3">
      <c r="A190" s="6248" t="s">
        <v>4393</v>
      </c>
      <c r="B190" s="6935" t="s">
        <v>1993</v>
      </c>
      <c r="C190" s="6936"/>
      <c r="D190" s="2258" t="s">
        <v>5292</v>
      </c>
      <c r="E190" s="2259" t="s">
        <v>5293</v>
      </c>
      <c r="F190" s="2257" t="s">
        <v>5294</v>
      </c>
      <c r="G190" s="2260" t="s">
        <v>5295</v>
      </c>
      <c r="H190" s="2261" t="s">
        <v>5296</v>
      </c>
      <c r="I190" s="2260" t="s">
        <v>5297</v>
      </c>
      <c r="J190" s="2261" t="s">
        <v>5298</v>
      </c>
      <c r="K190" s="2260" t="s">
        <v>5299</v>
      </c>
      <c r="L190" s="2261" t="s">
        <v>5300</v>
      </c>
      <c r="M190" s="2260" t="s">
        <v>5301</v>
      </c>
      <c r="N190" s="2261" t="s">
        <v>5302</v>
      </c>
      <c r="O190" s="2260" t="s">
        <v>5303</v>
      </c>
      <c r="P190" s="2261" t="s">
        <v>5304</v>
      </c>
      <c r="Q190" s="2260" t="s">
        <v>5305</v>
      </c>
      <c r="R190" s="2261" t="s">
        <v>5306</v>
      </c>
      <c r="S190" s="2260" t="s">
        <v>5307</v>
      </c>
      <c r="T190" s="2261" t="s">
        <v>5308</v>
      </c>
      <c r="U190" s="2260" t="s">
        <v>5309</v>
      </c>
      <c r="V190" s="2261" t="s">
        <v>5310</v>
      </c>
      <c r="W190" s="2260" t="s">
        <v>5311</v>
      </c>
      <c r="X190" s="2261" t="s">
        <v>5312</v>
      </c>
      <c r="Y190" s="2260" t="s">
        <v>5313</v>
      </c>
      <c r="Z190" s="2261" t="s">
        <v>5314</v>
      </c>
      <c r="AA190" s="2260" t="s">
        <v>5315</v>
      </c>
      <c r="AB190" s="2261" t="s">
        <v>5316</v>
      </c>
      <c r="AC190" s="2260" t="s">
        <v>5317</v>
      </c>
      <c r="AD190" s="2261" t="s">
        <v>5318</v>
      </c>
      <c r="AE190" s="2260" t="s">
        <v>5319</v>
      </c>
      <c r="AF190" s="2261" t="s">
        <v>5320</v>
      </c>
      <c r="AG190" s="2260" t="s">
        <v>5321</v>
      </c>
      <c r="AH190" s="2261" t="s">
        <v>5322</v>
      </c>
      <c r="AI190" s="2260" t="s">
        <v>5323</v>
      </c>
      <c r="AJ190" s="2261" t="s">
        <v>5324</v>
      </c>
      <c r="AK190" s="2260" t="s">
        <v>5325</v>
      </c>
      <c r="AL190" s="2261" t="s">
        <v>5326</v>
      </c>
      <c r="AM190" s="2260" t="s">
        <v>5327</v>
      </c>
      <c r="AN190" s="2262" t="s">
        <v>5328</v>
      </c>
      <c r="AO190" s="2263" t="s">
        <v>5329</v>
      </c>
      <c r="AP190" s="2264" t="s">
        <v>5330</v>
      </c>
      <c r="AQ190" s="2260" t="s">
        <v>5331</v>
      </c>
      <c r="AR190" s="2261" t="s">
        <v>5332</v>
      </c>
      <c r="AS190" s="2261" t="s">
        <v>5333</v>
      </c>
      <c r="AT190" s="2261" t="s">
        <v>5334</v>
      </c>
      <c r="AU190" s="2655" t="s">
        <v>5335</v>
      </c>
      <c r="AV190" s="2700" t="s">
        <v>5336</v>
      </c>
      <c r="AW190" s="2655" t="s">
        <v>5337</v>
      </c>
      <c r="AX190" s="2700" t="s">
        <v>5338</v>
      </c>
      <c r="AY190" s="17" t="e">
        <f t="shared" si="88"/>
        <v>#VALUE!</v>
      </c>
      <c r="BR190" s="2465" t="str">
        <f t="shared" si="105"/>
        <v xml:space="preserve">  * La  variable Gestantes No puede ser mayor al Total Mujeres.</v>
      </c>
      <c r="BS190" s="2465" t="str">
        <f t="shared" si="106"/>
        <v xml:space="preserve">  * La variable Madre de hijo menor de 5 años No puede ser mayor al Total Mujeres.</v>
      </c>
      <c r="BT190" s="2465" t="str">
        <f t="shared" si="107"/>
        <v xml:space="preserve">  * La variable Pueblos originarios - Hombres No puede ser mayor al Total.</v>
      </c>
      <c r="BU190" s="2465" t="str">
        <f t="shared" si="89"/>
        <v xml:space="preserve">  * La variable Pueblos originarios - Mujeres No puede ser mayor al Total.</v>
      </c>
      <c r="BV190" s="2465" t="str">
        <f t="shared" si="90"/>
        <v xml:space="preserve">  * La variable Niños, niñas, adolescentes y jóvenes SENAME No puede ser mayor al Total.</v>
      </c>
      <c r="BW190" s="2465" t="str">
        <f t="shared" si="91"/>
        <v xml:space="preserve">  * La variable Niños, niñas, adolescentes y jóvenes Mejor Niñez No puede ser mayor al Total.</v>
      </c>
      <c r="BX190" s="2465" t="e">
        <f t="shared" si="92"/>
        <v>#VALUE!</v>
      </c>
      <c r="BY190" s="2465" t="str">
        <f t="shared" si="93"/>
        <v xml:space="preserve">  * La variable Migrantes - Mujeres No puede ser mayor al Total.</v>
      </c>
      <c r="BZ190" s="2465" t="str">
        <f t="shared" si="108"/>
        <v xml:space="preserve">  * La variable Trans (Femenino) No puede ser mayor al Total Hombres.</v>
      </c>
      <c r="CA190" s="2465" t="str">
        <f t="shared" si="94"/>
        <v xml:space="preserve">  * La variable Trans (Masculino) No puede ser mayor al Total Mujeres.</v>
      </c>
      <c r="CB190" s="17"/>
      <c r="CC190" s="1724">
        <f t="shared" si="95"/>
        <v>1</v>
      </c>
      <c r="CD190" s="1724">
        <f t="shared" si="96"/>
        <v>1</v>
      </c>
      <c r="CE190" s="1724">
        <f t="shared" si="97"/>
        <v>1</v>
      </c>
      <c r="CF190" s="1724">
        <f t="shared" si="98"/>
        <v>1</v>
      </c>
      <c r="CG190" s="1724">
        <f t="shared" si="99"/>
        <v>1</v>
      </c>
      <c r="CH190" s="1724">
        <f t="shared" si="100"/>
        <v>1</v>
      </c>
      <c r="CI190" s="1724">
        <f t="shared" si="101"/>
        <v>1</v>
      </c>
      <c r="CJ190" s="1724">
        <f t="shared" si="102"/>
        <v>1</v>
      </c>
      <c r="CK190" s="1724">
        <f t="shared" si="103"/>
        <v>1</v>
      </c>
      <c r="CL190" s="1724">
        <f t="shared" si="104"/>
        <v>1</v>
      </c>
    </row>
    <row r="191" spans="1:90" x14ac:dyDescent="0.3">
      <c r="A191" s="6248" t="s">
        <v>4394</v>
      </c>
      <c r="B191" s="6917" t="s">
        <v>1994</v>
      </c>
      <c r="C191" s="2249" t="s">
        <v>1995</v>
      </c>
      <c r="D191" s="2250" t="s">
        <v>5292</v>
      </c>
      <c r="E191" s="2251" t="s">
        <v>5293</v>
      </c>
      <c r="F191" s="2249" t="s">
        <v>5294</v>
      </c>
      <c r="G191" s="2265" t="s">
        <v>5295</v>
      </c>
      <c r="H191" s="2266" t="s">
        <v>5296</v>
      </c>
      <c r="I191" s="2120" t="s">
        <v>5297</v>
      </c>
      <c r="J191" s="2229" t="s">
        <v>5298</v>
      </c>
      <c r="K191" s="2120" t="s">
        <v>5299</v>
      </c>
      <c r="L191" s="2229" t="s">
        <v>5300</v>
      </c>
      <c r="M191" s="2120" t="s">
        <v>5301</v>
      </c>
      <c r="N191" s="2229" t="s">
        <v>5302</v>
      </c>
      <c r="O191" s="2120" t="s">
        <v>5303</v>
      </c>
      <c r="P191" s="2229" t="s">
        <v>5304</v>
      </c>
      <c r="Q191" s="2120" t="s">
        <v>5305</v>
      </c>
      <c r="R191" s="2229" t="s">
        <v>5306</v>
      </c>
      <c r="S191" s="2120" t="s">
        <v>5307</v>
      </c>
      <c r="T191" s="2229" t="s">
        <v>5308</v>
      </c>
      <c r="U191" s="2120" t="s">
        <v>5309</v>
      </c>
      <c r="V191" s="2229" t="s">
        <v>5310</v>
      </c>
      <c r="W191" s="2120" t="s">
        <v>5311</v>
      </c>
      <c r="X191" s="2229" t="s">
        <v>5312</v>
      </c>
      <c r="Y191" s="2120" t="s">
        <v>5313</v>
      </c>
      <c r="Z191" s="2229" t="s">
        <v>5314</v>
      </c>
      <c r="AA191" s="2120" t="s">
        <v>5315</v>
      </c>
      <c r="AB191" s="2229" t="s">
        <v>5316</v>
      </c>
      <c r="AC191" s="2120" t="s">
        <v>5317</v>
      </c>
      <c r="AD191" s="2229" t="s">
        <v>5318</v>
      </c>
      <c r="AE191" s="2120" t="s">
        <v>5319</v>
      </c>
      <c r="AF191" s="2229" t="s">
        <v>5320</v>
      </c>
      <c r="AG191" s="2120" t="s">
        <v>5321</v>
      </c>
      <c r="AH191" s="2229" t="s">
        <v>5322</v>
      </c>
      <c r="AI191" s="2120" t="s">
        <v>5323</v>
      </c>
      <c r="AJ191" s="2229" t="s">
        <v>5324</v>
      </c>
      <c r="AK191" s="2120" t="s">
        <v>5325</v>
      </c>
      <c r="AL191" s="2229" t="s">
        <v>5326</v>
      </c>
      <c r="AM191" s="2120" t="s">
        <v>5327</v>
      </c>
      <c r="AN191" s="2230" t="s">
        <v>5328</v>
      </c>
      <c r="AO191" s="2252" t="s">
        <v>5329</v>
      </c>
      <c r="AP191" s="2166" t="s">
        <v>5330</v>
      </c>
      <c r="AQ191" s="2120" t="s">
        <v>5331</v>
      </c>
      <c r="AR191" s="2229" t="s">
        <v>5332</v>
      </c>
      <c r="AS191" s="2229" t="s">
        <v>5333</v>
      </c>
      <c r="AT191" s="2229" t="s">
        <v>5334</v>
      </c>
      <c r="AU191" s="2654" t="s">
        <v>5335</v>
      </c>
      <c r="AV191" s="2132" t="s">
        <v>5336</v>
      </c>
      <c r="AW191" s="2654" t="s">
        <v>5337</v>
      </c>
      <c r="AX191" s="2132" t="s">
        <v>5338</v>
      </c>
      <c r="AY191" s="17" t="e">
        <f t="shared" si="88"/>
        <v>#VALUE!</v>
      </c>
      <c r="BR191" s="2465" t="str">
        <f t="shared" si="105"/>
        <v xml:space="preserve">  * La  variable Gestantes No puede ser mayor al Total Mujeres.</v>
      </c>
      <c r="BS191" s="2465" t="str">
        <f t="shared" si="106"/>
        <v xml:space="preserve">  * La variable Madre de hijo menor de 5 años No puede ser mayor al Total Mujeres.</v>
      </c>
      <c r="BT191" s="2465" t="str">
        <f t="shared" si="107"/>
        <v xml:space="preserve">  * La variable Pueblos originarios - Hombres No puede ser mayor al Total.</v>
      </c>
      <c r="BU191" s="2465" t="str">
        <f t="shared" si="89"/>
        <v xml:space="preserve">  * La variable Pueblos originarios - Mujeres No puede ser mayor al Total.</v>
      </c>
      <c r="BV191" s="2465" t="str">
        <f t="shared" si="90"/>
        <v xml:space="preserve">  * La variable Niños, niñas, adolescentes y jóvenes SENAME No puede ser mayor al Total.</v>
      </c>
      <c r="BW191" s="2465" t="str">
        <f t="shared" si="91"/>
        <v xml:space="preserve">  * La variable Niños, niñas, adolescentes y jóvenes Mejor Niñez No puede ser mayor al Total.</v>
      </c>
      <c r="BX191" s="2465" t="e">
        <f t="shared" si="92"/>
        <v>#VALUE!</v>
      </c>
      <c r="BY191" s="2465" t="str">
        <f t="shared" si="93"/>
        <v xml:space="preserve">  * La variable Migrantes - Mujeres No puede ser mayor al Total.</v>
      </c>
      <c r="BZ191" s="2465" t="str">
        <f t="shared" si="108"/>
        <v xml:space="preserve">  * La variable Trans (Femenino) No puede ser mayor al Total Hombres.</v>
      </c>
      <c r="CA191" s="2465" t="str">
        <f t="shared" si="94"/>
        <v xml:space="preserve">  * La variable Trans (Masculino) No puede ser mayor al Total Mujeres.</v>
      </c>
      <c r="CB191" s="17"/>
      <c r="CC191" s="1724">
        <f t="shared" si="95"/>
        <v>1</v>
      </c>
      <c r="CD191" s="1724">
        <f t="shared" si="96"/>
        <v>1</v>
      </c>
      <c r="CE191" s="1724">
        <f t="shared" si="97"/>
        <v>1</v>
      </c>
      <c r="CF191" s="1724">
        <f t="shared" si="98"/>
        <v>1</v>
      </c>
      <c r="CG191" s="1724">
        <f t="shared" si="99"/>
        <v>1</v>
      </c>
      <c r="CH191" s="1724">
        <f t="shared" si="100"/>
        <v>1</v>
      </c>
      <c r="CI191" s="1724">
        <f t="shared" si="101"/>
        <v>1</v>
      </c>
      <c r="CJ191" s="1724">
        <f t="shared" si="102"/>
        <v>1</v>
      </c>
      <c r="CK191" s="1724">
        <f t="shared" si="103"/>
        <v>1</v>
      </c>
      <c r="CL191" s="1724">
        <f t="shared" si="104"/>
        <v>1</v>
      </c>
    </row>
    <row r="192" spans="1:90" x14ac:dyDescent="0.3">
      <c r="A192" s="6248" t="s">
        <v>4395</v>
      </c>
      <c r="B192" s="6908"/>
      <c r="C192" s="2" t="s">
        <v>1996</v>
      </c>
      <c r="D192" s="2267" t="s">
        <v>5292</v>
      </c>
      <c r="E192" s="2268" t="s">
        <v>5293</v>
      </c>
      <c r="F192" s="2269" t="s">
        <v>5294</v>
      </c>
      <c r="G192" s="2270" t="s">
        <v>5295</v>
      </c>
      <c r="H192" s="2271" t="s">
        <v>5296</v>
      </c>
      <c r="I192" s="2272" t="s">
        <v>5297</v>
      </c>
      <c r="J192" s="1258" t="s">
        <v>5298</v>
      </c>
      <c r="K192" s="2272" t="s">
        <v>5299</v>
      </c>
      <c r="L192" s="1258" t="s">
        <v>5300</v>
      </c>
      <c r="M192" s="2152" t="s">
        <v>5301</v>
      </c>
      <c r="N192" s="2212" t="s">
        <v>5302</v>
      </c>
      <c r="O192" s="2272" t="s">
        <v>5303</v>
      </c>
      <c r="P192" s="1258" t="s">
        <v>5304</v>
      </c>
      <c r="Q192" s="2272" t="s">
        <v>5305</v>
      </c>
      <c r="R192" s="1258" t="s">
        <v>5306</v>
      </c>
      <c r="S192" s="2272" t="s">
        <v>5307</v>
      </c>
      <c r="T192" s="1258" t="s">
        <v>5308</v>
      </c>
      <c r="U192" s="2272" t="s">
        <v>5309</v>
      </c>
      <c r="V192" s="1258" t="s">
        <v>5310</v>
      </c>
      <c r="W192" s="2272" t="s">
        <v>5311</v>
      </c>
      <c r="X192" s="1258" t="s">
        <v>5312</v>
      </c>
      <c r="Y192" s="2272" t="s">
        <v>5313</v>
      </c>
      <c r="Z192" s="1258" t="s">
        <v>5314</v>
      </c>
      <c r="AA192" s="2272" t="s">
        <v>5315</v>
      </c>
      <c r="AB192" s="1258" t="s">
        <v>5316</v>
      </c>
      <c r="AC192" s="2272" t="s">
        <v>5317</v>
      </c>
      <c r="AD192" s="1258" t="s">
        <v>5318</v>
      </c>
      <c r="AE192" s="2272" t="s">
        <v>5319</v>
      </c>
      <c r="AF192" s="1258" t="s">
        <v>5320</v>
      </c>
      <c r="AG192" s="2272" t="s">
        <v>5321</v>
      </c>
      <c r="AH192" s="1258" t="s">
        <v>5322</v>
      </c>
      <c r="AI192" s="2272" t="s">
        <v>5323</v>
      </c>
      <c r="AJ192" s="1258" t="s">
        <v>5324</v>
      </c>
      <c r="AK192" s="2272" t="s">
        <v>5325</v>
      </c>
      <c r="AL192" s="1258" t="s">
        <v>5326</v>
      </c>
      <c r="AM192" s="2272" t="s">
        <v>5327</v>
      </c>
      <c r="AN192" s="2241" t="s">
        <v>5328</v>
      </c>
      <c r="AO192" s="2214" t="s">
        <v>5329</v>
      </c>
      <c r="AP192" s="2215" t="s">
        <v>5330</v>
      </c>
      <c r="AQ192" s="2152" t="s">
        <v>5331</v>
      </c>
      <c r="AR192" s="2212" t="s">
        <v>5332</v>
      </c>
      <c r="AS192" s="2212" t="s">
        <v>5333</v>
      </c>
      <c r="AT192" s="2212" t="s">
        <v>5334</v>
      </c>
      <c r="AU192" s="2698" t="s">
        <v>5335</v>
      </c>
      <c r="AV192" s="2367" t="s">
        <v>5336</v>
      </c>
      <c r="AW192" s="2698" t="s">
        <v>5337</v>
      </c>
      <c r="AX192" s="2367" t="s">
        <v>5338</v>
      </c>
      <c r="AY192" s="17" t="e">
        <f t="shared" si="88"/>
        <v>#VALUE!</v>
      </c>
      <c r="BR192" s="2465" t="str">
        <f t="shared" si="105"/>
        <v xml:space="preserve">  * La  variable Gestantes No puede ser mayor al Total Mujeres.</v>
      </c>
      <c r="BS192" s="2465" t="str">
        <f t="shared" si="106"/>
        <v xml:space="preserve">  * La variable Madre de hijo menor de 5 años No puede ser mayor al Total Mujeres.</v>
      </c>
      <c r="BT192" s="2465" t="str">
        <f t="shared" si="107"/>
        <v xml:space="preserve">  * La variable Pueblos originarios - Hombres No puede ser mayor al Total.</v>
      </c>
      <c r="BU192" s="2465" t="str">
        <f t="shared" si="89"/>
        <v xml:space="preserve">  * La variable Pueblos originarios - Mujeres No puede ser mayor al Total.</v>
      </c>
      <c r="BV192" s="2465" t="str">
        <f t="shared" si="90"/>
        <v xml:space="preserve">  * La variable Niños, niñas, adolescentes y jóvenes SENAME No puede ser mayor al Total.</v>
      </c>
      <c r="BW192" s="2465" t="str">
        <f t="shared" si="91"/>
        <v xml:space="preserve">  * La variable Niños, niñas, adolescentes y jóvenes Mejor Niñez No puede ser mayor al Total.</v>
      </c>
      <c r="BX192" s="2465" t="e">
        <f t="shared" si="92"/>
        <v>#VALUE!</v>
      </c>
      <c r="BY192" s="2465" t="str">
        <f t="shared" si="93"/>
        <v xml:space="preserve">  * La variable Migrantes - Mujeres No puede ser mayor al Total.</v>
      </c>
      <c r="BZ192" s="2465" t="str">
        <f t="shared" si="108"/>
        <v xml:space="preserve">  * La variable Trans (Femenino) No puede ser mayor al Total Hombres.</v>
      </c>
      <c r="CA192" s="2465" t="str">
        <f t="shared" si="94"/>
        <v xml:space="preserve">  * La variable Trans (Masculino) No puede ser mayor al Total Mujeres.</v>
      </c>
      <c r="CB192" s="17"/>
      <c r="CC192" s="1724">
        <f t="shared" si="95"/>
        <v>1</v>
      </c>
      <c r="CD192" s="1724">
        <f t="shared" si="96"/>
        <v>1</v>
      </c>
      <c r="CE192" s="1724">
        <f t="shared" si="97"/>
        <v>1</v>
      </c>
      <c r="CF192" s="1724">
        <f t="shared" si="98"/>
        <v>1</v>
      </c>
      <c r="CG192" s="1724">
        <f t="shared" si="99"/>
        <v>1</v>
      </c>
      <c r="CH192" s="1724">
        <f t="shared" si="100"/>
        <v>1</v>
      </c>
      <c r="CI192" s="1724">
        <f t="shared" si="101"/>
        <v>1</v>
      </c>
      <c r="CJ192" s="1724">
        <f t="shared" si="102"/>
        <v>1</v>
      </c>
      <c r="CK192" s="1724">
        <f t="shared" si="103"/>
        <v>1</v>
      </c>
      <c r="CL192" s="1724">
        <f t="shared" si="104"/>
        <v>1</v>
      </c>
    </row>
    <row r="193" spans="1:90" s="17" customFormat="1" ht="18" customHeight="1" x14ac:dyDescent="0.25">
      <c r="A193" s="6248" t="s">
        <v>4396</v>
      </c>
      <c r="B193" s="2273" t="s">
        <v>1997</v>
      </c>
      <c r="C193" s="2243"/>
      <c r="D193" s="2222" t="s">
        <v>5292</v>
      </c>
      <c r="E193" s="2223" t="s">
        <v>5293</v>
      </c>
      <c r="F193" s="2224" t="s">
        <v>5294</v>
      </c>
      <c r="G193" s="2260" t="s">
        <v>5295</v>
      </c>
      <c r="H193" s="2261" t="s">
        <v>5296</v>
      </c>
      <c r="I193" s="2260" t="s">
        <v>5297</v>
      </c>
      <c r="J193" s="2261" t="s">
        <v>5298</v>
      </c>
      <c r="K193" s="2260" t="s">
        <v>5299</v>
      </c>
      <c r="L193" s="2261" t="s">
        <v>5300</v>
      </c>
      <c r="M193" s="2260" t="s">
        <v>5301</v>
      </c>
      <c r="N193" s="2261" t="s">
        <v>5302</v>
      </c>
      <c r="O193" s="2260" t="s">
        <v>5303</v>
      </c>
      <c r="P193" s="2261" t="s">
        <v>5304</v>
      </c>
      <c r="Q193" s="2260" t="s">
        <v>5305</v>
      </c>
      <c r="R193" s="2261" t="s">
        <v>5306</v>
      </c>
      <c r="S193" s="2260" t="s">
        <v>5307</v>
      </c>
      <c r="T193" s="2261" t="s">
        <v>5308</v>
      </c>
      <c r="U193" s="2260" t="s">
        <v>5309</v>
      </c>
      <c r="V193" s="2261" t="s">
        <v>5310</v>
      </c>
      <c r="W193" s="2260" t="s">
        <v>5311</v>
      </c>
      <c r="X193" s="2261" t="s">
        <v>5312</v>
      </c>
      <c r="Y193" s="2260" t="s">
        <v>5313</v>
      </c>
      <c r="Z193" s="2261" t="s">
        <v>5314</v>
      </c>
      <c r="AA193" s="2260" t="s">
        <v>5315</v>
      </c>
      <c r="AB193" s="2261" t="s">
        <v>5316</v>
      </c>
      <c r="AC193" s="2260" t="s">
        <v>5317</v>
      </c>
      <c r="AD193" s="2261" t="s">
        <v>5318</v>
      </c>
      <c r="AE193" s="2260" t="s">
        <v>5319</v>
      </c>
      <c r="AF193" s="2261" t="s">
        <v>5320</v>
      </c>
      <c r="AG193" s="2260" t="s">
        <v>5321</v>
      </c>
      <c r="AH193" s="2261" t="s">
        <v>5322</v>
      </c>
      <c r="AI193" s="2260" t="s">
        <v>5323</v>
      </c>
      <c r="AJ193" s="2261" t="s">
        <v>5324</v>
      </c>
      <c r="AK193" s="2260" t="s">
        <v>5325</v>
      </c>
      <c r="AL193" s="2261" t="s">
        <v>5326</v>
      </c>
      <c r="AM193" s="2260" t="s">
        <v>5327</v>
      </c>
      <c r="AN193" s="2262" t="s">
        <v>5328</v>
      </c>
      <c r="AO193" s="2263" t="s">
        <v>5329</v>
      </c>
      <c r="AP193" s="2264" t="s">
        <v>5330</v>
      </c>
      <c r="AQ193" s="2152" t="s">
        <v>5331</v>
      </c>
      <c r="AR193" s="2261" t="s">
        <v>5332</v>
      </c>
      <c r="AS193" s="2261" t="s">
        <v>5333</v>
      </c>
      <c r="AT193" s="2261" t="s">
        <v>5334</v>
      </c>
      <c r="AU193" s="2655" t="s">
        <v>5335</v>
      </c>
      <c r="AV193" s="2700" t="s">
        <v>5336</v>
      </c>
      <c r="AW193" s="2655" t="s">
        <v>5337</v>
      </c>
      <c r="AX193" s="2700" t="s">
        <v>5338</v>
      </c>
      <c r="AY193" s="17" t="e">
        <f t="shared" si="88"/>
        <v>#VALUE!</v>
      </c>
      <c r="BR193" s="2465" t="str">
        <f t="shared" si="105"/>
        <v xml:space="preserve">  * La  variable Gestantes No puede ser mayor al Total Mujeres.</v>
      </c>
      <c r="BS193" s="2465" t="str">
        <f t="shared" si="106"/>
        <v xml:space="preserve">  * La variable Madre de hijo menor de 5 años No puede ser mayor al Total Mujeres.</v>
      </c>
      <c r="BT193" s="2465" t="str">
        <f t="shared" si="107"/>
        <v xml:space="preserve">  * La variable Pueblos originarios - Hombres No puede ser mayor al Total.</v>
      </c>
      <c r="BU193" s="2465" t="str">
        <f t="shared" si="89"/>
        <v xml:space="preserve">  * La variable Pueblos originarios - Mujeres No puede ser mayor al Total.</v>
      </c>
      <c r="BV193" s="2465" t="str">
        <f t="shared" si="90"/>
        <v xml:space="preserve">  * La variable Niños, niñas, adolescentes y jóvenes SENAME No puede ser mayor al Total.</v>
      </c>
      <c r="BW193" s="2465" t="str">
        <f t="shared" si="91"/>
        <v xml:space="preserve">  * La variable Niños, niñas, adolescentes y jóvenes Mejor Niñez No puede ser mayor al Total.</v>
      </c>
      <c r="BX193" s="2465" t="e">
        <f t="shared" si="92"/>
        <v>#VALUE!</v>
      </c>
      <c r="BY193" s="2465" t="str">
        <f t="shared" si="93"/>
        <v xml:space="preserve">  * La variable Migrantes - Mujeres No puede ser mayor al Total.</v>
      </c>
      <c r="BZ193" s="2465" t="str">
        <f t="shared" si="108"/>
        <v xml:space="preserve">  * La variable Trans (Femenino) No puede ser mayor al Total Hombres.</v>
      </c>
      <c r="CA193" s="2465" t="str">
        <f t="shared" si="94"/>
        <v xml:space="preserve">  * La variable Trans (Masculino) No puede ser mayor al Total Mujeres.</v>
      </c>
      <c r="CC193" s="1724">
        <f t="shared" si="95"/>
        <v>1</v>
      </c>
      <c r="CD193" s="1724">
        <f t="shared" si="96"/>
        <v>1</v>
      </c>
      <c r="CE193" s="1724">
        <f t="shared" si="97"/>
        <v>1</v>
      </c>
      <c r="CF193" s="1724">
        <f t="shared" si="98"/>
        <v>1</v>
      </c>
      <c r="CG193" s="1724">
        <f t="shared" si="99"/>
        <v>1</v>
      </c>
      <c r="CH193" s="1724">
        <f t="shared" si="100"/>
        <v>1</v>
      </c>
      <c r="CI193" s="1724">
        <f t="shared" si="101"/>
        <v>1</v>
      </c>
      <c r="CJ193" s="1724">
        <f t="shared" si="102"/>
        <v>1</v>
      </c>
      <c r="CK193" s="1724">
        <f t="shared" si="103"/>
        <v>1</v>
      </c>
      <c r="CL193" s="1724">
        <f t="shared" si="104"/>
        <v>1</v>
      </c>
    </row>
    <row r="194" spans="1:90" ht="15" customHeight="1" x14ac:dyDescent="0.3">
      <c r="A194" s="6248" t="s">
        <v>4397</v>
      </c>
      <c r="B194" s="6917" t="s">
        <v>1998</v>
      </c>
      <c r="C194" s="2274" t="s">
        <v>1999</v>
      </c>
      <c r="D194" s="2275" t="s">
        <v>5292</v>
      </c>
      <c r="E194" s="2276" t="s">
        <v>5293</v>
      </c>
      <c r="F194" s="2274" t="s">
        <v>5294</v>
      </c>
      <c r="G194" s="2112" t="s">
        <v>5295</v>
      </c>
      <c r="H194" s="1089" t="s">
        <v>5296</v>
      </c>
      <c r="I194" s="2112" t="s">
        <v>5297</v>
      </c>
      <c r="J194" s="1089" t="s">
        <v>5298</v>
      </c>
      <c r="K194" s="2112" t="s">
        <v>5299</v>
      </c>
      <c r="L194" s="1089" t="s">
        <v>5300</v>
      </c>
      <c r="M194" s="2112" t="s">
        <v>5301</v>
      </c>
      <c r="N194" s="1089" t="s">
        <v>5302</v>
      </c>
      <c r="O194" s="2112" t="s">
        <v>5303</v>
      </c>
      <c r="P194" s="1089" t="s">
        <v>5304</v>
      </c>
      <c r="Q194" s="2112" t="s">
        <v>5305</v>
      </c>
      <c r="R194" s="1089" t="s">
        <v>5306</v>
      </c>
      <c r="S194" s="2112" t="s">
        <v>5307</v>
      </c>
      <c r="T194" s="1089" t="s">
        <v>5308</v>
      </c>
      <c r="U194" s="2112" t="s">
        <v>5309</v>
      </c>
      <c r="V194" s="1089" t="s">
        <v>5310</v>
      </c>
      <c r="W194" s="2112" t="s">
        <v>5311</v>
      </c>
      <c r="X194" s="1089" t="s">
        <v>5312</v>
      </c>
      <c r="Y194" s="2112" t="s">
        <v>5313</v>
      </c>
      <c r="Z194" s="1089" t="s">
        <v>5314</v>
      </c>
      <c r="AA194" s="2112" t="s">
        <v>5315</v>
      </c>
      <c r="AB194" s="1089" t="s">
        <v>5316</v>
      </c>
      <c r="AC194" s="2112" t="s">
        <v>5317</v>
      </c>
      <c r="AD194" s="1089" t="s">
        <v>5318</v>
      </c>
      <c r="AE194" s="2112" t="s">
        <v>5319</v>
      </c>
      <c r="AF194" s="1089" t="s">
        <v>5320</v>
      </c>
      <c r="AG194" s="2112" t="s">
        <v>5321</v>
      </c>
      <c r="AH194" s="1089" t="s">
        <v>5322</v>
      </c>
      <c r="AI194" s="2112" t="s">
        <v>5323</v>
      </c>
      <c r="AJ194" s="1089" t="s">
        <v>5324</v>
      </c>
      <c r="AK194" s="2112" t="s">
        <v>5325</v>
      </c>
      <c r="AL194" s="1089" t="s">
        <v>5326</v>
      </c>
      <c r="AM194" s="2112" t="s">
        <v>5327</v>
      </c>
      <c r="AN194" s="2239" t="s">
        <v>5328</v>
      </c>
      <c r="AO194" s="1430" t="s">
        <v>5329</v>
      </c>
      <c r="AP194" s="1693" t="s">
        <v>5330</v>
      </c>
      <c r="AQ194" s="2112" t="s">
        <v>5331</v>
      </c>
      <c r="AR194" s="1258" t="s">
        <v>5332</v>
      </c>
      <c r="AS194" s="1258" t="s">
        <v>5333</v>
      </c>
      <c r="AT194" s="1258" t="s">
        <v>5334</v>
      </c>
      <c r="AU194" s="2241" t="s">
        <v>5335</v>
      </c>
      <c r="AV194" s="2701" t="s">
        <v>5336</v>
      </c>
      <c r="AW194" s="2241" t="s">
        <v>5337</v>
      </c>
      <c r="AX194" s="2701" t="s">
        <v>5338</v>
      </c>
      <c r="AY194" s="17" t="e">
        <f t="shared" si="88"/>
        <v>#VALUE!</v>
      </c>
      <c r="BR194" s="2465" t="str">
        <f t="shared" si="105"/>
        <v xml:space="preserve">  * La  variable Gestantes No puede ser mayor al Total Mujeres.</v>
      </c>
      <c r="BS194" s="2465" t="str">
        <f t="shared" si="106"/>
        <v xml:space="preserve">  * La variable Madre de hijo menor de 5 años No puede ser mayor al Total Mujeres.</v>
      </c>
      <c r="BT194" s="2465" t="str">
        <f t="shared" si="107"/>
        <v xml:space="preserve">  * La variable Pueblos originarios - Hombres No puede ser mayor al Total.</v>
      </c>
      <c r="BU194" s="2465" t="str">
        <f t="shared" si="89"/>
        <v xml:space="preserve">  * La variable Pueblos originarios - Mujeres No puede ser mayor al Total.</v>
      </c>
      <c r="BV194" s="2465" t="str">
        <f t="shared" si="90"/>
        <v xml:space="preserve">  * La variable Niños, niñas, adolescentes y jóvenes SENAME No puede ser mayor al Total.</v>
      </c>
      <c r="BW194" s="2465" t="str">
        <f t="shared" si="91"/>
        <v xml:space="preserve">  * La variable Niños, niñas, adolescentes y jóvenes Mejor Niñez No puede ser mayor al Total.</v>
      </c>
      <c r="BX194" s="2465" t="e">
        <f t="shared" si="92"/>
        <v>#VALUE!</v>
      </c>
      <c r="BY194" s="2465" t="str">
        <f t="shared" si="93"/>
        <v xml:space="preserve">  * La variable Migrantes - Mujeres No puede ser mayor al Total.</v>
      </c>
      <c r="BZ194" s="2465" t="str">
        <f t="shared" si="108"/>
        <v xml:space="preserve">  * La variable Trans (Femenino) No puede ser mayor al Total Hombres.</v>
      </c>
      <c r="CA194" s="2465" t="str">
        <f t="shared" si="94"/>
        <v xml:space="preserve">  * La variable Trans (Masculino) No puede ser mayor al Total Mujeres.</v>
      </c>
      <c r="CB194" s="17"/>
      <c r="CC194" s="1724">
        <f t="shared" si="95"/>
        <v>1</v>
      </c>
      <c r="CD194" s="1724">
        <f t="shared" si="96"/>
        <v>1</v>
      </c>
      <c r="CE194" s="1724">
        <f t="shared" si="97"/>
        <v>1</v>
      </c>
      <c r="CF194" s="1724">
        <f t="shared" si="98"/>
        <v>1</v>
      </c>
      <c r="CG194" s="1724">
        <f t="shared" si="99"/>
        <v>1</v>
      </c>
      <c r="CH194" s="1724">
        <f t="shared" si="100"/>
        <v>1</v>
      </c>
      <c r="CI194" s="1724">
        <f t="shared" si="101"/>
        <v>1</v>
      </c>
      <c r="CJ194" s="1724">
        <f t="shared" si="102"/>
        <v>1</v>
      </c>
      <c r="CK194" s="1724">
        <f t="shared" si="103"/>
        <v>1</v>
      </c>
      <c r="CL194" s="1724">
        <f t="shared" si="104"/>
        <v>1</v>
      </c>
    </row>
    <row r="195" spans="1:90" ht="15" customHeight="1" x14ac:dyDescent="0.3">
      <c r="A195" s="6248" t="s">
        <v>4398</v>
      </c>
      <c r="B195" s="6899"/>
      <c r="C195" s="1" t="s">
        <v>2000</v>
      </c>
      <c r="D195" s="2277" t="s">
        <v>5292</v>
      </c>
      <c r="E195" s="2278" t="s">
        <v>5293</v>
      </c>
      <c r="F195" s="1" t="s">
        <v>5294</v>
      </c>
      <c r="G195" s="1095" t="s">
        <v>5295</v>
      </c>
      <c r="H195" s="8" t="s">
        <v>5296</v>
      </c>
      <c r="I195" s="1095" t="s">
        <v>5297</v>
      </c>
      <c r="J195" s="8" t="s">
        <v>5298</v>
      </c>
      <c r="K195" s="1095" t="s">
        <v>5299</v>
      </c>
      <c r="L195" s="8" t="s">
        <v>5300</v>
      </c>
      <c r="M195" s="1095" t="s">
        <v>5301</v>
      </c>
      <c r="N195" s="8" t="s">
        <v>5302</v>
      </c>
      <c r="O195" s="1095" t="s">
        <v>5303</v>
      </c>
      <c r="P195" s="8" t="s">
        <v>5304</v>
      </c>
      <c r="Q195" s="1095" t="s">
        <v>5305</v>
      </c>
      <c r="R195" s="8" t="s">
        <v>5306</v>
      </c>
      <c r="S195" s="1095" t="s">
        <v>5307</v>
      </c>
      <c r="T195" s="8" t="s">
        <v>5308</v>
      </c>
      <c r="U195" s="1095" t="s">
        <v>5309</v>
      </c>
      <c r="V195" s="8" t="s">
        <v>5310</v>
      </c>
      <c r="W195" s="1095" t="s">
        <v>5311</v>
      </c>
      <c r="X195" s="8" t="s">
        <v>5312</v>
      </c>
      <c r="Y195" s="1095" t="s">
        <v>5313</v>
      </c>
      <c r="Z195" s="8" t="s">
        <v>5314</v>
      </c>
      <c r="AA195" s="1095" t="s">
        <v>5315</v>
      </c>
      <c r="AB195" s="8" t="s">
        <v>5316</v>
      </c>
      <c r="AC195" s="1095" t="s">
        <v>5317</v>
      </c>
      <c r="AD195" s="8" t="s">
        <v>5318</v>
      </c>
      <c r="AE195" s="1095" t="s">
        <v>5319</v>
      </c>
      <c r="AF195" s="8" t="s">
        <v>5320</v>
      </c>
      <c r="AG195" s="1095" t="s">
        <v>5321</v>
      </c>
      <c r="AH195" s="8" t="s">
        <v>5322</v>
      </c>
      <c r="AI195" s="1095" t="s">
        <v>5323</v>
      </c>
      <c r="AJ195" s="8" t="s">
        <v>5324</v>
      </c>
      <c r="AK195" s="1095" t="s">
        <v>5325</v>
      </c>
      <c r="AL195" s="8" t="s">
        <v>5326</v>
      </c>
      <c r="AM195" s="1095" t="s">
        <v>5327</v>
      </c>
      <c r="AN195" s="1697" t="s">
        <v>5328</v>
      </c>
      <c r="AO195" s="1424" t="s">
        <v>5329</v>
      </c>
      <c r="AP195" s="1092" t="s">
        <v>5330</v>
      </c>
      <c r="AQ195" s="1095" t="s">
        <v>5331</v>
      </c>
      <c r="AR195" s="11" t="s">
        <v>5332</v>
      </c>
      <c r="AS195" s="11" t="s">
        <v>5333</v>
      </c>
      <c r="AT195" s="11" t="s">
        <v>5334</v>
      </c>
      <c r="AU195" s="2236" t="s">
        <v>5335</v>
      </c>
      <c r="AV195" s="25" t="s">
        <v>5336</v>
      </c>
      <c r="AW195" s="2236" t="s">
        <v>5337</v>
      </c>
      <c r="AX195" s="25" t="s">
        <v>5338</v>
      </c>
      <c r="AY195" s="17" t="e">
        <f t="shared" si="88"/>
        <v>#VALUE!</v>
      </c>
      <c r="BR195" s="2465" t="str">
        <f t="shared" si="105"/>
        <v xml:space="preserve">  * La  variable Gestantes No puede ser mayor al Total Mujeres.</v>
      </c>
      <c r="BS195" s="2465" t="str">
        <f t="shared" si="106"/>
        <v xml:space="preserve">  * La variable Madre de hijo menor de 5 años No puede ser mayor al Total Mujeres.</v>
      </c>
      <c r="BT195" s="2465" t="str">
        <f t="shared" si="107"/>
        <v xml:space="preserve">  * La variable Pueblos originarios - Hombres No puede ser mayor al Total.</v>
      </c>
      <c r="BU195" s="2465" t="str">
        <f t="shared" si="89"/>
        <v xml:space="preserve">  * La variable Pueblos originarios - Mujeres No puede ser mayor al Total.</v>
      </c>
      <c r="BV195" s="2465" t="str">
        <f t="shared" si="90"/>
        <v xml:space="preserve">  * La variable Niños, niñas, adolescentes y jóvenes SENAME No puede ser mayor al Total.</v>
      </c>
      <c r="BW195" s="2465" t="str">
        <f t="shared" si="91"/>
        <v xml:space="preserve">  * La variable Niños, niñas, adolescentes y jóvenes Mejor Niñez No puede ser mayor al Total.</v>
      </c>
      <c r="BX195" s="2465" t="e">
        <f t="shared" si="92"/>
        <v>#VALUE!</v>
      </c>
      <c r="BY195" s="2465" t="str">
        <f t="shared" si="93"/>
        <v xml:space="preserve">  * La variable Migrantes - Mujeres No puede ser mayor al Total.</v>
      </c>
      <c r="BZ195" s="2465" t="str">
        <f t="shared" si="108"/>
        <v xml:space="preserve">  * La variable Trans (Femenino) No puede ser mayor al Total Hombres.</v>
      </c>
      <c r="CA195" s="2465" t="str">
        <f t="shared" si="94"/>
        <v xml:space="preserve">  * La variable Trans (Masculino) No puede ser mayor al Total Mujeres.</v>
      </c>
      <c r="CB195" s="17"/>
      <c r="CC195" s="1724">
        <f t="shared" si="95"/>
        <v>1</v>
      </c>
      <c r="CD195" s="1724">
        <f t="shared" si="96"/>
        <v>1</v>
      </c>
      <c r="CE195" s="1724">
        <f t="shared" si="97"/>
        <v>1</v>
      </c>
      <c r="CF195" s="1724">
        <f t="shared" si="98"/>
        <v>1</v>
      </c>
      <c r="CG195" s="1724">
        <f t="shared" si="99"/>
        <v>1</v>
      </c>
      <c r="CH195" s="1724">
        <f t="shared" si="100"/>
        <v>1</v>
      </c>
      <c r="CI195" s="1724">
        <f t="shared" si="101"/>
        <v>1</v>
      </c>
      <c r="CJ195" s="1724">
        <f t="shared" si="102"/>
        <v>1</v>
      </c>
      <c r="CK195" s="1724">
        <f t="shared" si="103"/>
        <v>1</v>
      </c>
      <c r="CL195" s="1724">
        <f t="shared" si="104"/>
        <v>1</v>
      </c>
    </row>
    <row r="196" spans="1:90" ht="15" customHeight="1" x14ac:dyDescent="0.3">
      <c r="A196" s="6248" t="s">
        <v>4399</v>
      </c>
      <c r="B196" s="6899"/>
      <c r="C196" s="1" t="s">
        <v>2001</v>
      </c>
      <c r="D196" s="2277" t="s">
        <v>5292</v>
      </c>
      <c r="E196" s="2279" t="s">
        <v>5293</v>
      </c>
      <c r="F196" s="1" t="s">
        <v>5294</v>
      </c>
      <c r="G196" s="9" t="s">
        <v>5295</v>
      </c>
      <c r="H196" s="11" t="s">
        <v>5296</v>
      </c>
      <c r="I196" s="9" t="s">
        <v>5297</v>
      </c>
      <c r="J196" s="11" t="s">
        <v>5298</v>
      </c>
      <c r="K196" s="9" t="s">
        <v>5299</v>
      </c>
      <c r="L196" s="11" t="s">
        <v>5300</v>
      </c>
      <c r="M196" s="9" t="s">
        <v>5301</v>
      </c>
      <c r="N196" s="11" t="s">
        <v>5302</v>
      </c>
      <c r="O196" s="9" t="s">
        <v>5303</v>
      </c>
      <c r="P196" s="11" t="s">
        <v>5304</v>
      </c>
      <c r="Q196" s="9" t="s">
        <v>5305</v>
      </c>
      <c r="R196" s="11" t="s">
        <v>5306</v>
      </c>
      <c r="S196" s="9" t="s">
        <v>5307</v>
      </c>
      <c r="T196" s="11" t="s">
        <v>5308</v>
      </c>
      <c r="U196" s="9" t="s">
        <v>5309</v>
      </c>
      <c r="V196" s="11" t="s">
        <v>5310</v>
      </c>
      <c r="W196" s="9" t="s">
        <v>5311</v>
      </c>
      <c r="X196" s="11" t="s">
        <v>5312</v>
      </c>
      <c r="Y196" s="9" t="s">
        <v>5313</v>
      </c>
      <c r="Z196" s="11" t="s">
        <v>5314</v>
      </c>
      <c r="AA196" s="9" t="s">
        <v>5315</v>
      </c>
      <c r="AB196" s="11" t="s">
        <v>5316</v>
      </c>
      <c r="AC196" s="9" t="s">
        <v>5317</v>
      </c>
      <c r="AD196" s="11" t="s">
        <v>5318</v>
      </c>
      <c r="AE196" s="9" t="s">
        <v>5319</v>
      </c>
      <c r="AF196" s="11" t="s">
        <v>5320</v>
      </c>
      <c r="AG196" s="9" t="s">
        <v>5321</v>
      </c>
      <c r="AH196" s="11" t="s">
        <v>5322</v>
      </c>
      <c r="AI196" s="9" t="s">
        <v>5323</v>
      </c>
      <c r="AJ196" s="11" t="s">
        <v>5324</v>
      </c>
      <c r="AK196" s="9" t="s">
        <v>5325</v>
      </c>
      <c r="AL196" s="11" t="s">
        <v>5326</v>
      </c>
      <c r="AM196" s="9" t="s">
        <v>5327</v>
      </c>
      <c r="AN196" s="2236" t="s">
        <v>5328</v>
      </c>
      <c r="AO196" s="26" t="s">
        <v>5329</v>
      </c>
      <c r="AP196" s="27" t="s">
        <v>5330</v>
      </c>
      <c r="AQ196" s="9" t="s">
        <v>5331</v>
      </c>
      <c r="AR196" s="11" t="s">
        <v>5332</v>
      </c>
      <c r="AS196" s="11" t="s">
        <v>5333</v>
      </c>
      <c r="AT196" s="11" t="s">
        <v>5334</v>
      </c>
      <c r="AU196" s="2236" t="s">
        <v>5335</v>
      </c>
      <c r="AV196" s="25" t="s">
        <v>5336</v>
      </c>
      <c r="AW196" s="2236" t="s">
        <v>5337</v>
      </c>
      <c r="AX196" s="25" t="s">
        <v>5338</v>
      </c>
      <c r="AY196" s="17" t="e">
        <f t="shared" si="88"/>
        <v>#VALUE!</v>
      </c>
      <c r="BR196" s="2465" t="str">
        <f t="shared" si="105"/>
        <v xml:space="preserve">  * La  variable Gestantes No puede ser mayor al Total Mujeres.</v>
      </c>
      <c r="BS196" s="2465" t="str">
        <f t="shared" si="106"/>
        <v xml:space="preserve">  * La variable Madre de hijo menor de 5 años No puede ser mayor al Total Mujeres.</v>
      </c>
      <c r="BT196" s="2465" t="str">
        <f t="shared" si="107"/>
        <v xml:space="preserve">  * La variable Pueblos originarios - Hombres No puede ser mayor al Total.</v>
      </c>
      <c r="BU196" s="2465" t="str">
        <f t="shared" si="89"/>
        <v xml:space="preserve">  * La variable Pueblos originarios - Mujeres No puede ser mayor al Total.</v>
      </c>
      <c r="BV196" s="2465" t="str">
        <f t="shared" si="90"/>
        <v xml:space="preserve">  * La variable Niños, niñas, adolescentes y jóvenes SENAME No puede ser mayor al Total.</v>
      </c>
      <c r="BW196" s="2465" t="str">
        <f t="shared" si="91"/>
        <v xml:space="preserve">  * La variable Niños, niñas, adolescentes y jóvenes Mejor Niñez No puede ser mayor al Total.</v>
      </c>
      <c r="BX196" s="2465" t="e">
        <f t="shared" si="92"/>
        <v>#VALUE!</v>
      </c>
      <c r="BY196" s="2465" t="str">
        <f t="shared" si="93"/>
        <v xml:space="preserve">  * La variable Migrantes - Mujeres No puede ser mayor al Total.</v>
      </c>
      <c r="BZ196" s="2465" t="str">
        <f t="shared" si="108"/>
        <v xml:space="preserve">  * La variable Trans (Femenino) No puede ser mayor al Total Hombres.</v>
      </c>
      <c r="CA196" s="2465" t="str">
        <f t="shared" si="94"/>
        <v xml:space="preserve">  * La variable Trans (Masculino) No puede ser mayor al Total Mujeres.</v>
      </c>
      <c r="CB196" s="17"/>
      <c r="CC196" s="1724">
        <f t="shared" si="95"/>
        <v>1</v>
      </c>
      <c r="CD196" s="1724">
        <f t="shared" si="96"/>
        <v>1</v>
      </c>
      <c r="CE196" s="1724">
        <f t="shared" si="97"/>
        <v>1</v>
      </c>
      <c r="CF196" s="1724">
        <f t="shared" si="98"/>
        <v>1</v>
      </c>
      <c r="CG196" s="1724">
        <f t="shared" si="99"/>
        <v>1</v>
      </c>
      <c r="CH196" s="1724">
        <f t="shared" si="100"/>
        <v>1</v>
      </c>
      <c r="CI196" s="1724">
        <f t="shared" si="101"/>
        <v>1</v>
      </c>
      <c r="CJ196" s="1724">
        <f t="shared" si="102"/>
        <v>1</v>
      </c>
      <c r="CK196" s="1724">
        <f t="shared" si="103"/>
        <v>1</v>
      </c>
      <c r="CL196" s="1724">
        <f t="shared" si="104"/>
        <v>1</v>
      </c>
    </row>
    <row r="197" spans="1:90" ht="15" customHeight="1" x14ac:dyDescent="0.3">
      <c r="A197" s="6248" t="s">
        <v>4400</v>
      </c>
      <c r="B197" s="6899"/>
      <c r="C197" s="2280" t="s">
        <v>2002</v>
      </c>
      <c r="D197" s="2277" t="s">
        <v>5292</v>
      </c>
      <c r="E197" s="2281" t="s">
        <v>5293</v>
      </c>
      <c r="F197" s="1" t="s">
        <v>5294</v>
      </c>
      <c r="G197" s="1530" t="s">
        <v>5295</v>
      </c>
      <c r="H197" s="34" t="s">
        <v>5296</v>
      </c>
      <c r="I197" s="1530" t="s">
        <v>5297</v>
      </c>
      <c r="J197" s="34" t="s">
        <v>5298</v>
      </c>
      <c r="K197" s="1530" t="s">
        <v>5299</v>
      </c>
      <c r="L197" s="8" t="s">
        <v>5300</v>
      </c>
      <c r="M197" s="1530" t="s">
        <v>5301</v>
      </c>
      <c r="N197" s="8" t="s">
        <v>5302</v>
      </c>
      <c r="O197" s="1530" t="s">
        <v>5303</v>
      </c>
      <c r="P197" s="8" t="s">
        <v>5304</v>
      </c>
      <c r="Q197" s="1530" t="s">
        <v>5305</v>
      </c>
      <c r="R197" s="8" t="s">
        <v>5306</v>
      </c>
      <c r="S197" s="1530" t="s">
        <v>5307</v>
      </c>
      <c r="T197" s="8" t="s">
        <v>5308</v>
      </c>
      <c r="U197" s="1530" t="s">
        <v>5309</v>
      </c>
      <c r="V197" s="8" t="s">
        <v>5310</v>
      </c>
      <c r="W197" s="1530" t="s">
        <v>5311</v>
      </c>
      <c r="X197" s="8" t="s">
        <v>5312</v>
      </c>
      <c r="Y197" s="1530" t="s">
        <v>5313</v>
      </c>
      <c r="Z197" s="8" t="s">
        <v>5314</v>
      </c>
      <c r="AA197" s="1530" t="s">
        <v>5315</v>
      </c>
      <c r="AB197" s="8" t="s">
        <v>5316</v>
      </c>
      <c r="AC197" s="1530" t="s">
        <v>5317</v>
      </c>
      <c r="AD197" s="8" t="s">
        <v>5318</v>
      </c>
      <c r="AE197" s="1530" t="s">
        <v>5319</v>
      </c>
      <c r="AF197" s="8" t="s">
        <v>5320</v>
      </c>
      <c r="AG197" s="1530" t="s">
        <v>5321</v>
      </c>
      <c r="AH197" s="8" t="s">
        <v>5322</v>
      </c>
      <c r="AI197" s="1530" t="s">
        <v>5323</v>
      </c>
      <c r="AJ197" s="8" t="s">
        <v>5324</v>
      </c>
      <c r="AK197" s="1530" t="s">
        <v>5325</v>
      </c>
      <c r="AL197" s="8" t="s">
        <v>5326</v>
      </c>
      <c r="AM197" s="1530" t="s">
        <v>5327</v>
      </c>
      <c r="AN197" s="1697" t="s">
        <v>5328</v>
      </c>
      <c r="AO197" s="1424" t="s">
        <v>5329</v>
      </c>
      <c r="AP197" s="1092" t="s">
        <v>5330</v>
      </c>
      <c r="AQ197" s="1530" t="s">
        <v>5331</v>
      </c>
      <c r="AR197" s="8" t="s">
        <v>5332</v>
      </c>
      <c r="AS197" s="8" t="s">
        <v>5333</v>
      </c>
      <c r="AT197" s="8" t="s">
        <v>5334</v>
      </c>
      <c r="AU197" s="1530" t="s">
        <v>5335</v>
      </c>
      <c r="AV197" s="1099" t="s">
        <v>5336</v>
      </c>
      <c r="AW197" s="1697" t="s">
        <v>5337</v>
      </c>
      <c r="AX197" s="1530" t="s">
        <v>5338</v>
      </c>
      <c r="AY197" s="17" t="str">
        <f t="shared" si="88"/>
        <v xml:space="preserve">  * La  variable Gestantes No puede ser mayor al Total Mujeres.  * La variable Madre de hijo menor de 5 años No puede ser mayor al Total Mujeres.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Mujeres No puede ser mayor al Total.  * La variable Trans (Masculino) No puede ser mayor al Total Mujeres.</v>
      </c>
      <c r="BR197" s="2465" t="str">
        <f t="shared" si="105"/>
        <v xml:space="preserve">  * La  variable Gestantes No puede ser mayor al Total Mujeres.</v>
      </c>
      <c r="BS197" s="2465" t="str">
        <f t="shared" si="106"/>
        <v xml:space="preserve">  * La variable Madre de hijo menor de 5 años No puede ser mayor al Total Mujeres.</v>
      </c>
      <c r="BT197" s="170"/>
      <c r="BU197" s="2465" t="str">
        <f t="shared" ref="BU197" si="109">IF(AND(F197&gt;0,OR(AR197="")), "* No olvide digitar la variable Pueblos originarios - Mujeres. Digite Cero si no tiene.",IF((AR197)&gt;F197,"  * La variable Pueblos originarios - Mujeres No puede ser mayor al Total.",""))</f>
        <v xml:space="preserve">  * La variable Pueblos originarios - Mujeres No puede ser mayor al Total.</v>
      </c>
      <c r="BV197" s="2465" t="str">
        <f t="shared" ref="BV197" si="110">IF(AND(D197&gt;0,AS197=""), "* No olvide digitar la variable Niños, niñas, adolescentes y jóvenes SENAME. Digite Cero si no tiene.",IF(AS197&gt;D197,"  * La variable Niños, niñas, adolescentes y jóvenes SENAME No puede ser mayor al Total.",""))</f>
        <v xml:space="preserve">  * La variable Niños, niñas, adolescentes y jóvenes SENAME No puede ser mayor al Total.</v>
      </c>
      <c r="BW197" s="2465" t="str">
        <f t="shared" ref="BW197" si="111">IF(AND(D197&gt;0,AT197=""), "* No olvide digitar la variable Niños, niñas, adolescentes y jóvenes Mejor Niñez. Digite Cero si no tiene.",IF(AT197&gt;D197,"  * La variable Niños, niñas, adolescentes y jóvenes Mejor Niñez No puede ser mayor al Total.",""))</f>
        <v xml:space="preserve">  * La variable Niños, niñas, adolescentes y jóvenes Mejor Niñez No puede ser mayor al Total.</v>
      </c>
      <c r="BX197" s="2466"/>
      <c r="BY197" s="2465" t="str">
        <f t="shared" ref="BY197" si="112">IF(AND(F197&gt;0,OR(AV197="")), "* No olvide digitar la variable Migrantes - Mujeres. Digite Cero si no tiene.",IF((AV197)&gt;F197,"  * La variable Migrantes - Mujeres No puede ser mayor al Total.",""))</f>
        <v xml:space="preserve">  * La variable Migrantes - Mujeres No puede ser mayor al Total.</v>
      </c>
      <c r="BZ197" s="2466"/>
      <c r="CA197" s="2465" t="str">
        <f t="shared" ref="CA197" si="113">IF(AND(F197&gt;0,OR(AW197="")), "* No olvide digitar la variable Trans (Masculino). Digite Cero si no tiene.",IF((AW197)&gt;F197,"  * La variable Trans (Masculino) No puede ser mayor al Total Mujeres.",""))</f>
        <v xml:space="preserve">  * La variable Trans (Masculino) No puede ser mayor al Total Mujeres.</v>
      </c>
      <c r="CB197" s="17"/>
      <c r="CC197" s="1724">
        <f t="shared" si="95"/>
        <v>1</v>
      </c>
      <c r="CD197" s="1724">
        <f>IF(AND(F197&gt;0,AP197=""),1,IF(AP197&gt;F197,1,0))</f>
        <v>1</v>
      </c>
      <c r="CE197" s="17"/>
      <c r="CF197" s="1724">
        <f t="shared" si="98"/>
        <v>1</v>
      </c>
      <c r="CG197" s="1724">
        <f t="shared" si="99"/>
        <v>1</v>
      </c>
      <c r="CH197" s="1724">
        <f t="shared" si="100"/>
        <v>1</v>
      </c>
      <c r="CI197" s="17"/>
      <c r="CJ197" s="1724">
        <f t="shared" si="102"/>
        <v>1</v>
      </c>
      <c r="CK197" s="17"/>
      <c r="CL197" s="1724">
        <f t="shared" si="104"/>
        <v>1</v>
      </c>
    </row>
    <row r="198" spans="1:90" ht="15" customHeight="1" x14ac:dyDescent="0.3">
      <c r="A198" s="6248" t="s">
        <v>4401</v>
      </c>
      <c r="B198" s="6899"/>
      <c r="C198" s="1" t="s">
        <v>2003</v>
      </c>
      <c r="D198" s="2277" t="s">
        <v>5292</v>
      </c>
      <c r="E198" s="2276" t="s">
        <v>5293</v>
      </c>
      <c r="F198" s="1" t="s">
        <v>5294</v>
      </c>
      <c r="G198" s="2112" t="s">
        <v>5295</v>
      </c>
      <c r="H198" s="1089" t="s">
        <v>5296</v>
      </c>
      <c r="I198" s="2112" t="s">
        <v>5297</v>
      </c>
      <c r="J198" s="1089" t="s">
        <v>5298</v>
      </c>
      <c r="K198" s="2112" t="s">
        <v>5299</v>
      </c>
      <c r="L198" s="1089" t="s">
        <v>5300</v>
      </c>
      <c r="M198" s="2112" t="s">
        <v>5301</v>
      </c>
      <c r="N198" s="1089" t="s">
        <v>5302</v>
      </c>
      <c r="O198" s="2112" t="s">
        <v>5303</v>
      </c>
      <c r="P198" s="1089" t="s">
        <v>5304</v>
      </c>
      <c r="Q198" s="2112" t="s">
        <v>5305</v>
      </c>
      <c r="R198" s="1089" t="s">
        <v>5306</v>
      </c>
      <c r="S198" s="2112" t="s">
        <v>5307</v>
      </c>
      <c r="T198" s="1089" t="s">
        <v>5308</v>
      </c>
      <c r="U198" s="2112" t="s">
        <v>5309</v>
      </c>
      <c r="V198" s="1089" t="s">
        <v>5310</v>
      </c>
      <c r="W198" s="2112" t="s">
        <v>5311</v>
      </c>
      <c r="X198" s="1089" t="s">
        <v>5312</v>
      </c>
      <c r="Y198" s="2112" t="s">
        <v>5313</v>
      </c>
      <c r="Z198" s="1089" t="s">
        <v>5314</v>
      </c>
      <c r="AA198" s="2112" t="s">
        <v>5315</v>
      </c>
      <c r="AB198" s="1089" t="s">
        <v>5316</v>
      </c>
      <c r="AC198" s="2112" t="s">
        <v>5317</v>
      </c>
      <c r="AD198" s="1089" t="s">
        <v>5318</v>
      </c>
      <c r="AE198" s="2112" t="s">
        <v>5319</v>
      </c>
      <c r="AF198" s="1089" t="s">
        <v>5320</v>
      </c>
      <c r="AG198" s="2112" t="s">
        <v>5321</v>
      </c>
      <c r="AH198" s="1089" t="s">
        <v>5322</v>
      </c>
      <c r="AI198" s="2112" t="s">
        <v>5323</v>
      </c>
      <c r="AJ198" s="1089" t="s">
        <v>5324</v>
      </c>
      <c r="AK198" s="2112" t="s">
        <v>5325</v>
      </c>
      <c r="AL198" s="1089" t="s">
        <v>5326</v>
      </c>
      <c r="AM198" s="2112" t="s">
        <v>5327</v>
      </c>
      <c r="AN198" s="2239" t="s">
        <v>5328</v>
      </c>
      <c r="AO198" s="1430" t="s">
        <v>5329</v>
      </c>
      <c r="AP198" s="1693" t="s">
        <v>5330</v>
      </c>
      <c r="AQ198" s="2112" t="s">
        <v>5331</v>
      </c>
      <c r="AR198" s="1089" t="s">
        <v>5332</v>
      </c>
      <c r="AS198" s="1089" t="s">
        <v>5333</v>
      </c>
      <c r="AT198" s="1089" t="s">
        <v>5334</v>
      </c>
      <c r="AU198" s="2239" t="s">
        <v>5335</v>
      </c>
      <c r="AV198" s="1273" t="s">
        <v>5336</v>
      </c>
      <c r="AW198" s="2239" t="s">
        <v>5337</v>
      </c>
      <c r="AX198" s="1273" t="s">
        <v>5338</v>
      </c>
      <c r="AY198" s="17" t="e">
        <f t="shared" si="88"/>
        <v>#VALUE!</v>
      </c>
      <c r="BR198" s="2465" t="str">
        <f t="shared" si="105"/>
        <v xml:space="preserve">  * La  variable Gestantes No puede ser mayor al Total Mujeres.</v>
      </c>
      <c r="BS198" s="2465" t="str">
        <f t="shared" si="106"/>
        <v xml:space="preserve">  * La variable Madre de hijo menor de 5 años No puede ser mayor al Total Mujeres.</v>
      </c>
      <c r="BT198" s="2465" t="str">
        <f t="shared" ref="BT198:BT206" si="114">IF(AND(E198&gt;0,OR(AQ198="")), "* No olvide digitar la variable Pueblos originarios - Hombres. Digite Cero si no tiene.",IF((AQ198)&gt;E198,"  * La variable Pueblos originarios - Hombres No puede ser mayor al Total.",""))</f>
        <v xml:space="preserve">  * La variable Pueblos originarios - Hombres No puede ser mayor al Total.</v>
      </c>
      <c r="BU198" s="2465" t="str">
        <f t="shared" ref="BU198:BU206" si="115">IF(AND(F198&gt;0,OR(AR198="")), "* No olvide digitar la variable Pueblos originarios - Mujeres. Digite Cero si no tiene.",IF((AR198)&gt;F198,"  * La variable Pueblos originarios - Mujeres No puede ser mayor al Total.",""))</f>
        <v xml:space="preserve">  * La variable Pueblos originarios - Mujeres No puede ser mayor al Total.</v>
      </c>
      <c r="BV198" s="2465" t="str">
        <f t="shared" ref="BV198:BV206" si="116">IF(AND(D198&gt;0,AS198=""), "* No olvide digitar la variable Niños, niñas, adolescentes y jóvenes SENAME. Digite Cero si no tiene.",IF(AS198&gt;D198,"  * La variable Niños, niñas, adolescentes y jóvenes SENAME No puede ser mayor al Total.",""))</f>
        <v xml:space="preserve">  * La variable Niños, niñas, adolescentes y jóvenes SENAME No puede ser mayor al Total.</v>
      </c>
      <c r="BW198" s="2465" t="str">
        <f t="shared" ref="BW198:BW206" si="117">IF(AND(D198&gt;0,AT198=""), "* No olvide digitar la variable Niños, niñas, adolescentes y jóvenes Mejor Niñez. Digite Cero si no tiene.",IF(AT198&gt;D198,"  * La variable Niños, niñas, adolescentes y jóvenes Mejor Niñez No puede ser mayor al Total.",""))</f>
        <v xml:space="preserve">  * La variable Niños, niñas, adolescentes y jóvenes Mejor Niñez No puede ser mayor al Total.</v>
      </c>
      <c r="BX198" s="2465" t="e">
        <f t="shared" ref="BX198:BX206" si="118">IF(AND(E198&gt;0,OR(AU198="")), "* No olvide digitar la variable Migrantes - Hombres. Digite Cero si no tiene.",IF((AU198+AU198)&gt;E198,"  * La variable Migrantes - Hombres No puede ser mayor al Total.",""))</f>
        <v>#VALUE!</v>
      </c>
      <c r="BY198" s="2465" t="str">
        <f t="shared" ref="BY198:BY206" si="119">IF(AND(F198&gt;0,OR(AV198="")), "* No olvide digitar la variable Migrantes - Mujeres. Digite Cero si no tiene.",IF((AV198)&gt;F198,"  * La variable Migrantes - Mujeres No puede ser mayor al Total.",""))</f>
        <v xml:space="preserve">  * La variable Migrantes - Mujeres No puede ser mayor al Total.</v>
      </c>
      <c r="BZ198" s="2465" t="str">
        <f t="shared" si="108"/>
        <v xml:space="preserve">  * La variable Trans (Femenino) No puede ser mayor al Total Hombres.</v>
      </c>
      <c r="CA198" s="2465" t="str">
        <f t="shared" ref="CA198:CA206" si="120">IF(AND(F198&gt;0,OR(AW198="")), "* No olvide digitar la variable Trans (Masculino). Digite Cero si no tiene.",IF((AW198)&gt;F198,"  * La variable Trans (Masculino) No puede ser mayor al Total Mujeres.",""))</f>
        <v xml:space="preserve">  * La variable Trans (Masculino) No puede ser mayor al Total Mujeres.</v>
      </c>
      <c r="CB198" s="17"/>
      <c r="CC198" s="1724">
        <f t="shared" si="95"/>
        <v>1</v>
      </c>
      <c r="CD198" s="1724">
        <f t="shared" si="96"/>
        <v>1</v>
      </c>
      <c r="CE198" s="1724">
        <f t="shared" si="97"/>
        <v>1</v>
      </c>
      <c r="CF198" s="1724">
        <f t="shared" si="98"/>
        <v>1</v>
      </c>
      <c r="CG198" s="1724">
        <f t="shared" si="99"/>
        <v>1</v>
      </c>
      <c r="CH198" s="1724">
        <f t="shared" si="100"/>
        <v>1</v>
      </c>
      <c r="CI198" s="1724">
        <f t="shared" si="101"/>
        <v>1</v>
      </c>
      <c r="CJ198" s="1724">
        <f t="shared" si="102"/>
        <v>1</v>
      </c>
      <c r="CK198" s="1724">
        <f t="shared" si="103"/>
        <v>1</v>
      </c>
      <c r="CL198" s="1724">
        <f t="shared" si="104"/>
        <v>1</v>
      </c>
    </row>
    <row r="199" spans="1:90" ht="15" customHeight="1" x14ac:dyDescent="0.3">
      <c r="A199" s="6248" t="s">
        <v>4402</v>
      </c>
      <c r="B199" s="6899"/>
      <c r="C199" s="2282" t="s">
        <v>2004</v>
      </c>
      <c r="D199" s="2277" t="s">
        <v>5292</v>
      </c>
      <c r="E199" s="2278" t="s">
        <v>5293</v>
      </c>
      <c r="F199" s="1" t="s">
        <v>5294</v>
      </c>
      <c r="G199" s="1095" t="s">
        <v>5295</v>
      </c>
      <c r="H199" s="8" t="s">
        <v>5296</v>
      </c>
      <c r="I199" s="1095" t="s">
        <v>5297</v>
      </c>
      <c r="J199" s="8" t="s">
        <v>5298</v>
      </c>
      <c r="K199" s="1095" t="s">
        <v>5299</v>
      </c>
      <c r="L199" s="8" t="s">
        <v>5300</v>
      </c>
      <c r="M199" s="1095" t="s">
        <v>5301</v>
      </c>
      <c r="N199" s="8" t="s">
        <v>5302</v>
      </c>
      <c r="O199" s="1095" t="s">
        <v>5303</v>
      </c>
      <c r="P199" s="8" t="s">
        <v>5304</v>
      </c>
      <c r="Q199" s="1095" t="s">
        <v>5305</v>
      </c>
      <c r="R199" s="8" t="s">
        <v>5306</v>
      </c>
      <c r="S199" s="1095" t="s">
        <v>5307</v>
      </c>
      <c r="T199" s="8" t="s">
        <v>5308</v>
      </c>
      <c r="U199" s="1095" t="s">
        <v>5309</v>
      </c>
      <c r="V199" s="8" t="s">
        <v>5310</v>
      </c>
      <c r="W199" s="1095" t="s">
        <v>5311</v>
      </c>
      <c r="X199" s="8" t="s">
        <v>5312</v>
      </c>
      <c r="Y199" s="1095" t="s">
        <v>5313</v>
      </c>
      <c r="Z199" s="8" t="s">
        <v>5314</v>
      </c>
      <c r="AA199" s="1095" t="s">
        <v>5315</v>
      </c>
      <c r="AB199" s="8" t="s">
        <v>5316</v>
      </c>
      <c r="AC199" s="1095" t="s">
        <v>5317</v>
      </c>
      <c r="AD199" s="8" t="s">
        <v>5318</v>
      </c>
      <c r="AE199" s="1095" t="s">
        <v>5319</v>
      </c>
      <c r="AF199" s="8" t="s">
        <v>5320</v>
      </c>
      <c r="AG199" s="1095" t="s">
        <v>5321</v>
      </c>
      <c r="AH199" s="8" t="s">
        <v>5322</v>
      </c>
      <c r="AI199" s="1095" t="s">
        <v>5323</v>
      </c>
      <c r="AJ199" s="8" t="s">
        <v>5324</v>
      </c>
      <c r="AK199" s="1095" t="s">
        <v>5325</v>
      </c>
      <c r="AL199" s="8" t="s">
        <v>5326</v>
      </c>
      <c r="AM199" s="1095" t="s">
        <v>5327</v>
      </c>
      <c r="AN199" s="1697" t="s">
        <v>5328</v>
      </c>
      <c r="AO199" s="1424" t="s">
        <v>5329</v>
      </c>
      <c r="AP199" s="1092" t="s">
        <v>5330</v>
      </c>
      <c r="AQ199" s="1095" t="s">
        <v>5331</v>
      </c>
      <c r="AR199" s="1258" t="s">
        <v>5332</v>
      </c>
      <c r="AS199" s="1258" t="s">
        <v>5333</v>
      </c>
      <c r="AT199" s="1258" t="s">
        <v>5334</v>
      </c>
      <c r="AU199" s="2241" t="s">
        <v>5335</v>
      </c>
      <c r="AV199" s="2701" t="s">
        <v>5336</v>
      </c>
      <c r="AW199" s="2241" t="s">
        <v>5337</v>
      </c>
      <c r="AX199" s="2701" t="s">
        <v>5338</v>
      </c>
      <c r="AY199" s="17" t="e">
        <f t="shared" si="88"/>
        <v>#VALUE!</v>
      </c>
      <c r="BR199" s="2465" t="str">
        <f t="shared" si="105"/>
        <v xml:space="preserve">  * La  variable Gestantes No puede ser mayor al Total Mujeres.</v>
      </c>
      <c r="BS199" s="2465" t="str">
        <f t="shared" si="106"/>
        <v xml:space="preserve">  * La variable Madre de hijo menor de 5 años No puede ser mayor al Total Mujeres.</v>
      </c>
      <c r="BT199" s="2465" t="str">
        <f t="shared" si="114"/>
        <v xml:space="preserve">  * La variable Pueblos originarios - Hombres No puede ser mayor al Total.</v>
      </c>
      <c r="BU199" s="2465" t="str">
        <f t="shared" si="115"/>
        <v xml:space="preserve">  * La variable Pueblos originarios - Mujeres No puede ser mayor al Total.</v>
      </c>
      <c r="BV199" s="2465" t="str">
        <f t="shared" si="116"/>
        <v xml:space="preserve">  * La variable Niños, niñas, adolescentes y jóvenes SENAME No puede ser mayor al Total.</v>
      </c>
      <c r="BW199" s="2465" t="str">
        <f t="shared" si="117"/>
        <v xml:space="preserve">  * La variable Niños, niñas, adolescentes y jóvenes Mejor Niñez No puede ser mayor al Total.</v>
      </c>
      <c r="BX199" s="2465" t="e">
        <f t="shared" si="118"/>
        <v>#VALUE!</v>
      </c>
      <c r="BY199" s="2465" t="str">
        <f t="shared" si="119"/>
        <v xml:space="preserve">  * La variable Migrantes - Mujeres No puede ser mayor al Total.</v>
      </c>
      <c r="BZ199" s="2465" t="str">
        <f t="shared" si="108"/>
        <v xml:space="preserve">  * La variable Trans (Femenino) No puede ser mayor al Total Hombres.</v>
      </c>
      <c r="CA199" s="2465" t="str">
        <f t="shared" si="120"/>
        <v xml:space="preserve">  * La variable Trans (Masculino) No puede ser mayor al Total Mujeres.</v>
      </c>
      <c r="CB199" s="17"/>
      <c r="CC199" s="1724">
        <f t="shared" si="95"/>
        <v>1</v>
      </c>
      <c r="CD199" s="1724">
        <f t="shared" si="96"/>
        <v>1</v>
      </c>
      <c r="CE199" s="1724">
        <f t="shared" si="97"/>
        <v>1</v>
      </c>
      <c r="CF199" s="1724">
        <f t="shared" si="98"/>
        <v>1</v>
      </c>
      <c r="CG199" s="1724">
        <f t="shared" si="99"/>
        <v>1</v>
      </c>
      <c r="CH199" s="1724">
        <f t="shared" si="100"/>
        <v>1</v>
      </c>
      <c r="CI199" s="1724">
        <f t="shared" si="101"/>
        <v>1</v>
      </c>
      <c r="CJ199" s="1724">
        <f t="shared" si="102"/>
        <v>1</v>
      </c>
      <c r="CK199" s="1724">
        <f t="shared" si="103"/>
        <v>1</v>
      </c>
      <c r="CL199" s="1724">
        <f t="shared" si="104"/>
        <v>1</v>
      </c>
    </row>
    <row r="200" spans="1:90" ht="15" customHeight="1" x14ac:dyDescent="0.3">
      <c r="A200" s="6248" t="s">
        <v>4403</v>
      </c>
      <c r="B200" s="6899"/>
      <c r="C200" s="2283" t="s">
        <v>2005</v>
      </c>
      <c r="D200" s="2277" t="s">
        <v>5292</v>
      </c>
      <c r="E200" s="2278" t="s">
        <v>5293</v>
      </c>
      <c r="F200" s="1" t="s">
        <v>5294</v>
      </c>
      <c r="G200" s="1095" t="s">
        <v>5295</v>
      </c>
      <c r="H200" s="8" t="s">
        <v>5296</v>
      </c>
      <c r="I200" s="1095" t="s">
        <v>5297</v>
      </c>
      <c r="J200" s="8" t="s">
        <v>5298</v>
      </c>
      <c r="K200" s="1095" t="s">
        <v>5299</v>
      </c>
      <c r="L200" s="8" t="s">
        <v>5300</v>
      </c>
      <c r="M200" s="1095" t="s">
        <v>5301</v>
      </c>
      <c r="N200" s="8" t="s">
        <v>5302</v>
      </c>
      <c r="O200" s="1095" t="s">
        <v>5303</v>
      </c>
      <c r="P200" s="8" t="s">
        <v>5304</v>
      </c>
      <c r="Q200" s="1095" t="s">
        <v>5305</v>
      </c>
      <c r="R200" s="8" t="s">
        <v>5306</v>
      </c>
      <c r="S200" s="1095" t="s">
        <v>5307</v>
      </c>
      <c r="T200" s="8" t="s">
        <v>5308</v>
      </c>
      <c r="U200" s="1095" t="s">
        <v>5309</v>
      </c>
      <c r="V200" s="8" t="s">
        <v>5310</v>
      </c>
      <c r="W200" s="1095" t="s">
        <v>5311</v>
      </c>
      <c r="X200" s="8" t="s">
        <v>5312</v>
      </c>
      <c r="Y200" s="1095" t="s">
        <v>5313</v>
      </c>
      <c r="Z200" s="8" t="s">
        <v>5314</v>
      </c>
      <c r="AA200" s="1095" t="s">
        <v>5315</v>
      </c>
      <c r="AB200" s="8" t="s">
        <v>5316</v>
      </c>
      <c r="AC200" s="1095" t="s">
        <v>5317</v>
      </c>
      <c r="AD200" s="8" t="s">
        <v>5318</v>
      </c>
      <c r="AE200" s="1095" t="s">
        <v>5319</v>
      </c>
      <c r="AF200" s="8" t="s">
        <v>5320</v>
      </c>
      <c r="AG200" s="1095" t="s">
        <v>5321</v>
      </c>
      <c r="AH200" s="8" t="s">
        <v>5322</v>
      </c>
      <c r="AI200" s="1095" t="s">
        <v>5323</v>
      </c>
      <c r="AJ200" s="8" t="s">
        <v>5324</v>
      </c>
      <c r="AK200" s="1095" t="s">
        <v>5325</v>
      </c>
      <c r="AL200" s="8" t="s">
        <v>5326</v>
      </c>
      <c r="AM200" s="1095" t="s">
        <v>5327</v>
      </c>
      <c r="AN200" s="1697" t="s">
        <v>5328</v>
      </c>
      <c r="AO200" s="1424" t="s">
        <v>5329</v>
      </c>
      <c r="AP200" s="1092" t="s">
        <v>5330</v>
      </c>
      <c r="AQ200" s="1095" t="s">
        <v>5331</v>
      </c>
      <c r="AR200" s="11" t="s">
        <v>5332</v>
      </c>
      <c r="AS200" s="11" t="s">
        <v>5333</v>
      </c>
      <c r="AT200" s="11" t="s">
        <v>5334</v>
      </c>
      <c r="AU200" s="2236" t="s">
        <v>5335</v>
      </c>
      <c r="AV200" s="25" t="s">
        <v>5336</v>
      </c>
      <c r="AW200" s="2236" t="s">
        <v>5337</v>
      </c>
      <c r="AX200" s="25" t="s">
        <v>5338</v>
      </c>
      <c r="AY200" s="17" t="e">
        <f>BR200&amp;BS200&amp;BT200&amp;BU200&amp;BV200&amp;BW200&amp;BX200&amp;BY200&amp;BZ200&amp;CA200</f>
        <v>#VALUE!</v>
      </c>
      <c r="BR200" s="2465" t="str">
        <f t="shared" si="105"/>
        <v xml:space="preserve">  * La  variable Gestantes No puede ser mayor al Total Mujeres.</v>
      </c>
      <c r="BS200" s="2465" t="str">
        <f t="shared" si="106"/>
        <v xml:space="preserve">  * La variable Madre de hijo menor de 5 años No puede ser mayor al Total Mujeres.</v>
      </c>
      <c r="BT200" s="2465" t="str">
        <f t="shared" si="114"/>
        <v xml:space="preserve">  * La variable Pueblos originarios - Hombres No puede ser mayor al Total.</v>
      </c>
      <c r="BU200" s="2465" t="str">
        <f t="shared" si="115"/>
        <v xml:space="preserve">  * La variable Pueblos originarios - Mujeres No puede ser mayor al Total.</v>
      </c>
      <c r="BV200" s="2465" t="str">
        <f t="shared" si="116"/>
        <v xml:space="preserve">  * La variable Niños, niñas, adolescentes y jóvenes SENAME No puede ser mayor al Total.</v>
      </c>
      <c r="BW200" s="2465" t="str">
        <f t="shared" si="117"/>
        <v xml:space="preserve">  * La variable Niños, niñas, adolescentes y jóvenes Mejor Niñez No puede ser mayor al Total.</v>
      </c>
      <c r="BX200" s="2465" t="e">
        <f t="shared" si="118"/>
        <v>#VALUE!</v>
      </c>
      <c r="BY200" s="2465" t="str">
        <f t="shared" si="119"/>
        <v xml:space="preserve">  * La variable Migrantes - Mujeres No puede ser mayor al Total.</v>
      </c>
      <c r="BZ200" s="2465" t="str">
        <f t="shared" si="108"/>
        <v xml:space="preserve">  * La variable Trans (Femenino) No puede ser mayor al Total Hombres.</v>
      </c>
      <c r="CA200" s="2465" t="str">
        <f t="shared" si="120"/>
        <v xml:space="preserve">  * La variable Trans (Masculino) No puede ser mayor al Total Mujeres.</v>
      </c>
      <c r="CB200" s="17"/>
      <c r="CC200" s="1724">
        <f t="shared" si="95"/>
        <v>1</v>
      </c>
      <c r="CD200" s="1724">
        <f t="shared" si="96"/>
        <v>1</v>
      </c>
      <c r="CE200" s="1724">
        <f t="shared" si="97"/>
        <v>1</v>
      </c>
      <c r="CF200" s="1724">
        <f t="shared" si="98"/>
        <v>1</v>
      </c>
      <c r="CG200" s="1724">
        <f t="shared" si="99"/>
        <v>1</v>
      </c>
      <c r="CH200" s="1724">
        <f t="shared" si="100"/>
        <v>1</v>
      </c>
      <c r="CI200" s="1724">
        <f t="shared" si="101"/>
        <v>1</v>
      </c>
      <c r="CJ200" s="1724">
        <f t="shared" si="102"/>
        <v>1</v>
      </c>
      <c r="CK200" s="1724">
        <f t="shared" si="103"/>
        <v>1</v>
      </c>
      <c r="CL200" s="1724">
        <f t="shared" si="104"/>
        <v>1</v>
      </c>
    </row>
    <row r="201" spans="1:90" ht="15" customHeight="1" x14ac:dyDescent="0.3">
      <c r="A201" s="6248" t="s">
        <v>4404</v>
      </c>
      <c r="B201" s="6908"/>
      <c r="C201" s="2284" t="s">
        <v>2006</v>
      </c>
      <c r="D201" s="2285" t="s">
        <v>5292</v>
      </c>
      <c r="E201" s="2279" t="s">
        <v>5293</v>
      </c>
      <c r="F201" s="1695" t="s">
        <v>5294</v>
      </c>
      <c r="G201" s="9" t="s">
        <v>5295</v>
      </c>
      <c r="H201" s="11" t="s">
        <v>5296</v>
      </c>
      <c r="I201" s="9" t="s">
        <v>5297</v>
      </c>
      <c r="J201" s="11" t="s">
        <v>5298</v>
      </c>
      <c r="K201" s="9" t="s">
        <v>5299</v>
      </c>
      <c r="L201" s="11" t="s">
        <v>5300</v>
      </c>
      <c r="M201" s="9" t="s">
        <v>5301</v>
      </c>
      <c r="N201" s="11" t="s">
        <v>5302</v>
      </c>
      <c r="O201" s="9" t="s">
        <v>5303</v>
      </c>
      <c r="P201" s="11" t="s">
        <v>5304</v>
      </c>
      <c r="Q201" s="9" t="s">
        <v>5305</v>
      </c>
      <c r="R201" s="11" t="s">
        <v>5306</v>
      </c>
      <c r="S201" s="9" t="s">
        <v>5307</v>
      </c>
      <c r="T201" s="11" t="s">
        <v>5308</v>
      </c>
      <c r="U201" s="9" t="s">
        <v>5309</v>
      </c>
      <c r="V201" s="11" t="s">
        <v>5310</v>
      </c>
      <c r="W201" s="9" t="s">
        <v>5311</v>
      </c>
      <c r="X201" s="11" t="s">
        <v>5312</v>
      </c>
      <c r="Y201" s="9" t="s">
        <v>5313</v>
      </c>
      <c r="Z201" s="11" t="s">
        <v>5314</v>
      </c>
      <c r="AA201" s="9" t="s">
        <v>5315</v>
      </c>
      <c r="AB201" s="11" t="s">
        <v>5316</v>
      </c>
      <c r="AC201" s="9" t="s">
        <v>5317</v>
      </c>
      <c r="AD201" s="11" t="s">
        <v>5318</v>
      </c>
      <c r="AE201" s="9" t="s">
        <v>5319</v>
      </c>
      <c r="AF201" s="11" t="s">
        <v>5320</v>
      </c>
      <c r="AG201" s="9" t="s">
        <v>5321</v>
      </c>
      <c r="AH201" s="11" t="s">
        <v>5322</v>
      </c>
      <c r="AI201" s="9" t="s">
        <v>5323</v>
      </c>
      <c r="AJ201" s="11" t="s">
        <v>5324</v>
      </c>
      <c r="AK201" s="9" t="s">
        <v>5325</v>
      </c>
      <c r="AL201" s="11" t="s">
        <v>5326</v>
      </c>
      <c r="AM201" s="9" t="s">
        <v>5327</v>
      </c>
      <c r="AN201" s="2236" t="s">
        <v>5328</v>
      </c>
      <c r="AO201" s="26" t="s">
        <v>5329</v>
      </c>
      <c r="AP201" s="27" t="s">
        <v>5330</v>
      </c>
      <c r="AQ201" s="9" t="s">
        <v>5331</v>
      </c>
      <c r="AR201" s="12" t="s">
        <v>5332</v>
      </c>
      <c r="AS201" s="12" t="s">
        <v>5333</v>
      </c>
      <c r="AT201" s="12" t="s">
        <v>5334</v>
      </c>
      <c r="AU201" s="2290" t="s">
        <v>5335</v>
      </c>
      <c r="AV201" s="6" t="s">
        <v>5336</v>
      </c>
      <c r="AW201" s="2290" t="s">
        <v>5337</v>
      </c>
      <c r="AX201" s="6" t="s">
        <v>5338</v>
      </c>
      <c r="AY201" s="17" t="e">
        <f t="shared" si="88"/>
        <v>#VALUE!</v>
      </c>
      <c r="BR201" s="2465" t="str">
        <f t="shared" si="105"/>
        <v xml:space="preserve">  * La  variable Gestantes No puede ser mayor al Total Mujeres.</v>
      </c>
      <c r="BS201" s="2465" t="str">
        <f t="shared" si="106"/>
        <v xml:space="preserve">  * La variable Madre de hijo menor de 5 años No puede ser mayor al Total Mujeres.</v>
      </c>
      <c r="BT201" s="2465" t="str">
        <f t="shared" si="114"/>
        <v xml:space="preserve">  * La variable Pueblos originarios - Hombres No puede ser mayor al Total.</v>
      </c>
      <c r="BU201" s="2465" t="str">
        <f t="shared" si="115"/>
        <v xml:space="preserve">  * La variable Pueblos originarios - Mujeres No puede ser mayor al Total.</v>
      </c>
      <c r="BV201" s="2465" t="str">
        <f t="shared" si="116"/>
        <v xml:space="preserve">  * La variable Niños, niñas, adolescentes y jóvenes SENAME No puede ser mayor al Total.</v>
      </c>
      <c r="BW201" s="2465" t="str">
        <f t="shared" si="117"/>
        <v xml:space="preserve">  * La variable Niños, niñas, adolescentes y jóvenes Mejor Niñez No puede ser mayor al Total.</v>
      </c>
      <c r="BX201" s="2465" t="e">
        <f t="shared" si="118"/>
        <v>#VALUE!</v>
      </c>
      <c r="BY201" s="2465" t="str">
        <f t="shared" si="119"/>
        <v xml:space="preserve">  * La variable Migrantes - Mujeres No puede ser mayor al Total.</v>
      </c>
      <c r="BZ201" s="2465" t="str">
        <f t="shared" si="108"/>
        <v xml:space="preserve">  * La variable Trans (Femenino) No puede ser mayor al Total Hombres.</v>
      </c>
      <c r="CA201" s="2465" t="str">
        <f t="shared" si="120"/>
        <v xml:space="preserve">  * La variable Trans (Masculino) No puede ser mayor al Total Mujeres.</v>
      </c>
      <c r="CB201" s="17"/>
      <c r="CC201" s="1724">
        <f t="shared" si="95"/>
        <v>1</v>
      </c>
      <c r="CD201" s="1724">
        <f t="shared" si="96"/>
        <v>1</v>
      </c>
      <c r="CE201" s="1724">
        <f t="shared" si="97"/>
        <v>1</v>
      </c>
      <c r="CF201" s="1724">
        <f t="shared" si="98"/>
        <v>1</v>
      </c>
      <c r="CG201" s="1724">
        <f t="shared" si="99"/>
        <v>1</v>
      </c>
      <c r="CH201" s="1724">
        <f t="shared" si="100"/>
        <v>1</v>
      </c>
      <c r="CI201" s="1724">
        <f t="shared" si="101"/>
        <v>1</v>
      </c>
      <c r="CJ201" s="1724">
        <f t="shared" si="102"/>
        <v>1</v>
      </c>
      <c r="CK201" s="1724">
        <f t="shared" si="103"/>
        <v>1</v>
      </c>
      <c r="CL201" s="1724">
        <f t="shared" si="104"/>
        <v>1</v>
      </c>
    </row>
    <row r="202" spans="1:90" ht="15" customHeight="1" x14ac:dyDescent="0.3">
      <c r="A202" s="6248" t="s">
        <v>4405</v>
      </c>
      <c r="B202" s="6917" t="s">
        <v>2007</v>
      </c>
      <c r="C202" s="2286" t="s">
        <v>2008</v>
      </c>
      <c r="D202" s="2250" t="s">
        <v>5292</v>
      </c>
      <c r="E202" s="2251" t="s">
        <v>5293</v>
      </c>
      <c r="F202" s="2249" t="s">
        <v>5294</v>
      </c>
      <c r="G202" s="2120" t="s">
        <v>5295</v>
      </c>
      <c r="H202" s="2229" t="s">
        <v>5296</v>
      </c>
      <c r="I202" s="2120" t="s">
        <v>5297</v>
      </c>
      <c r="J202" s="2229" t="s">
        <v>5298</v>
      </c>
      <c r="K202" s="2120" t="s">
        <v>5299</v>
      </c>
      <c r="L202" s="2229" t="s">
        <v>5300</v>
      </c>
      <c r="M202" s="2120" t="s">
        <v>5301</v>
      </c>
      <c r="N202" s="2229" t="s">
        <v>5302</v>
      </c>
      <c r="O202" s="2120" t="s">
        <v>5303</v>
      </c>
      <c r="P202" s="2229" t="s">
        <v>5304</v>
      </c>
      <c r="Q202" s="2120" t="s">
        <v>5305</v>
      </c>
      <c r="R202" s="2229" t="s">
        <v>5306</v>
      </c>
      <c r="S202" s="2120" t="s">
        <v>5307</v>
      </c>
      <c r="T202" s="2229" t="s">
        <v>5308</v>
      </c>
      <c r="U202" s="2120" t="s">
        <v>5309</v>
      </c>
      <c r="V202" s="2229" t="s">
        <v>5310</v>
      </c>
      <c r="W202" s="2120" t="s">
        <v>5311</v>
      </c>
      <c r="X202" s="2229" t="s">
        <v>5312</v>
      </c>
      <c r="Y202" s="2120" t="s">
        <v>5313</v>
      </c>
      <c r="Z202" s="2229" t="s">
        <v>5314</v>
      </c>
      <c r="AA202" s="2120" t="s">
        <v>5315</v>
      </c>
      <c r="AB202" s="2229" t="s">
        <v>5316</v>
      </c>
      <c r="AC202" s="2120" t="s">
        <v>5317</v>
      </c>
      <c r="AD202" s="2229" t="s">
        <v>5318</v>
      </c>
      <c r="AE202" s="2120" t="s">
        <v>5319</v>
      </c>
      <c r="AF202" s="2229" t="s">
        <v>5320</v>
      </c>
      <c r="AG202" s="2120" t="s">
        <v>5321</v>
      </c>
      <c r="AH202" s="2229" t="s">
        <v>5322</v>
      </c>
      <c r="AI202" s="2120" t="s">
        <v>5323</v>
      </c>
      <c r="AJ202" s="2229" t="s">
        <v>5324</v>
      </c>
      <c r="AK202" s="2120" t="s">
        <v>5325</v>
      </c>
      <c r="AL202" s="2229" t="s">
        <v>5326</v>
      </c>
      <c r="AM202" s="2120" t="s">
        <v>5327</v>
      </c>
      <c r="AN202" s="2230" t="s">
        <v>5328</v>
      </c>
      <c r="AO202" s="2252" t="s">
        <v>5329</v>
      </c>
      <c r="AP202" s="2166" t="s">
        <v>5330</v>
      </c>
      <c r="AQ202" s="2120" t="s">
        <v>5331</v>
      </c>
      <c r="AR202" s="2287" t="s">
        <v>5332</v>
      </c>
      <c r="AS202" s="2287" t="s">
        <v>5333</v>
      </c>
      <c r="AT202" s="2287" t="s">
        <v>5334</v>
      </c>
      <c r="AU202" s="2699" t="s">
        <v>5335</v>
      </c>
      <c r="AV202" s="2702" t="s">
        <v>5336</v>
      </c>
      <c r="AW202" s="2699" t="s">
        <v>5337</v>
      </c>
      <c r="AX202" s="2702" t="s">
        <v>5338</v>
      </c>
      <c r="AY202" s="17" t="e">
        <f t="shared" si="88"/>
        <v>#VALUE!</v>
      </c>
      <c r="BR202" s="2465" t="str">
        <f t="shared" si="105"/>
        <v xml:space="preserve">  * La  variable Gestantes No puede ser mayor al Total Mujeres.</v>
      </c>
      <c r="BS202" s="2465" t="str">
        <f t="shared" si="106"/>
        <v xml:space="preserve">  * La variable Madre de hijo menor de 5 años No puede ser mayor al Total Mujeres.</v>
      </c>
      <c r="BT202" s="2465" t="str">
        <f t="shared" si="114"/>
        <v xml:space="preserve">  * La variable Pueblos originarios - Hombres No puede ser mayor al Total.</v>
      </c>
      <c r="BU202" s="2465" t="str">
        <f t="shared" si="115"/>
        <v xml:space="preserve">  * La variable Pueblos originarios - Mujeres No puede ser mayor al Total.</v>
      </c>
      <c r="BV202" s="2465" t="str">
        <f t="shared" si="116"/>
        <v xml:space="preserve">  * La variable Niños, niñas, adolescentes y jóvenes SENAME No puede ser mayor al Total.</v>
      </c>
      <c r="BW202" s="2465" t="str">
        <f t="shared" si="117"/>
        <v xml:space="preserve">  * La variable Niños, niñas, adolescentes y jóvenes Mejor Niñez No puede ser mayor al Total.</v>
      </c>
      <c r="BX202" s="2465" t="e">
        <f t="shared" si="118"/>
        <v>#VALUE!</v>
      </c>
      <c r="BY202" s="2465" t="str">
        <f t="shared" si="119"/>
        <v xml:space="preserve">  * La variable Migrantes - Mujeres No puede ser mayor al Total.</v>
      </c>
      <c r="BZ202" s="2465" t="str">
        <f t="shared" si="108"/>
        <v xml:space="preserve">  * La variable Trans (Femenino) No puede ser mayor al Total Hombres.</v>
      </c>
      <c r="CA202" s="2465" t="str">
        <f t="shared" si="120"/>
        <v xml:space="preserve">  * La variable Trans (Masculino) No puede ser mayor al Total Mujeres.</v>
      </c>
      <c r="CB202" s="17"/>
      <c r="CC202" s="1724">
        <f t="shared" si="95"/>
        <v>1</v>
      </c>
      <c r="CD202" s="1724">
        <f t="shared" si="96"/>
        <v>1</v>
      </c>
      <c r="CE202" s="1724">
        <f t="shared" si="97"/>
        <v>1</v>
      </c>
      <c r="CF202" s="1724">
        <f t="shared" si="98"/>
        <v>1</v>
      </c>
      <c r="CG202" s="1724">
        <f t="shared" si="99"/>
        <v>1</v>
      </c>
      <c r="CH202" s="1724">
        <f t="shared" si="100"/>
        <v>1</v>
      </c>
      <c r="CI202" s="1724">
        <f t="shared" si="101"/>
        <v>1</v>
      </c>
      <c r="CJ202" s="1724">
        <f t="shared" si="102"/>
        <v>1</v>
      </c>
      <c r="CK202" s="1724">
        <f t="shared" si="103"/>
        <v>1</v>
      </c>
      <c r="CL202" s="1724">
        <f t="shared" si="104"/>
        <v>1</v>
      </c>
    </row>
    <row r="203" spans="1:90" ht="15" customHeight="1" x14ac:dyDescent="0.3">
      <c r="A203" s="6248" t="s">
        <v>4406</v>
      </c>
      <c r="B203" s="6899"/>
      <c r="C203" s="1" t="s">
        <v>2009</v>
      </c>
      <c r="D203" s="2277" t="s">
        <v>5292</v>
      </c>
      <c r="E203" s="2278" t="s">
        <v>5293</v>
      </c>
      <c r="F203" s="1" t="s">
        <v>5294</v>
      </c>
      <c r="G203" s="1095" t="s">
        <v>5295</v>
      </c>
      <c r="H203" s="8" t="s">
        <v>5296</v>
      </c>
      <c r="I203" s="1095" t="s">
        <v>5297</v>
      </c>
      <c r="J203" s="8" t="s">
        <v>5298</v>
      </c>
      <c r="K203" s="1095" t="s">
        <v>5299</v>
      </c>
      <c r="L203" s="8" t="s">
        <v>5300</v>
      </c>
      <c r="M203" s="1095" t="s">
        <v>5301</v>
      </c>
      <c r="N203" s="8" t="s">
        <v>5302</v>
      </c>
      <c r="O203" s="1095" t="s">
        <v>5303</v>
      </c>
      <c r="P203" s="8" t="s">
        <v>5304</v>
      </c>
      <c r="Q203" s="1095" t="s">
        <v>5305</v>
      </c>
      <c r="R203" s="8" t="s">
        <v>5306</v>
      </c>
      <c r="S203" s="1095" t="s">
        <v>5307</v>
      </c>
      <c r="T203" s="8" t="s">
        <v>5308</v>
      </c>
      <c r="U203" s="1095" t="s">
        <v>5309</v>
      </c>
      <c r="V203" s="8" t="s">
        <v>5310</v>
      </c>
      <c r="W203" s="1095" t="s">
        <v>5311</v>
      </c>
      <c r="X203" s="8" t="s">
        <v>5312</v>
      </c>
      <c r="Y203" s="1095" t="s">
        <v>5313</v>
      </c>
      <c r="Z203" s="8" t="s">
        <v>5314</v>
      </c>
      <c r="AA203" s="1095" t="s">
        <v>5315</v>
      </c>
      <c r="AB203" s="8" t="s">
        <v>5316</v>
      </c>
      <c r="AC203" s="1095" t="s">
        <v>5317</v>
      </c>
      <c r="AD203" s="8" t="s">
        <v>5318</v>
      </c>
      <c r="AE203" s="1095" t="s">
        <v>5319</v>
      </c>
      <c r="AF203" s="8" t="s">
        <v>5320</v>
      </c>
      <c r="AG203" s="1095" t="s">
        <v>5321</v>
      </c>
      <c r="AH203" s="8" t="s">
        <v>5322</v>
      </c>
      <c r="AI203" s="1095" t="s">
        <v>5323</v>
      </c>
      <c r="AJ203" s="8" t="s">
        <v>5324</v>
      </c>
      <c r="AK203" s="1095" t="s">
        <v>5325</v>
      </c>
      <c r="AL203" s="8" t="s">
        <v>5326</v>
      </c>
      <c r="AM203" s="1095" t="s">
        <v>5327</v>
      </c>
      <c r="AN203" s="1697" t="s">
        <v>5328</v>
      </c>
      <c r="AO203" s="1424" t="s">
        <v>5329</v>
      </c>
      <c r="AP203" s="1092" t="s">
        <v>5330</v>
      </c>
      <c r="AQ203" s="1095" t="s">
        <v>5331</v>
      </c>
      <c r="AR203" s="11" t="s">
        <v>5332</v>
      </c>
      <c r="AS203" s="11" t="s">
        <v>5333</v>
      </c>
      <c r="AT203" s="11" t="s">
        <v>5334</v>
      </c>
      <c r="AU203" s="2236" t="s">
        <v>5335</v>
      </c>
      <c r="AV203" s="25" t="s">
        <v>5336</v>
      </c>
      <c r="AW203" s="2236" t="s">
        <v>5337</v>
      </c>
      <c r="AX203" s="25" t="s">
        <v>5338</v>
      </c>
      <c r="AY203" s="17" t="e">
        <f t="shared" si="88"/>
        <v>#VALUE!</v>
      </c>
      <c r="BR203" s="2465" t="str">
        <f t="shared" si="105"/>
        <v xml:space="preserve">  * La  variable Gestantes No puede ser mayor al Total Mujeres.</v>
      </c>
      <c r="BS203" s="2465" t="str">
        <f t="shared" si="106"/>
        <v xml:space="preserve">  * La variable Madre de hijo menor de 5 años No puede ser mayor al Total Mujeres.</v>
      </c>
      <c r="BT203" s="2465" t="str">
        <f t="shared" si="114"/>
        <v xml:space="preserve">  * La variable Pueblos originarios - Hombres No puede ser mayor al Total.</v>
      </c>
      <c r="BU203" s="2465" t="str">
        <f t="shared" si="115"/>
        <v xml:space="preserve">  * La variable Pueblos originarios - Mujeres No puede ser mayor al Total.</v>
      </c>
      <c r="BV203" s="2465" t="str">
        <f t="shared" si="116"/>
        <v xml:space="preserve">  * La variable Niños, niñas, adolescentes y jóvenes SENAME No puede ser mayor al Total.</v>
      </c>
      <c r="BW203" s="2465" t="str">
        <f t="shared" si="117"/>
        <v xml:space="preserve">  * La variable Niños, niñas, adolescentes y jóvenes Mejor Niñez No puede ser mayor al Total.</v>
      </c>
      <c r="BX203" s="2465" t="e">
        <f t="shared" si="118"/>
        <v>#VALUE!</v>
      </c>
      <c r="BY203" s="2465" t="str">
        <f t="shared" si="119"/>
        <v xml:space="preserve">  * La variable Migrantes - Mujeres No puede ser mayor al Total.</v>
      </c>
      <c r="BZ203" s="2465" t="str">
        <f t="shared" si="108"/>
        <v xml:space="preserve">  * La variable Trans (Femenino) No puede ser mayor al Total Hombres.</v>
      </c>
      <c r="CA203" s="2465" t="str">
        <f t="shared" si="120"/>
        <v xml:space="preserve">  * La variable Trans (Masculino) No puede ser mayor al Total Mujeres.</v>
      </c>
      <c r="CB203" s="17"/>
      <c r="CC203" s="1724">
        <f t="shared" si="95"/>
        <v>1</v>
      </c>
      <c r="CD203" s="1724">
        <f t="shared" si="96"/>
        <v>1</v>
      </c>
      <c r="CE203" s="1724">
        <f t="shared" si="97"/>
        <v>1</v>
      </c>
      <c r="CF203" s="1724">
        <f t="shared" si="98"/>
        <v>1</v>
      </c>
      <c r="CG203" s="1724">
        <f t="shared" si="99"/>
        <v>1</v>
      </c>
      <c r="CH203" s="1724">
        <f t="shared" si="100"/>
        <v>1</v>
      </c>
      <c r="CI203" s="1724">
        <f t="shared" si="101"/>
        <v>1</v>
      </c>
      <c r="CJ203" s="1724">
        <f t="shared" si="102"/>
        <v>1</v>
      </c>
      <c r="CK203" s="1724">
        <f t="shared" si="103"/>
        <v>1</v>
      </c>
      <c r="CL203" s="1724">
        <f t="shared" si="104"/>
        <v>1</v>
      </c>
    </row>
    <row r="204" spans="1:90" ht="15" customHeight="1" x14ac:dyDescent="0.3">
      <c r="A204" s="6248" t="s">
        <v>4407</v>
      </c>
      <c r="B204" s="6899"/>
      <c r="C204" s="1695" t="s">
        <v>2010</v>
      </c>
      <c r="D204" s="2285" t="s">
        <v>5292</v>
      </c>
      <c r="E204" s="2279" t="s">
        <v>5293</v>
      </c>
      <c r="F204" s="1695" t="s">
        <v>5294</v>
      </c>
      <c r="G204" s="9" t="s">
        <v>5295</v>
      </c>
      <c r="H204" s="11" t="s">
        <v>5296</v>
      </c>
      <c r="I204" s="9" t="s">
        <v>5297</v>
      </c>
      <c r="J204" s="11" t="s">
        <v>5298</v>
      </c>
      <c r="K204" s="9" t="s">
        <v>5299</v>
      </c>
      <c r="L204" s="11" t="s">
        <v>5300</v>
      </c>
      <c r="M204" s="9" t="s">
        <v>5301</v>
      </c>
      <c r="N204" s="11" t="s">
        <v>5302</v>
      </c>
      <c r="O204" s="9" t="s">
        <v>5303</v>
      </c>
      <c r="P204" s="11" t="s">
        <v>5304</v>
      </c>
      <c r="Q204" s="9" t="s">
        <v>5305</v>
      </c>
      <c r="R204" s="11" t="s">
        <v>5306</v>
      </c>
      <c r="S204" s="9" t="s">
        <v>5307</v>
      </c>
      <c r="T204" s="11" t="s">
        <v>5308</v>
      </c>
      <c r="U204" s="9" t="s">
        <v>5309</v>
      </c>
      <c r="V204" s="11" t="s">
        <v>5310</v>
      </c>
      <c r="W204" s="9" t="s">
        <v>5311</v>
      </c>
      <c r="X204" s="11" t="s">
        <v>5312</v>
      </c>
      <c r="Y204" s="9" t="s">
        <v>5313</v>
      </c>
      <c r="Z204" s="11" t="s">
        <v>5314</v>
      </c>
      <c r="AA204" s="9" t="s">
        <v>5315</v>
      </c>
      <c r="AB204" s="11" t="s">
        <v>5316</v>
      </c>
      <c r="AC204" s="9" t="s">
        <v>5317</v>
      </c>
      <c r="AD204" s="11" t="s">
        <v>5318</v>
      </c>
      <c r="AE204" s="9" t="s">
        <v>5319</v>
      </c>
      <c r="AF204" s="11" t="s">
        <v>5320</v>
      </c>
      <c r="AG204" s="9" t="s">
        <v>5321</v>
      </c>
      <c r="AH204" s="11" t="s">
        <v>5322</v>
      </c>
      <c r="AI204" s="9" t="s">
        <v>5323</v>
      </c>
      <c r="AJ204" s="11" t="s">
        <v>5324</v>
      </c>
      <c r="AK204" s="9" t="s">
        <v>5325</v>
      </c>
      <c r="AL204" s="11" t="s">
        <v>5326</v>
      </c>
      <c r="AM204" s="9" t="s">
        <v>5327</v>
      </c>
      <c r="AN204" s="2236" t="s">
        <v>5328</v>
      </c>
      <c r="AO204" s="26" t="s">
        <v>5329</v>
      </c>
      <c r="AP204" s="27" t="s">
        <v>5330</v>
      </c>
      <c r="AQ204" s="9" t="s">
        <v>5331</v>
      </c>
      <c r="AR204" s="11" t="s">
        <v>5332</v>
      </c>
      <c r="AS204" s="11" t="s">
        <v>5333</v>
      </c>
      <c r="AT204" s="11" t="s">
        <v>5334</v>
      </c>
      <c r="AU204" s="2236" t="s">
        <v>5335</v>
      </c>
      <c r="AV204" s="25" t="s">
        <v>5336</v>
      </c>
      <c r="AW204" s="2236" t="s">
        <v>5337</v>
      </c>
      <c r="AX204" s="25" t="s">
        <v>5338</v>
      </c>
      <c r="AY204" s="17" t="e">
        <f t="shared" si="88"/>
        <v>#VALUE!</v>
      </c>
      <c r="BR204" s="2465" t="str">
        <f t="shared" si="105"/>
        <v xml:space="preserve">  * La  variable Gestantes No puede ser mayor al Total Mujeres.</v>
      </c>
      <c r="BS204" s="2465" t="str">
        <f t="shared" si="106"/>
        <v xml:space="preserve">  * La variable Madre de hijo menor de 5 años No puede ser mayor al Total Mujeres.</v>
      </c>
      <c r="BT204" s="2465" t="str">
        <f t="shared" si="114"/>
        <v xml:space="preserve">  * La variable Pueblos originarios - Hombres No puede ser mayor al Total.</v>
      </c>
      <c r="BU204" s="2465" t="str">
        <f t="shared" si="115"/>
        <v xml:space="preserve">  * La variable Pueblos originarios - Mujeres No puede ser mayor al Total.</v>
      </c>
      <c r="BV204" s="2465" t="str">
        <f t="shared" si="116"/>
        <v xml:space="preserve">  * La variable Niños, niñas, adolescentes y jóvenes SENAME No puede ser mayor al Total.</v>
      </c>
      <c r="BW204" s="2465" t="str">
        <f t="shared" si="117"/>
        <v xml:space="preserve">  * La variable Niños, niñas, adolescentes y jóvenes Mejor Niñez No puede ser mayor al Total.</v>
      </c>
      <c r="BX204" s="2465" t="e">
        <f t="shared" si="118"/>
        <v>#VALUE!</v>
      </c>
      <c r="BY204" s="2465" t="str">
        <f t="shared" si="119"/>
        <v xml:space="preserve">  * La variable Migrantes - Mujeres No puede ser mayor al Total.</v>
      </c>
      <c r="BZ204" s="2465" t="str">
        <f t="shared" si="108"/>
        <v xml:space="preserve">  * La variable Trans (Femenino) No puede ser mayor al Total Hombres.</v>
      </c>
      <c r="CA204" s="2465" t="str">
        <f t="shared" si="120"/>
        <v xml:space="preserve">  * La variable Trans (Masculino) No puede ser mayor al Total Mujeres.</v>
      </c>
      <c r="CB204" s="17"/>
      <c r="CC204" s="1724">
        <f t="shared" si="95"/>
        <v>1</v>
      </c>
      <c r="CD204" s="1724">
        <f t="shared" si="96"/>
        <v>1</v>
      </c>
      <c r="CE204" s="1724">
        <f t="shared" si="97"/>
        <v>1</v>
      </c>
      <c r="CF204" s="1724">
        <f t="shared" si="98"/>
        <v>1</v>
      </c>
      <c r="CG204" s="1724">
        <f t="shared" si="99"/>
        <v>1</v>
      </c>
      <c r="CH204" s="1724">
        <f t="shared" si="100"/>
        <v>1</v>
      </c>
      <c r="CI204" s="1724">
        <f t="shared" si="101"/>
        <v>1</v>
      </c>
      <c r="CJ204" s="1724">
        <f t="shared" si="102"/>
        <v>1</v>
      </c>
      <c r="CK204" s="1724">
        <f t="shared" si="103"/>
        <v>1</v>
      </c>
      <c r="CL204" s="1724">
        <f t="shared" si="104"/>
        <v>1</v>
      </c>
    </row>
    <row r="205" spans="1:90" ht="15" customHeight="1" x14ac:dyDescent="0.3">
      <c r="A205" s="6248" t="s">
        <v>4408</v>
      </c>
      <c r="B205" s="6899"/>
      <c r="C205" s="1695" t="s">
        <v>2011</v>
      </c>
      <c r="D205" s="2285" t="s">
        <v>5292</v>
      </c>
      <c r="E205" s="2279" t="s">
        <v>5293</v>
      </c>
      <c r="F205" s="1695" t="s">
        <v>5294</v>
      </c>
      <c r="G205" s="9" t="s">
        <v>5295</v>
      </c>
      <c r="H205" s="11" t="s">
        <v>5296</v>
      </c>
      <c r="I205" s="9" t="s">
        <v>5297</v>
      </c>
      <c r="J205" s="11" t="s">
        <v>5298</v>
      </c>
      <c r="K205" s="9" t="s">
        <v>5299</v>
      </c>
      <c r="L205" s="11" t="s">
        <v>5300</v>
      </c>
      <c r="M205" s="9" t="s">
        <v>5301</v>
      </c>
      <c r="N205" s="11" t="s">
        <v>5302</v>
      </c>
      <c r="O205" s="9" t="s">
        <v>5303</v>
      </c>
      <c r="P205" s="11" t="s">
        <v>5304</v>
      </c>
      <c r="Q205" s="9" t="s">
        <v>5305</v>
      </c>
      <c r="R205" s="11" t="s">
        <v>5306</v>
      </c>
      <c r="S205" s="9" t="s">
        <v>5307</v>
      </c>
      <c r="T205" s="11" t="s">
        <v>5308</v>
      </c>
      <c r="U205" s="9" t="s">
        <v>5309</v>
      </c>
      <c r="V205" s="11" t="s">
        <v>5310</v>
      </c>
      <c r="W205" s="9" t="s">
        <v>5311</v>
      </c>
      <c r="X205" s="11" t="s">
        <v>5312</v>
      </c>
      <c r="Y205" s="9" t="s">
        <v>5313</v>
      </c>
      <c r="Z205" s="11" t="s">
        <v>5314</v>
      </c>
      <c r="AA205" s="9" t="s">
        <v>5315</v>
      </c>
      <c r="AB205" s="11" t="s">
        <v>5316</v>
      </c>
      <c r="AC205" s="9" t="s">
        <v>5317</v>
      </c>
      <c r="AD205" s="11" t="s">
        <v>5318</v>
      </c>
      <c r="AE205" s="9" t="s">
        <v>5319</v>
      </c>
      <c r="AF205" s="11" t="s">
        <v>5320</v>
      </c>
      <c r="AG205" s="9" t="s">
        <v>5321</v>
      </c>
      <c r="AH205" s="11" t="s">
        <v>5322</v>
      </c>
      <c r="AI205" s="9" t="s">
        <v>5323</v>
      </c>
      <c r="AJ205" s="11" t="s">
        <v>5324</v>
      </c>
      <c r="AK205" s="9" t="s">
        <v>5325</v>
      </c>
      <c r="AL205" s="11" t="s">
        <v>5326</v>
      </c>
      <c r="AM205" s="9" t="s">
        <v>5327</v>
      </c>
      <c r="AN205" s="2236" t="s">
        <v>5328</v>
      </c>
      <c r="AO205" s="26" t="s">
        <v>5329</v>
      </c>
      <c r="AP205" s="27" t="s">
        <v>5330</v>
      </c>
      <c r="AQ205" s="9" t="s">
        <v>5331</v>
      </c>
      <c r="AR205" s="11" t="s">
        <v>5332</v>
      </c>
      <c r="AS205" s="11" t="s">
        <v>5333</v>
      </c>
      <c r="AT205" s="11" t="s">
        <v>5334</v>
      </c>
      <c r="AU205" s="2236" t="s">
        <v>5335</v>
      </c>
      <c r="AV205" s="25" t="s">
        <v>5336</v>
      </c>
      <c r="AW205" s="2236" t="s">
        <v>5337</v>
      </c>
      <c r="AX205" s="25" t="s">
        <v>5338</v>
      </c>
      <c r="AY205" s="17" t="e">
        <f t="shared" si="88"/>
        <v>#VALUE!</v>
      </c>
      <c r="BR205" s="2465" t="str">
        <f t="shared" si="105"/>
        <v xml:space="preserve">  * La  variable Gestantes No puede ser mayor al Total Mujeres.</v>
      </c>
      <c r="BS205" s="2465" t="str">
        <f t="shared" si="106"/>
        <v xml:space="preserve">  * La variable Madre de hijo menor de 5 años No puede ser mayor al Total Mujeres.</v>
      </c>
      <c r="BT205" s="2465" t="str">
        <f t="shared" si="114"/>
        <v xml:space="preserve">  * La variable Pueblos originarios - Hombres No puede ser mayor al Total.</v>
      </c>
      <c r="BU205" s="2465" t="str">
        <f t="shared" si="115"/>
        <v xml:space="preserve">  * La variable Pueblos originarios - Mujeres No puede ser mayor al Total.</v>
      </c>
      <c r="BV205" s="2465" t="str">
        <f t="shared" si="116"/>
        <v xml:space="preserve">  * La variable Niños, niñas, adolescentes y jóvenes SENAME No puede ser mayor al Total.</v>
      </c>
      <c r="BW205" s="2465" t="str">
        <f t="shared" si="117"/>
        <v xml:space="preserve">  * La variable Niños, niñas, adolescentes y jóvenes Mejor Niñez No puede ser mayor al Total.</v>
      </c>
      <c r="BX205" s="2465" t="e">
        <f t="shared" si="118"/>
        <v>#VALUE!</v>
      </c>
      <c r="BY205" s="2465" t="str">
        <f t="shared" si="119"/>
        <v xml:space="preserve">  * La variable Migrantes - Mujeres No puede ser mayor al Total.</v>
      </c>
      <c r="BZ205" s="2465" t="str">
        <f t="shared" si="108"/>
        <v xml:space="preserve">  * La variable Trans (Femenino) No puede ser mayor al Total Hombres.</v>
      </c>
      <c r="CA205" s="2465" t="str">
        <f t="shared" si="120"/>
        <v xml:space="preserve">  * La variable Trans (Masculino) No puede ser mayor al Total Mujeres.</v>
      </c>
      <c r="CB205" s="17"/>
      <c r="CC205" s="1724">
        <f t="shared" si="95"/>
        <v>1</v>
      </c>
      <c r="CD205" s="1724">
        <f t="shared" si="96"/>
        <v>1</v>
      </c>
      <c r="CE205" s="1724">
        <f t="shared" si="97"/>
        <v>1</v>
      </c>
      <c r="CF205" s="1724">
        <f t="shared" si="98"/>
        <v>1</v>
      </c>
      <c r="CG205" s="1724">
        <f t="shared" si="99"/>
        <v>1</v>
      </c>
      <c r="CH205" s="1724">
        <f t="shared" si="100"/>
        <v>1</v>
      </c>
      <c r="CI205" s="1724">
        <f t="shared" si="101"/>
        <v>1</v>
      </c>
      <c r="CJ205" s="1724">
        <f t="shared" si="102"/>
        <v>1</v>
      </c>
      <c r="CK205" s="1724">
        <f t="shared" si="103"/>
        <v>1</v>
      </c>
      <c r="CL205" s="1724">
        <f t="shared" si="104"/>
        <v>1</v>
      </c>
    </row>
    <row r="206" spans="1:90" ht="15" customHeight="1" x14ac:dyDescent="0.3">
      <c r="A206" s="6248" t="s">
        <v>4409</v>
      </c>
      <c r="B206" s="6908"/>
      <c r="C206" s="2" t="s">
        <v>2012</v>
      </c>
      <c r="D206" s="2288" t="s">
        <v>5292</v>
      </c>
      <c r="E206" s="2289" t="s">
        <v>5293</v>
      </c>
      <c r="F206" s="2" t="s">
        <v>5294</v>
      </c>
      <c r="G206" s="3" t="s">
        <v>5295</v>
      </c>
      <c r="H206" s="12" t="s">
        <v>5296</v>
      </c>
      <c r="I206" s="3" t="s">
        <v>5297</v>
      </c>
      <c r="J206" s="12" t="s">
        <v>5298</v>
      </c>
      <c r="K206" s="3" t="s">
        <v>5299</v>
      </c>
      <c r="L206" s="12" t="s">
        <v>5300</v>
      </c>
      <c r="M206" s="3" t="s">
        <v>5301</v>
      </c>
      <c r="N206" s="12" t="s">
        <v>5302</v>
      </c>
      <c r="O206" s="3" t="s">
        <v>5303</v>
      </c>
      <c r="P206" s="12" t="s">
        <v>5304</v>
      </c>
      <c r="Q206" s="3" t="s">
        <v>5305</v>
      </c>
      <c r="R206" s="12" t="s">
        <v>5306</v>
      </c>
      <c r="S206" s="3" t="s">
        <v>5307</v>
      </c>
      <c r="T206" s="12" t="s">
        <v>5308</v>
      </c>
      <c r="U206" s="3" t="s">
        <v>5309</v>
      </c>
      <c r="V206" s="12" t="s">
        <v>5310</v>
      </c>
      <c r="W206" s="3" t="s">
        <v>5311</v>
      </c>
      <c r="X206" s="12" t="s">
        <v>5312</v>
      </c>
      <c r="Y206" s="3" t="s">
        <v>5313</v>
      </c>
      <c r="Z206" s="12" t="s">
        <v>5314</v>
      </c>
      <c r="AA206" s="3" t="s">
        <v>5315</v>
      </c>
      <c r="AB206" s="12" t="s">
        <v>5316</v>
      </c>
      <c r="AC206" s="3" t="s">
        <v>5317</v>
      </c>
      <c r="AD206" s="12" t="s">
        <v>5318</v>
      </c>
      <c r="AE206" s="3" t="s">
        <v>5319</v>
      </c>
      <c r="AF206" s="12" t="s">
        <v>5320</v>
      </c>
      <c r="AG206" s="3" t="s">
        <v>5321</v>
      </c>
      <c r="AH206" s="12" t="s">
        <v>5322</v>
      </c>
      <c r="AI206" s="3" t="s">
        <v>5323</v>
      </c>
      <c r="AJ206" s="12" t="s">
        <v>5324</v>
      </c>
      <c r="AK206" s="3" t="s">
        <v>5325</v>
      </c>
      <c r="AL206" s="12" t="s">
        <v>5326</v>
      </c>
      <c r="AM206" s="3" t="s">
        <v>5327</v>
      </c>
      <c r="AN206" s="2290" t="s">
        <v>5328</v>
      </c>
      <c r="AO206" s="29" t="s">
        <v>5329</v>
      </c>
      <c r="AP206" s="30" t="s">
        <v>5330</v>
      </c>
      <c r="AQ206" s="3" t="s">
        <v>5331</v>
      </c>
      <c r="AR206" s="12" t="s">
        <v>5332</v>
      </c>
      <c r="AS206" s="12" t="s">
        <v>5333</v>
      </c>
      <c r="AT206" s="12" t="s">
        <v>5334</v>
      </c>
      <c r="AU206" s="2290" t="s">
        <v>5335</v>
      </c>
      <c r="AV206" s="6" t="s">
        <v>5336</v>
      </c>
      <c r="AW206" s="2290" t="s">
        <v>5337</v>
      </c>
      <c r="AX206" s="6" t="s">
        <v>5338</v>
      </c>
      <c r="AY206" s="17" t="e">
        <f t="shared" si="88"/>
        <v>#VALUE!</v>
      </c>
      <c r="BR206" s="2465" t="str">
        <f t="shared" si="105"/>
        <v xml:space="preserve">  * La  variable Gestantes No puede ser mayor al Total Mujeres.</v>
      </c>
      <c r="BS206" s="2465" t="str">
        <f t="shared" si="106"/>
        <v xml:space="preserve">  * La variable Madre de hijo menor de 5 años No puede ser mayor al Total Mujeres.</v>
      </c>
      <c r="BT206" s="2465" t="str">
        <f t="shared" si="114"/>
        <v xml:space="preserve">  * La variable Pueblos originarios - Hombres No puede ser mayor al Total.</v>
      </c>
      <c r="BU206" s="2465" t="str">
        <f t="shared" si="115"/>
        <v xml:space="preserve">  * La variable Pueblos originarios - Mujeres No puede ser mayor al Total.</v>
      </c>
      <c r="BV206" s="2465" t="str">
        <f t="shared" si="116"/>
        <v xml:space="preserve">  * La variable Niños, niñas, adolescentes y jóvenes SENAME No puede ser mayor al Total.</v>
      </c>
      <c r="BW206" s="2465" t="str">
        <f t="shared" si="117"/>
        <v xml:space="preserve">  * La variable Niños, niñas, adolescentes y jóvenes Mejor Niñez No puede ser mayor al Total.</v>
      </c>
      <c r="BX206" s="2465" t="e">
        <f t="shared" si="118"/>
        <v>#VALUE!</v>
      </c>
      <c r="BY206" s="2465" t="str">
        <f t="shared" si="119"/>
        <v xml:space="preserve">  * La variable Migrantes - Mujeres No puede ser mayor al Total.</v>
      </c>
      <c r="BZ206" s="2465" t="str">
        <f t="shared" si="108"/>
        <v xml:space="preserve">  * La variable Trans (Femenino) No puede ser mayor al Total Hombres.</v>
      </c>
      <c r="CA206" s="2465" t="str">
        <f t="shared" si="120"/>
        <v xml:space="preserve">  * La variable Trans (Masculino) No puede ser mayor al Total Mujeres.</v>
      </c>
      <c r="CB206" s="17"/>
      <c r="CC206" s="1724">
        <f t="shared" si="95"/>
        <v>1</v>
      </c>
      <c r="CD206" s="1724">
        <f t="shared" si="96"/>
        <v>1</v>
      </c>
      <c r="CE206" s="1724">
        <f t="shared" si="97"/>
        <v>1</v>
      </c>
      <c r="CF206" s="1724">
        <f t="shared" si="98"/>
        <v>1</v>
      </c>
      <c r="CG206" s="1724">
        <f t="shared" si="99"/>
        <v>1</v>
      </c>
      <c r="CH206" s="1724">
        <f t="shared" si="100"/>
        <v>1</v>
      </c>
      <c r="CI206" s="1724">
        <f t="shared" si="101"/>
        <v>1</v>
      </c>
      <c r="CJ206" s="1724">
        <f t="shared" si="102"/>
        <v>1</v>
      </c>
      <c r="CK206" s="1724">
        <f t="shared" si="103"/>
        <v>1</v>
      </c>
      <c r="CL206" s="1724">
        <f t="shared" si="104"/>
        <v>1</v>
      </c>
    </row>
    <row r="207" spans="1:90" ht="15" customHeight="1" x14ac:dyDescent="0.3">
      <c r="A207" s="6248" t="s">
        <v>4410</v>
      </c>
      <c r="B207" s="6917" t="s">
        <v>2013</v>
      </c>
      <c r="C207" s="2249" t="s">
        <v>2014</v>
      </c>
      <c r="D207" s="2250" t="s">
        <v>5292</v>
      </c>
      <c r="E207" s="2251" t="s">
        <v>5293</v>
      </c>
      <c r="F207" s="2249" t="s">
        <v>5294</v>
      </c>
      <c r="G207" s="2120" t="s">
        <v>5295</v>
      </c>
      <c r="H207" s="2229" t="s">
        <v>5296</v>
      </c>
      <c r="I207" s="2120" t="s">
        <v>5297</v>
      </c>
      <c r="J207" s="2229" t="s">
        <v>5298</v>
      </c>
      <c r="K207" s="2120" t="s">
        <v>5299</v>
      </c>
      <c r="L207" s="2229" t="s">
        <v>5300</v>
      </c>
      <c r="M207" s="2120" t="s">
        <v>5301</v>
      </c>
      <c r="N207" s="2229" t="s">
        <v>5302</v>
      </c>
      <c r="O207" s="2120" t="s">
        <v>5303</v>
      </c>
      <c r="P207" s="2229" t="s">
        <v>5304</v>
      </c>
      <c r="Q207" s="2291" t="s">
        <v>5305</v>
      </c>
      <c r="R207" s="2292" t="s">
        <v>5306</v>
      </c>
      <c r="S207" s="2292" t="s">
        <v>5307</v>
      </c>
      <c r="T207" s="2292" t="s">
        <v>5308</v>
      </c>
      <c r="U207" s="2292" t="s">
        <v>5309</v>
      </c>
      <c r="V207" s="2292" t="s">
        <v>5310</v>
      </c>
      <c r="W207" s="2292" t="s">
        <v>5311</v>
      </c>
      <c r="X207" s="2292" t="s">
        <v>5312</v>
      </c>
      <c r="Y207" s="2292" t="s">
        <v>5313</v>
      </c>
      <c r="Z207" s="2292" t="s">
        <v>5314</v>
      </c>
      <c r="AA207" s="2292" t="s">
        <v>5315</v>
      </c>
      <c r="AB207" s="2292" t="s">
        <v>5316</v>
      </c>
      <c r="AC207" s="2292" t="s">
        <v>5317</v>
      </c>
      <c r="AD207" s="2292" t="s">
        <v>5318</v>
      </c>
      <c r="AE207" s="2292" t="s">
        <v>5319</v>
      </c>
      <c r="AF207" s="2292" t="s">
        <v>5320</v>
      </c>
      <c r="AG207" s="2292" t="s">
        <v>5321</v>
      </c>
      <c r="AH207" s="2292" t="s">
        <v>5322</v>
      </c>
      <c r="AI207" s="2292" t="s">
        <v>5323</v>
      </c>
      <c r="AJ207" s="2292" t="s">
        <v>5324</v>
      </c>
      <c r="AK207" s="2292" t="s">
        <v>5325</v>
      </c>
      <c r="AL207" s="2292" t="s">
        <v>5326</v>
      </c>
      <c r="AM207" s="2292" t="s">
        <v>5327</v>
      </c>
      <c r="AN207" s="2293" t="s">
        <v>5328</v>
      </c>
      <c r="AO207" s="2252" t="s">
        <v>5329</v>
      </c>
      <c r="AP207" s="2294" t="s">
        <v>5330</v>
      </c>
      <c r="AQ207" s="2120" t="s">
        <v>5331</v>
      </c>
      <c r="AR207" s="2287" t="s">
        <v>5332</v>
      </c>
      <c r="AS207" s="2287" t="s">
        <v>5333</v>
      </c>
      <c r="AT207" s="2287" t="s">
        <v>5334</v>
      </c>
      <c r="AU207" s="2699" t="s">
        <v>5335</v>
      </c>
      <c r="AV207" s="2702" t="s">
        <v>5336</v>
      </c>
      <c r="AW207" s="2699" t="s">
        <v>5337</v>
      </c>
      <c r="AX207" s="2702" t="s">
        <v>5338</v>
      </c>
      <c r="AY207" s="17" t="e">
        <f t="shared" si="88"/>
        <v>#VALUE!</v>
      </c>
      <c r="BR207" s="2465" t="str">
        <f t="shared" si="105"/>
        <v xml:space="preserve">  * La  variable Gestantes No puede ser mayor al Total Mujeres.</v>
      </c>
      <c r="BS207" s="170"/>
      <c r="BT207" s="2465" t="str">
        <f t="shared" ref="BT207:BT210" si="121">IF(AND(E207&gt;0,OR(AQ207="")), "* No olvide digitar la variable Pueblos originarios - Hombres. Digite Cero si no tiene.",IF((AQ207)&gt;E207,"  * La variable Pueblos originarios - Hombres No puede ser mayor al Total.",""))</f>
        <v xml:space="preserve">  * La variable Pueblos originarios - Hombres No puede ser mayor al Total.</v>
      </c>
      <c r="BU207" s="2465" t="str">
        <f t="shared" ref="BU207:BU210" si="122">IF(AND(F207&gt;0,OR(AR207="")), "* No olvide digitar la variable Pueblos originarios - Mujeres. Digite Cero si no tiene.",IF((AR207)&gt;F207,"  * La variable Pueblos originarios - Mujeres No puede ser mayor al Total.",""))</f>
        <v xml:space="preserve">  * La variable Pueblos originarios - Mujeres No puede ser mayor al Total.</v>
      </c>
      <c r="BV207" s="2465" t="str">
        <f t="shared" ref="BV207:BV210" si="123">IF(AND(D207&gt;0,AS207=""), "* No olvide digitar la variable Niños, niñas, adolescentes y jóvenes SENAME. Digite Cero si no tiene.",IF(AS207&gt;D207,"  * La variable Niños, niñas, adolescentes y jóvenes SENAME No puede ser mayor al Total.",""))</f>
        <v xml:space="preserve">  * La variable Niños, niñas, adolescentes y jóvenes SENAME No puede ser mayor al Total.</v>
      </c>
      <c r="BW207" s="2465" t="str">
        <f t="shared" ref="BW207:BW210" si="124">IF(AND(D207&gt;0,AT207=""), "* No olvide digitar la variable Niños, niñas, adolescentes y jóvenes Mejor Niñez. Digite Cero si no tiene.",IF(AT207&gt;D207,"  * La variable Niños, niñas, adolescentes y jóvenes Mejor Niñez No puede ser mayor al Total.",""))</f>
        <v xml:space="preserve">  * La variable Niños, niñas, adolescentes y jóvenes Mejor Niñez No puede ser mayor al Total.</v>
      </c>
      <c r="BX207" s="2465" t="e">
        <f t="shared" ref="BX207:BX210" si="125">IF(AND(E207&gt;0,OR(AU207="")), "* No olvide digitar la variable Migrantes - Hombres. Digite Cero si no tiene.",IF((AU207+AU207)&gt;E207,"  * La variable Migrantes - Hombres No puede ser mayor al Total.",""))</f>
        <v>#VALUE!</v>
      </c>
      <c r="BY207" s="2465" t="str">
        <f t="shared" ref="BY207:BY210" si="126">IF(AND(F207&gt;0,OR(AV207="")), "* No olvide digitar la variable Migrantes - Mujeres. Digite Cero si no tiene.",IF((AV207)&gt;F207,"  * La variable Migrantes - Mujeres No puede ser mayor al Total.",""))</f>
        <v xml:space="preserve">  * La variable Migrantes - Mujeres No puede ser mayor al Total.</v>
      </c>
      <c r="BZ207" s="2465" t="str">
        <f t="shared" si="108"/>
        <v xml:space="preserve">  * La variable Trans (Femenino) No puede ser mayor al Total Hombres.</v>
      </c>
      <c r="CA207" s="2465" t="str">
        <f t="shared" ref="CA207:CA210" si="127">IF(AND(F207&gt;0,OR(AW207="")), "* No olvide digitar la variable Trans (Masculino). Digite Cero si no tiene.",IF((AW207)&gt;F207,"  * La variable Trans (Masculino) No puede ser mayor al Total Mujeres.",""))</f>
        <v xml:space="preserve">  * La variable Trans (Masculino) No puede ser mayor al Total Mujeres.</v>
      </c>
      <c r="CB207" s="17"/>
      <c r="CC207" s="1724">
        <f t="shared" si="95"/>
        <v>1</v>
      </c>
      <c r="CD207" s="17"/>
      <c r="CE207" s="1724">
        <f t="shared" si="97"/>
        <v>1</v>
      </c>
      <c r="CF207" s="1724">
        <f t="shared" si="98"/>
        <v>1</v>
      </c>
      <c r="CG207" s="1724">
        <f t="shared" si="99"/>
        <v>1</v>
      </c>
      <c r="CH207" s="1724">
        <f t="shared" si="100"/>
        <v>1</v>
      </c>
      <c r="CI207" s="1724">
        <f t="shared" si="101"/>
        <v>1</v>
      </c>
      <c r="CJ207" s="1724">
        <f t="shared" si="102"/>
        <v>1</v>
      </c>
      <c r="CK207" s="1724">
        <f t="shared" si="103"/>
        <v>1</v>
      </c>
      <c r="CL207" s="1724">
        <f t="shared" si="104"/>
        <v>1</v>
      </c>
    </row>
    <row r="208" spans="1:90" ht="23.25" customHeight="1" x14ac:dyDescent="0.3">
      <c r="A208" s="6248" t="s">
        <v>4411</v>
      </c>
      <c r="B208" s="6899"/>
      <c r="C208" s="1" t="s">
        <v>2015</v>
      </c>
      <c r="D208" s="2277" t="s">
        <v>5292</v>
      </c>
      <c r="E208" s="2278" t="s">
        <v>5293</v>
      </c>
      <c r="F208" s="1" t="s">
        <v>5294</v>
      </c>
      <c r="G208" s="1095" t="s">
        <v>5295</v>
      </c>
      <c r="H208" s="8" t="s">
        <v>5296</v>
      </c>
      <c r="I208" s="1095" t="s">
        <v>5297</v>
      </c>
      <c r="J208" s="8" t="s">
        <v>5298</v>
      </c>
      <c r="K208" s="1095" t="s">
        <v>5299</v>
      </c>
      <c r="L208" s="8" t="s">
        <v>5300</v>
      </c>
      <c r="M208" s="1095" t="s">
        <v>5301</v>
      </c>
      <c r="N208" s="8" t="s">
        <v>5302</v>
      </c>
      <c r="O208" s="1095" t="s">
        <v>5303</v>
      </c>
      <c r="P208" s="8" t="s">
        <v>5304</v>
      </c>
      <c r="Q208" s="2295" t="s">
        <v>5305</v>
      </c>
      <c r="R208" s="2296" t="s">
        <v>5306</v>
      </c>
      <c r="S208" s="2296" t="s">
        <v>5307</v>
      </c>
      <c r="T208" s="2296" t="s">
        <v>5308</v>
      </c>
      <c r="U208" s="2296" t="s">
        <v>5309</v>
      </c>
      <c r="V208" s="2296" t="s">
        <v>5310</v>
      </c>
      <c r="W208" s="2296" t="s">
        <v>5311</v>
      </c>
      <c r="X208" s="2296" t="s">
        <v>5312</v>
      </c>
      <c r="Y208" s="2296" t="s">
        <v>5313</v>
      </c>
      <c r="Z208" s="2296" t="s">
        <v>5314</v>
      </c>
      <c r="AA208" s="2296" t="s">
        <v>5315</v>
      </c>
      <c r="AB208" s="2296" t="s">
        <v>5316</v>
      </c>
      <c r="AC208" s="2296" t="s">
        <v>5317</v>
      </c>
      <c r="AD208" s="2296" t="s">
        <v>5318</v>
      </c>
      <c r="AE208" s="2296" t="s">
        <v>5319</v>
      </c>
      <c r="AF208" s="2296" t="s">
        <v>5320</v>
      </c>
      <c r="AG208" s="2296" t="s">
        <v>5321</v>
      </c>
      <c r="AH208" s="2296" t="s">
        <v>5322</v>
      </c>
      <c r="AI208" s="2296" t="s">
        <v>5323</v>
      </c>
      <c r="AJ208" s="2296" t="s">
        <v>5324</v>
      </c>
      <c r="AK208" s="2296" t="s">
        <v>5325</v>
      </c>
      <c r="AL208" s="2296" t="s">
        <v>5326</v>
      </c>
      <c r="AM208" s="2296" t="s">
        <v>5327</v>
      </c>
      <c r="AN208" s="2297" t="s">
        <v>5328</v>
      </c>
      <c r="AO208" s="1424" t="s">
        <v>5329</v>
      </c>
      <c r="AP208" s="2298" t="s">
        <v>5330</v>
      </c>
      <c r="AQ208" s="1095" t="s">
        <v>5331</v>
      </c>
      <c r="AR208" s="11" t="s">
        <v>5332</v>
      </c>
      <c r="AS208" s="11" t="s">
        <v>5333</v>
      </c>
      <c r="AT208" s="11" t="s">
        <v>5334</v>
      </c>
      <c r="AU208" s="2236" t="s">
        <v>5335</v>
      </c>
      <c r="AV208" s="25" t="s">
        <v>5336</v>
      </c>
      <c r="AW208" s="2236" t="s">
        <v>5337</v>
      </c>
      <c r="AX208" s="25" t="s">
        <v>5338</v>
      </c>
      <c r="AY208" s="17" t="e">
        <f t="shared" si="88"/>
        <v>#VALUE!</v>
      </c>
      <c r="BR208" s="2465" t="str">
        <f t="shared" si="105"/>
        <v xml:space="preserve">  * La  variable Gestantes No puede ser mayor al Total Mujeres.</v>
      </c>
      <c r="BS208" s="170"/>
      <c r="BT208" s="2465" t="str">
        <f t="shared" si="121"/>
        <v xml:space="preserve">  * La variable Pueblos originarios - Hombres No puede ser mayor al Total.</v>
      </c>
      <c r="BU208" s="2465" t="str">
        <f t="shared" si="122"/>
        <v xml:space="preserve">  * La variable Pueblos originarios - Mujeres No puede ser mayor al Total.</v>
      </c>
      <c r="BV208" s="2465" t="str">
        <f t="shared" si="123"/>
        <v xml:space="preserve">  * La variable Niños, niñas, adolescentes y jóvenes SENAME No puede ser mayor al Total.</v>
      </c>
      <c r="BW208" s="2465" t="str">
        <f t="shared" si="124"/>
        <v xml:space="preserve">  * La variable Niños, niñas, adolescentes y jóvenes Mejor Niñez No puede ser mayor al Total.</v>
      </c>
      <c r="BX208" s="2465" t="e">
        <f t="shared" si="125"/>
        <v>#VALUE!</v>
      </c>
      <c r="BY208" s="2465" t="str">
        <f t="shared" si="126"/>
        <v xml:space="preserve">  * La variable Migrantes - Mujeres No puede ser mayor al Total.</v>
      </c>
      <c r="BZ208" s="2465" t="str">
        <f t="shared" si="108"/>
        <v xml:space="preserve">  * La variable Trans (Femenino) No puede ser mayor al Total Hombres.</v>
      </c>
      <c r="CA208" s="2465" t="str">
        <f t="shared" si="127"/>
        <v xml:space="preserve">  * La variable Trans (Masculino) No puede ser mayor al Total Mujeres.</v>
      </c>
      <c r="CB208" s="17"/>
      <c r="CC208" s="1724">
        <f t="shared" si="95"/>
        <v>1</v>
      </c>
      <c r="CD208" s="17"/>
      <c r="CE208" s="1724">
        <f t="shared" si="97"/>
        <v>1</v>
      </c>
      <c r="CF208" s="1724">
        <f t="shared" si="98"/>
        <v>1</v>
      </c>
      <c r="CG208" s="1724">
        <f t="shared" si="99"/>
        <v>1</v>
      </c>
      <c r="CH208" s="1724">
        <f t="shared" si="100"/>
        <v>1</v>
      </c>
      <c r="CI208" s="1724">
        <f t="shared" si="101"/>
        <v>1</v>
      </c>
      <c r="CJ208" s="1724">
        <f t="shared" si="102"/>
        <v>1</v>
      </c>
      <c r="CK208" s="1724">
        <f t="shared" si="103"/>
        <v>1</v>
      </c>
      <c r="CL208" s="1724">
        <f t="shared" si="104"/>
        <v>1</v>
      </c>
    </row>
    <row r="209" spans="1:90" ht="23.25" customHeight="1" x14ac:dyDescent="0.3">
      <c r="A209" s="6248" t="s">
        <v>4412</v>
      </c>
      <c r="B209" s="6899"/>
      <c r="C209" s="1" t="s">
        <v>2016</v>
      </c>
      <c r="D209" s="2277" t="s">
        <v>5292</v>
      </c>
      <c r="E209" s="2278" t="s">
        <v>5293</v>
      </c>
      <c r="F209" s="1" t="s">
        <v>5294</v>
      </c>
      <c r="G209" s="1095" t="s">
        <v>5295</v>
      </c>
      <c r="H209" s="8" t="s">
        <v>5296</v>
      </c>
      <c r="I209" s="1095" t="s">
        <v>5297</v>
      </c>
      <c r="J209" s="8" t="s">
        <v>5298</v>
      </c>
      <c r="K209" s="1095" t="s">
        <v>5299</v>
      </c>
      <c r="L209" s="8" t="s">
        <v>5300</v>
      </c>
      <c r="M209" s="1095" t="s">
        <v>5301</v>
      </c>
      <c r="N209" s="8" t="s">
        <v>5302</v>
      </c>
      <c r="O209" s="1095" t="s">
        <v>5303</v>
      </c>
      <c r="P209" s="8" t="s">
        <v>5304</v>
      </c>
      <c r="Q209" s="2295" t="s">
        <v>5305</v>
      </c>
      <c r="R209" s="2296" t="s">
        <v>5306</v>
      </c>
      <c r="S209" s="2296" t="s">
        <v>5307</v>
      </c>
      <c r="T209" s="2296" t="s">
        <v>5308</v>
      </c>
      <c r="U209" s="2296" t="s">
        <v>5309</v>
      </c>
      <c r="V209" s="2296" t="s">
        <v>5310</v>
      </c>
      <c r="W209" s="2296" t="s">
        <v>5311</v>
      </c>
      <c r="X209" s="2296" t="s">
        <v>5312</v>
      </c>
      <c r="Y209" s="2296" t="s">
        <v>5313</v>
      </c>
      <c r="Z209" s="2296" t="s">
        <v>5314</v>
      </c>
      <c r="AA209" s="2296" t="s">
        <v>5315</v>
      </c>
      <c r="AB209" s="2296" t="s">
        <v>5316</v>
      </c>
      <c r="AC209" s="2296" t="s">
        <v>5317</v>
      </c>
      <c r="AD209" s="2296" t="s">
        <v>5318</v>
      </c>
      <c r="AE209" s="2296" t="s">
        <v>5319</v>
      </c>
      <c r="AF209" s="2296" t="s">
        <v>5320</v>
      </c>
      <c r="AG209" s="2296" t="s">
        <v>5321</v>
      </c>
      <c r="AH209" s="2296" t="s">
        <v>5322</v>
      </c>
      <c r="AI209" s="2296" t="s">
        <v>5323</v>
      </c>
      <c r="AJ209" s="2296" t="s">
        <v>5324</v>
      </c>
      <c r="AK209" s="2296" t="s">
        <v>5325</v>
      </c>
      <c r="AL209" s="2296" t="s">
        <v>5326</v>
      </c>
      <c r="AM209" s="2296" t="s">
        <v>5327</v>
      </c>
      <c r="AN209" s="2297" t="s">
        <v>5328</v>
      </c>
      <c r="AO209" s="1424" t="s">
        <v>5329</v>
      </c>
      <c r="AP209" s="2298" t="s">
        <v>5330</v>
      </c>
      <c r="AQ209" s="1095" t="s">
        <v>5331</v>
      </c>
      <c r="AR209" s="11" t="s">
        <v>5332</v>
      </c>
      <c r="AS209" s="11" t="s">
        <v>5333</v>
      </c>
      <c r="AT209" s="11" t="s">
        <v>5334</v>
      </c>
      <c r="AU209" s="2236" t="s">
        <v>5335</v>
      </c>
      <c r="AV209" s="25" t="s">
        <v>5336</v>
      </c>
      <c r="AW209" s="2236" t="s">
        <v>5337</v>
      </c>
      <c r="AX209" s="25" t="s">
        <v>5338</v>
      </c>
      <c r="AY209" s="17" t="e">
        <f t="shared" si="88"/>
        <v>#VALUE!</v>
      </c>
      <c r="BR209" s="2465" t="str">
        <f t="shared" si="105"/>
        <v xml:space="preserve">  * La  variable Gestantes No puede ser mayor al Total Mujeres.</v>
      </c>
      <c r="BS209" s="170"/>
      <c r="BT209" s="2465" t="str">
        <f t="shared" si="121"/>
        <v xml:space="preserve">  * La variable Pueblos originarios - Hombres No puede ser mayor al Total.</v>
      </c>
      <c r="BU209" s="2465" t="str">
        <f t="shared" si="122"/>
        <v xml:space="preserve">  * La variable Pueblos originarios - Mujeres No puede ser mayor al Total.</v>
      </c>
      <c r="BV209" s="2465" t="str">
        <f t="shared" si="123"/>
        <v xml:space="preserve">  * La variable Niños, niñas, adolescentes y jóvenes SENAME No puede ser mayor al Total.</v>
      </c>
      <c r="BW209" s="2465" t="str">
        <f t="shared" si="124"/>
        <v xml:space="preserve">  * La variable Niños, niñas, adolescentes y jóvenes Mejor Niñez No puede ser mayor al Total.</v>
      </c>
      <c r="BX209" s="2465" t="e">
        <f t="shared" si="125"/>
        <v>#VALUE!</v>
      </c>
      <c r="BY209" s="2465" t="str">
        <f t="shared" si="126"/>
        <v xml:space="preserve">  * La variable Migrantes - Mujeres No puede ser mayor al Total.</v>
      </c>
      <c r="BZ209" s="2465" t="str">
        <f t="shared" si="108"/>
        <v xml:space="preserve">  * La variable Trans (Femenino) No puede ser mayor al Total Hombres.</v>
      </c>
      <c r="CA209" s="2465" t="str">
        <f t="shared" si="127"/>
        <v xml:space="preserve">  * La variable Trans (Masculino) No puede ser mayor al Total Mujeres.</v>
      </c>
      <c r="CB209" s="17"/>
      <c r="CC209" s="1724">
        <f t="shared" si="95"/>
        <v>1</v>
      </c>
      <c r="CD209" s="17"/>
      <c r="CE209" s="1724">
        <f t="shared" si="97"/>
        <v>1</v>
      </c>
      <c r="CF209" s="1724">
        <f t="shared" si="98"/>
        <v>1</v>
      </c>
      <c r="CG209" s="1724">
        <f t="shared" si="99"/>
        <v>1</v>
      </c>
      <c r="CH209" s="1724">
        <f t="shared" si="100"/>
        <v>1</v>
      </c>
      <c r="CI209" s="1724">
        <f t="shared" si="101"/>
        <v>1</v>
      </c>
      <c r="CJ209" s="1724">
        <f t="shared" si="102"/>
        <v>1</v>
      </c>
      <c r="CK209" s="1724">
        <f t="shared" si="103"/>
        <v>1</v>
      </c>
      <c r="CL209" s="1724">
        <f t="shared" si="104"/>
        <v>1</v>
      </c>
    </row>
    <row r="210" spans="1:90" ht="36" customHeight="1" x14ac:dyDescent="0.3">
      <c r="A210" s="6248" t="s">
        <v>4413</v>
      </c>
      <c r="B210" s="6908"/>
      <c r="C210" s="2" t="s">
        <v>2017</v>
      </c>
      <c r="D210" s="2288" t="s">
        <v>5292</v>
      </c>
      <c r="E210" s="2289" t="s">
        <v>5293</v>
      </c>
      <c r="F210" s="2" t="s">
        <v>5294</v>
      </c>
      <c r="G210" s="3" t="s">
        <v>5295</v>
      </c>
      <c r="H210" s="12" t="s">
        <v>5296</v>
      </c>
      <c r="I210" s="3" t="s">
        <v>5297</v>
      </c>
      <c r="J210" s="12" t="s">
        <v>5298</v>
      </c>
      <c r="K210" s="3" t="s">
        <v>5299</v>
      </c>
      <c r="L210" s="12" t="s">
        <v>5300</v>
      </c>
      <c r="M210" s="3" t="s">
        <v>5301</v>
      </c>
      <c r="N210" s="12" t="s">
        <v>5302</v>
      </c>
      <c r="O210" s="3" t="s">
        <v>5303</v>
      </c>
      <c r="P210" s="12" t="s">
        <v>5304</v>
      </c>
      <c r="Q210" s="2299" t="s">
        <v>5305</v>
      </c>
      <c r="R210" s="2300" t="s">
        <v>5306</v>
      </c>
      <c r="S210" s="2300" t="s">
        <v>5307</v>
      </c>
      <c r="T210" s="2300" t="s">
        <v>5308</v>
      </c>
      <c r="U210" s="2300" t="s">
        <v>5309</v>
      </c>
      <c r="V210" s="2300" t="s">
        <v>5310</v>
      </c>
      <c r="W210" s="2300" t="s">
        <v>5311</v>
      </c>
      <c r="X210" s="2300" t="s">
        <v>5312</v>
      </c>
      <c r="Y210" s="2300" t="s">
        <v>5313</v>
      </c>
      <c r="Z210" s="2300" t="s">
        <v>5314</v>
      </c>
      <c r="AA210" s="2300" t="s">
        <v>5315</v>
      </c>
      <c r="AB210" s="2300" t="s">
        <v>5316</v>
      </c>
      <c r="AC210" s="2300" t="s">
        <v>5317</v>
      </c>
      <c r="AD210" s="2300" t="s">
        <v>5318</v>
      </c>
      <c r="AE210" s="2300" t="s">
        <v>5319</v>
      </c>
      <c r="AF210" s="2300" t="s">
        <v>5320</v>
      </c>
      <c r="AG210" s="2300" t="s">
        <v>5321</v>
      </c>
      <c r="AH210" s="2300" t="s">
        <v>5322</v>
      </c>
      <c r="AI210" s="2300" t="s">
        <v>5323</v>
      </c>
      <c r="AJ210" s="2300" t="s">
        <v>5324</v>
      </c>
      <c r="AK210" s="2300" t="s">
        <v>5325</v>
      </c>
      <c r="AL210" s="2300" t="s">
        <v>5326</v>
      </c>
      <c r="AM210" s="2300" t="s">
        <v>5327</v>
      </c>
      <c r="AN210" s="2301" t="s">
        <v>5328</v>
      </c>
      <c r="AO210" s="29" t="s">
        <v>5329</v>
      </c>
      <c r="AP210" s="2302" t="s">
        <v>5330</v>
      </c>
      <c r="AQ210" s="3" t="s">
        <v>5331</v>
      </c>
      <c r="AR210" s="12" t="s">
        <v>5332</v>
      </c>
      <c r="AS210" s="12" t="s">
        <v>5333</v>
      </c>
      <c r="AT210" s="12" t="s">
        <v>5334</v>
      </c>
      <c r="AU210" s="2290" t="s">
        <v>5335</v>
      </c>
      <c r="AV210" s="6" t="s">
        <v>5336</v>
      </c>
      <c r="AW210" s="2290" t="s">
        <v>5337</v>
      </c>
      <c r="AX210" s="6" t="s">
        <v>5338</v>
      </c>
      <c r="AY210" s="17" t="e">
        <f t="shared" si="88"/>
        <v>#VALUE!</v>
      </c>
      <c r="BR210" s="2465" t="str">
        <f t="shared" si="105"/>
        <v xml:space="preserve">  * La  variable Gestantes No puede ser mayor al Total Mujeres.</v>
      </c>
      <c r="BS210" s="170"/>
      <c r="BT210" s="2465" t="str">
        <f t="shared" si="121"/>
        <v xml:space="preserve">  * La variable Pueblos originarios - Hombres No puede ser mayor al Total.</v>
      </c>
      <c r="BU210" s="2465" t="str">
        <f t="shared" si="122"/>
        <v xml:space="preserve">  * La variable Pueblos originarios - Mujeres No puede ser mayor al Total.</v>
      </c>
      <c r="BV210" s="2465" t="str">
        <f t="shared" si="123"/>
        <v xml:space="preserve">  * La variable Niños, niñas, adolescentes y jóvenes SENAME No puede ser mayor al Total.</v>
      </c>
      <c r="BW210" s="2465" t="str">
        <f t="shared" si="124"/>
        <v xml:space="preserve">  * La variable Niños, niñas, adolescentes y jóvenes Mejor Niñez No puede ser mayor al Total.</v>
      </c>
      <c r="BX210" s="2465" t="e">
        <f t="shared" si="125"/>
        <v>#VALUE!</v>
      </c>
      <c r="BY210" s="2465" t="str">
        <f t="shared" si="126"/>
        <v xml:space="preserve">  * La variable Migrantes - Mujeres No puede ser mayor al Total.</v>
      </c>
      <c r="BZ210" s="2465" t="str">
        <f t="shared" si="108"/>
        <v xml:space="preserve">  * La variable Trans (Femenino) No puede ser mayor al Total Hombres.</v>
      </c>
      <c r="CA210" s="2465" t="str">
        <f t="shared" si="127"/>
        <v xml:space="preserve">  * La variable Trans (Masculino) No puede ser mayor al Total Mujeres.</v>
      </c>
      <c r="CB210" s="17"/>
      <c r="CC210" s="1724">
        <f t="shared" si="95"/>
        <v>1</v>
      </c>
      <c r="CD210" s="17"/>
      <c r="CE210" s="1724">
        <f t="shared" si="97"/>
        <v>1</v>
      </c>
      <c r="CF210" s="1724">
        <f t="shared" si="98"/>
        <v>1</v>
      </c>
      <c r="CG210" s="1724">
        <f t="shared" si="99"/>
        <v>1</v>
      </c>
      <c r="CH210" s="1724">
        <f t="shared" si="100"/>
        <v>1</v>
      </c>
      <c r="CI210" s="1724">
        <f t="shared" si="101"/>
        <v>1</v>
      </c>
      <c r="CJ210" s="1724">
        <f t="shared" si="102"/>
        <v>1</v>
      </c>
      <c r="CK210" s="1724">
        <f t="shared" si="103"/>
        <v>1</v>
      </c>
      <c r="CL210" s="1724">
        <f t="shared" si="104"/>
        <v>1</v>
      </c>
    </row>
    <row r="211" spans="1:90" ht="15" customHeight="1" x14ac:dyDescent="0.3">
      <c r="A211" s="6248" t="s">
        <v>4414</v>
      </c>
      <c r="B211" s="6928" t="s">
        <v>3929</v>
      </c>
      <c r="C211" s="2303" t="s">
        <v>2019</v>
      </c>
      <c r="D211" s="2275" t="s">
        <v>5292</v>
      </c>
      <c r="E211" s="2276" t="s">
        <v>5293</v>
      </c>
      <c r="F211" s="2274" t="s">
        <v>5294</v>
      </c>
      <c r="G211" s="2112" t="s">
        <v>5295</v>
      </c>
      <c r="H211" s="1089" t="s">
        <v>5296</v>
      </c>
      <c r="I211" s="2112" t="s">
        <v>5297</v>
      </c>
      <c r="J211" s="1089" t="s">
        <v>5298</v>
      </c>
      <c r="K211" s="2112" t="s">
        <v>5299</v>
      </c>
      <c r="L211" s="1089" t="s">
        <v>5300</v>
      </c>
      <c r="M211" s="2112" t="s">
        <v>5301</v>
      </c>
      <c r="N211" s="1089" t="s">
        <v>5302</v>
      </c>
      <c r="O211" s="2112" t="s">
        <v>5303</v>
      </c>
      <c r="P211" s="1089" t="s">
        <v>5304</v>
      </c>
      <c r="Q211" s="2112" t="s">
        <v>5305</v>
      </c>
      <c r="R211" s="1089" t="s">
        <v>5306</v>
      </c>
      <c r="S211" s="2112" t="s">
        <v>5307</v>
      </c>
      <c r="T211" s="1089" t="s">
        <v>5308</v>
      </c>
      <c r="U211" s="2112" t="s">
        <v>5309</v>
      </c>
      <c r="V211" s="1089" t="s">
        <v>5310</v>
      </c>
      <c r="W211" s="2112" t="s">
        <v>5311</v>
      </c>
      <c r="X211" s="1089" t="s">
        <v>5312</v>
      </c>
      <c r="Y211" s="2112" t="s">
        <v>5313</v>
      </c>
      <c r="Z211" s="1089" t="s">
        <v>5314</v>
      </c>
      <c r="AA211" s="2112" t="s">
        <v>5315</v>
      </c>
      <c r="AB211" s="1089" t="s">
        <v>5316</v>
      </c>
      <c r="AC211" s="2112" t="s">
        <v>5317</v>
      </c>
      <c r="AD211" s="1089" t="s">
        <v>5318</v>
      </c>
      <c r="AE211" s="2112" t="s">
        <v>5319</v>
      </c>
      <c r="AF211" s="1089" t="s">
        <v>5320</v>
      </c>
      <c r="AG211" s="2112" t="s">
        <v>5321</v>
      </c>
      <c r="AH211" s="1089" t="s">
        <v>5322</v>
      </c>
      <c r="AI211" s="2112" t="s">
        <v>5323</v>
      </c>
      <c r="AJ211" s="1089" t="s">
        <v>5324</v>
      </c>
      <c r="AK211" s="2112" t="s">
        <v>5325</v>
      </c>
      <c r="AL211" s="1089" t="s">
        <v>5326</v>
      </c>
      <c r="AM211" s="2112" t="s">
        <v>5327</v>
      </c>
      <c r="AN211" s="1275" t="s">
        <v>5328</v>
      </c>
      <c r="AO211" s="1089" t="s">
        <v>5329</v>
      </c>
      <c r="AP211" s="2166" t="s">
        <v>5330</v>
      </c>
      <c r="AQ211" s="2304" t="s">
        <v>5331</v>
      </c>
      <c r="AR211" s="1089" t="s">
        <v>5332</v>
      </c>
      <c r="AS211" s="1089" t="s">
        <v>5333</v>
      </c>
      <c r="AT211" s="1089" t="s">
        <v>5334</v>
      </c>
      <c r="AU211" s="2239" t="s">
        <v>5335</v>
      </c>
      <c r="AV211" s="1273" t="s">
        <v>5336</v>
      </c>
      <c r="AW211" s="1274" t="s">
        <v>5337</v>
      </c>
      <c r="AX211" s="1273" t="s">
        <v>5338</v>
      </c>
      <c r="AY211" s="17" t="e">
        <f t="shared" si="88"/>
        <v>#VALUE!</v>
      </c>
      <c r="BR211" s="2465" t="str">
        <f t="shared" si="105"/>
        <v xml:space="preserve">  * La  variable Gestantes No puede ser mayor al Total Mujeres.</v>
      </c>
      <c r="BS211" s="2465" t="str">
        <f>IF(AND(F211&gt;0,AP211=""), "* No olvide digitar la variable Madre de hijo menor de 5 años. Digite Cero si no tiene.",IF(AP211&gt;F211,"  * La variable Madre de hijo menor de 5 años No puede ser mayor al Total Mujeres.",""))</f>
        <v xml:space="preserve">  * La variable Madre de hijo menor de 5 años No puede ser mayor al Total Mujeres.</v>
      </c>
      <c r="BT211" s="2465" t="str">
        <f t="shared" ref="BT211:BT218" si="128">IF(AND(E211&gt;0,OR(AQ211="")), "* No olvide digitar la variable Pueblos originarios - Hombres. Digite Cero si no tiene.",IF((AQ211)&gt;E211,"  * La variable Pueblos originarios - Hombres No puede ser mayor al Total.",""))</f>
        <v xml:space="preserve">  * La variable Pueblos originarios - Hombres No puede ser mayor al Total.</v>
      </c>
      <c r="BU211" s="2465" t="str">
        <f t="shared" ref="BU211:BU218" si="129">IF(AND(F211&gt;0,OR(AR211="")), "* No olvide digitar la variable Pueblos originarios - Mujeres. Digite Cero si no tiene.",IF((AR211)&gt;F211,"  * La variable Pueblos originarios - Mujeres No puede ser mayor al Total.",""))</f>
        <v xml:space="preserve">  * La variable Pueblos originarios - Mujeres No puede ser mayor al Total.</v>
      </c>
      <c r="BV211" s="2465" t="str">
        <f t="shared" ref="BV211:BV218" si="130">IF(AND(D211&gt;0,AS211=""), "* No olvide digitar la variable Niños, niñas, adolescentes y jóvenes SENAME. Digite Cero si no tiene.",IF(AS211&gt;D211,"  * La variable Niños, niñas, adolescentes y jóvenes SENAME No puede ser mayor al Total.",""))</f>
        <v xml:space="preserve">  * La variable Niños, niñas, adolescentes y jóvenes SENAME No puede ser mayor al Total.</v>
      </c>
      <c r="BW211" s="2465" t="str">
        <f t="shared" ref="BW211:BW218" si="131">IF(AND(D211&gt;0,AT211=""), "* No olvide digitar la variable Niños, niñas, adolescentes y jóvenes Mejor Niñez. Digite Cero si no tiene.",IF(AT211&gt;D211,"  * La variable Niños, niñas, adolescentes y jóvenes Mejor Niñez No puede ser mayor al Total.",""))</f>
        <v xml:space="preserve">  * La variable Niños, niñas, adolescentes y jóvenes Mejor Niñez No puede ser mayor al Total.</v>
      </c>
      <c r="BX211" s="2465" t="e">
        <f t="shared" ref="BX211:BX218" si="132">IF(AND(E211&gt;0,OR(AU211="")), "* No olvide digitar la variable Migrantes - Hombres. Digite Cero si no tiene.",IF((AU211+AU211)&gt;E211,"  * La variable Migrantes - Hombres No puede ser mayor al Total.",""))</f>
        <v>#VALUE!</v>
      </c>
      <c r="BY211" s="2465" t="str">
        <f t="shared" ref="BY211:BY218" si="133">IF(AND(F211&gt;0,OR(AV211="")), "* No olvide digitar la variable Migrantes - Mujeres. Digite Cero si no tiene.",IF((AV211)&gt;F211,"  * La variable Migrantes - Mujeres No puede ser mayor al Total.",""))</f>
        <v xml:space="preserve">  * La variable Migrantes - Mujeres No puede ser mayor al Total.</v>
      </c>
      <c r="BZ211" s="2465" t="str">
        <f t="shared" si="108"/>
        <v xml:space="preserve">  * La variable Trans (Femenino) No puede ser mayor al Total Hombres.</v>
      </c>
      <c r="CA211" s="2465" t="str">
        <f t="shared" ref="CA211:CA215" si="134">IF(AND(F211&gt;0,OR(AW211="")), "* No olvide digitar la variable Trans (Masculino). Digite Cero si no tiene.",IF((AW211)&gt;F211,"  * La variable Trans (Masculino) No puede ser mayor al Total Mujeres.",""))</f>
        <v xml:space="preserve">  * La variable Trans (Masculino) No puede ser mayor al Total Mujeres.</v>
      </c>
      <c r="CB211" s="17"/>
      <c r="CC211" s="1724">
        <f t="shared" si="95"/>
        <v>1</v>
      </c>
      <c r="CD211" s="1724">
        <f t="shared" si="96"/>
        <v>1</v>
      </c>
      <c r="CE211" s="1724">
        <f t="shared" si="97"/>
        <v>1</v>
      </c>
      <c r="CF211" s="1724">
        <f t="shared" si="98"/>
        <v>1</v>
      </c>
      <c r="CG211" s="1724">
        <f t="shared" si="99"/>
        <v>1</v>
      </c>
      <c r="CH211" s="1724">
        <f t="shared" si="100"/>
        <v>1</v>
      </c>
      <c r="CI211" s="1724">
        <f t="shared" si="101"/>
        <v>1</v>
      </c>
      <c r="CJ211" s="1724">
        <f t="shared" si="102"/>
        <v>1</v>
      </c>
      <c r="CK211" s="1724">
        <f t="shared" si="103"/>
        <v>1</v>
      </c>
      <c r="CL211" s="1724">
        <f t="shared" si="104"/>
        <v>1</v>
      </c>
    </row>
    <row r="212" spans="1:90" ht="15" customHeight="1" x14ac:dyDescent="0.3">
      <c r="A212" s="6248" t="s">
        <v>4415</v>
      </c>
      <c r="B212" s="6929"/>
      <c r="C212" s="2305" t="s">
        <v>2020</v>
      </c>
      <c r="D212" s="2277" t="s">
        <v>5292</v>
      </c>
      <c r="E212" s="2278" t="s">
        <v>5293</v>
      </c>
      <c r="F212" s="1" t="s">
        <v>5294</v>
      </c>
      <c r="G212" s="1095" t="s">
        <v>5295</v>
      </c>
      <c r="H212" s="8" t="s">
        <v>5296</v>
      </c>
      <c r="I212" s="1095" t="s">
        <v>5297</v>
      </c>
      <c r="J212" s="8" t="s">
        <v>5298</v>
      </c>
      <c r="K212" s="1095" t="s">
        <v>5299</v>
      </c>
      <c r="L212" s="8" t="s">
        <v>5300</v>
      </c>
      <c r="M212" s="1095" t="s">
        <v>5301</v>
      </c>
      <c r="N212" s="8" t="s">
        <v>5302</v>
      </c>
      <c r="O212" s="1095" t="s">
        <v>5303</v>
      </c>
      <c r="P212" s="8" t="s">
        <v>5304</v>
      </c>
      <c r="Q212" s="1095" t="s">
        <v>5305</v>
      </c>
      <c r="R212" s="8" t="s">
        <v>5306</v>
      </c>
      <c r="S212" s="1095" t="s">
        <v>5307</v>
      </c>
      <c r="T212" s="8" t="s">
        <v>5308</v>
      </c>
      <c r="U212" s="1095" t="s">
        <v>5309</v>
      </c>
      <c r="V212" s="8" t="s">
        <v>5310</v>
      </c>
      <c r="W212" s="1095" t="s">
        <v>5311</v>
      </c>
      <c r="X212" s="8" t="s">
        <v>5312</v>
      </c>
      <c r="Y212" s="1095" t="s">
        <v>5313</v>
      </c>
      <c r="Z212" s="8" t="s">
        <v>5314</v>
      </c>
      <c r="AA212" s="1095" t="s">
        <v>5315</v>
      </c>
      <c r="AB212" s="8" t="s">
        <v>5316</v>
      </c>
      <c r="AC212" s="1095" t="s">
        <v>5317</v>
      </c>
      <c r="AD212" s="8" t="s">
        <v>5318</v>
      </c>
      <c r="AE212" s="1095" t="s">
        <v>5319</v>
      </c>
      <c r="AF212" s="8" t="s">
        <v>5320</v>
      </c>
      <c r="AG212" s="1095" t="s">
        <v>5321</v>
      </c>
      <c r="AH212" s="8" t="s">
        <v>5322</v>
      </c>
      <c r="AI212" s="1095" t="s">
        <v>5323</v>
      </c>
      <c r="AJ212" s="8" t="s">
        <v>5324</v>
      </c>
      <c r="AK212" s="1095" t="s">
        <v>5325</v>
      </c>
      <c r="AL212" s="8" t="s">
        <v>5326</v>
      </c>
      <c r="AM212" s="1095" t="s">
        <v>5327</v>
      </c>
      <c r="AN212" s="1100" t="s">
        <v>5328</v>
      </c>
      <c r="AO212" s="8" t="s">
        <v>5329</v>
      </c>
      <c r="AP212" s="1092" t="s">
        <v>5330</v>
      </c>
      <c r="AQ212" s="2115" t="s">
        <v>5331</v>
      </c>
      <c r="AR212" s="8" t="s">
        <v>5332</v>
      </c>
      <c r="AS212" s="8" t="s">
        <v>5333</v>
      </c>
      <c r="AT212" s="8" t="s">
        <v>5334</v>
      </c>
      <c r="AU212" s="1697" t="s">
        <v>5335</v>
      </c>
      <c r="AV212" s="1099" t="s">
        <v>5336</v>
      </c>
      <c r="AW212" s="1255" t="s">
        <v>5337</v>
      </c>
      <c r="AX212" s="1099" t="s">
        <v>5338</v>
      </c>
      <c r="AY212" s="17" t="e">
        <f t="shared" si="88"/>
        <v>#VALUE!</v>
      </c>
      <c r="BR212" s="2465" t="str">
        <f t="shared" ref="BR212:BR215" si="135">IF(AND(F212&gt;0,AO212=""), "* No olvide digitar la variable Gestantes. Digite Cero si no tiene.",IF(AO212&gt;F212,"  * La  variable Gestantes No puede ser mayor al Total Mujeres.",""))</f>
        <v xml:space="preserve">  * La  variable Gestantes No puede ser mayor al Total Mujeres.</v>
      </c>
      <c r="BS212" s="2465" t="str">
        <f t="shared" ref="BS212:BS215" si="136">IF(AND(F212&gt;0,AP212=""), "* No olvide digitar la variable Madre de hijo menor de 5 años. Digite Cero si no tiene.",IF(AP212&gt;F212,"  * La variable Madre de hijo menor de 5 años No puede ser mayor al Total Mujeres.",""))</f>
        <v xml:space="preserve">  * La variable Madre de hijo menor de 5 años No puede ser mayor al Total Mujeres.</v>
      </c>
      <c r="BT212" s="2465" t="str">
        <f t="shared" si="128"/>
        <v xml:space="preserve">  * La variable Pueblos originarios - Hombres No puede ser mayor al Total.</v>
      </c>
      <c r="BU212" s="2465" t="str">
        <f t="shared" si="129"/>
        <v xml:space="preserve">  * La variable Pueblos originarios - Mujeres No puede ser mayor al Total.</v>
      </c>
      <c r="BV212" s="2465" t="str">
        <f t="shared" si="130"/>
        <v xml:space="preserve">  * La variable Niños, niñas, adolescentes y jóvenes SENAME No puede ser mayor al Total.</v>
      </c>
      <c r="BW212" s="2465" t="str">
        <f t="shared" si="131"/>
        <v xml:space="preserve">  * La variable Niños, niñas, adolescentes y jóvenes Mejor Niñez No puede ser mayor al Total.</v>
      </c>
      <c r="BX212" s="2465" t="e">
        <f t="shared" si="132"/>
        <v>#VALUE!</v>
      </c>
      <c r="BY212" s="2465" t="str">
        <f t="shared" si="133"/>
        <v xml:space="preserve">  * La variable Migrantes - Mujeres No puede ser mayor al Total.</v>
      </c>
      <c r="BZ212" s="2465" t="str">
        <f t="shared" si="108"/>
        <v xml:space="preserve">  * La variable Trans (Femenino) No puede ser mayor al Total Hombres.</v>
      </c>
      <c r="CA212" s="2465" t="str">
        <f t="shared" si="134"/>
        <v xml:space="preserve">  * La variable Trans (Masculino) No puede ser mayor al Total Mujeres.</v>
      </c>
      <c r="CB212" s="17"/>
      <c r="CC212" s="1724">
        <f t="shared" si="95"/>
        <v>1</v>
      </c>
      <c r="CD212" s="1724">
        <f t="shared" si="96"/>
        <v>1</v>
      </c>
      <c r="CE212" s="1724">
        <f t="shared" si="97"/>
        <v>1</v>
      </c>
      <c r="CF212" s="1724">
        <f t="shared" si="98"/>
        <v>1</v>
      </c>
      <c r="CG212" s="1724">
        <f t="shared" si="99"/>
        <v>1</v>
      </c>
      <c r="CH212" s="1724">
        <f t="shared" si="100"/>
        <v>1</v>
      </c>
      <c r="CI212" s="1724">
        <f t="shared" si="101"/>
        <v>1</v>
      </c>
      <c r="CJ212" s="1724">
        <f t="shared" si="102"/>
        <v>1</v>
      </c>
      <c r="CK212" s="1724">
        <f t="shared" si="103"/>
        <v>1</v>
      </c>
      <c r="CL212" s="1724">
        <f t="shared" si="104"/>
        <v>1</v>
      </c>
    </row>
    <row r="213" spans="1:90" ht="15" customHeight="1" x14ac:dyDescent="0.3">
      <c r="A213" s="6248" t="s">
        <v>4416</v>
      </c>
      <c r="B213" s="6929"/>
      <c r="C213" s="2280" t="s">
        <v>2021</v>
      </c>
      <c r="D213" s="2277" t="s">
        <v>5292</v>
      </c>
      <c r="E213" s="2278" t="s">
        <v>5293</v>
      </c>
      <c r="F213" s="1" t="s">
        <v>5294</v>
      </c>
      <c r="G213" s="1095" t="s">
        <v>5295</v>
      </c>
      <c r="H213" s="8" t="s">
        <v>5296</v>
      </c>
      <c r="I213" s="1095" t="s">
        <v>5297</v>
      </c>
      <c r="J213" s="8" t="s">
        <v>5298</v>
      </c>
      <c r="K213" s="1095" t="s">
        <v>5299</v>
      </c>
      <c r="L213" s="8" t="s">
        <v>5300</v>
      </c>
      <c r="M213" s="1095" t="s">
        <v>5301</v>
      </c>
      <c r="N213" s="8" t="s">
        <v>5302</v>
      </c>
      <c r="O213" s="1095" t="s">
        <v>5303</v>
      </c>
      <c r="P213" s="8" t="s">
        <v>5304</v>
      </c>
      <c r="Q213" s="1095" t="s">
        <v>5305</v>
      </c>
      <c r="R213" s="8" t="s">
        <v>5306</v>
      </c>
      <c r="S213" s="1095" t="s">
        <v>5307</v>
      </c>
      <c r="T213" s="8" t="s">
        <v>5308</v>
      </c>
      <c r="U213" s="1095" t="s">
        <v>5309</v>
      </c>
      <c r="V213" s="8" t="s">
        <v>5310</v>
      </c>
      <c r="W213" s="1095" t="s">
        <v>5311</v>
      </c>
      <c r="X213" s="8" t="s">
        <v>5312</v>
      </c>
      <c r="Y213" s="1095" t="s">
        <v>5313</v>
      </c>
      <c r="Z213" s="8" t="s">
        <v>5314</v>
      </c>
      <c r="AA213" s="1095" t="s">
        <v>5315</v>
      </c>
      <c r="AB213" s="8" t="s">
        <v>5316</v>
      </c>
      <c r="AC213" s="1095" t="s">
        <v>5317</v>
      </c>
      <c r="AD213" s="8" t="s">
        <v>5318</v>
      </c>
      <c r="AE213" s="1095" t="s">
        <v>5319</v>
      </c>
      <c r="AF213" s="8" t="s">
        <v>5320</v>
      </c>
      <c r="AG213" s="1095" t="s">
        <v>5321</v>
      </c>
      <c r="AH213" s="8" t="s">
        <v>5322</v>
      </c>
      <c r="AI213" s="1095" t="s">
        <v>5323</v>
      </c>
      <c r="AJ213" s="8" t="s">
        <v>5324</v>
      </c>
      <c r="AK213" s="1095" t="s">
        <v>5325</v>
      </c>
      <c r="AL213" s="8" t="s">
        <v>5326</v>
      </c>
      <c r="AM213" s="1095" t="s">
        <v>5327</v>
      </c>
      <c r="AN213" s="1100" t="s">
        <v>5328</v>
      </c>
      <c r="AO213" s="8" t="s">
        <v>5329</v>
      </c>
      <c r="AP213" s="1092" t="s">
        <v>5330</v>
      </c>
      <c r="AQ213" s="2115" t="s">
        <v>5331</v>
      </c>
      <c r="AR213" s="8" t="s">
        <v>5332</v>
      </c>
      <c r="AS213" s="8" t="s">
        <v>5333</v>
      </c>
      <c r="AT213" s="8" t="s">
        <v>5334</v>
      </c>
      <c r="AU213" s="1697" t="s">
        <v>5335</v>
      </c>
      <c r="AV213" s="1099" t="s">
        <v>5336</v>
      </c>
      <c r="AW213" s="1255" t="s">
        <v>5337</v>
      </c>
      <c r="AX213" s="1099" t="s">
        <v>5338</v>
      </c>
      <c r="AY213" s="17" t="e">
        <f t="shared" si="88"/>
        <v>#VALUE!</v>
      </c>
      <c r="BR213" s="2465" t="str">
        <f t="shared" si="135"/>
        <v xml:space="preserve">  * La  variable Gestantes No puede ser mayor al Total Mujeres.</v>
      </c>
      <c r="BS213" s="2465" t="str">
        <f t="shared" si="136"/>
        <v xml:space="preserve">  * La variable Madre de hijo menor de 5 años No puede ser mayor al Total Mujeres.</v>
      </c>
      <c r="BT213" s="2465" t="str">
        <f t="shared" si="128"/>
        <v xml:space="preserve">  * La variable Pueblos originarios - Hombres No puede ser mayor al Total.</v>
      </c>
      <c r="BU213" s="2465" t="str">
        <f t="shared" si="129"/>
        <v xml:space="preserve">  * La variable Pueblos originarios - Mujeres No puede ser mayor al Total.</v>
      </c>
      <c r="BV213" s="2465" t="str">
        <f t="shared" si="130"/>
        <v xml:space="preserve">  * La variable Niños, niñas, adolescentes y jóvenes SENAME No puede ser mayor al Total.</v>
      </c>
      <c r="BW213" s="2465" t="str">
        <f t="shared" si="131"/>
        <v xml:space="preserve">  * La variable Niños, niñas, adolescentes y jóvenes Mejor Niñez No puede ser mayor al Total.</v>
      </c>
      <c r="BX213" s="2465" t="e">
        <f t="shared" si="132"/>
        <v>#VALUE!</v>
      </c>
      <c r="BY213" s="2465" t="str">
        <f t="shared" si="133"/>
        <v xml:space="preserve">  * La variable Migrantes - Mujeres No puede ser mayor al Total.</v>
      </c>
      <c r="BZ213" s="2465" t="str">
        <f t="shared" si="108"/>
        <v xml:space="preserve">  * La variable Trans (Femenino) No puede ser mayor al Total Hombres.</v>
      </c>
      <c r="CA213" s="2465" t="str">
        <f t="shared" si="134"/>
        <v xml:space="preserve">  * La variable Trans (Masculino) No puede ser mayor al Total Mujeres.</v>
      </c>
      <c r="CB213" s="17"/>
      <c r="CC213" s="1724">
        <f t="shared" si="95"/>
        <v>1</v>
      </c>
      <c r="CD213" s="1724">
        <f t="shared" si="96"/>
        <v>1</v>
      </c>
      <c r="CE213" s="1724">
        <f t="shared" si="97"/>
        <v>1</v>
      </c>
      <c r="CF213" s="1724">
        <f t="shared" si="98"/>
        <v>1</v>
      </c>
      <c r="CG213" s="1724">
        <f t="shared" si="99"/>
        <v>1</v>
      </c>
      <c r="CH213" s="1724">
        <f t="shared" si="100"/>
        <v>1</v>
      </c>
      <c r="CI213" s="1724">
        <f t="shared" si="101"/>
        <v>1</v>
      </c>
      <c r="CJ213" s="1724">
        <f t="shared" si="102"/>
        <v>1</v>
      </c>
      <c r="CK213" s="1724">
        <f t="shared" si="103"/>
        <v>1</v>
      </c>
      <c r="CL213" s="1724">
        <f t="shared" si="104"/>
        <v>1</v>
      </c>
    </row>
    <row r="214" spans="1:90" ht="15" customHeight="1" x14ac:dyDescent="0.3">
      <c r="A214" s="6248" t="s">
        <v>4417</v>
      </c>
      <c r="B214" s="6929"/>
      <c r="C214" s="2280" t="s">
        <v>2022</v>
      </c>
      <c r="D214" s="2277" t="s">
        <v>5292</v>
      </c>
      <c r="E214" s="2278" t="s">
        <v>5293</v>
      </c>
      <c r="F214" s="1" t="s">
        <v>5294</v>
      </c>
      <c r="G214" s="1095" t="s">
        <v>5295</v>
      </c>
      <c r="H214" s="8" t="s">
        <v>5296</v>
      </c>
      <c r="I214" s="1095" t="s">
        <v>5297</v>
      </c>
      <c r="J214" s="8" t="s">
        <v>5298</v>
      </c>
      <c r="K214" s="1095" t="s">
        <v>5299</v>
      </c>
      <c r="L214" s="8" t="s">
        <v>5300</v>
      </c>
      <c r="M214" s="1095" t="s">
        <v>5301</v>
      </c>
      <c r="N214" s="8" t="s">
        <v>5302</v>
      </c>
      <c r="O214" s="1095" t="s">
        <v>5303</v>
      </c>
      <c r="P214" s="8" t="s">
        <v>5304</v>
      </c>
      <c r="Q214" s="1095" t="s">
        <v>5305</v>
      </c>
      <c r="R214" s="8" t="s">
        <v>5306</v>
      </c>
      <c r="S214" s="1095" t="s">
        <v>5307</v>
      </c>
      <c r="T214" s="8" t="s">
        <v>5308</v>
      </c>
      <c r="U214" s="1095" t="s">
        <v>5309</v>
      </c>
      <c r="V214" s="8" t="s">
        <v>5310</v>
      </c>
      <c r="W214" s="1095" t="s">
        <v>5311</v>
      </c>
      <c r="X214" s="8" t="s">
        <v>5312</v>
      </c>
      <c r="Y214" s="1095" t="s">
        <v>5313</v>
      </c>
      <c r="Z214" s="8" t="s">
        <v>5314</v>
      </c>
      <c r="AA214" s="1095" t="s">
        <v>5315</v>
      </c>
      <c r="AB214" s="8" t="s">
        <v>5316</v>
      </c>
      <c r="AC214" s="1095" t="s">
        <v>5317</v>
      </c>
      <c r="AD214" s="8" t="s">
        <v>5318</v>
      </c>
      <c r="AE214" s="1095" t="s">
        <v>5319</v>
      </c>
      <c r="AF214" s="8" t="s">
        <v>5320</v>
      </c>
      <c r="AG214" s="1095" t="s">
        <v>5321</v>
      </c>
      <c r="AH214" s="8" t="s">
        <v>5322</v>
      </c>
      <c r="AI214" s="1095" t="s">
        <v>5323</v>
      </c>
      <c r="AJ214" s="8" t="s">
        <v>5324</v>
      </c>
      <c r="AK214" s="1095" t="s">
        <v>5325</v>
      </c>
      <c r="AL214" s="8" t="s">
        <v>5326</v>
      </c>
      <c r="AM214" s="1095" t="s">
        <v>5327</v>
      </c>
      <c r="AN214" s="1100" t="s">
        <v>5328</v>
      </c>
      <c r="AO214" s="8" t="s">
        <v>5329</v>
      </c>
      <c r="AP214" s="1092" t="s">
        <v>5330</v>
      </c>
      <c r="AQ214" s="2115" t="s">
        <v>5331</v>
      </c>
      <c r="AR214" s="8" t="s">
        <v>5332</v>
      </c>
      <c r="AS214" s="8" t="s">
        <v>5333</v>
      </c>
      <c r="AT214" s="8" t="s">
        <v>5334</v>
      </c>
      <c r="AU214" s="1697" t="s">
        <v>5335</v>
      </c>
      <c r="AV214" s="1099" t="s">
        <v>5336</v>
      </c>
      <c r="AW214" s="1255" t="s">
        <v>5337</v>
      </c>
      <c r="AX214" s="1099" t="s">
        <v>5338</v>
      </c>
      <c r="AY214" s="17" t="e">
        <f t="shared" si="88"/>
        <v>#VALUE!</v>
      </c>
      <c r="BR214" s="2465" t="str">
        <f t="shared" si="135"/>
        <v xml:space="preserve">  * La  variable Gestantes No puede ser mayor al Total Mujeres.</v>
      </c>
      <c r="BS214" s="2465" t="str">
        <f t="shared" si="136"/>
        <v xml:space="preserve">  * La variable Madre de hijo menor de 5 años No puede ser mayor al Total Mujeres.</v>
      </c>
      <c r="BT214" s="2465" t="str">
        <f t="shared" si="128"/>
        <v xml:space="preserve">  * La variable Pueblos originarios - Hombres No puede ser mayor al Total.</v>
      </c>
      <c r="BU214" s="2465" t="str">
        <f t="shared" si="129"/>
        <v xml:space="preserve">  * La variable Pueblos originarios - Mujeres No puede ser mayor al Total.</v>
      </c>
      <c r="BV214" s="2465" t="str">
        <f t="shared" si="130"/>
        <v xml:space="preserve">  * La variable Niños, niñas, adolescentes y jóvenes SENAME No puede ser mayor al Total.</v>
      </c>
      <c r="BW214" s="2465" t="str">
        <f t="shared" si="131"/>
        <v xml:space="preserve">  * La variable Niños, niñas, adolescentes y jóvenes Mejor Niñez No puede ser mayor al Total.</v>
      </c>
      <c r="BX214" s="2465" t="e">
        <f t="shared" si="132"/>
        <v>#VALUE!</v>
      </c>
      <c r="BY214" s="2465" t="str">
        <f t="shared" si="133"/>
        <v xml:space="preserve">  * La variable Migrantes - Mujeres No puede ser mayor al Total.</v>
      </c>
      <c r="BZ214" s="2465" t="str">
        <f t="shared" si="108"/>
        <v xml:space="preserve">  * La variable Trans (Femenino) No puede ser mayor al Total Hombres.</v>
      </c>
      <c r="CA214" s="2465" t="str">
        <f t="shared" si="134"/>
        <v xml:space="preserve">  * La variable Trans (Masculino) No puede ser mayor al Total Mujeres.</v>
      </c>
      <c r="CB214" s="17"/>
      <c r="CC214" s="1724">
        <f t="shared" si="95"/>
        <v>1</v>
      </c>
      <c r="CD214" s="1724">
        <f t="shared" si="96"/>
        <v>1</v>
      </c>
      <c r="CE214" s="1724">
        <f t="shared" si="97"/>
        <v>1</v>
      </c>
      <c r="CF214" s="1724">
        <f t="shared" si="98"/>
        <v>1</v>
      </c>
      <c r="CG214" s="1724">
        <f t="shared" si="99"/>
        <v>1</v>
      </c>
      <c r="CH214" s="1724">
        <f t="shared" si="100"/>
        <v>1</v>
      </c>
      <c r="CI214" s="1724">
        <f t="shared" si="101"/>
        <v>1</v>
      </c>
      <c r="CJ214" s="1724">
        <f t="shared" si="102"/>
        <v>1</v>
      </c>
      <c r="CK214" s="1724">
        <f t="shared" si="103"/>
        <v>1</v>
      </c>
      <c r="CL214" s="1724">
        <f t="shared" si="104"/>
        <v>1</v>
      </c>
    </row>
    <row r="215" spans="1:90" ht="15" customHeight="1" x14ac:dyDescent="0.3">
      <c r="A215" s="6248" t="s">
        <v>4418</v>
      </c>
      <c r="B215" s="6930"/>
      <c r="C215" s="2306" t="s">
        <v>2023</v>
      </c>
      <c r="D215" s="2267" t="s">
        <v>5292</v>
      </c>
      <c r="E215" s="2268" t="s">
        <v>5293</v>
      </c>
      <c r="F215" s="2269" t="s">
        <v>5294</v>
      </c>
      <c r="G215" s="1095" t="s">
        <v>5295</v>
      </c>
      <c r="H215" s="8" t="s">
        <v>5296</v>
      </c>
      <c r="I215" s="1095" t="s">
        <v>5297</v>
      </c>
      <c r="J215" s="8" t="s">
        <v>5298</v>
      </c>
      <c r="K215" s="1095" t="s">
        <v>5299</v>
      </c>
      <c r="L215" s="8" t="s">
        <v>5300</v>
      </c>
      <c r="M215" s="1095" t="s">
        <v>5301</v>
      </c>
      <c r="N215" s="8" t="s">
        <v>5302</v>
      </c>
      <c r="O215" s="1095" t="s">
        <v>5303</v>
      </c>
      <c r="P215" s="8" t="s">
        <v>5304</v>
      </c>
      <c r="Q215" s="1095" t="s">
        <v>5305</v>
      </c>
      <c r="R215" s="8" t="s">
        <v>5306</v>
      </c>
      <c r="S215" s="1095" t="s">
        <v>5307</v>
      </c>
      <c r="T215" s="8" t="s">
        <v>5308</v>
      </c>
      <c r="U215" s="1095" t="s">
        <v>5309</v>
      </c>
      <c r="V215" s="8" t="s">
        <v>5310</v>
      </c>
      <c r="W215" s="1095" t="s">
        <v>5311</v>
      </c>
      <c r="X215" s="8" t="s">
        <v>5312</v>
      </c>
      <c r="Y215" s="1095" t="s">
        <v>5313</v>
      </c>
      <c r="Z215" s="8" t="s">
        <v>5314</v>
      </c>
      <c r="AA215" s="1095" t="s">
        <v>5315</v>
      </c>
      <c r="AB215" s="8" t="s">
        <v>5316</v>
      </c>
      <c r="AC215" s="1095" t="s">
        <v>5317</v>
      </c>
      <c r="AD215" s="8" t="s">
        <v>5318</v>
      </c>
      <c r="AE215" s="1095" t="s">
        <v>5319</v>
      </c>
      <c r="AF215" s="8" t="s">
        <v>5320</v>
      </c>
      <c r="AG215" s="1095" t="s">
        <v>5321</v>
      </c>
      <c r="AH215" s="8" t="s">
        <v>5322</v>
      </c>
      <c r="AI215" s="1095" t="s">
        <v>5323</v>
      </c>
      <c r="AJ215" s="8" t="s">
        <v>5324</v>
      </c>
      <c r="AK215" s="1095" t="s">
        <v>5325</v>
      </c>
      <c r="AL215" s="8" t="s">
        <v>5326</v>
      </c>
      <c r="AM215" s="3" t="s">
        <v>5327</v>
      </c>
      <c r="AN215" s="5" t="s">
        <v>5328</v>
      </c>
      <c r="AO215" s="12" t="s">
        <v>5329</v>
      </c>
      <c r="AP215" s="30" t="s">
        <v>5330</v>
      </c>
      <c r="AQ215" s="21" t="s">
        <v>5331</v>
      </c>
      <c r="AR215" s="12" t="s">
        <v>5332</v>
      </c>
      <c r="AS215" s="12" t="s">
        <v>5333</v>
      </c>
      <c r="AT215" s="12" t="s">
        <v>5334</v>
      </c>
      <c r="AU215" s="2290" t="s">
        <v>5335</v>
      </c>
      <c r="AV215" s="6" t="s">
        <v>5336</v>
      </c>
      <c r="AW215" s="22" t="s">
        <v>5337</v>
      </c>
      <c r="AX215" s="6" t="s">
        <v>5338</v>
      </c>
      <c r="AY215" s="17" t="e">
        <f t="shared" si="88"/>
        <v>#VALUE!</v>
      </c>
      <c r="BR215" s="2465" t="str">
        <f t="shared" si="135"/>
        <v xml:space="preserve">  * La  variable Gestantes No puede ser mayor al Total Mujeres.</v>
      </c>
      <c r="BS215" s="2465" t="str">
        <f t="shared" si="136"/>
        <v xml:space="preserve">  * La variable Madre de hijo menor de 5 años No puede ser mayor al Total Mujeres.</v>
      </c>
      <c r="BT215" s="2465" t="str">
        <f t="shared" si="128"/>
        <v xml:space="preserve">  * La variable Pueblos originarios - Hombres No puede ser mayor al Total.</v>
      </c>
      <c r="BU215" s="2465" t="str">
        <f t="shared" si="129"/>
        <v xml:space="preserve">  * La variable Pueblos originarios - Mujeres No puede ser mayor al Total.</v>
      </c>
      <c r="BV215" s="2465" t="str">
        <f t="shared" si="130"/>
        <v xml:space="preserve">  * La variable Niños, niñas, adolescentes y jóvenes SENAME No puede ser mayor al Total.</v>
      </c>
      <c r="BW215" s="2465" t="str">
        <f t="shared" si="131"/>
        <v xml:space="preserve">  * La variable Niños, niñas, adolescentes y jóvenes Mejor Niñez No puede ser mayor al Total.</v>
      </c>
      <c r="BX215" s="2465" t="e">
        <f t="shared" si="132"/>
        <v>#VALUE!</v>
      </c>
      <c r="BY215" s="2465" t="str">
        <f t="shared" si="133"/>
        <v xml:space="preserve">  * La variable Migrantes - Mujeres No puede ser mayor al Total.</v>
      </c>
      <c r="BZ215" s="2465" t="str">
        <f t="shared" si="108"/>
        <v xml:space="preserve">  * La variable Trans (Femenino) No puede ser mayor al Total Hombres.</v>
      </c>
      <c r="CA215" s="2465" t="str">
        <f t="shared" si="134"/>
        <v xml:space="preserve">  * La variable Trans (Masculino) No puede ser mayor al Total Mujeres.</v>
      </c>
      <c r="CB215" s="17"/>
      <c r="CC215" s="1724">
        <f t="shared" si="95"/>
        <v>1</v>
      </c>
      <c r="CD215" s="1724">
        <f t="shared" si="96"/>
        <v>1</v>
      </c>
      <c r="CE215" s="1724">
        <f t="shared" si="97"/>
        <v>1</v>
      </c>
      <c r="CF215" s="1724">
        <f t="shared" si="98"/>
        <v>1</v>
      </c>
      <c r="CG215" s="1724">
        <f t="shared" si="99"/>
        <v>1</v>
      </c>
      <c r="CH215" s="1724">
        <f t="shared" si="100"/>
        <v>1</v>
      </c>
      <c r="CI215" s="1724">
        <f t="shared" si="101"/>
        <v>1</v>
      </c>
      <c r="CJ215" s="1724">
        <f t="shared" si="102"/>
        <v>1</v>
      </c>
      <c r="CK215" s="1724">
        <f t="shared" si="103"/>
        <v>1</v>
      </c>
      <c r="CL215" s="1724">
        <f t="shared" si="104"/>
        <v>1</v>
      </c>
    </row>
    <row r="216" spans="1:90" ht="15" customHeight="1" x14ac:dyDescent="0.3">
      <c r="A216" s="6248" t="s">
        <v>4419</v>
      </c>
      <c r="B216" s="6917" t="s">
        <v>2024</v>
      </c>
      <c r="C216" s="2286" t="s">
        <v>1020</v>
      </c>
      <c r="D216" s="2250" t="s">
        <v>5292</v>
      </c>
      <c r="E216" s="2251" t="s">
        <v>5293</v>
      </c>
      <c r="F216" s="2249" t="s">
        <v>5294</v>
      </c>
      <c r="G216" s="2120" t="s">
        <v>5295</v>
      </c>
      <c r="H216" s="2229" t="s">
        <v>5296</v>
      </c>
      <c r="I216" s="2120" t="s">
        <v>5297</v>
      </c>
      <c r="J216" s="2229" t="s">
        <v>5298</v>
      </c>
      <c r="K216" s="2120" t="s">
        <v>5299</v>
      </c>
      <c r="L216" s="2229" t="s">
        <v>5300</v>
      </c>
      <c r="M216" s="2120" t="s">
        <v>5301</v>
      </c>
      <c r="N216" s="2229" t="s">
        <v>5302</v>
      </c>
      <c r="O216" s="2120" t="s">
        <v>5303</v>
      </c>
      <c r="P216" s="2229" t="s">
        <v>5304</v>
      </c>
      <c r="Q216" s="2120" t="s">
        <v>5305</v>
      </c>
      <c r="R216" s="2229" t="s">
        <v>5306</v>
      </c>
      <c r="S216" s="2120" t="s">
        <v>5307</v>
      </c>
      <c r="T216" s="2229" t="s">
        <v>5308</v>
      </c>
      <c r="U216" s="2120" t="s">
        <v>5309</v>
      </c>
      <c r="V216" s="2229" t="s">
        <v>5310</v>
      </c>
      <c r="W216" s="2120" t="s">
        <v>5311</v>
      </c>
      <c r="X216" s="2229" t="s">
        <v>5312</v>
      </c>
      <c r="Y216" s="2120" t="s">
        <v>5313</v>
      </c>
      <c r="Z216" s="2229" t="s">
        <v>5314</v>
      </c>
      <c r="AA216" s="2120" t="s">
        <v>5315</v>
      </c>
      <c r="AB216" s="2229" t="s">
        <v>5316</v>
      </c>
      <c r="AC216" s="2120" t="s">
        <v>5317</v>
      </c>
      <c r="AD216" s="2229" t="s">
        <v>5318</v>
      </c>
      <c r="AE216" s="2120" t="s">
        <v>5319</v>
      </c>
      <c r="AF216" s="2229" t="s">
        <v>5320</v>
      </c>
      <c r="AG216" s="2120" t="s">
        <v>5321</v>
      </c>
      <c r="AH216" s="2229" t="s">
        <v>5322</v>
      </c>
      <c r="AI216" s="2120" t="s">
        <v>5323</v>
      </c>
      <c r="AJ216" s="2229" t="s">
        <v>5324</v>
      </c>
      <c r="AK216" s="2120" t="s">
        <v>5325</v>
      </c>
      <c r="AL216" s="2229" t="s">
        <v>5326</v>
      </c>
      <c r="AM216" s="2120" t="s">
        <v>5327</v>
      </c>
      <c r="AN216" s="2240" t="s">
        <v>5328</v>
      </c>
      <c r="AO216" s="2307" t="s">
        <v>5329</v>
      </c>
      <c r="AP216" s="2308" t="s">
        <v>5330</v>
      </c>
      <c r="AQ216" s="2304" t="s">
        <v>5331</v>
      </c>
      <c r="AR216" s="2287" t="s">
        <v>5332</v>
      </c>
      <c r="AS216" s="2287" t="s">
        <v>5333</v>
      </c>
      <c r="AT216" s="2287" t="s">
        <v>5334</v>
      </c>
      <c r="AU216" s="2699" t="s">
        <v>5335</v>
      </c>
      <c r="AV216" s="2702" t="s">
        <v>5336</v>
      </c>
      <c r="AW216" s="2699" t="s">
        <v>5337</v>
      </c>
      <c r="AX216" s="2702" t="s">
        <v>5338</v>
      </c>
      <c r="AY216" s="17" t="e">
        <f t="shared" si="88"/>
        <v>#VALUE!</v>
      </c>
      <c r="BR216" s="170"/>
      <c r="BS216" s="170"/>
      <c r="BT216" s="2465" t="str">
        <f t="shared" si="128"/>
        <v xml:space="preserve">  * La variable Pueblos originarios - Hombres No puede ser mayor al Total.</v>
      </c>
      <c r="BU216" s="2465" t="str">
        <f t="shared" si="129"/>
        <v xml:space="preserve">  * La variable Pueblos originarios - Mujeres No puede ser mayor al Total.</v>
      </c>
      <c r="BV216" s="2465" t="str">
        <f t="shared" si="130"/>
        <v xml:space="preserve">  * La variable Niños, niñas, adolescentes y jóvenes SENAME No puede ser mayor al Total.</v>
      </c>
      <c r="BW216" s="2465" t="str">
        <f t="shared" si="131"/>
        <v xml:space="preserve">  * La variable Niños, niñas, adolescentes y jóvenes Mejor Niñez No puede ser mayor al Total.</v>
      </c>
      <c r="BX216" s="2465" t="e">
        <f t="shared" si="132"/>
        <v>#VALUE!</v>
      </c>
      <c r="BY216" s="2465" t="str">
        <f t="shared" si="133"/>
        <v xml:space="preserve">  * La variable Migrantes - Mujeres No puede ser mayor al Total.</v>
      </c>
      <c r="BZ216" s="2465" t="str">
        <f t="shared" si="108"/>
        <v xml:space="preserve">  * La variable Trans (Femenino) No puede ser mayor al Total Hombres.</v>
      </c>
      <c r="CA216" s="2465" t="str">
        <f t="shared" ref="CA216:CA218" si="137">IF(AND(F216&gt;0,OR(AW216="")), "* No olvide digitar la variable Trans (Masculino). Digite Cero si no tiene.",IF((AW216)&gt;F216,"  * La variable Trans (Masculino) No puede ser mayor al Total Mujeres.",""))</f>
        <v xml:space="preserve">  * La variable Trans (Masculino) No puede ser mayor al Total Mujeres.</v>
      </c>
      <c r="CB216" s="17"/>
      <c r="CC216" s="17"/>
      <c r="CD216" s="17"/>
      <c r="CE216" s="1724">
        <f t="shared" si="97"/>
        <v>1</v>
      </c>
      <c r="CF216" s="1724">
        <f t="shared" si="98"/>
        <v>1</v>
      </c>
      <c r="CG216" s="1724">
        <f t="shared" si="99"/>
        <v>1</v>
      </c>
      <c r="CH216" s="1724">
        <f t="shared" si="100"/>
        <v>1</v>
      </c>
      <c r="CI216" s="1724">
        <f t="shared" si="101"/>
        <v>1</v>
      </c>
      <c r="CJ216" s="1724">
        <f t="shared" si="102"/>
        <v>1</v>
      </c>
      <c r="CK216" s="1724">
        <f t="shared" si="103"/>
        <v>1</v>
      </c>
      <c r="CL216" s="1724">
        <f t="shared" si="104"/>
        <v>1</v>
      </c>
    </row>
    <row r="217" spans="1:90" ht="15" customHeight="1" x14ac:dyDescent="0.3">
      <c r="A217" s="6248" t="s">
        <v>4420</v>
      </c>
      <c r="B217" s="6899"/>
      <c r="C217" s="2280" t="s">
        <v>1021</v>
      </c>
      <c r="D217" s="2277" t="s">
        <v>5292</v>
      </c>
      <c r="E217" s="2278" t="s">
        <v>5293</v>
      </c>
      <c r="F217" s="1" t="s">
        <v>5294</v>
      </c>
      <c r="G217" s="1095" t="s">
        <v>5295</v>
      </c>
      <c r="H217" s="8" t="s">
        <v>5296</v>
      </c>
      <c r="I217" s="1095" t="s">
        <v>5297</v>
      </c>
      <c r="J217" s="8" t="s">
        <v>5298</v>
      </c>
      <c r="K217" s="1095" t="s">
        <v>5299</v>
      </c>
      <c r="L217" s="8" t="s">
        <v>5300</v>
      </c>
      <c r="M217" s="1095" t="s">
        <v>5301</v>
      </c>
      <c r="N217" s="8" t="s">
        <v>5302</v>
      </c>
      <c r="O217" s="1095" t="s">
        <v>5303</v>
      </c>
      <c r="P217" s="8" t="s">
        <v>5304</v>
      </c>
      <c r="Q217" s="1095" t="s">
        <v>5305</v>
      </c>
      <c r="R217" s="8" t="s">
        <v>5306</v>
      </c>
      <c r="S217" s="1095" t="s">
        <v>5307</v>
      </c>
      <c r="T217" s="8" t="s">
        <v>5308</v>
      </c>
      <c r="U217" s="1095" t="s">
        <v>5309</v>
      </c>
      <c r="V217" s="8" t="s">
        <v>5310</v>
      </c>
      <c r="W217" s="1095" t="s">
        <v>5311</v>
      </c>
      <c r="X217" s="8" t="s">
        <v>5312</v>
      </c>
      <c r="Y217" s="1095" t="s">
        <v>5313</v>
      </c>
      <c r="Z217" s="8" t="s">
        <v>5314</v>
      </c>
      <c r="AA217" s="1095" t="s">
        <v>5315</v>
      </c>
      <c r="AB217" s="8" t="s">
        <v>5316</v>
      </c>
      <c r="AC217" s="1095" t="s">
        <v>5317</v>
      </c>
      <c r="AD217" s="8" t="s">
        <v>5318</v>
      </c>
      <c r="AE217" s="1095" t="s">
        <v>5319</v>
      </c>
      <c r="AF217" s="8" t="s">
        <v>5320</v>
      </c>
      <c r="AG217" s="1095" t="s">
        <v>5321</v>
      </c>
      <c r="AH217" s="8" t="s">
        <v>5322</v>
      </c>
      <c r="AI217" s="1095" t="s">
        <v>5323</v>
      </c>
      <c r="AJ217" s="8" t="s">
        <v>5324</v>
      </c>
      <c r="AK217" s="1095" t="s">
        <v>5325</v>
      </c>
      <c r="AL217" s="8" t="s">
        <v>5326</v>
      </c>
      <c r="AM217" s="1095" t="s">
        <v>5327</v>
      </c>
      <c r="AN217" s="1100" t="s">
        <v>5328</v>
      </c>
      <c r="AO217" s="2309" t="s">
        <v>5329</v>
      </c>
      <c r="AP217" s="2310" t="s">
        <v>5330</v>
      </c>
      <c r="AQ217" s="1095" t="s">
        <v>5331</v>
      </c>
      <c r="AR217" s="11" t="s">
        <v>5332</v>
      </c>
      <c r="AS217" s="11" t="s">
        <v>5333</v>
      </c>
      <c r="AT217" s="11" t="s">
        <v>5334</v>
      </c>
      <c r="AU217" s="2236" t="s">
        <v>5335</v>
      </c>
      <c r="AV217" s="25" t="s">
        <v>5336</v>
      </c>
      <c r="AW217" s="2236" t="s">
        <v>5337</v>
      </c>
      <c r="AX217" s="25" t="s">
        <v>5338</v>
      </c>
      <c r="AY217" s="17" t="e">
        <f t="shared" si="88"/>
        <v>#VALUE!</v>
      </c>
      <c r="BR217" s="170"/>
      <c r="BS217" s="170"/>
      <c r="BT217" s="2465" t="str">
        <f t="shared" si="128"/>
        <v xml:space="preserve">  * La variable Pueblos originarios - Hombres No puede ser mayor al Total.</v>
      </c>
      <c r="BU217" s="2465" t="str">
        <f t="shared" si="129"/>
        <v xml:space="preserve">  * La variable Pueblos originarios - Mujeres No puede ser mayor al Total.</v>
      </c>
      <c r="BV217" s="2465" t="str">
        <f t="shared" si="130"/>
        <v xml:space="preserve">  * La variable Niños, niñas, adolescentes y jóvenes SENAME No puede ser mayor al Total.</v>
      </c>
      <c r="BW217" s="2465" t="str">
        <f t="shared" si="131"/>
        <v xml:space="preserve">  * La variable Niños, niñas, adolescentes y jóvenes Mejor Niñez No puede ser mayor al Total.</v>
      </c>
      <c r="BX217" s="2465" t="e">
        <f t="shared" si="132"/>
        <v>#VALUE!</v>
      </c>
      <c r="BY217" s="2465" t="str">
        <f t="shared" si="133"/>
        <v xml:space="preserve">  * La variable Migrantes - Mujeres No puede ser mayor al Total.</v>
      </c>
      <c r="BZ217" s="2465" t="str">
        <f t="shared" si="108"/>
        <v xml:space="preserve">  * La variable Trans (Femenino) No puede ser mayor al Total Hombres.</v>
      </c>
      <c r="CA217" s="2465" t="str">
        <f t="shared" si="137"/>
        <v xml:space="preserve">  * La variable Trans (Masculino) No puede ser mayor al Total Mujeres.</v>
      </c>
      <c r="CB217" s="17"/>
      <c r="CC217" s="17"/>
      <c r="CD217" s="17"/>
      <c r="CE217" s="1724">
        <f t="shared" si="97"/>
        <v>1</v>
      </c>
      <c r="CF217" s="1724">
        <f t="shared" si="98"/>
        <v>1</v>
      </c>
      <c r="CG217" s="1724">
        <f t="shared" si="99"/>
        <v>1</v>
      </c>
      <c r="CH217" s="1724">
        <f t="shared" si="100"/>
        <v>1</v>
      </c>
      <c r="CI217" s="1724">
        <f t="shared" si="101"/>
        <v>1</v>
      </c>
      <c r="CJ217" s="1724">
        <f t="shared" si="102"/>
        <v>1</v>
      </c>
      <c r="CK217" s="1724">
        <f t="shared" si="103"/>
        <v>1</v>
      </c>
      <c r="CL217" s="1724">
        <f t="shared" si="104"/>
        <v>1</v>
      </c>
    </row>
    <row r="218" spans="1:90" ht="15" customHeight="1" x14ac:dyDescent="0.3">
      <c r="A218" s="6248" t="s">
        <v>4421</v>
      </c>
      <c r="B218" s="6908"/>
      <c r="C218" s="2311" t="s">
        <v>43</v>
      </c>
      <c r="D218" s="2288" t="s">
        <v>5292</v>
      </c>
      <c r="E218" s="2289" t="s">
        <v>5293</v>
      </c>
      <c r="F218" s="2" t="s">
        <v>5294</v>
      </c>
      <c r="G218" s="3" t="s">
        <v>5295</v>
      </c>
      <c r="H218" s="12" t="s">
        <v>5296</v>
      </c>
      <c r="I218" s="3" t="s">
        <v>5297</v>
      </c>
      <c r="J218" s="12" t="s">
        <v>5298</v>
      </c>
      <c r="K218" s="3" t="s">
        <v>5299</v>
      </c>
      <c r="L218" s="12" t="s">
        <v>5300</v>
      </c>
      <c r="M218" s="3" t="s">
        <v>5301</v>
      </c>
      <c r="N218" s="12" t="s">
        <v>5302</v>
      </c>
      <c r="O218" s="3" t="s">
        <v>5303</v>
      </c>
      <c r="P218" s="12" t="s">
        <v>5304</v>
      </c>
      <c r="Q218" s="3" t="s">
        <v>5305</v>
      </c>
      <c r="R218" s="12" t="s">
        <v>5306</v>
      </c>
      <c r="S218" s="3" t="s">
        <v>5307</v>
      </c>
      <c r="T218" s="12" t="s">
        <v>5308</v>
      </c>
      <c r="U218" s="3" t="s">
        <v>5309</v>
      </c>
      <c r="V218" s="12" t="s">
        <v>5310</v>
      </c>
      <c r="W218" s="3" t="s">
        <v>5311</v>
      </c>
      <c r="X218" s="12" t="s">
        <v>5312</v>
      </c>
      <c r="Y218" s="3" t="s">
        <v>5313</v>
      </c>
      <c r="Z218" s="12" t="s">
        <v>5314</v>
      </c>
      <c r="AA218" s="3" t="s">
        <v>5315</v>
      </c>
      <c r="AB218" s="12" t="s">
        <v>5316</v>
      </c>
      <c r="AC218" s="3" t="s">
        <v>5317</v>
      </c>
      <c r="AD218" s="12" t="s">
        <v>5318</v>
      </c>
      <c r="AE218" s="3" t="s">
        <v>5319</v>
      </c>
      <c r="AF218" s="12" t="s">
        <v>5320</v>
      </c>
      <c r="AG218" s="3" t="s">
        <v>5321</v>
      </c>
      <c r="AH218" s="12" t="s">
        <v>5322</v>
      </c>
      <c r="AI218" s="3" t="s">
        <v>5323</v>
      </c>
      <c r="AJ218" s="12" t="s">
        <v>5324</v>
      </c>
      <c r="AK218" s="3" t="s">
        <v>5325</v>
      </c>
      <c r="AL218" s="12" t="s">
        <v>5326</v>
      </c>
      <c r="AM218" s="3" t="s">
        <v>5327</v>
      </c>
      <c r="AN218" s="5" t="s">
        <v>5328</v>
      </c>
      <c r="AO218" s="2312" t="s">
        <v>5329</v>
      </c>
      <c r="AP218" s="2313" t="s">
        <v>5330</v>
      </c>
      <c r="AQ218" s="3" t="s">
        <v>5331</v>
      </c>
      <c r="AR218" s="12" t="s">
        <v>5332</v>
      </c>
      <c r="AS218" s="12" t="s">
        <v>5333</v>
      </c>
      <c r="AT218" s="12" t="s">
        <v>5334</v>
      </c>
      <c r="AU218" s="2290" t="s">
        <v>5335</v>
      </c>
      <c r="AV218" s="6" t="s">
        <v>5336</v>
      </c>
      <c r="AW218" s="2290" t="s">
        <v>5337</v>
      </c>
      <c r="AX218" s="6" t="s">
        <v>5338</v>
      </c>
      <c r="AY218" s="17" t="e">
        <f t="shared" si="88"/>
        <v>#VALUE!</v>
      </c>
      <c r="BR218" s="170"/>
      <c r="BS218" s="170"/>
      <c r="BT218" s="2465" t="str">
        <f t="shared" si="128"/>
        <v xml:space="preserve">  * La variable Pueblos originarios - Hombres No puede ser mayor al Total.</v>
      </c>
      <c r="BU218" s="2465" t="str">
        <f t="shared" si="129"/>
        <v xml:space="preserve">  * La variable Pueblos originarios - Mujeres No puede ser mayor al Total.</v>
      </c>
      <c r="BV218" s="2465" t="str">
        <f t="shared" si="130"/>
        <v xml:space="preserve">  * La variable Niños, niñas, adolescentes y jóvenes SENAME No puede ser mayor al Total.</v>
      </c>
      <c r="BW218" s="2465" t="str">
        <f t="shared" si="131"/>
        <v xml:space="preserve">  * La variable Niños, niñas, adolescentes y jóvenes Mejor Niñez No puede ser mayor al Total.</v>
      </c>
      <c r="BX218" s="2465" t="e">
        <f t="shared" si="132"/>
        <v>#VALUE!</v>
      </c>
      <c r="BY218" s="2465" t="str">
        <f t="shared" si="133"/>
        <v xml:space="preserve">  * La variable Migrantes - Mujeres No puede ser mayor al Total.</v>
      </c>
      <c r="BZ218" s="2465" t="str">
        <f t="shared" si="108"/>
        <v xml:space="preserve">  * La variable Trans (Femenino) No puede ser mayor al Total Hombres.</v>
      </c>
      <c r="CA218" s="2465" t="str">
        <f t="shared" si="137"/>
        <v xml:space="preserve">  * La variable Trans (Masculino) No puede ser mayor al Total Mujeres.</v>
      </c>
      <c r="CB218" s="17"/>
      <c r="CC218" s="17"/>
      <c r="CD218" s="17"/>
      <c r="CE218" s="1724">
        <f t="shared" si="97"/>
        <v>1</v>
      </c>
      <c r="CF218" s="1724">
        <f t="shared" si="98"/>
        <v>1</v>
      </c>
      <c r="CG218" s="1724">
        <f t="shared" si="99"/>
        <v>1</v>
      </c>
      <c r="CH218" s="1724">
        <f t="shared" si="100"/>
        <v>1</v>
      </c>
      <c r="CI218" s="1724">
        <f t="shared" si="101"/>
        <v>1</v>
      </c>
      <c r="CJ218" s="1724">
        <f t="shared" si="102"/>
        <v>1</v>
      </c>
      <c r="CK218" s="1724">
        <f t="shared" si="103"/>
        <v>1</v>
      </c>
      <c r="CL218" s="1724">
        <f t="shared" si="104"/>
        <v>1</v>
      </c>
    </row>
    <row r="219" spans="1:90" ht="15" customHeight="1" x14ac:dyDescent="0.3">
      <c r="A219" s="6248" t="s">
        <v>4422</v>
      </c>
      <c r="B219" s="6943" t="s">
        <v>2025</v>
      </c>
      <c r="C219" s="6944"/>
      <c r="D219" s="2250" t="s">
        <v>5292</v>
      </c>
      <c r="E219" s="2251" t="s">
        <v>5293</v>
      </c>
      <c r="F219" s="2249" t="s">
        <v>5294</v>
      </c>
      <c r="G219" s="2120" t="s">
        <v>5295</v>
      </c>
      <c r="H219" s="2229" t="s">
        <v>5296</v>
      </c>
      <c r="I219" s="2120" t="s">
        <v>5297</v>
      </c>
      <c r="J219" s="2229" t="s">
        <v>5298</v>
      </c>
      <c r="K219" s="2120" t="s">
        <v>5299</v>
      </c>
      <c r="L219" s="2229" t="s">
        <v>5300</v>
      </c>
      <c r="M219" s="2120" t="s">
        <v>5301</v>
      </c>
      <c r="N219" s="2229" t="s">
        <v>5302</v>
      </c>
      <c r="O219" s="2120" t="s">
        <v>5303</v>
      </c>
      <c r="P219" s="2229" t="s">
        <v>5304</v>
      </c>
      <c r="Q219" s="2120" t="s">
        <v>5305</v>
      </c>
      <c r="R219" s="2229" t="s">
        <v>5306</v>
      </c>
      <c r="S219" s="2120" t="s">
        <v>5307</v>
      </c>
      <c r="T219" s="2229" t="s">
        <v>5308</v>
      </c>
      <c r="U219" s="2120" t="s">
        <v>5309</v>
      </c>
      <c r="V219" s="2229" t="s">
        <v>5310</v>
      </c>
      <c r="W219" s="2120" t="s">
        <v>5311</v>
      </c>
      <c r="X219" s="2229" t="s">
        <v>5312</v>
      </c>
      <c r="Y219" s="2120" t="s">
        <v>5313</v>
      </c>
      <c r="Z219" s="2229" t="s">
        <v>5314</v>
      </c>
      <c r="AA219" s="2120" t="s">
        <v>5315</v>
      </c>
      <c r="AB219" s="2229" t="s">
        <v>5316</v>
      </c>
      <c r="AC219" s="2120" t="s">
        <v>5317</v>
      </c>
      <c r="AD219" s="2229" t="s">
        <v>5318</v>
      </c>
      <c r="AE219" s="2120" t="s">
        <v>5319</v>
      </c>
      <c r="AF219" s="2229" t="s">
        <v>5320</v>
      </c>
      <c r="AG219" s="2120" t="s">
        <v>5321</v>
      </c>
      <c r="AH219" s="2229" t="s">
        <v>5322</v>
      </c>
      <c r="AI219" s="2120" t="s">
        <v>5323</v>
      </c>
      <c r="AJ219" s="2229" t="s">
        <v>5324</v>
      </c>
      <c r="AK219" s="2120" t="s">
        <v>5325</v>
      </c>
      <c r="AL219" s="2229" t="s">
        <v>5326</v>
      </c>
      <c r="AM219" s="2120" t="s">
        <v>5327</v>
      </c>
      <c r="AN219" s="2240" t="s">
        <v>5328</v>
      </c>
      <c r="AO219" s="1424" t="s">
        <v>5329</v>
      </c>
      <c r="AP219" s="1092" t="s">
        <v>5330</v>
      </c>
      <c r="AQ219" s="2120" t="s">
        <v>5331</v>
      </c>
      <c r="AR219" s="2229" t="s">
        <v>5332</v>
      </c>
      <c r="AS219" s="2229" t="s">
        <v>5333</v>
      </c>
      <c r="AT219" s="2229" t="s">
        <v>5334</v>
      </c>
      <c r="AU219" s="2654" t="s">
        <v>5335</v>
      </c>
      <c r="AV219" s="2132" t="s">
        <v>5336</v>
      </c>
      <c r="AW219" s="2654" t="s">
        <v>5337</v>
      </c>
      <c r="AX219" s="2132" t="s">
        <v>5338</v>
      </c>
      <c r="AY219" s="17" t="e">
        <f t="shared" si="88"/>
        <v>#VALUE!</v>
      </c>
      <c r="BR219" s="2465" t="str">
        <f t="shared" ref="BR219:BR230" si="138">IF(AND(F219&gt;0,AO219=""), "* No olvide digitar la variable Gestantes. Digite Cero si no tiene.",IF(AO219&gt;F219,"  * La  variable Gestantes No puede ser mayor al Total Mujeres.",""))</f>
        <v xml:space="preserve">  * La  variable Gestantes No puede ser mayor al Total Mujeres.</v>
      </c>
      <c r="BS219" s="2465" t="str">
        <f>IF(AND(F219&gt;0,AP219=""), "* No olvide digitar la variable Madre de hijo menor de 5 años. Digite Cero si no tiene.",IF(AP219&gt;F219,"  * La variable Madre de hijo menor de 5 años No puede ser mayor al Total Mujeres.",""))</f>
        <v xml:space="preserve">  * La variable Madre de hijo menor de 5 años No puede ser mayor al Total Mujeres.</v>
      </c>
      <c r="BT219" s="2465" t="str">
        <f t="shared" ref="BT219:BT230" si="139">IF(AND(E219&gt;0,OR(AQ219="")), "* No olvide digitar la variable Pueblos originarios - Hombres. Digite Cero si no tiene.",IF((AQ219)&gt;E219,"  * La variable Pueblos originarios - Hombres No puede ser mayor al Total.",""))</f>
        <v xml:space="preserve">  * La variable Pueblos originarios - Hombres No puede ser mayor al Total.</v>
      </c>
      <c r="BU219" s="2465" t="str">
        <f t="shared" ref="BU219:BU230" si="140">IF(AND(F219&gt;0,OR(AR219="")), "* No olvide digitar la variable Pueblos originarios - Mujeres. Digite Cero si no tiene.",IF((AR219)&gt;F219,"  * La variable Pueblos originarios - Mujeres No puede ser mayor al Total.",""))</f>
        <v xml:space="preserve">  * La variable Pueblos originarios - Mujeres No puede ser mayor al Total.</v>
      </c>
      <c r="BV219" s="2465" t="str">
        <f t="shared" ref="BV219:BV230" si="141">IF(AND(D219&gt;0,AS219=""), "* No olvide digitar la variable Niños, niñas, adolescentes y jóvenes SENAME. Digite Cero si no tiene.",IF(AS219&gt;D219,"  * La variable Niños, niñas, adolescentes y jóvenes SENAME No puede ser mayor al Total.",""))</f>
        <v xml:space="preserve">  * La variable Niños, niñas, adolescentes y jóvenes SENAME No puede ser mayor al Total.</v>
      </c>
      <c r="BW219" s="2465" t="str">
        <f t="shared" ref="BW219:BW230" si="142">IF(AND(D219&gt;0,AT219=""), "* No olvide digitar la variable Niños, niñas, adolescentes y jóvenes Mejor Niñez. Digite Cero si no tiene.",IF(AT219&gt;D219,"  * La variable Niños, niñas, adolescentes y jóvenes Mejor Niñez No puede ser mayor al Total.",""))</f>
        <v xml:space="preserve">  * La variable Niños, niñas, adolescentes y jóvenes Mejor Niñez No puede ser mayor al Total.</v>
      </c>
      <c r="BX219" s="2465" t="e">
        <f t="shared" ref="BX219:BX230" si="143">IF(AND(E219&gt;0,OR(AU219="")), "* No olvide digitar la variable Migrantes - Hombres. Digite Cero si no tiene.",IF((AU219+AU219)&gt;E219,"  * La variable Migrantes - Hombres No puede ser mayor al Total.",""))</f>
        <v>#VALUE!</v>
      </c>
      <c r="BY219" s="2465" t="str">
        <f t="shared" ref="BY219:BY230" si="144">IF(AND(F219&gt;0,OR(AV219="")), "* No olvide digitar la variable Migrantes - Mujeres. Digite Cero si no tiene.",IF((AV219)&gt;F219,"  * La variable Migrantes - Mujeres No puede ser mayor al Total.",""))</f>
        <v xml:space="preserve">  * La variable Migrantes - Mujeres No puede ser mayor al Total.</v>
      </c>
      <c r="BZ219" s="2465" t="str">
        <f t="shared" si="108"/>
        <v xml:space="preserve">  * La variable Trans (Femenino) No puede ser mayor al Total Hombres.</v>
      </c>
      <c r="CA219" s="2465" t="str">
        <f t="shared" ref="CA219:CA230" si="145">IF(AND(F219&gt;0,OR(AW219="")), "* No olvide digitar la variable Trans (Masculino). Digite Cero si no tiene.",IF((AW219)&gt;F219,"  * La variable Trans (Masculino) No puede ser mayor al Total Mujeres.",""))</f>
        <v xml:space="preserve">  * La variable Trans (Masculino) No puede ser mayor al Total Mujeres.</v>
      </c>
      <c r="CB219" s="17"/>
      <c r="CC219" s="1724">
        <f t="shared" si="95"/>
        <v>1</v>
      </c>
      <c r="CD219" s="1724">
        <f t="shared" si="96"/>
        <v>1</v>
      </c>
      <c r="CE219" s="1724">
        <f t="shared" si="97"/>
        <v>1</v>
      </c>
      <c r="CF219" s="1724">
        <f t="shared" si="98"/>
        <v>1</v>
      </c>
      <c r="CG219" s="1724">
        <f t="shared" si="99"/>
        <v>1</v>
      </c>
      <c r="CH219" s="1724">
        <f t="shared" si="100"/>
        <v>1</v>
      </c>
      <c r="CI219" s="1724">
        <f t="shared" si="101"/>
        <v>1</v>
      </c>
      <c r="CJ219" s="1724">
        <f t="shared" si="102"/>
        <v>1</v>
      </c>
      <c r="CK219" s="1724">
        <f t="shared" si="103"/>
        <v>1</v>
      </c>
      <c r="CL219" s="1724">
        <f t="shared" si="104"/>
        <v>1</v>
      </c>
    </row>
    <row r="220" spans="1:90" ht="15" customHeight="1" x14ac:dyDescent="0.3">
      <c r="A220" s="6248" t="s">
        <v>4423</v>
      </c>
      <c r="B220" s="6945" t="s">
        <v>2026</v>
      </c>
      <c r="C220" s="6946"/>
      <c r="D220" s="2275" t="s">
        <v>5292</v>
      </c>
      <c r="E220" s="2276" t="s">
        <v>5293</v>
      </c>
      <c r="F220" s="2274" t="s">
        <v>5294</v>
      </c>
      <c r="G220" s="2112" t="s">
        <v>5295</v>
      </c>
      <c r="H220" s="1089" t="s">
        <v>5296</v>
      </c>
      <c r="I220" s="2112" t="s">
        <v>5297</v>
      </c>
      <c r="J220" s="1089" t="s">
        <v>5298</v>
      </c>
      <c r="K220" s="2112" t="s">
        <v>5299</v>
      </c>
      <c r="L220" s="1089" t="s">
        <v>5300</v>
      </c>
      <c r="M220" s="2112" t="s">
        <v>5301</v>
      </c>
      <c r="N220" s="1089" t="s">
        <v>5302</v>
      </c>
      <c r="O220" s="2112" t="s">
        <v>5303</v>
      </c>
      <c r="P220" s="1089" t="s">
        <v>5304</v>
      </c>
      <c r="Q220" s="2112" t="s">
        <v>5305</v>
      </c>
      <c r="R220" s="1089" t="s">
        <v>5306</v>
      </c>
      <c r="S220" s="2112" t="s">
        <v>5307</v>
      </c>
      <c r="T220" s="1089" t="s">
        <v>5308</v>
      </c>
      <c r="U220" s="2112" t="s">
        <v>5309</v>
      </c>
      <c r="V220" s="1089" t="s">
        <v>5310</v>
      </c>
      <c r="W220" s="2112" t="s">
        <v>5311</v>
      </c>
      <c r="X220" s="1089" t="s">
        <v>5312</v>
      </c>
      <c r="Y220" s="2112" t="s">
        <v>5313</v>
      </c>
      <c r="Z220" s="1089" t="s">
        <v>5314</v>
      </c>
      <c r="AA220" s="2112" t="s">
        <v>5315</v>
      </c>
      <c r="AB220" s="1089" t="s">
        <v>5316</v>
      </c>
      <c r="AC220" s="2112" t="s">
        <v>5317</v>
      </c>
      <c r="AD220" s="1089" t="s">
        <v>5318</v>
      </c>
      <c r="AE220" s="2112" t="s">
        <v>5319</v>
      </c>
      <c r="AF220" s="1089" t="s">
        <v>5320</v>
      </c>
      <c r="AG220" s="2112" t="s">
        <v>5321</v>
      </c>
      <c r="AH220" s="1089" t="s">
        <v>5322</v>
      </c>
      <c r="AI220" s="2112" t="s">
        <v>5323</v>
      </c>
      <c r="AJ220" s="1089" t="s">
        <v>5324</v>
      </c>
      <c r="AK220" s="2112" t="s">
        <v>5325</v>
      </c>
      <c r="AL220" s="1089" t="s">
        <v>5326</v>
      </c>
      <c r="AM220" s="2112" t="s">
        <v>5327</v>
      </c>
      <c r="AN220" s="2239" t="s">
        <v>5328</v>
      </c>
      <c r="AO220" s="1424" t="s">
        <v>5329</v>
      </c>
      <c r="AP220" s="1092" t="s">
        <v>5330</v>
      </c>
      <c r="AQ220" s="1095" t="s">
        <v>5331</v>
      </c>
      <c r="AR220" s="8" t="s">
        <v>5332</v>
      </c>
      <c r="AS220" s="8" t="s">
        <v>5333</v>
      </c>
      <c r="AT220" s="8" t="s">
        <v>5334</v>
      </c>
      <c r="AU220" s="1697" t="s">
        <v>5335</v>
      </c>
      <c r="AV220" s="1099" t="s">
        <v>5336</v>
      </c>
      <c r="AW220" s="1697" t="s">
        <v>5337</v>
      </c>
      <c r="AX220" s="1099" t="s">
        <v>5338</v>
      </c>
      <c r="AY220" s="17" t="e">
        <f t="shared" si="88"/>
        <v>#VALUE!</v>
      </c>
      <c r="BR220" s="2465" t="str">
        <f t="shared" si="138"/>
        <v xml:space="preserve">  * La  variable Gestantes No puede ser mayor al Total Mujeres.</v>
      </c>
      <c r="BS220" s="2465" t="str">
        <f t="shared" ref="BS220:BS230" si="146">IF(AND(F220&gt;0,AP220=""), "* No olvide digitar la variable Madre de hijo menor de 5 años. Digite Cero si no tiene.",IF(AP220&gt;F220,"  * La variable Madre de hijo menor de 5 años No puede ser mayor al Total Mujeres.",""))</f>
        <v xml:space="preserve">  * La variable Madre de hijo menor de 5 años No puede ser mayor al Total Mujeres.</v>
      </c>
      <c r="BT220" s="2465" t="str">
        <f t="shared" si="139"/>
        <v xml:space="preserve">  * La variable Pueblos originarios - Hombres No puede ser mayor al Total.</v>
      </c>
      <c r="BU220" s="2465" t="str">
        <f t="shared" si="140"/>
        <v xml:space="preserve">  * La variable Pueblos originarios - Mujeres No puede ser mayor al Total.</v>
      </c>
      <c r="BV220" s="2465" t="str">
        <f t="shared" si="141"/>
        <v xml:space="preserve">  * La variable Niños, niñas, adolescentes y jóvenes SENAME No puede ser mayor al Total.</v>
      </c>
      <c r="BW220" s="2465" t="str">
        <f t="shared" si="142"/>
        <v xml:space="preserve">  * La variable Niños, niñas, adolescentes y jóvenes Mejor Niñez No puede ser mayor al Total.</v>
      </c>
      <c r="BX220" s="2465" t="e">
        <f t="shared" si="143"/>
        <v>#VALUE!</v>
      </c>
      <c r="BY220" s="2465" t="str">
        <f t="shared" si="144"/>
        <v xml:space="preserve">  * La variable Migrantes - Mujeres No puede ser mayor al Total.</v>
      </c>
      <c r="BZ220" s="2465" t="str">
        <f t="shared" si="108"/>
        <v xml:space="preserve">  * La variable Trans (Femenino) No puede ser mayor al Total Hombres.</v>
      </c>
      <c r="CA220" s="2465" t="str">
        <f t="shared" si="145"/>
        <v xml:space="preserve">  * La variable Trans (Masculino) No puede ser mayor al Total Mujeres.</v>
      </c>
      <c r="CB220" s="17"/>
      <c r="CC220" s="1724">
        <f t="shared" si="95"/>
        <v>1</v>
      </c>
      <c r="CD220" s="1724">
        <f t="shared" si="96"/>
        <v>1</v>
      </c>
      <c r="CE220" s="1724">
        <f t="shared" si="97"/>
        <v>1</v>
      </c>
      <c r="CF220" s="1724">
        <f t="shared" si="98"/>
        <v>1</v>
      </c>
      <c r="CG220" s="1724">
        <f t="shared" si="99"/>
        <v>1</v>
      </c>
      <c r="CH220" s="1724">
        <f t="shared" si="100"/>
        <v>1</v>
      </c>
      <c r="CI220" s="1724">
        <f t="shared" si="101"/>
        <v>1</v>
      </c>
      <c r="CJ220" s="1724">
        <f t="shared" si="102"/>
        <v>1</v>
      </c>
      <c r="CK220" s="1724">
        <f t="shared" si="103"/>
        <v>1</v>
      </c>
      <c r="CL220" s="1724">
        <f t="shared" si="104"/>
        <v>1</v>
      </c>
    </row>
    <row r="221" spans="1:90" ht="15" customHeight="1" x14ac:dyDescent="0.3">
      <c r="A221" s="6248" t="s">
        <v>4424</v>
      </c>
      <c r="B221" s="6820" t="s">
        <v>2027</v>
      </c>
      <c r="C221" s="6821"/>
      <c r="D221" s="2277" t="s">
        <v>5292</v>
      </c>
      <c r="E221" s="2278" t="s">
        <v>5293</v>
      </c>
      <c r="F221" s="1" t="s">
        <v>5294</v>
      </c>
      <c r="G221" s="1095" t="s">
        <v>5295</v>
      </c>
      <c r="H221" s="8" t="s">
        <v>5296</v>
      </c>
      <c r="I221" s="1095" t="s">
        <v>5297</v>
      </c>
      <c r="J221" s="8" t="s">
        <v>5298</v>
      </c>
      <c r="K221" s="1095" t="s">
        <v>5299</v>
      </c>
      <c r="L221" s="8" t="s">
        <v>5300</v>
      </c>
      <c r="M221" s="1095" t="s">
        <v>5301</v>
      </c>
      <c r="N221" s="8" t="s">
        <v>5302</v>
      </c>
      <c r="O221" s="1095" t="s">
        <v>5303</v>
      </c>
      <c r="P221" s="8" t="s">
        <v>5304</v>
      </c>
      <c r="Q221" s="1095" t="s">
        <v>5305</v>
      </c>
      <c r="R221" s="8" t="s">
        <v>5306</v>
      </c>
      <c r="S221" s="1095" t="s">
        <v>5307</v>
      </c>
      <c r="T221" s="8" t="s">
        <v>5308</v>
      </c>
      <c r="U221" s="1095" t="s">
        <v>5309</v>
      </c>
      <c r="V221" s="8" t="s">
        <v>5310</v>
      </c>
      <c r="W221" s="1095" t="s">
        <v>5311</v>
      </c>
      <c r="X221" s="8" t="s">
        <v>5312</v>
      </c>
      <c r="Y221" s="1095" t="s">
        <v>5313</v>
      </c>
      <c r="Z221" s="8" t="s">
        <v>5314</v>
      </c>
      <c r="AA221" s="1095" t="s">
        <v>5315</v>
      </c>
      <c r="AB221" s="8" t="s">
        <v>5316</v>
      </c>
      <c r="AC221" s="1095" t="s">
        <v>5317</v>
      </c>
      <c r="AD221" s="8" t="s">
        <v>5318</v>
      </c>
      <c r="AE221" s="1095" t="s">
        <v>5319</v>
      </c>
      <c r="AF221" s="8" t="s">
        <v>5320</v>
      </c>
      <c r="AG221" s="1095" t="s">
        <v>5321</v>
      </c>
      <c r="AH221" s="8" t="s">
        <v>5322</v>
      </c>
      <c r="AI221" s="1095" t="s">
        <v>5323</v>
      </c>
      <c r="AJ221" s="8" t="s">
        <v>5324</v>
      </c>
      <c r="AK221" s="1095" t="s">
        <v>5325</v>
      </c>
      <c r="AL221" s="8" t="s">
        <v>5326</v>
      </c>
      <c r="AM221" s="1095" t="s">
        <v>5327</v>
      </c>
      <c r="AN221" s="1697" t="s">
        <v>5328</v>
      </c>
      <c r="AO221" s="1424" t="s">
        <v>5329</v>
      </c>
      <c r="AP221" s="1092" t="s">
        <v>5330</v>
      </c>
      <c r="AQ221" s="1095" t="s">
        <v>5331</v>
      </c>
      <c r="AR221" s="8" t="s">
        <v>5332</v>
      </c>
      <c r="AS221" s="8" t="s">
        <v>5333</v>
      </c>
      <c r="AT221" s="8" t="s">
        <v>5334</v>
      </c>
      <c r="AU221" s="1697" t="s">
        <v>5335</v>
      </c>
      <c r="AV221" s="1099" t="s">
        <v>5336</v>
      </c>
      <c r="AW221" s="1697" t="s">
        <v>5337</v>
      </c>
      <c r="AX221" s="1099" t="s">
        <v>5338</v>
      </c>
      <c r="AY221" s="17" t="e">
        <f t="shared" si="88"/>
        <v>#VALUE!</v>
      </c>
      <c r="BR221" s="2465" t="str">
        <f t="shared" si="138"/>
        <v xml:space="preserve">  * La  variable Gestantes No puede ser mayor al Total Mujeres.</v>
      </c>
      <c r="BS221" s="2465" t="str">
        <f t="shared" si="146"/>
        <v xml:space="preserve">  * La variable Madre de hijo menor de 5 años No puede ser mayor al Total Mujeres.</v>
      </c>
      <c r="BT221" s="2465" t="str">
        <f t="shared" si="139"/>
        <v xml:space="preserve">  * La variable Pueblos originarios - Hombres No puede ser mayor al Total.</v>
      </c>
      <c r="BU221" s="2465" t="str">
        <f t="shared" si="140"/>
        <v xml:space="preserve">  * La variable Pueblos originarios - Mujeres No puede ser mayor al Total.</v>
      </c>
      <c r="BV221" s="2465" t="str">
        <f t="shared" si="141"/>
        <v xml:space="preserve">  * La variable Niños, niñas, adolescentes y jóvenes SENAME No puede ser mayor al Total.</v>
      </c>
      <c r="BW221" s="2465" t="str">
        <f t="shared" si="142"/>
        <v xml:space="preserve">  * La variable Niños, niñas, adolescentes y jóvenes Mejor Niñez No puede ser mayor al Total.</v>
      </c>
      <c r="BX221" s="2465" t="e">
        <f t="shared" si="143"/>
        <v>#VALUE!</v>
      </c>
      <c r="BY221" s="2465" t="str">
        <f t="shared" si="144"/>
        <v xml:space="preserve">  * La variable Migrantes - Mujeres No puede ser mayor al Total.</v>
      </c>
      <c r="BZ221" s="2465" t="str">
        <f t="shared" si="108"/>
        <v xml:space="preserve">  * La variable Trans (Femenino) No puede ser mayor al Total Hombres.</v>
      </c>
      <c r="CA221" s="2465" t="str">
        <f t="shared" si="145"/>
        <v xml:space="preserve">  * La variable Trans (Masculino) No puede ser mayor al Total Mujeres.</v>
      </c>
      <c r="CB221" s="17"/>
      <c r="CC221" s="1724">
        <f t="shared" si="95"/>
        <v>1</v>
      </c>
      <c r="CD221" s="1724">
        <f t="shared" si="96"/>
        <v>1</v>
      </c>
      <c r="CE221" s="1724">
        <f t="shared" si="97"/>
        <v>1</v>
      </c>
      <c r="CF221" s="1724">
        <f t="shared" si="98"/>
        <v>1</v>
      </c>
      <c r="CG221" s="1724">
        <f t="shared" si="99"/>
        <v>1</v>
      </c>
      <c r="CH221" s="1724">
        <f t="shared" si="100"/>
        <v>1</v>
      </c>
      <c r="CI221" s="1724">
        <f t="shared" si="101"/>
        <v>1</v>
      </c>
      <c r="CJ221" s="1724">
        <f t="shared" si="102"/>
        <v>1</v>
      </c>
      <c r="CK221" s="1724">
        <f t="shared" si="103"/>
        <v>1</v>
      </c>
      <c r="CL221" s="1724">
        <f t="shared" si="104"/>
        <v>1</v>
      </c>
    </row>
    <row r="222" spans="1:90" ht="15" customHeight="1" x14ac:dyDescent="0.3">
      <c r="A222" s="6248" t="s">
        <v>4425</v>
      </c>
      <c r="B222" s="6820" t="s">
        <v>2028</v>
      </c>
      <c r="C222" s="6821"/>
      <c r="D222" s="2277" t="s">
        <v>5292</v>
      </c>
      <c r="E222" s="2278" t="s">
        <v>5293</v>
      </c>
      <c r="F222" s="1" t="s">
        <v>5294</v>
      </c>
      <c r="G222" s="1095" t="s">
        <v>5295</v>
      </c>
      <c r="H222" s="8" t="s">
        <v>5296</v>
      </c>
      <c r="I222" s="1095" t="s">
        <v>5297</v>
      </c>
      <c r="J222" s="8" t="s">
        <v>5298</v>
      </c>
      <c r="K222" s="1095" t="s">
        <v>5299</v>
      </c>
      <c r="L222" s="8" t="s">
        <v>5300</v>
      </c>
      <c r="M222" s="1095" t="s">
        <v>5301</v>
      </c>
      <c r="N222" s="8" t="s">
        <v>5302</v>
      </c>
      <c r="O222" s="1095" t="s">
        <v>5303</v>
      </c>
      <c r="P222" s="8" t="s">
        <v>5304</v>
      </c>
      <c r="Q222" s="1095" t="s">
        <v>5305</v>
      </c>
      <c r="R222" s="8" t="s">
        <v>5306</v>
      </c>
      <c r="S222" s="1095" t="s">
        <v>5307</v>
      </c>
      <c r="T222" s="8" t="s">
        <v>5308</v>
      </c>
      <c r="U222" s="1095" t="s">
        <v>5309</v>
      </c>
      <c r="V222" s="8" t="s">
        <v>5310</v>
      </c>
      <c r="W222" s="1095" t="s">
        <v>5311</v>
      </c>
      <c r="X222" s="8" t="s">
        <v>5312</v>
      </c>
      <c r="Y222" s="1095" t="s">
        <v>5313</v>
      </c>
      <c r="Z222" s="8" t="s">
        <v>5314</v>
      </c>
      <c r="AA222" s="1095" t="s">
        <v>5315</v>
      </c>
      <c r="AB222" s="8" t="s">
        <v>5316</v>
      </c>
      <c r="AC222" s="1095" t="s">
        <v>5317</v>
      </c>
      <c r="AD222" s="8" t="s">
        <v>5318</v>
      </c>
      <c r="AE222" s="1095" t="s">
        <v>5319</v>
      </c>
      <c r="AF222" s="8" t="s">
        <v>5320</v>
      </c>
      <c r="AG222" s="1095" t="s">
        <v>5321</v>
      </c>
      <c r="AH222" s="8" t="s">
        <v>5322</v>
      </c>
      <c r="AI222" s="1095" t="s">
        <v>5323</v>
      </c>
      <c r="AJ222" s="8" t="s">
        <v>5324</v>
      </c>
      <c r="AK222" s="1095" t="s">
        <v>5325</v>
      </c>
      <c r="AL222" s="8" t="s">
        <v>5326</v>
      </c>
      <c r="AM222" s="1095" t="s">
        <v>5327</v>
      </c>
      <c r="AN222" s="1697" t="s">
        <v>5328</v>
      </c>
      <c r="AO222" s="1424" t="s">
        <v>5329</v>
      </c>
      <c r="AP222" s="1092" t="s">
        <v>5330</v>
      </c>
      <c r="AQ222" s="1095" t="s">
        <v>5331</v>
      </c>
      <c r="AR222" s="8" t="s">
        <v>5332</v>
      </c>
      <c r="AS222" s="8" t="s">
        <v>5333</v>
      </c>
      <c r="AT222" s="8" t="s">
        <v>5334</v>
      </c>
      <c r="AU222" s="1697" t="s">
        <v>5335</v>
      </c>
      <c r="AV222" s="1099" t="s">
        <v>5336</v>
      </c>
      <c r="AW222" s="1697" t="s">
        <v>5337</v>
      </c>
      <c r="AX222" s="1099" t="s">
        <v>5338</v>
      </c>
      <c r="AY222" s="17" t="e">
        <f t="shared" si="88"/>
        <v>#VALUE!</v>
      </c>
      <c r="BR222" s="2465" t="str">
        <f t="shared" si="138"/>
        <v xml:space="preserve">  * La  variable Gestantes No puede ser mayor al Total Mujeres.</v>
      </c>
      <c r="BS222" s="2465" t="str">
        <f t="shared" si="146"/>
        <v xml:space="preserve">  * La variable Madre de hijo menor de 5 años No puede ser mayor al Total Mujeres.</v>
      </c>
      <c r="BT222" s="2465" t="str">
        <f t="shared" si="139"/>
        <v xml:space="preserve">  * La variable Pueblos originarios - Hombres No puede ser mayor al Total.</v>
      </c>
      <c r="BU222" s="2465" t="str">
        <f t="shared" si="140"/>
        <v xml:space="preserve">  * La variable Pueblos originarios - Mujeres No puede ser mayor al Total.</v>
      </c>
      <c r="BV222" s="2465" t="str">
        <f t="shared" si="141"/>
        <v xml:space="preserve">  * La variable Niños, niñas, adolescentes y jóvenes SENAME No puede ser mayor al Total.</v>
      </c>
      <c r="BW222" s="2465" t="str">
        <f t="shared" si="142"/>
        <v xml:space="preserve">  * La variable Niños, niñas, adolescentes y jóvenes Mejor Niñez No puede ser mayor al Total.</v>
      </c>
      <c r="BX222" s="2465" t="e">
        <f t="shared" si="143"/>
        <v>#VALUE!</v>
      </c>
      <c r="BY222" s="2465" t="str">
        <f t="shared" si="144"/>
        <v xml:space="preserve">  * La variable Migrantes - Mujeres No puede ser mayor al Total.</v>
      </c>
      <c r="BZ222" s="2465" t="str">
        <f t="shared" si="108"/>
        <v xml:space="preserve">  * La variable Trans (Femenino) No puede ser mayor al Total Hombres.</v>
      </c>
      <c r="CA222" s="2465" t="str">
        <f t="shared" si="145"/>
        <v xml:space="preserve">  * La variable Trans (Masculino) No puede ser mayor al Total Mujeres.</v>
      </c>
      <c r="CB222" s="17"/>
      <c r="CC222" s="1724">
        <f t="shared" si="95"/>
        <v>1</v>
      </c>
      <c r="CD222" s="1724">
        <f t="shared" si="96"/>
        <v>1</v>
      </c>
      <c r="CE222" s="1724">
        <f t="shared" si="97"/>
        <v>1</v>
      </c>
      <c r="CF222" s="1724">
        <f t="shared" si="98"/>
        <v>1</v>
      </c>
      <c r="CG222" s="1724">
        <f t="shared" si="99"/>
        <v>1</v>
      </c>
      <c r="CH222" s="1724">
        <f t="shared" si="100"/>
        <v>1</v>
      </c>
      <c r="CI222" s="1724">
        <f t="shared" si="101"/>
        <v>1</v>
      </c>
      <c r="CJ222" s="1724">
        <f t="shared" si="102"/>
        <v>1</v>
      </c>
      <c r="CK222" s="1724">
        <f t="shared" si="103"/>
        <v>1</v>
      </c>
      <c r="CL222" s="1724">
        <f t="shared" si="104"/>
        <v>1</v>
      </c>
    </row>
    <row r="223" spans="1:90" ht="15" customHeight="1" x14ac:dyDescent="0.3">
      <c r="A223" s="6248" t="s">
        <v>4426</v>
      </c>
      <c r="B223" s="6849" t="s">
        <v>2029</v>
      </c>
      <c r="C223" s="6850"/>
      <c r="D223" s="2285" t="s">
        <v>5292</v>
      </c>
      <c r="E223" s="2279" t="s">
        <v>5293</v>
      </c>
      <c r="F223" s="1695" t="s">
        <v>5294</v>
      </c>
      <c r="G223" s="3" t="s">
        <v>5295</v>
      </c>
      <c r="H223" s="12" t="s">
        <v>5296</v>
      </c>
      <c r="I223" s="3" t="s">
        <v>5297</v>
      </c>
      <c r="J223" s="12" t="s">
        <v>5298</v>
      </c>
      <c r="K223" s="3" t="s">
        <v>5299</v>
      </c>
      <c r="L223" s="12" t="s">
        <v>5300</v>
      </c>
      <c r="M223" s="3" t="s">
        <v>5301</v>
      </c>
      <c r="N223" s="12" t="s">
        <v>5302</v>
      </c>
      <c r="O223" s="3" t="s">
        <v>5303</v>
      </c>
      <c r="P223" s="12" t="s">
        <v>5304</v>
      </c>
      <c r="Q223" s="3" t="s">
        <v>5305</v>
      </c>
      <c r="R223" s="12" t="s">
        <v>5306</v>
      </c>
      <c r="S223" s="3" t="s">
        <v>5307</v>
      </c>
      <c r="T223" s="12" t="s">
        <v>5308</v>
      </c>
      <c r="U223" s="3" t="s">
        <v>5309</v>
      </c>
      <c r="V223" s="12" t="s">
        <v>5310</v>
      </c>
      <c r="W223" s="3" t="s">
        <v>5311</v>
      </c>
      <c r="X223" s="12" t="s">
        <v>5312</v>
      </c>
      <c r="Y223" s="3" t="s">
        <v>5313</v>
      </c>
      <c r="Z223" s="12" t="s">
        <v>5314</v>
      </c>
      <c r="AA223" s="3" t="s">
        <v>5315</v>
      </c>
      <c r="AB223" s="12" t="s">
        <v>5316</v>
      </c>
      <c r="AC223" s="3" t="s">
        <v>5317</v>
      </c>
      <c r="AD223" s="12" t="s">
        <v>5318</v>
      </c>
      <c r="AE223" s="3" t="s">
        <v>5319</v>
      </c>
      <c r="AF223" s="12" t="s">
        <v>5320</v>
      </c>
      <c r="AG223" s="3" t="s">
        <v>5321</v>
      </c>
      <c r="AH223" s="12" t="s">
        <v>5322</v>
      </c>
      <c r="AI223" s="3" t="s">
        <v>5323</v>
      </c>
      <c r="AJ223" s="12" t="s">
        <v>5324</v>
      </c>
      <c r="AK223" s="3" t="s">
        <v>5325</v>
      </c>
      <c r="AL223" s="12" t="s">
        <v>5326</v>
      </c>
      <c r="AM223" s="3" t="s">
        <v>5327</v>
      </c>
      <c r="AN223" s="2290" t="s">
        <v>5328</v>
      </c>
      <c r="AO223" s="29" t="s">
        <v>5329</v>
      </c>
      <c r="AP223" s="30" t="s">
        <v>5330</v>
      </c>
      <c r="AQ223" s="3" t="s">
        <v>5331</v>
      </c>
      <c r="AR223" s="12" t="s">
        <v>5332</v>
      </c>
      <c r="AS223" s="12" t="s">
        <v>5333</v>
      </c>
      <c r="AT223" s="12" t="s">
        <v>5334</v>
      </c>
      <c r="AU223" s="2290" t="s">
        <v>5335</v>
      </c>
      <c r="AV223" s="6" t="s">
        <v>5336</v>
      </c>
      <c r="AW223" s="2290" t="s">
        <v>5337</v>
      </c>
      <c r="AX223" s="6" t="s">
        <v>5338</v>
      </c>
      <c r="AY223" s="17" t="e">
        <f t="shared" si="88"/>
        <v>#VALUE!</v>
      </c>
      <c r="BR223" s="2465" t="str">
        <f t="shared" si="138"/>
        <v xml:space="preserve">  * La  variable Gestantes No puede ser mayor al Total Mujeres.</v>
      </c>
      <c r="BS223" s="2465" t="str">
        <f t="shared" si="146"/>
        <v xml:space="preserve">  * La variable Madre de hijo menor de 5 años No puede ser mayor al Total Mujeres.</v>
      </c>
      <c r="BT223" s="2465" t="str">
        <f t="shared" si="139"/>
        <v xml:space="preserve">  * La variable Pueblos originarios - Hombres No puede ser mayor al Total.</v>
      </c>
      <c r="BU223" s="2465" t="str">
        <f t="shared" si="140"/>
        <v xml:space="preserve">  * La variable Pueblos originarios - Mujeres No puede ser mayor al Total.</v>
      </c>
      <c r="BV223" s="2465" t="str">
        <f t="shared" si="141"/>
        <v xml:space="preserve">  * La variable Niños, niñas, adolescentes y jóvenes SENAME No puede ser mayor al Total.</v>
      </c>
      <c r="BW223" s="2465" t="str">
        <f t="shared" si="142"/>
        <v xml:space="preserve">  * La variable Niños, niñas, adolescentes y jóvenes Mejor Niñez No puede ser mayor al Total.</v>
      </c>
      <c r="BX223" s="2465" t="e">
        <f t="shared" si="143"/>
        <v>#VALUE!</v>
      </c>
      <c r="BY223" s="2465" t="str">
        <f t="shared" si="144"/>
        <v xml:space="preserve">  * La variable Migrantes - Mujeres No puede ser mayor al Total.</v>
      </c>
      <c r="BZ223" s="2465" t="str">
        <f t="shared" si="108"/>
        <v xml:space="preserve">  * La variable Trans (Femenino) No puede ser mayor al Total Hombres.</v>
      </c>
      <c r="CA223" s="2465" t="str">
        <f t="shared" si="145"/>
        <v xml:space="preserve">  * La variable Trans (Masculino) No puede ser mayor al Total Mujeres.</v>
      </c>
      <c r="CB223" s="17"/>
      <c r="CC223" s="1724">
        <f t="shared" si="95"/>
        <v>1</v>
      </c>
      <c r="CD223" s="1724">
        <f t="shared" si="96"/>
        <v>1</v>
      </c>
      <c r="CE223" s="1724">
        <f t="shared" si="97"/>
        <v>1</v>
      </c>
      <c r="CF223" s="1724">
        <f t="shared" si="98"/>
        <v>1</v>
      </c>
      <c r="CG223" s="1724">
        <f t="shared" si="99"/>
        <v>1</v>
      </c>
      <c r="CH223" s="1724">
        <f t="shared" si="100"/>
        <v>1</v>
      </c>
      <c r="CI223" s="1724">
        <f t="shared" si="101"/>
        <v>1</v>
      </c>
      <c r="CJ223" s="1724">
        <f t="shared" si="102"/>
        <v>1</v>
      </c>
      <c r="CK223" s="1724">
        <f t="shared" si="103"/>
        <v>1</v>
      </c>
      <c r="CL223" s="1724">
        <f t="shared" si="104"/>
        <v>1</v>
      </c>
    </row>
    <row r="224" spans="1:90" ht="15" customHeight="1" x14ac:dyDescent="0.3">
      <c r="A224" s="6248" t="s">
        <v>4427</v>
      </c>
      <c r="B224" s="6917" t="s">
        <v>2030</v>
      </c>
      <c r="C224" s="2303" t="s">
        <v>2031</v>
      </c>
      <c r="D224" s="2250" t="s">
        <v>5292</v>
      </c>
      <c r="E224" s="2251" t="s">
        <v>5293</v>
      </c>
      <c r="F224" s="2314" t="s">
        <v>5294</v>
      </c>
      <c r="G224" s="1332" t="s">
        <v>5295</v>
      </c>
      <c r="H224" s="1258" t="s">
        <v>5296</v>
      </c>
      <c r="I224" s="1332" t="s">
        <v>5297</v>
      </c>
      <c r="J224" s="1258" t="s">
        <v>5298</v>
      </c>
      <c r="K224" s="1332" t="s">
        <v>5299</v>
      </c>
      <c r="L224" s="1258" t="s">
        <v>5300</v>
      </c>
      <c r="M224" s="1332" t="s">
        <v>5301</v>
      </c>
      <c r="N224" s="1258" t="s">
        <v>5302</v>
      </c>
      <c r="O224" s="1332" t="s">
        <v>5303</v>
      </c>
      <c r="P224" s="1258" t="s">
        <v>5304</v>
      </c>
      <c r="Q224" s="1332" t="s">
        <v>5305</v>
      </c>
      <c r="R224" s="1258" t="s">
        <v>5306</v>
      </c>
      <c r="S224" s="1332" t="s">
        <v>5307</v>
      </c>
      <c r="T224" s="1258" t="s">
        <v>5308</v>
      </c>
      <c r="U224" s="1332" t="s">
        <v>5309</v>
      </c>
      <c r="V224" s="1258" t="s">
        <v>5310</v>
      </c>
      <c r="W224" s="1332" t="s">
        <v>5311</v>
      </c>
      <c r="X224" s="1258" t="s">
        <v>5312</v>
      </c>
      <c r="Y224" s="1332" t="s">
        <v>5313</v>
      </c>
      <c r="Z224" s="1258" t="s">
        <v>5314</v>
      </c>
      <c r="AA224" s="1332" t="s">
        <v>5315</v>
      </c>
      <c r="AB224" s="1258" t="s">
        <v>5316</v>
      </c>
      <c r="AC224" s="1332" t="s">
        <v>5317</v>
      </c>
      <c r="AD224" s="1258" t="s">
        <v>5318</v>
      </c>
      <c r="AE224" s="1332" t="s">
        <v>5319</v>
      </c>
      <c r="AF224" s="1258" t="s">
        <v>5320</v>
      </c>
      <c r="AG224" s="1332" t="s">
        <v>5321</v>
      </c>
      <c r="AH224" s="1258" t="s">
        <v>5322</v>
      </c>
      <c r="AI224" s="1332" t="s">
        <v>5323</v>
      </c>
      <c r="AJ224" s="1258" t="s">
        <v>5324</v>
      </c>
      <c r="AK224" s="1332" t="s">
        <v>5325</v>
      </c>
      <c r="AL224" s="1258" t="s">
        <v>5326</v>
      </c>
      <c r="AM224" s="1332" t="s">
        <v>5327</v>
      </c>
      <c r="AN224" s="2241" t="s">
        <v>5328</v>
      </c>
      <c r="AO224" s="2315" t="s">
        <v>5329</v>
      </c>
      <c r="AP224" s="2316" t="s">
        <v>5330</v>
      </c>
      <c r="AQ224" s="1332" t="s">
        <v>5331</v>
      </c>
      <c r="AR224" s="1258" t="s">
        <v>5332</v>
      </c>
      <c r="AS224" s="1258" t="s">
        <v>5333</v>
      </c>
      <c r="AT224" s="1258" t="s">
        <v>5334</v>
      </c>
      <c r="AU224" s="2241" t="s">
        <v>5335</v>
      </c>
      <c r="AV224" s="2701" t="s">
        <v>5336</v>
      </c>
      <c r="AW224" s="2241" t="s">
        <v>5337</v>
      </c>
      <c r="AX224" s="2701" t="s">
        <v>5338</v>
      </c>
      <c r="AY224" s="17" t="e">
        <f t="shared" si="88"/>
        <v>#VALUE!</v>
      </c>
      <c r="BR224" s="2465" t="str">
        <f t="shared" si="138"/>
        <v xml:space="preserve">  * La  variable Gestantes No puede ser mayor al Total Mujeres.</v>
      </c>
      <c r="BS224" s="2465" t="str">
        <f t="shared" si="146"/>
        <v xml:space="preserve">  * La variable Madre de hijo menor de 5 años No puede ser mayor al Total Mujeres.</v>
      </c>
      <c r="BT224" s="2465" t="str">
        <f t="shared" si="139"/>
        <v xml:space="preserve">  * La variable Pueblos originarios - Hombres No puede ser mayor al Total.</v>
      </c>
      <c r="BU224" s="2465" t="str">
        <f t="shared" si="140"/>
        <v xml:space="preserve">  * La variable Pueblos originarios - Mujeres No puede ser mayor al Total.</v>
      </c>
      <c r="BV224" s="2465" t="str">
        <f t="shared" si="141"/>
        <v xml:space="preserve">  * La variable Niños, niñas, adolescentes y jóvenes SENAME No puede ser mayor al Total.</v>
      </c>
      <c r="BW224" s="2465" t="str">
        <f t="shared" si="142"/>
        <v xml:space="preserve">  * La variable Niños, niñas, adolescentes y jóvenes Mejor Niñez No puede ser mayor al Total.</v>
      </c>
      <c r="BX224" s="2465" t="e">
        <f t="shared" si="143"/>
        <v>#VALUE!</v>
      </c>
      <c r="BY224" s="2465" t="str">
        <f t="shared" si="144"/>
        <v xml:space="preserve">  * La variable Migrantes - Mujeres No puede ser mayor al Total.</v>
      </c>
      <c r="BZ224" s="2465" t="str">
        <f t="shared" si="108"/>
        <v xml:space="preserve">  * La variable Trans (Femenino) No puede ser mayor al Total Hombres.</v>
      </c>
      <c r="CA224" s="2465" t="str">
        <f t="shared" si="145"/>
        <v xml:space="preserve">  * La variable Trans (Masculino) No puede ser mayor al Total Mujeres.</v>
      </c>
      <c r="CB224" s="17"/>
      <c r="CC224" s="1724">
        <f t="shared" si="95"/>
        <v>1</v>
      </c>
      <c r="CD224" s="1724">
        <f t="shared" si="96"/>
        <v>1</v>
      </c>
      <c r="CE224" s="1724">
        <f t="shared" si="97"/>
        <v>1</v>
      </c>
      <c r="CF224" s="1724">
        <f t="shared" si="98"/>
        <v>1</v>
      </c>
      <c r="CG224" s="1724">
        <f t="shared" si="99"/>
        <v>1</v>
      </c>
      <c r="CH224" s="1724">
        <f t="shared" si="100"/>
        <v>1</v>
      </c>
      <c r="CI224" s="1724">
        <f t="shared" si="101"/>
        <v>1</v>
      </c>
      <c r="CJ224" s="1724">
        <f t="shared" si="102"/>
        <v>1</v>
      </c>
      <c r="CK224" s="1724">
        <f t="shared" si="103"/>
        <v>1</v>
      </c>
      <c r="CL224" s="1724">
        <f t="shared" si="104"/>
        <v>1</v>
      </c>
    </row>
    <row r="225" spans="1:90" ht="15" customHeight="1" x14ac:dyDescent="0.3">
      <c r="A225" s="6248" t="s">
        <v>4428</v>
      </c>
      <c r="B225" s="6899"/>
      <c r="C225" s="1094" t="s">
        <v>2032</v>
      </c>
      <c r="D225" s="2277" t="s">
        <v>5292</v>
      </c>
      <c r="E225" s="2278" t="s">
        <v>5293</v>
      </c>
      <c r="F225" s="2317" t="s">
        <v>5294</v>
      </c>
      <c r="G225" s="9" t="s">
        <v>5295</v>
      </c>
      <c r="H225" s="11" t="s">
        <v>5296</v>
      </c>
      <c r="I225" s="9" t="s">
        <v>5297</v>
      </c>
      <c r="J225" s="11" t="s">
        <v>5298</v>
      </c>
      <c r="K225" s="9" t="s">
        <v>5299</v>
      </c>
      <c r="L225" s="11" t="s">
        <v>5300</v>
      </c>
      <c r="M225" s="9" t="s">
        <v>5301</v>
      </c>
      <c r="N225" s="11" t="s">
        <v>5302</v>
      </c>
      <c r="O225" s="9" t="s">
        <v>5303</v>
      </c>
      <c r="P225" s="11" t="s">
        <v>5304</v>
      </c>
      <c r="Q225" s="9" t="s">
        <v>5305</v>
      </c>
      <c r="R225" s="11" t="s">
        <v>5306</v>
      </c>
      <c r="S225" s="9" t="s">
        <v>5307</v>
      </c>
      <c r="T225" s="11" t="s">
        <v>5308</v>
      </c>
      <c r="U225" s="9" t="s">
        <v>5309</v>
      </c>
      <c r="V225" s="11" t="s">
        <v>5310</v>
      </c>
      <c r="W225" s="9" t="s">
        <v>5311</v>
      </c>
      <c r="X225" s="11" t="s">
        <v>5312</v>
      </c>
      <c r="Y225" s="9" t="s">
        <v>5313</v>
      </c>
      <c r="Z225" s="11" t="s">
        <v>5314</v>
      </c>
      <c r="AA225" s="9" t="s">
        <v>5315</v>
      </c>
      <c r="AB225" s="11" t="s">
        <v>5316</v>
      </c>
      <c r="AC225" s="9" t="s">
        <v>5317</v>
      </c>
      <c r="AD225" s="11" t="s">
        <v>5318</v>
      </c>
      <c r="AE225" s="9" t="s">
        <v>5319</v>
      </c>
      <c r="AF225" s="11" t="s">
        <v>5320</v>
      </c>
      <c r="AG225" s="9" t="s">
        <v>5321</v>
      </c>
      <c r="AH225" s="11" t="s">
        <v>5322</v>
      </c>
      <c r="AI225" s="9" t="s">
        <v>5323</v>
      </c>
      <c r="AJ225" s="11" t="s">
        <v>5324</v>
      </c>
      <c r="AK225" s="9" t="s">
        <v>5325</v>
      </c>
      <c r="AL225" s="11" t="s">
        <v>5326</v>
      </c>
      <c r="AM225" s="9" t="s">
        <v>5327</v>
      </c>
      <c r="AN225" s="2236" t="s">
        <v>5328</v>
      </c>
      <c r="AO225" s="26" t="s">
        <v>5329</v>
      </c>
      <c r="AP225" s="27" t="s">
        <v>5330</v>
      </c>
      <c r="AQ225" s="9" t="s">
        <v>5331</v>
      </c>
      <c r="AR225" s="11" t="s">
        <v>5332</v>
      </c>
      <c r="AS225" s="11" t="s">
        <v>5333</v>
      </c>
      <c r="AT225" s="11" t="s">
        <v>5334</v>
      </c>
      <c r="AU225" s="2236" t="s">
        <v>5335</v>
      </c>
      <c r="AV225" s="25" t="s">
        <v>5336</v>
      </c>
      <c r="AW225" s="2236" t="s">
        <v>5337</v>
      </c>
      <c r="AX225" s="25" t="s">
        <v>5338</v>
      </c>
      <c r="AY225" s="17" t="e">
        <f t="shared" si="88"/>
        <v>#VALUE!</v>
      </c>
      <c r="BR225" s="2465" t="str">
        <f t="shared" si="138"/>
        <v xml:space="preserve">  * La  variable Gestantes No puede ser mayor al Total Mujeres.</v>
      </c>
      <c r="BS225" s="2465" t="str">
        <f t="shared" si="146"/>
        <v xml:space="preserve">  * La variable Madre de hijo menor de 5 años No puede ser mayor al Total Mujeres.</v>
      </c>
      <c r="BT225" s="2465" t="str">
        <f t="shared" si="139"/>
        <v xml:space="preserve">  * La variable Pueblos originarios - Hombres No puede ser mayor al Total.</v>
      </c>
      <c r="BU225" s="2465" t="str">
        <f t="shared" si="140"/>
        <v xml:space="preserve">  * La variable Pueblos originarios - Mujeres No puede ser mayor al Total.</v>
      </c>
      <c r="BV225" s="2465" t="str">
        <f t="shared" si="141"/>
        <v xml:space="preserve">  * La variable Niños, niñas, adolescentes y jóvenes SENAME No puede ser mayor al Total.</v>
      </c>
      <c r="BW225" s="2465" t="str">
        <f t="shared" si="142"/>
        <v xml:space="preserve">  * La variable Niños, niñas, adolescentes y jóvenes Mejor Niñez No puede ser mayor al Total.</v>
      </c>
      <c r="BX225" s="2465" t="e">
        <f t="shared" si="143"/>
        <v>#VALUE!</v>
      </c>
      <c r="BY225" s="2465" t="str">
        <f t="shared" si="144"/>
        <v xml:space="preserve">  * La variable Migrantes - Mujeres No puede ser mayor al Total.</v>
      </c>
      <c r="BZ225" s="2465" t="str">
        <f t="shared" si="108"/>
        <v xml:space="preserve">  * La variable Trans (Femenino) No puede ser mayor al Total Hombres.</v>
      </c>
      <c r="CA225" s="2465" t="str">
        <f t="shared" si="145"/>
        <v xml:space="preserve">  * La variable Trans (Masculino) No puede ser mayor al Total Mujeres.</v>
      </c>
      <c r="CB225" s="17"/>
      <c r="CC225" s="1724">
        <f t="shared" si="95"/>
        <v>1</v>
      </c>
      <c r="CD225" s="1724">
        <f t="shared" si="96"/>
        <v>1</v>
      </c>
      <c r="CE225" s="1724">
        <f t="shared" si="97"/>
        <v>1</v>
      </c>
      <c r="CF225" s="1724">
        <f t="shared" si="98"/>
        <v>1</v>
      </c>
      <c r="CG225" s="1724">
        <f t="shared" si="99"/>
        <v>1</v>
      </c>
      <c r="CH225" s="1724">
        <f t="shared" si="100"/>
        <v>1</v>
      </c>
      <c r="CI225" s="1724">
        <f t="shared" si="101"/>
        <v>1</v>
      </c>
      <c r="CJ225" s="1724">
        <f t="shared" si="102"/>
        <v>1</v>
      </c>
      <c r="CK225" s="1724">
        <f t="shared" si="103"/>
        <v>1</v>
      </c>
      <c r="CL225" s="1724">
        <f t="shared" si="104"/>
        <v>1</v>
      </c>
    </row>
    <row r="226" spans="1:90" ht="15" customHeight="1" x14ac:dyDescent="0.3">
      <c r="A226" s="6248" t="s">
        <v>4429</v>
      </c>
      <c r="B226" s="6899"/>
      <c r="C226" s="1094" t="s">
        <v>2033</v>
      </c>
      <c r="D226" s="2277" t="s">
        <v>5292</v>
      </c>
      <c r="E226" s="2278" t="s">
        <v>5293</v>
      </c>
      <c r="F226" s="2317" t="s">
        <v>5294</v>
      </c>
      <c r="G226" s="9" t="s">
        <v>5295</v>
      </c>
      <c r="H226" s="11" t="s">
        <v>5296</v>
      </c>
      <c r="I226" s="9" t="s">
        <v>5297</v>
      </c>
      <c r="J226" s="11" t="s">
        <v>5298</v>
      </c>
      <c r="K226" s="9" t="s">
        <v>5299</v>
      </c>
      <c r="L226" s="11" t="s">
        <v>5300</v>
      </c>
      <c r="M226" s="9" t="s">
        <v>5301</v>
      </c>
      <c r="N226" s="11" t="s">
        <v>5302</v>
      </c>
      <c r="O226" s="9" t="s">
        <v>5303</v>
      </c>
      <c r="P226" s="11" t="s">
        <v>5304</v>
      </c>
      <c r="Q226" s="9" t="s">
        <v>5305</v>
      </c>
      <c r="R226" s="11" t="s">
        <v>5306</v>
      </c>
      <c r="S226" s="9" t="s">
        <v>5307</v>
      </c>
      <c r="T226" s="11" t="s">
        <v>5308</v>
      </c>
      <c r="U226" s="9" t="s">
        <v>5309</v>
      </c>
      <c r="V226" s="11" t="s">
        <v>5310</v>
      </c>
      <c r="W226" s="9" t="s">
        <v>5311</v>
      </c>
      <c r="X226" s="11" t="s">
        <v>5312</v>
      </c>
      <c r="Y226" s="9" t="s">
        <v>5313</v>
      </c>
      <c r="Z226" s="11" t="s">
        <v>5314</v>
      </c>
      <c r="AA226" s="9" t="s">
        <v>5315</v>
      </c>
      <c r="AB226" s="11" t="s">
        <v>5316</v>
      </c>
      <c r="AC226" s="9" t="s">
        <v>5317</v>
      </c>
      <c r="AD226" s="11" t="s">
        <v>5318</v>
      </c>
      <c r="AE226" s="9" t="s">
        <v>5319</v>
      </c>
      <c r="AF226" s="11" t="s">
        <v>5320</v>
      </c>
      <c r="AG226" s="9" t="s">
        <v>5321</v>
      </c>
      <c r="AH226" s="11" t="s">
        <v>5322</v>
      </c>
      <c r="AI226" s="9" t="s">
        <v>5323</v>
      </c>
      <c r="AJ226" s="11" t="s">
        <v>5324</v>
      </c>
      <c r="AK226" s="9" t="s">
        <v>5325</v>
      </c>
      <c r="AL226" s="11" t="s">
        <v>5326</v>
      </c>
      <c r="AM226" s="9" t="s">
        <v>5327</v>
      </c>
      <c r="AN226" s="2236" t="s">
        <v>5328</v>
      </c>
      <c r="AO226" s="26" t="s">
        <v>5329</v>
      </c>
      <c r="AP226" s="27" t="s">
        <v>5330</v>
      </c>
      <c r="AQ226" s="9" t="s">
        <v>5331</v>
      </c>
      <c r="AR226" s="11" t="s">
        <v>5332</v>
      </c>
      <c r="AS226" s="11" t="s">
        <v>5333</v>
      </c>
      <c r="AT226" s="11" t="s">
        <v>5334</v>
      </c>
      <c r="AU226" s="2236" t="s">
        <v>5335</v>
      </c>
      <c r="AV226" s="25" t="s">
        <v>5336</v>
      </c>
      <c r="AW226" s="2236" t="s">
        <v>5337</v>
      </c>
      <c r="AX226" s="25" t="s">
        <v>5338</v>
      </c>
      <c r="AY226" s="17" t="e">
        <f t="shared" si="88"/>
        <v>#VALUE!</v>
      </c>
      <c r="BR226" s="2465" t="str">
        <f t="shared" si="138"/>
        <v xml:space="preserve">  * La  variable Gestantes No puede ser mayor al Total Mujeres.</v>
      </c>
      <c r="BS226" s="2465" t="str">
        <f t="shared" si="146"/>
        <v xml:space="preserve">  * La variable Madre de hijo menor de 5 años No puede ser mayor al Total Mujeres.</v>
      </c>
      <c r="BT226" s="2465" t="str">
        <f t="shared" si="139"/>
        <v xml:space="preserve">  * La variable Pueblos originarios - Hombres No puede ser mayor al Total.</v>
      </c>
      <c r="BU226" s="2465" t="str">
        <f t="shared" si="140"/>
        <v xml:space="preserve">  * La variable Pueblos originarios - Mujeres No puede ser mayor al Total.</v>
      </c>
      <c r="BV226" s="2465" t="str">
        <f t="shared" si="141"/>
        <v xml:space="preserve">  * La variable Niños, niñas, adolescentes y jóvenes SENAME No puede ser mayor al Total.</v>
      </c>
      <c r="BW226" s="2465" t="str">
        <f t="shared" si="142"/>
        <v xml:space="preserve">  * La variable Niños, niñas, adolescentes y jóvenes Mejor Niñez No puede ser mayor al Total.</v>
      </c>
      <c r="BX226" s="2465" t="e">
        <f t="shared" si="143"/>
        <v>#VALUE!</v>
      </c>
      <c r="BY226" s="2465" t="str">
        <f t="shared" si="144"/>
        <v xml:space="preserve">  * La variable Migrantes - Mujeres No puede ser mayor al Total.</v>
      </c>
      <c r="BZ226" s="2465" t="str">
        <f t="shared" si="108"/>
        <v xml:space="preserve">  * La variable Trans (Femenino) No puede ser mayor al Total Hombres.</v>
      </c>
      <c r="CA226" s="2465" t="str">
        <f t="shared" si="145"/>
        <v xml:space="preserve">  * La variable Trans (Masculino) No puede ser mayor al Total Mujeres.</v>
      </c>
      <c r="CB226" s="17"/>
      <c r="CC226" s="1724">
        <f t="shared" si="95"/>
        <v>1</v>
      </c>
      <c r="CD226" s="1724">
        <f t="shared" si="96"/>
        <v>1</v>
      </c>
      <c r="CE226" s="1724">
        <f t="shared" si="97"/>
        <v>1</v>
      </c>
      <c r="CF226" s="1724">
        <f t="shared" si="98"/>
        <v>1</v>
      </c>
      <c r="CG226" s="1724">
        <f t="shared" si="99"/>
        <v>1</v>
      </c>
      <c r="CH226" s="1724">
        <f t="shared" si="100"/>
        <v>1</v>
      </c>
      <c r="CI226" s="1724">
        <f t="shared" si="101"/>
        <v>1</v>
      </c>
      <c r="CJ226" s="1724">
        <f t="shared" si="102"/>
        <v>1</v>
      </c>
      <c r="CK226" s="1724">
        <f t="shared" si="103"/>
        <v>1</v>
      </c>
      <c r="CL226" s="1724">
        <f t="shared" si="104"/>
        <v>1</v>
      </c>
    </row>
    <row r="227" spans="1:90" ht="15" customHeight="1" x14ac:dyDescent="0.3">
      <c r="A227" s="6254" t="s">
        <v>4430</v>
      </c>
      <c r="B227" s="6899"/>
      <c r="C227" s="1094" t="s">
        <v>2034</v>
      </c>
      <c r="D227" s="2277" t="s">
        <v>5292</v>
      </c>
      <c r="E227" s="2278" t="s">
        <v>5293</v>
      </c>
      <c r="F227" s="2317" t="s">
        <v>5294</v>
      </c>
      <c r="G227" s="9" t="s">
        <v>5295</v>
      </c>
      <c r="H227" s="11" t="s">
        <v>5296</v>
      </c>
      <c r="I227" s="9" t="s">
        <v>5297</v>
      </c>
      <c r="J227" s="11" t="s">
        <v>5298</v>
      </c>
      <c r="K227" s="9" t="s">
        <v>5299</v>
      </c>
      <c r="L227" s="11" t="s">
        <v>5300</v>
      </c>
      <c r="M227" s="9" t="s">
        <v>5301</v>
      </c>
      <c r="N227" s="11" t="s">
        <v>5302</v>
      </c>
      <c r="O227" s="9" t="s">
        <v>5303</v>
      </c>
      <c r="P227" s="11" t="s">
        <v>5304</v>
      </c>
      <c r="Q227" s="9" t="s">
        <v>5305</v>
      </c>
      <c r="R227" s="11" t="s">
        <v>5306</v>
      </c>
      <c r="S227" s="9" t="s">
        <v>5307</v>
      </c>
      <c r="T227" s="11" t="s">
        <v>5308</v>
      </c>
      <c r="U227" s="9" t="s">
        <v>5309</v>
      </c>
      <c r="V227" s="11" t="s">
        <v>5310</v>
      </c>
      <c r="W227" s="9" t="s">
        <v>5311</v>
      </c>
      <c r="X227" s="11" t="s">
        <v>5312</v>
      </c>
      <c r="Y227" s="9" t="s">
        <v>5313</v>
      </c>
      <c r="Z227" s="11" t="s">
        <v>5314</v>
      </c>
      <c r="AA227" s="9" t="s">
        <v>5315</v>
      </c>
      <c r="AB227" s="11" t="s">
        <v>5316</v>
      </c>
      <c r="AC227" s="9" t="s">
        <v>5317</v>
      </c>
      <c r="AD227" s="11" t="s">
        <v>5318</v>
      </c>
      <c r="AE227" s="9" t="s">
        <v>5319</v>
      </c>
      <c r="AF227" s="11" t="s">
        <v>5320</v>
      </c>
      <c r="AG227" s="9" t="s">
        <v>5321</v>
      </c>
      <c r="AH227" s="11" t="s">
        <v>5322</v>
      </c>
      <c r="AI227" s="9" t="s">
        <v>5323</v>
      </c>
      <c r="AJ227" s="11" t="s">
        <v>5324</v>
      </c>
      <c r="AK227" s="9" t="s">
        <v>5325</v>
      </c>
      <c r="AL227" s="11" t="s">
        <v>5326</v>
      </c>
      <c r="AM227" s="9" t="s">
        <v>5327</v>
      </c>
      <c r="AN227" s="2236" t="s">
        <v>5328</v>
      </c>
      <c r="AO227" s="26" t="s">
        <v>5329</v>
      </c>
      <c r="AP227" s="27" t="s">
        <v>5330</v>
      </c>
      <c r="AQ227" s="9" t="s">
        <v>5331</v>
      </c>
      <c r="AR227" s="11" t="s">
        <v>5332</v>
      </c>
      <c r="AS227" s="11" t="s">
        <v>5333</v>
      </c>
      <c r="AT227" s="11" t="s">
        <v>5334</v>
      </c>
      <c r="AU227" s="2236" t="s">
        <v>5335</v>
      </c>
      <c r="AV227" s="25" t="s">
        <v>5336</v>
      </c>
      <c r="AW227" s="2236" t="s">
        <v>5337</v>
      </c>
      <c r="AX227" s="25" t="s">
        <v>5338</v>
      </c>
      <c r="AY227" s="17" t="e">
        <f t="shared" si="88"/>
        <v>#VALUE!</v>
      </c>
      <c r="BR227" s="2465" t="str">
        <f t="shared" si="138"/>
        <v xml:space="preserve">  * La  variable Gestantes No puede ser mayor al Total Mujeres.</v>
      </c>
      <c r="BS227" s="2465" t="str">
        <f t="shared" si="146"/>
        <v xml:space="preserve">  * La variable Madre de hijo menor de 5 años No puede ser mayor al Total Mujeres.</v>
      </c>
      <c r="BT227" s="2465" t="str">
        <f t="shared" si="139"/>
        <v xml:space="preserve">  * La variable Pueblos originarios - Hombres No puede ser mayor al Total.</v>
      </c>
      <c r="BU227" s="2465" t="str">
        <f t="shared" si="140"/>
        <v xml:space="preserve">  * La variable Pueblos originarios - Mujeres No puede ser mayor al Total.</v>
      </c>
      <c r="BV227" s="2465" t="str">
        <f t="shared" si="141"/>
        <v xml:space="preserve">  * La variable Niños, niñas, adolescentes y jóvenes SENAME No puede ser mayor al Total.</v>
      </c>
      <c r="BW227" s="2465" t="str">
        <f t="shared" si="142"/>
        <v xml:space="preserve">  * La variable Niños, niñas, adolescentes y jóvenes Mejor Niñez No puede ser mayor al Total.</v>
      </c>
      <c r="BX227" s="2465" t="e">
        <f t="shared" si="143"/>
        <v>#VALUE!</v>
      </c>
      <c r="BY227" s="2465" t="str">
        <f t="shared" si="144"/>
        <v xml:space="preserve">  * La variable Migrantes - Mujeres No puede ser mayor al Total.</v>
      </c>
      <c r="BZ227" s="2465" t="str">
        <f t="shared" si="108"/>
        <v xml:space="preserve">  * La variable Trans (Femenino) No puede ser mayor al Total Hombres.</v>
      </c>
      <c r="CA227" s="2465" t="str">
        <f t="shared" si="145"/>
        <v xml:space="preserve">  * La variable Trans (Masculino) No puede ser mayor al Total Mujeres.</v>
      </c>
      <c r="CB227" s="17"/>
      <c r="CC227" s="1724">
        <f t="shared" si="95"/>
        <v>1</v>
      </c>
      <c r="CD227" s="1724">
        <f t="shared" si="96"/>
        <v>1</v>
      </c>
      <c r="CE227" s="1724">
        <f t="shared" si="97"/>
        <v>1</v>
      </c>
      <c r="CF227" s="1724">
        <f t="shared" si="98"/>
        <v>1</v>
      </c>
      <c r="CG227" s="1724">
        <f t="shared" si="99"/>
        <v>1</v>
      </c>
      <c r="CH227" s="1724">
        <f t="shared" si="100"/>
        <v>1</v>
      </c>
      <c r="CI227" s="1724">
        <f t="shared" si="101"/>
        <v>1</v>
      </c>
      <c r="CJ227" s="1724">
        <f t="shared" si="102"/>
        <v>1</v>
      </c>
      <c r="CK227" s="1724">
        <f t="shared" si="103"/>
        <v>1</v>
      </c>
      <c r="CL227" s="1724">
        <f t="shared" si="104"/>
        <v>1</v>
      </c>
    </row>
    <row r="228" spans="1:90" ht="24" customHeight="1" x14ac:dyDescent="0.3">
      <c r="A228" s="6254" t="s">
        <v>4431</v>
      </c>
      <c r="B228" s="6908"/>
      <c r="C228" s="38" t="s">
        <v>2035</v>
      </c>
      <c r="D228" s="2288" t="s">
        <v>5292</v>
      </c>
      <c r="E228" s="2289" t="s">
        <v>5293</v>
      </c>
      <c r="F228" s="2318" t="s">
        <v>5294</v>
      </c>
      <c r="G228" s="3" t="s">
        <v>5295</v>
      </c>
      <c r="H228" s="12" t="s">
        <v>5296</v>
      </c>
      <c r="I228" s="3" t="s">
        <v>5297</v>
      </c>
      <c r="J228" s="12" t="s">
        <v>5298</v>
      </c>
      <c r="K228" s="3" t="s">
        <v>5299</v>
      </c>
      <c r="L228" s="12" t="s">
        <v>5300</v>
      </c>
      <c r="M228" s="3" t="s">
        <v>5301</v>
      </c>
      <c r="N228" s="12" t="s">
        <v>5302</v>
      </c>
      <c r="O228" s="3" t="s">
        <v>5303</v>
      </c>
      <c r="P228" s="12" t="s">
        <v>5304</v>
      </c>
      <c r="Q228" s="3" t="s">
        <v>5305</v>
      </c>
      <c r="R228" s="12" t="s">
        <v>5306</v>
      </c>
      <c r="S228" s="3" t="s">
        <v>5307</v>
      </c>
      <c r="T228" s="12" t="s">
        <v>5308</v>
      </c>
      <c r="U228" s="3" t="s">
        <v>5309</v>
      </c>
      <c r="V228" s="12" t="s">
        <v>5310</v>
      </c>
      <c r="W228" s="3" t="s">
        <v>5311</v>
      </c>
      <c r="X228" s="12" t="s">
        <v>5312</v>
      </c>
      <c r="Y228" s="3" t="s">
        <v>5313</v>
      </c>
      <c r="Z228" s="12" t="s">
        <v>5314</v>
      </c>
      <c r="AA228" s="3" t="s">
        <v>5315</v>
      </c>
      <c r="AB228" s="12" t="s">
        <v>5316</v>
      </c>
      <c r="AC228" s="3" t="s">
        <v>5317</v>
      </c>
      <c r="AD228" s="12" t="s">
        <v>5318</v>
      </c>
      <c r="AE228" s="3" t="s">
        <v>5319</v>
      </c>
      <c r="AF228" s="12" t="s">
        <v>5320</v>
      </c>
      <c r="AG228" s="3" t="s">
        <v>5321</v>
      </c>
      <c r="AH228" s="12" t="s">
        <v>5322</v>
      </c>
      <c r="AI228" s="3" t="s">
        <v>5323</v>
      </c>
      <c r="AJ228" s="12" t="s">
        <v>5324</v>
      </c>
      <c r="AK228" s="3" t="s">
        <v>5325</v>
      </c>
      <c r="AL228" s="12" t="s">
        <v>5326</v>
      </c>
      <c r="AM228" s="3" t="s">
        <v>5327</v>
      </c>
      <c r="AN228" s="2290" t="s">
        <v>5328</v>
      </c>
      <c r="AO228" s="29" t="s">
        <v>5329</v>
      </c>
      <c r="AP228" s="30" t="s">
        <v>5330</v>
      </c>
      <c r="AQ228" s="3" t="s">
        <v>5331</v>
      </c>
      <c r="AR228" s="12" t="s">
        <v>5332</v>
      </c>
      <c r="AS228" s="12" t="s">
        <v>5333</v>
      </c>
      <c r="AT228" s="12" t="s">
        <v>5334</v>
      </c>
      <c r="AU228" s="2290" t="s">
        <v>5335</v>
      </c>
      <c r="AV228" s="6" t="s">
        <v>5336</v>
      </c>
      <c r="AW228" s="2290" t="s">
        <v>5337</v>
      </c>
      <c r="AX228" s="6" t="s">
        <v>5338</v>
      </c>
      <c r="AY228" s="17" t="e">
        <f t="shared" si="88"/>
        <v>#VALUE!</v>
      </c>
      <c r="BR228" s="2465" t="str">
        <f t="shared" si="138"/>
        <v xml:space="preserve">  * La  variable Gestantes No puede ser mayor al Total Mujeres.</v>
      </c>
      <c r="BS228" s="2465" t="str">
        <f t="shared" si="146"/>
        <v xml:space="preserve">  * La variable Madre de hijo menor de 5 años No puede ser mayor al Total Mujeres.</v>
      </c>
      <c r="BT228" s="2465" t="str">
        <f t="shared" si="139"/>
        <v xml:space="preserve">  * La variable Pueblos originarios - Hombres No puede ser mayor al Total.</v>
      </c>
      <c r="BU228" s="2465" t="str">
        <f t="shared" si="140"/>
        <v xml:space="preserve">  * La variable Pueblos originarios - Mujeres No puede ser mayor al Total.</v>
      </c>
      <c r="BV228" s="2465" t="str">
        <f t="shared" si="141"/>
        <v xml:space="preserve">  * La variable Niños, niñas, adolescentes y jóvenes SENAME No puede ser mayor al Total.</v>
      </c>
      <c r="BW228" s="2465" t="str">
        <f t="shared" si="142"/>
        <v xml:space="preserve">  * La variable Niños, niñas, adolescentes y jóvenes Mejor Niñez No puede ser mayor al Total.</v>
      </c>
      <c r="BX228" s="2465" t="e">
        <f t="shared" si="143"/>
        <v>#VALUE!</v>
      </c>
      <c r="BY228" s="2465" t="str">
        <f t="shared" si="144"/>
        <v xml:space="preserve">  * La variable Migrantes - Mujeres No puede ser mayor al Total.</v>
      </c>
      <c r="BZ228" s="2465" t="str">
        <f t="shared" si="108"/>
        <v xml:space="preserve">  * La variable Trans (Femenino) No puede ser mayor al Total Hombres.</v>
      </c>
      <c r="CA228" s="2465" t="str">
        <f t="shared" si="145"/>
        <v xml:space="preserve">  * La variable Trans (Masculino) No puede ser mayor al Total Mujeres.</v>
      </c>
      <c r="CB228" s="17"/>
      <c r="CC228" s="1724">
        <f t="shared" si="95"/>
        <v>1</v>
      </c>
      <c r="CD228" s="1724">
        <f t="shared" si="96"/>
        <v>1</v>
      </c>
      <c r="CE228" s="1724">
        <f t="shared" si="97"/>
        <v>1</v>
      </c>
      <c r="CF228" s="1724">
        <f t="shared" si="98"/>
        <v>1</v>
      </c>
      <c r="CG228" s="1724">
        <f t="shared" si="99"/>
        <v>1</v>
      </c>
      <c r="CH228" s="1724">
        <f t="shared" si="100"/>
        <v>1</v>
      </c>
      <c r="CI228" s="1724">
        <f t="shared" si="101"/>
        <v>1</v>
      </c>
      <c r="CJ228" s="1724">
        <f t="shared" si="102"/>
        <v>1</v>
      </c>
      <c r="CK228" s="1724">
        <f t="shared" si="103"/>
        <v>1</v>
      </c>
      <c r="CL228" s="1724">
        <f t="shared" si="104"/>
        <v>1</v>
      </c>
    </row>
    <row r="229" spans="1:90" ht="15" customHeight="1" x14ac:dyDescent="0.3">
      <c r="A229" s="6254" t="s">
        <v>4432</v>
      </c>
      <c r="B229" s="6941" t="s">
        <v>2036</v>
      </c>
      <c r="C229" s="6942"/>
      <c r="D229" s="2319" t="s">
        <v>5292</v>
      </c>
      <c r="E229" s="2268" t="s">
        <v>5293</v>
      </c>
      <c r="F229" s="2269" t="s">
        <v>5294</v>
      </c>
      <c r="G229" s="1332" t="s">
        <v>5295</v>
      </c>
      <c r="H229" s="1258" t="s">
        <v>5296</v>
      </c>
      <c r="I229" s="1332" t="s">
        <v>5297</v>
      </c>
      <c r="J229" s="1258" t="s">
        <v>5298</v>
      </c>
      <c r="K229" s="1332" t="s">
        <v>5299</v>
      </c>
      <c r="L229" s="1258" t="s">
        <v>5300</v>
      </c>
      <c r="M229" s="1332" t="s">
        <v>5301</v>
      </c>
      <c r="N229" s="1258" t="s">
        <v>5302</v>
      </c>
      <c r="O229" s="1332" t="s">
        <v>5303</v>
      </c>
      <c r="P229" s="1258" t="s">
        <v>5304</v>
      </c>
      <c r="Q229" s="1332" t="s">
        <v>5305</v>
      </c>
      <c r="R229" s="1258" t="s">
        <v>5306</v>
      </c>
      <c r="S229" s="1332" t="s">
        <v>5307</v>
      </c>
      <c r="T229" s="1258" t="s">
        <v>5308</v>
      </c>
      <c r="U229" s="1332" t="s">
        <v>5309</v>
      </c>
      <c r="V229" s="1258" t="s">
        <v>5310</v>
      </c>
      <c r="W229" s="1332" t="s">
        <v>5311</v>
      </c>
      <c r="X229" s="1258" t="s">
        <v>5312</v>
      </c>
      <c r="Y229" s="1332" t="s">
        <v>5313</v>
      </c>
      <c r="Z229" s="1258" t="s">
        <v>5314</v>
      </c>
      <c r="AA229" s="1332" t="s">
        <v>5315</v>
      </c>
      <c r="AB229" s="1258" t="s">
        <v>5316</v>
      </c>
      <c r="AC229" s="1332" t="s">
        <v>5317</v>
      </c>
      <c r="AD229" s="1258" t="s">
        <v>5318</v>
      </c>
      <c r="AE229" s="1332" t="s">
        <v>5319</v>
      </c>
      <c r="AF229" s="1258" t="s">
        <v>5320</v>
      </c>
      <c r="AG229" s="1332" t="s">
        <v>5321</v>
      </c>
      <c r="AH229" s="1258" t="s">
        <v>5322</v>
      </c>
      <c r="AI229" s="1332" t="s">
        <v>5323</v>
      </c>
      <c r="AJ229" s="1258" t="s">
        <v>5324</v>
      </c>
      <c r="AK229" s="1332" t="s">
        <v>5325</v>
      </c>
      <c r="AL229" s="1258" t="s">
        <v>5326</v>
      </c>
      <c r="AM229" s="1332" t="s">
        <v>5327</v>
      </c>
      <c r="AN229" s="2241" t="s">
        <v>5328</v>
      </c>
      <c r="AO229" s="2315" t="s">
        <v>5329</v>
      </c>
      <c r="AP229" s="2316" t="s">
        <v>5330</v>
      </c>
      <c r="AQ229" s="1332" t="s">
        <v>5331</v>
      </c>
      <c r="AR229" s="1258" t="s">
        <v>5332</v>
      </c>
      <c r="AS229" s="1258" t="s">
        <v>5333</v>
      </c>
      <c r="AT229" s="1258" t="s">
        <v>5334</v>
      </c>
      <c r="AU229" s="2241" t="s">
        <v>5335</v>
      </c>
      <c r="AV229" s="2701" t="s">
        <v>5336</v>
      </c>
      <c r="AW229" s="2241" t="s">
        <v>5337</v>
      </c>
      <c r="AX229" s="2701" t="s">
        <v>5338</v>
      </c>
      <c r="AY229" s="17" t="e">
        <f t="shared" si="88"/>
        <v>#VALUE!</v>
      </c>
      <c r="BR229" s="2465" t="str">
        <f t="shared" si="138"/>
        <v xml:space="preserve">  * La  variable Gestantes No puede ser mayor al Total Mujeres.</v>
      </c>
      <c r="BS229" s="2465" t="str">
        <f t="shared" si="146"/>
        <v xml:space="preserve">  * La variable Madre de hijo menor de 5 años No puede ser mayor al Total Mujeres.</v>
      </c>
      <c r="BT229" s="2465" t="str">
        <f t="shared" si="139"/>
        <v xml:space="preserve">  * La variable Pueblos originarios - Hombres No puede ser mayor al Total.</v>
      </c>
      <c r="BU229" s="2465" t="str">
        <f t="shared" si="140"/>
        <v xml:space="preserve">  * La variable Pueblos originarios - Mujeres No puede ser mayor al Total.</v>
      </c>
      <c r="BV229" s="2465" t="str">
        <f t="shared" si="141"/>
        <v xml:space="preserve">  * La variable Niños, niñas, adolescentes y jóvenes SENAME No puede ser mayor al Total.</v>
      </c>
      <c r="BW229" s="2465" t="str">
        <f t="shared" si="142"/>
        <v xml:space="preserve">  * La variable Niños, niñas, adolescentes y jóvenes Mejor Niñez No puede ser mayor al Total.</v>
      </c>
      <c r="BX229" s="2465" t="e">
        <f t="shared" si="143"/>
        <v>#VALUE!</v>
      </c>
      <c r="BY229" s="2465" t="str">
        <f t="shared" si="144"/>
        <v xml:space="preserve">  * La variable Migrantes - Mujeres No puede ser mayor al Total.</v>
      </c>
      <c r="BZ229" s="2465" t="str">
        <f t="shared" si="108"/>
        <v xml:space="preserve">  * La variable Trans (Femenino) No puede ser mayor al Total Hombres.</v>
      </c>
      <c r="CA229" s="2465" t="str">
        <f t="shared" si="145"/>
        <v xml:space="preserve">  * La variable Trans (Masculino) No puede ser mayor al Total Mujeres.</v>
      </c>
      <c r="CB229" s="17"/>
      <c r="CC229" s="1724">
        <f t="shared" si="95"/>
        <v>1</v>
      </c>
      <c r="CD229" s="1724">
        <f t="shared" si="96"/>
        <v>1</v>
      </c>
      <c r="CE229" s="1724">
        <f t="shared" si="97"/>
        <v>1</v>
      </c>
      <c r="CF229" s="1724">
        <f t="shared" si="98"/>
        <v>1</v>
      </c>
      <c r="CG229" s="1724">
        <f t="shared" si="99"/>
        <v>1</v>
      </c>
      <c r="CH229" s="1724">
        <f t="shared" si="100"/>
        <v>1</v>
      </c>
      <c r="CI229" s="1724">
        <f t="shared" si="101"/>
        <v>1</v>
      </c>
      <c r="CJ229" s="1724">
        <f t="shared" si="102"/>
        <v>1</v>
      </c>
      <c r="CK229" s="1724">
        <f t="shared" si="103"/>
        <v>1</v>
      </c>
      <c r="CL229" s="1724">
        <f t="shared" si="104"/>
        <v>1</v>
      </c>
    </row>
    <row r="230" spans="1:90" ht="15" customHeight="1" x14ac:dyDescent="0.3">
      <c r="A230" s="6254" t="s">
        <v>4433</v>
      </c>
      <c r="B230" s="6818" t="s">
        <v>44</v>
      </c>
      <c r="C230" s="6819"/>
      <c r="D230" s="2288" t="s">
        <v>5292</v>
      </c>
      <c r="E230" s="2289" t="s">
        <v>5293</v>
      </c>
      <c r="F230" s="2" t="s">
        <v>5294</v>
      </c>
      <c r="G230" s="3" t="s">
        <v>5295</v>
      </c>
      <c r="H230" s="12" t="s">
        <v>5296</v>
      </c>
      <c r="I230" s="3" t="s">
        <v>5297</v>
      </c>
      <c r="J230" s="12" t="s">
        <v>5298</v>
      </c>
      <c r="K230" s="3" t="s">
        <v>5299</v>
      </c>
      <c r="L230" s="12" t="s">
        <v>5300</v>
      </c>
      <c r="M230" s="3" t="s">
        <v>5301</v>
      </c>
      <c r="N230" s="12" t="s">
        <v>5302</v>
      </c>
      <c r="O230" s="3" t="s">
        <v>5303</v>
      </c>
      <c r="P230" s="12" t="s">
        <v>5304</v>
      </c>
      <c r="Q230" s="3" t="s">
        <v>5305</v>
      </c>
      <c r="R230" s="12" t="s">
        <v>5306</v>
      </c>
      <c r="S230" s="3" t="s">
        <v>5307</v>
      </c>
      <c r="T230" s="12" t="s">
        <v>5308</v>
      </c>
      <c r="U230" s="3" t="s">
        <v>5309</v>
      </c>
      <c r="V230" s="12" t="s">
        <v>5310</v>
      </c>
      <c r="W230" s="3" t="s">
        <v>5311</v>
      </c>
      <c r="X230" s="12" t="s">
        <v>5312</v>
      </c>
      <c r="Y230" s="3" t="s">
        <v>5313</v>
      </c>
      <c r="Z230" s="12" t="s">
        <v>5314</v>
      </c>
      <c r="AA230" s="3" t="s">
        <v>5315</v>
      </c>
      <c r="AB230" s="12" t="s">
        <v>5316</v>
      </c>
      <c r="AC230" s="3" t="s">
        <v>5317</v>
      </c>
      <c r="AD230" s="12" t="s">
        <v>5318</v>
      </c>
      <c r="AE230" s="3" t="s">
        <v>5319</v>
      </c>
      <c r="AF230" s="12" t="s">
        <v>5320</v>
      </c>
      <c r="AG230" s="3" t="s">
        <v>5321</v>
      </c>
      <c r="AH230" s="12" t="s">
        <v>5322</v>
      </c>
      <c r="AI230" s="3" t="s">
        <v>5323</v>
      </c>
      <c r="AJ230" s="12" t="s">
        <v>5324</v>
      </c>
      <c r="AK230" s="3" t="s">
        <v>5325</v>
      </c>
      <c r="AL230" s="12" t="s">
        <v>5326</v>
      </c>
      <c r="AM230" s="3" t="s">
        <v>5327</v>
      </c>
      <c r="AN230" s="2290" t="s">
        <v>5328</v>
      </c>
      <c r="AO230" s="2320" t="s">
        <v>5329</v>
      </c>
      <c r="AP230" s="2321" t="s">
        <v>5330</v>
      </c>
      <c r="AQ230" s="3" t="s">
        <v>5331</v>
      </c>
      <c r="AR230" s="12" t="s">
        <v>5332</v>
      </c>
      <c r="AS230" s="12" t="s">
        <v>5333</v>
      </c>
      <c r="AT230" s="12" t="s">
        <v>5334</v>
      </c>
      <c r="AU230" s="2290" t="s">
        <v>5335</v>
      </c>
      <c r="AV230" s="6" t="s">
        <v>5336</v>
      </c>
      <c r="AW230" s="2290" t="s">
        <v>5337</v>
      </c>
      <c r="AX230" s="6" t="s">
        <v>5338</v>
      </c>
      <c r="AY230" s="17" t="e">
        <f t="shared" si="88"/>
        <v>#VALUE!</v>
      </c>
      <c r="BR230" s="2465" t="str">
        <f t="shared" si="138"/>
        <v xml:space="preserve">  * La  variable Gestantes No puede ser mayor al Total Mujeres.</v>
      </c>
      <c r="BS230" s="2465" t="str">
        <f t="shared" si="146"/>
        <v xml:space="preserve">  * La variable Madre de hijo menor de 5 años No puede ser mayor al Total Mujeres.</v>
      </c>
      <c r="BT230" s="2465" t="str">
        <f t="shared" si="139"/>
        <v xml:space="preserve">  * La variable Pueblos originarios - Hombres No puede ser mayor al Total.</v>
      </c>
      <c r="BU230" s="2465" t="str">
        <f t="shared" si="140"/>
        <v xml:space="preserve">  * La variable Pueblos originarios - Mujeres No puede ser mayor al Total.</v>
      </c>
      <c r="BV230" s="2465" t="str">
        <f t="shared" si="141"/>
        <v xml:space="preserve">  * La variable Niños, niñas, adolescentes y jóvenes SENAME No puede ser mayor al Total.</v>
      </c>
      <c r="BW230" s="2465" t="str">
        <f t="shared" si="142"/>
        <v xml:space="preserve">  * La variable Niños, niñas, adolescentes y jóvenes Mejor Niñez No puede ser mayor al Total.</v>
      </c>
      <c r="BX230" s="2465" t="e">
        <f t="shared" si="143"/>
        <v>#VALUE!</v>
      </c>
      <c r="BY230" s="2465" t="str">
        <f t="shared" si="144"/>
        <v xml:space="preserve">  * La variable Migrantes - Mujeres No puede ser mayor al Total.</v>
      </c>
      <c r="BZ230" s="2465" t="str">
        <f t="shared" si="108"/>
        <v xml:space="preserve">  * La variable Trans (Femenino) No puede ser mayor al Total Hombres.</v>
      </c>
      <c r="CA230" s="2465" t="str">
        <f t="shared" si="145"/>
        <v xml:space="preserve">  * La variable Trans (Masculino) No puede ser mayor al Total Mujeres.</v>
      </c>
      <c r="CB230" s="17"/>
      <c r="CC230" s="1724">
        <f t="shared" si="95"/>
        <v>1</v>
      </c>
      <c r="CD230" s="1724">
        <f t="shared" si="96"/>
        <v>1</v>
      </c>
      <c r="CE230" s="1724">
        <f t="shared" si="97"/>
        <v>1</v>
      </c>
      <c r="CF230" s="1724">
        <f t="shared" si="98"/>
        <v>1</v>
      </c>
      <c r="CG230" s="1724">
        <f t="shared" si="99"/>
        <v>1</v>
      </c>
      <c r="CH230" s="1724">
        <f t="shared" si="100"/>
        <v>1</v>
      </c>
      <c r="CI230" s="1724">
        <f t="shared" si="101"/>
        <v>1</v>
      </c>
      <c r="CJ230" s="1724">
        <f t="shared" si="102"/>
        <v>1</v>
      </c>
      <c r="CK230" s="1724">
        <f t="shared" si="103"/>
        <v>1</v>
      </c>
      <c r="CL230" s="1724">
        <f t="shared" si="104"/>
        <v>1</v>
      </c>
    </row>
    <row r="231" spans="1:90" s="17" customFormat="1" ht="18" customHeight="1" x14ac:dyDescent="0.25">
      <c r="B231" s="9049" t="s">
        <v>2037</v>
      </c>
      <c r="C231" s="2646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</row>
    <row r="232" spans="1:90" x14ac:dyDescent="0.3">
      <c r="B232" s="6921" t="s">
        <v>2038</v>
      </c>
      <c r="C232" s="6399"/>
      <c r="D232" s="6927" t="s">
        <v>24</v>
      </c>
      <c r="E232" s="6927"/>
      <c r="F232" s="6927"/>
      <c r="G232" s="6927" t="s">
        <v>36</v>
      </c>
      <c r="H232" s="6927"/>
      <c r="I232" s="6927" t="s">
        <v>37</v>
      </c>
      <c r="J232" s="6927"/>
      <c r="K232" s="6927" t="s">
        <v>38</v>
      </c>
      <c r="L232" s="6927"/>
      <c r="M232" s="6927" t="s">
        <v>4</v>
      </c>
      <c r="N232" s="6927"/>
      <c r="O232" s="6797" t="s">
        <v>5</v>
      </c>
      <c r="P232" s="6798"/>
      <c r="Q232" s="6799" t="s">
        <v>6</v>
      </c>
      <c r="R232" s="6799"/>
      <c r="S232" s="6799" t="s">
        <v>7</v>
      </c>
      <c r="T232" s="6799"/>
      <c r="U232" s="6799" t="s">
        <v>8</v>
      </c>
      <c r="V232" s="6799"/>
      <c r="W232" s="6799" t="s">
        <v>9</v>
      </c>
      <c r="X232" s="6799"/>
      <c r="Y232" s="6799" t="s">
        <v>10</v>
      </c>
      <c r="Z232" s="6799"/>
      <c r="AA232" s="6799" t="s">
        <v>11</v>
      </c>
      <c r="AB232" s="6799"/>
      <c r="AC232" s="6799" t="s">
        <v>18</v>
      </c>
      <c r="AD232" s="6799"/>
      <c r="AE232" s="6799" t="s">
        <v>19</v>
      </c>
      <c r="AF232" s="6799"/>
      <c r="AG232" s="6799" t="s">
        <v>20</v>
      </c>
      <c r="AH232" s="6799"/>
      <c r="AI232" s="6799" t="s">
        <v>70</v>
      </c>
      <c r="AJ232" s="6799"/>
      <c r="AK232" s="6799" t="s">
        <v>71</v>
      </c>
      <c r="AL232" s="6799"/>
      <c r="AM232" s="6799" t="s">
        <v>32</v>
      </c>
      <c r="AN232" s="6800"/>
      <c r="AO232" s="6948" t="s">
        <v>1468</v>
      </c>
      <c r="AP232" s="6949"/>
      <c r="AQ232" s="6950"/>
      <c r="AR232" s="6951" t="s">
        <v>39</v>
      </c>
      <c r="AS232" s="6939" t="s">
        <v>1985</v>
      </c>
      <c r="AT232" s="6799" t="s">
        <v>2</v>
      </c>
      <c r="AU232" s="6799"/>
      <c r="AV232" s="6895" t="s">
        <v>40</v>
      </c>
      <c r="AW232" s="6895" t="s">
        <v>45</v>
      </c>
      <c r="AX232" s="6895" t="s">
        <v>3</v>
      </c>
      <c r="AY232" s="6895" t="s">
        <v>2039</v>
      </c>
      <c r="BR232"/>
      <c r="BS232"/>
      <c r="BT232"/>
      <c r="BU232"/>
      <c r="BV232"/>
      <c r="BW232"/>
      <c r="BX232"/>
      <c r="BY232"/>
      <c r="CA232"/>
      <c r="CB232"/>
      <c r="CC232"/>
    </row>
    <row r="233" spans="1:90" ht="27" customHeight="1" x14ac:dyDescent="0.3">
      <c r="B233" s="6909"/>
      <c r="C233" s="6796"/>
      <c r="D233" s="2665" t="s">
        <v>26</v>
      </c>
      <c r="E233" s="2696" t="s">
        <v>22</v>
      </c>
      <c r="F233" s="2693" t="s">
        <v>27</v>
      </c>
      <c r="G233" s="2691" t="s">
        <v>22</v>
      </c>
      <c r="H233" s="2693" t="s">
        <v>27</v>
      </c>
      <c r="I233" s="2691" t="s">
        <v>22</v>
      </c>
      <c r="J233" s="2693" t="s">
        <v>27</v>
      </c>
      <c r="K233" s="2691" t="s">
        <v>22</v>
      </c>
      <c r="L233" s="2693" t="s">
        <v>27</v>
      </c>
      <c r="M233" s="2691" t="s">
        <v>22</v>
      </c>
      <c r="N233" s="2693" t="s">
        <v>27</v>
      </c>
      <c r="O233" s="2691" t="s">
        <v>22</v>
      </c>
      <c r="P233" s="2693" t="s">
        <v>27</v>
      </c>
      <c r="Q233" s="2691" t="s">
        <v>22</v>
      </c>
      <c r="R233" s="2693" t="s">
        <v>27</v>
      </c>
      <c r="S233" s="2691" t="s">
        <v>22</v>
      </c>
      <c r="T233" s="2693" t="s">
        <v>27</v>
      </c>
      <c r="U233" s="2691" t="s">
        <v>22</v>
      </c>
      <c r="V233" s="2693" t="s">
        <v>27</v>
      </c>
      <c r="W233" s="2691" t="s">
        <v>22</v>
      </c>
      <c r="X233" s="2693" t="s">
        <v>27</v>
      </c>
      <c r="Y233" s="2691" t="s">
        <v>22</v>
      </c>
      <c r="Z233" s="2693" t="s">
        <v>27</v>
      </c>
      <c r="AA233" s="2691" t="s">
        <v>22</v>
      </c>
      <c r="AB233" s="2693" t="s">
        <v>27</v>
      </c>
      <c r="AC233" s="2691" t="s">
        <v>22</v>
      </c>
      <c r="AD233" s="2693" t="s">
        <v>27</v>
      </c>
      <c r="AE233" s="2691" t="s">
        <v>22</v>
      </c>
      <c r="AF233" s="2693" t="s">
        <v>27</v>
      </c>
      <c r="AG233" s="2691" t="s">
        <v>22</v>
      </c>
      <c r="AH233" s="2693" t="s">
        <v>27</v>
      </c>
      <c r="AI233" s="2691" t="s">
        <v>22</v>
      </c>
      <c r="AJ233" s="2693" t="s">
        <v>27</v>
      </c>
      <c r="AK233" s="2691" t="s">
        <v>22</v>
      </c>
      <c r="AL233" s="2693" t="s">
        <v>27</v>
      </c>
      <c r="AM233" s="2691" t="s">
        <v>22</v>
      </c>
      <c r="AN233" s="2694" t="s">
        <v>27</v>
      </c>
      <c r="AO233" s="5704" t="s">
        <v>1034</v>
      </c>
      <c r="AP233" s="5705" t="s">
        <v>1035</v>
      </c>
      <c r="AQ233" s="5703" t="s">
        <v>2040</v>
      </c>
      <c r="AR233" s="6952"/>
      <c r="AS233" s="6940"/>
      <c r="AT233" s="2691" t="s">
        <v>22</v>
      </c>
      <c r="AU233" s="2693" t="s">
        <v>27</v>
      </c>
      <c r="AV233" s="6896"/>
      <c r="AW233" s="6896"/>
      <c r="AX233" s="6896"/>
      <c r="AY233" s="6896"/>
      <c r="BR233"/>
      <c r="BS233"/>
      <c r="BT233"/>
      <c r="BU233"/>
      <c r="BV233"/>
      <c r="BW233"/>
      <c r="BX233"/>
      <c r="BY233"/>
      <c r="CA233"/>
      <c r="CB233"/>
      <c r="CC233"/>
    </row>
    <row r="234" spans="1:90" s="17" customFormat="1" ht="18" customHeight="1" x14ac:dyDescent="0.3">
      <c r="A234" s="6233" t="s">
        <v>4434</v>
      </c>
      <c r="B234" s="6947" t="s">
        <v>2041</v>
      </c>
      <c r="C234" s="6932"/>
      <c r="D234" s="2258" t="s">
        <v>5292</v>
      </c>
      <c r="E234" s="2259" t="s">
        <v>5293</v>
      </c>
      <c r="F234" s="2269" t="s">
        <v>5294</v>
      </c>
      <c r="G234" s="2260" t="s">
        <v>5295</v>
      </c>
      <c r="H234" s="2261" t="s">
        <v>5296</v>
      </c>
      <c r="I234" s="2260" t="s">
        <v>5297</v>
      </c>
      <c r="J234" s="2261" t="s">
        <v>5298</v>
      </c>
      <c r="K234" s="2260" t="s">
        <v>5299</v>
      </c>
      <c r="L234" s="2261" t="s">
        <v>5300</v>
      </c>
      <c r="M234" s="2260" t="s">
        <v>5301</v>
      </c>
      <c r="N234" s="2261" t="s">
        <v>5302</v>
      </c>
      <c r="O234" s="2260" t="s">
        <v>5303</v>
      </c>
      <c r="P234" s="2261" t="s">
        <v>5304</v>
      </c>
      <c r="Q234" s="2260" t="s">
        <v>5305</v>
      </c>
      <c r="R234" s="2261" t="s">
        <v>5306</v>
      </c>
      <c r="S234" s="2260" t="s">
        <v>5307</v>
      </c>
      <c r="T234" s="2261" t="s">
        <v>5308</v>
      </c>
      <c r="U234" s="2260" t="s">
        <v>5309</v>
      </c>
      <c r="V234" s="2261" t="s">
        <v>5310</v>
      </c>
      <c r="W234" s="2260" t="s">
        <v>5311</v>
      </c>
      <c r="X234" s="2261" t="s">
        <v>5312</v>
      </c>
      <c r="Y234" s="2260" t="s">
        <v>5313</v>
      </c>
      <c r="Z234" s="2261" t="s">
        <v>5314</v>
      </c>
      <c r="AA234" s="2260" t="s">
        <v>5315</v>
      </c>
      <c r="AB234" s="2261" t="s">
        <v>5316</v>
      </c>
      <c r="AC234" s="2260" t="s">
        <v>5317</v>
      </c>
      <c r="AD234" s="2261" t="s">
        <v>5318</v>
      </c>
      <c r="AE234" s="2260" t="s">
        <v>5319</v>
      </c>
      <c r="AF234" s="2261" t="s">
        <v>5320</v>
      </c>
      <c r="AG234" s="2260" t="s">
        <v>5321</v>
      </c>
      <c r="AH234" s="2261" t="s">
        <v>5322</v>
      </c>
      <c r="AI234" s="2260" t="s">
        <v>5323</v>
      </c>
      <c r="AJ234" s="2261" t="s">
        <v>5324</v>
      </c>
      <c r="AK234" s="2260" t="s">
        <v>5325</v>
      </c>
      <c r="AL234" s="2261" t="s">
        <v>5326</v>
      </c>
      <c r="AM234" s="2260" t="s">
        <v>5327</v>
      </c>
      <c r="AN234" s="2262" t="s">
        <v>5328</v>
      </c>
      <c r="AO234" s="5706" t="s">
        <v>5329</v>
      </c>
      <c r="AP234" s="5707" t="s">
        <v>5330</v>
      </c>
      <c r="AQ234" s="1698" t="s">
        <v>5331</v>
      </c>
      <c r="AR234" s="5698" t="s">
        <v>5332</v>
      </c>
      <c r="AS234" s="2264" t="s">
        <v>5333</v>
      </c>
      <c r="AT234" s="2260" t="s">
        <v>5334</v>
      </c>
      <c r="AU234" s="2261" t="s">
        <v>5335</v>
      </c>
      <c r="AV234" s="2261" t="s">
        <v>5336</v>
      </c>
      <c r="AW234" s="2261" t="s">
        <v>5337</v>
      </c>
      <c r="AX234" s="2261" t="s">
        <v>5338</v>
      </c>
      <c r="AY234" s="2261" t="s">
        <v>5339</v>
      </c>
      <c r="AZ234" s="17" t="str">
        <f>BR234&amp;BS234&amp;BT234&amp;BU234&amp;BV234&amp;BW234&amp;BX234&amp;BY234&amp;BZ234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R234" s="170"/>
      <c r="BS234" s="2465" t="str">
        <f>IF(AND(F234&gt;0,AR234=""), "* No olvide digitar la variable Gestantes. Digite Cero si no tiene.",IF(AR234&gt;F234,"  * La variable Gestantes No puede ser mayor al Total Mujeres.",""))</f>
        <v xml:space="preserve">  * La variable Gestantes No puede ser mayor al Total Mujeres.</v>
      </c>
      <c r="BT234" s="2465" t="str">
        <f>IF(AND(F234&gt;0,AS234=""), "* No olvide digitar la variable Madre de hijo menor de 5 años. Digite Cero si no tiene.",IF(AS234&gt;F234,"  * La variable Madre de hijo menor de 5 años No puede ser mayor al Total Mujeres.",""))</f>
        <v xml:space="preserve">  * La variable Madre de hijo menor de 5 años No puede ser mayor al Total Mujeres.</v>
      </c>
      <c r="BU234" s="2465" t="str">
        <f>IF(AND(E234&gt;0,OR(AT234="")), "* No olvide digitar la variable Pueblos originarios Hombres. Digite Cero si no tiene.",IF(AT234&gt;E234,"  * La variable Pueblos originarios Hombres No puede ser mayor al Total Hombres.",""))</f>
        <v xml:space="preserve">  * La variable Pueblos originarios Hombres No puede ser mayor al Total Hombres.</v>
      </c>
      <c r="BV234" s="2465" t="str">
        <f>IF(AND(F234&gt;0,OR(AU234="")), "* No olvide digitar la variable Pueblos originarios Mujeres. Digite Cero si no tiene.",IF(AU234&gt;F234,"  * La variable Pueblos originarios Mujeres No puede ser mayor al Total Mujeres.",""))</f>
        <v xml:space="preserve">  * La variable Pueblos originarios Mujeres No puede ser mayor al Total Mujeres.</v>
      </c>
      <c r="BW234" s="2465" t="str">
        <f>IF(AND(D234&gt;0,AV234=""), "* No olvide digitar la variable Niños, niñas, adolescentes y jóvenes SENAME. Digite Cero si no tiene.",IF(AV234&gt;D234,"  * La variable Niños, niñas, adolescentes y jóvenes SENAME No puede ser mayor al Total.",""))</f>
        <v xml:space="preserve">  * La variable Niños, niñas, adolescentes y jóvenes SENAME No puede ser mayor al Total.</v>
      </c>
      <c r="BX234" s="2465" t="str">
        <f>IF(AND(D234&gt;0,AW234=""), "* No olvide digitar la variable Niños, niñas, adolescentes y jóvenes Mejor Niñez. Digite Cero si no tiene.",IF(AW234&gt;D234,"  * La variable Niños, niñas, adolescentes y jóvenes Mejor Niñez No puede ser mayor al Total.",""))</f>
        <v xml:space="preserve">  * La variable Niños, niñas, adolescentes y jóvenes Mejor Niñez No puede ser mayor al Total.</v>
      </c>
      <c r="BY234" s="2465" t="str">
        <f>IF(AND(D234&gt;0,AX234=""), "* No olvide digitar la variable Migrantes. Digite Cero si no tiene.",IF(AX234&gt;D234,"  * La variable Migrantes No puede ser mayor al Total.",""))</f>
        <v xml:space="preserve">  * La variable Migrantes No puede ser mayor al Total.</v>
      </c>
      <c r="BZ234" s="2465" t="str">
        <f>IF(AND(D234&gt;0,AY234=""), "* No olvide digitar la variable Trans (Masculino/ Femenino). Digite Cero si no tiene.",IF(AY234&gt;D234,"  * La variable Trans (Masculino/Femenino) No puede ser mayor al Total Ambos Sexos.",""))</f>
        <v xml:space="preserve">  * La variable Trans (Masculino/Femenino) No puede ser mayor al Total Ambos Sexos.</v>
      </c>
      <c r="CB234"/>
      <c r="CC234" s="1724">
        <f>IF(AND(F234&gt;0,AR234=""),1,IF(AR234&gt;F234,1,0))</f>
        <v>1</v>
      </c>
      <c r="CD234" s="1724">
        <f>IF(AND(F234&gt;0,AS234=""),1,IF(AS234&gt;F234,1,0))</f>
        <v>1</v>
      </c>
      <c r="CE234" s="1724">
        <f>IF(AND(E234&gt;0,OR(AT234="")),1,IF(AT234&gt;E234,1,0))</f>
        <v>1</v>
      </c>
      <c r="CF234" s="1724">
        <f>IF(AND(F234&gt;0,OR(AU234="")),1,IF(AU234&gt;F234,1,0))</f>
        <v>1</v>
      </c>
      <c r="CG234" s="1724">
        <f>IF(AND(D234&gt;0,AV234=""),1,IF(AV234&gt;D234,1,0))</f>
        <v>1</v>
      </c>
      <c r="CH234" s="1724">
        <f>IF(AND(D234&gt;0,AW234=""),1,IF(AW234&gt;D234,1,0))</f>
        <v>1</v>
      </c>
      <c r="CI234" s="1724">
        <f>IF(AND(D234&gt;0,AX234=""),1,IF(AX234&gt;D234,1,0))</f>
        <v>1</v>
      </c>
      <c r="CJ234" s="1724">
        <f>IF(AND(D234&gt;0,AY234=""),1,IF(AY234&gt;D234,1,0))</f>
        <v>1</v>
      </c>
    </row>
    <row r="235" spans="1:90" s="17" customFormat="1" ht="18" customHeight="1" x14ac:dyDescent="0.25">
      <c r="A235" s="6255"/>
      <c r="B235" s="6933" t="s">
        <v>1989</v>
      </c>
      <c r="C235" s="6934"/>
      <c r="D235" s="4439"/>
      <c r="E235" s="4440"/>
      <c r="F235" s="4440"/>
      <c r="G235" s="2322"/>
      <c r="H235" s="2322"/>
      <c r="I235" s="2322"/>
      <c r="J235" s="2322"/>
      <c r="K235" s="2322"/>
      <c r="L235" s="2322"/>
      <c r="M235" s="2322"/>
      <c r="N235" s="2322"/>
      <c r="O235" s="2322"/>
      <c r="P235" s="2322"/>
      <c r="Q235" s="2322"/>
      <c r="R235" s="2322"/>
      <c r="S235" s="2322"/>
      <c r="T235" s="2322"/>
      <c r="U235" s="2322"/>
      <c r="V235" s="2322"/>
      <c r="W235" s="2322"/>
      <c r="X235" s="2322"/>
      <c r="Y235" s="2322"/>
      <c r="Z235" s="2322"/>
      <c r="AA235" s="2322"/>
      <c r="AB235" s="2322"/>
      <c r="AC235" s="2322"/>
      <c r="AD235" s="2322"/>
      <c r="AE235" s="2322"/>
      <c r="AF235" s="2322"/>
      <c r="AG235" s="2322"/>
      <c r="AH235" s="2322"/>
      <c r="AI235" s="2322"/>
      <c r="AJ235" s="2322"/>
      <c r="AK235" s="2322"/>
      <c r="AL235" s="2322"/>
      <c r="AM235" s="2322"/>
      <c r="AN235" s="2323"/>
      <c r="AO235" s="5699"/>
      <c r="AP235" s="5699"/>
      <c r="AQ235" s="5708"/>
      <c r="AR235" s="5699"/>
      <c r="AS235" s="2323"/>
      <c r="AT235" s="2323"/>
      <c r="AU235" s="2323"/>
      <c r="AV235" s="2323"/>
      <c r="AW235" s="2323"/>
      <c r="AX235" s="2323"/>
      <c r="AY235" s="2324"/>
    </row>
    <row r="236" spans="1:90" x14ac:dyDescent="0.3">
      <c r="A236" s="6233" t="s">
        <v>4435</v>
      </c>
      <c r="B236" s="6917" t="s">
        <v>1990</v>
      </c>
      <c r="C236" s="2249" t="s">
        <v>1991</v>
      </c>
      <c r="D236" s="2250" t="s">
        <v>5292</v>
      </c>
      <c r="E236" s="2251" t="s">
        <v>5293</v>
      </c>
      <c r="F236" s="2249" t="s">
        <v>5294</v>
      </c>
      <c r="G236" s="2120" t="s">
        <v>5295</v>
      </c>
      <c r="H236" s="2229" t="s">
        <v>5296</v>
      </c>
      <c r="I236" s="2120" t="s">
        <v>5297</v>
      </c>
      <c r="J236" s="2229" t="s">
        <v>5298</v>
      </c>
      <c r="K236" s="2120" t="s">
        <v>5299</v>
      </c>
      <c r="L236" s="2229" t="s">
        <v>5300</v>
      </c>
      <c r="M236" s="2120" t="s">
        <v>5301</v>
      </c>
      <c r="N236" s="2229" t="s">
        <v>5302</v>
      </c>
      <c r="O236" s="2120" t="s">
        <v>5303</v>
      </c>
      <c r="P236" s="2229" t="s">
        <v>5304</v>
      </c>
      <c r="Q236" s="2120" t="s">
        <v>5305</v>
      </c>
      <c r="R236" s="2229" t="s">
        <v>5306</v>
      </c>
      <c r="S236" s="2120" t="s">
        <v>5307</v>
      </c>
      <c r="T236" s="2229" t="s">
        <v>5308</v>
      </c>
      <c r="U236" s="2120" t="s">
        <v>5309</v>
      </c>
      <c r="V236" s="2229" t="s">
        <v>5310</v>
      </c>
      <c r="W236" s="2120" t="s">
        <v>5311</v>
      </c>
      <c r="X236" s="2229" t="s">
        <v>5312</v>
      </c>
      <c r="Y236" s="2120" t="s">
        <v>5313</v>
      </c>
      <c r="Z236" s="2229" t="s">
        <v>5314</v>
      </c>
      <c r="AA236" s="2120" t="s">
        <v>5315</v>
      </c>
      <c r="AB236" s="2229" t="s">
        <v>5316</v>
      </c>
      <c r="AC236" s="2120" t="s">
        <v>5317</v>
      </c>
      <c r="AD236" s="2229" t="s">
        <v>5318</v>
      </c>
      <c r="AE236" s="2120" t="s">
        <v>5319</v>
      </c>
      <c r="AF236" s="2229" t="s">
        <v>5320</v>
      </c>
      <c r="AG236" s="2120" t="s">
        <v>5321</v>
      </c>
      <c r="AH236" s="2229" t="s">
        <v>5322</v>
      </c>
      <c r="AI236" s="2120" t="s">
        <v>5323</v>
      </c>
      <c r="AJ236" s="2229" t="s">
        <v>5324</v>
      </c>
      <c r="AK236" s="2120" t="s">
        <v>5325</v>
      </c>
      <c r="AL236" s="2229" t="s">
        <v>5326</v>
      </c>
      <c r="AM236" s="2120" t="s">
        <v>5327</v>
      </c>
      <c r="AN236" s="2230" t="s">
        <v>5328</v>
      </c>
      <c r="AO236" s="5709" t="s">
        <v>5329</v>
      </c>
      <c r="AP236" s="5710" t="s">
        <v>5330</v>
      </c>
      <c r="AQ236" s="5711" t="s">
        <v>5331</v>
      </c>
      <c r="AR236" s="5698" t="s">
        <v>5332</v>
      </c>
      <c r="AS236" s="2264" t="s">
        <v>5333</v>
      </c>
      <c r="AT236" s="2260" t="s">
        <v>5334</v>
      </c>
      <c r="AU236" s="2261" t="s">
        <v>5335</v>
      </c>
      <c r="AV236" s="2261" t="s">
        <v>5336</v>
      </c>
      <c r="AW236" s="2261" t="s">
        <v>5337</v>
      </c>
      <c r="AX236" s="2261" t="s">
        <v>5338</v>
      </c>
      <c r="AY236" s="2261" t="s">
        <v>5339</v>
      </c>
      <c r="AZ236" s="17" t="str">
        <f>BR236&amp;BS236&amp;BT236&amp;BU236&amp;BV236&amp;BW236&amp;BX236&amp;BY236&amp;BZ236</f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R236" s="170"/>
      <c r="BS236" s="2465" t="str">
        <f>IF(AND(F236&gt;0,AR236=""), "* No olvide digitar la variable Gestantes. Digite Cero si no tiene.",IF(AR236&gt;F236,"  * La variable Gestantes No puede ser mayor al Total.",""))</f>
        <v xml:space="preserve">  * La variable Gestantes No puede ser mayor al Total.</v>
      </c>
      <c r="BT236" s="2465" t="str">
        <f t="shared" ref="BT236:BT278" si="147">IF(AND(F236&gt;0,AS236=""), "* No olvide digitar la variable Madre de hijo menor de 5 años. Digite Cero si no tiene.",IF(AS236&gt;F236,"  * La variable Madre de hijo menor de 5 años No puede ser mayor al Total.",""))</f>
        <v xml:space="preserve">  * La variable Madre de hijo menor de 5 años No puede ser mayor al Total.</v>
      </c>
      <c r="BU236" s="2465" t="str">
        <f t="shared" ref="BU236:BU278" si="148">IF(AND(E236&gt;0,OR(AT236="")), "* No olvide digitar la variable Pueblos originarios Hombres. Digite Cero si no tiene.",IF(AT236&gt;E236,"  * La variable Pueblos originarios Hombres No puede ser mayor al Total Hombres.",""))</f>
        <v xml:space="preserve">  * La variable Pueblos originarios Hombres No puede ser mayor al Total Hombres.</v>
      </c>
      <c r="BV236" s="2465" t="str">
        <f t="shared" ref="BV236:BV278" si="149">IF(AND(F236&gt;0,OR(AU236="")), "* No olvide digitar la variable Pueblos originarios Mujeres. Digite Cero si no tiene.",IF(AU236&gt;F236,"  * La variable Pueblos originarios Mujeres No puede ser mayor al Total Mujeres.",""))</f>
        <v xml:space="preserve">  * La variable Pueblos originarios Mujeres No puede ser mayor al Total Mujeres.</v>
      </c>
      <c r="BW236" s="2465" t="str">
        <f t="shared" ref="BW236:BW278" si="150">IF(AND(D236&gt;0,AV236=""), "* No olvide digitar la variable Niños, niñas, adolescentes y jóvenes SENAME. Digite Cero si no tiene.",IF(AV236&gt;D236,"  * La variable Niños, niñas, adolescentes y jóvenes SENAME No puede ser mayor al Total.",""))</f>
        <v xml:space="preserve">  * La variable Niños, niñas, adolescentes y jóvenes SENAME No puede ser mayor al Total.</v>
      </c>
      <c r="BX236" s="2465" t="str">
        <f t="shared" ref="BX236:BX278" si="151">IF(AND(D236&gt;0,AW236=""), "* No olvide digitar la variable Niños, niñas, adolescentes y jóvenes Mejor Niñez. Digite Cero si no tiene.",IF(AW236&gt;D236,"  * La variable Niños, niñas, adolescentes y jóvenes Mejor Niñez No puede ser mayor al Total.",""))</f>
        <v xml:space="preserve">  * La variable Niños, niñas, adolescentes y jóvenes Mejor Niñez No puede ser mayor al Total.</v>
      </c>
      <c r="BY236" s="2465" t="str">
        <f t="shared" ref="BY236:BY278" si="152">IF(AND(D236&gt;0,AX236=""), "* No olvide digitar la variable Migrantes. Digite Cero si no tiene.",IF(AX236&gt;D236,"  * La variable Migrantes No puede ser mayor al Total.",""))</f>
        <v xml:space="preserve">  * La variable Migrantes No puede ser mayor al Total.</v>
      </c>
      <c r="BZ236" s="2465" t="str">
        <f t="shared" ref="BZ236:BZ278" si="153">IF(AND(D236&gt;0,AY236=""), "* No olvide digitar la variable Trans (Masculino/ Femenino). Digite Cero si no tiene.",IF(AY236&gt;D236,"  * La variable Trans (Masculino/Femenino) No puede ser mayor al Total Ambos Sexos.",""))</f>
        <v xml:space="preserve">  * La variable Trans (Masculino/Femenino) No puede ser mayor al Total Ambos Sexos.</v>
      </c>
      <c r="CA236"/>
      <c r="CB236"/>
      <c r="CC236" s="1724">
        <f t="shared" ref="CC236:CC278" si="154">IF(AND(F236&gt;0,AR236=""),1,IF(AR236&gt;F236,1,0))</f>
        <v>1</v>
      </c>
      <c r="CD236" s="1724">
        <f t="shared" ref="CD236:CD278" si="155">IF(AND(F236&gt;0,AS236=""),1,IF(AS236&gt;F236,1,0))</f>
        <v>1</v>
      </c>
      <c r="CE236" s="1724">
        <f t="shared" ref="CE236:CE278" si="156">IF(AND(E236&gt;0,OR(AT236="")),1,IF(AT236&gt;E236,1,0))</f>
        <v>1</v>
      </c>
      <c r="CF236" s="1724">
        <f t="shared" ref="CF236:CF278" si="157">IF(AND(F236&gt;0,OR(AU236="")),1,IF(AU236&gt;F236,1,0))</f>
        <v>1</v>
      </c>
      <c r="CG236" s="1724">
        <f t="shared" ref="CG236:CG278" si="158">IF(AND(D236&gt;0,AV236=""),1,IF(AV236&gt;D236,1,0))</f>
        <v>1</v>
      </c>
      <c r="CH236" s="1724">
        <f t="shared" ref="CH236:CH278" si="159">IF(AND(D236&gt;0,AW236=""),1,IF(AW236&gt;D236,1,0))</f>
        <v>1</v>
      </c>
      <c r="CI236" s="1724">
        <f t="shared" ref="CI236:CI278" si="160">IF(AND(D236&gt;0,AX236=""),1,IF(AX236&gt;D236,1,0))</f>
        <v>1</v>
      </c>
      <c r="CJ236" s="1724">
        <f t="shared" ref="CJ236:CJ278" si="161">IF(AND(D236&gt;0,AY236=""),1,IF(AY236&gt;D236,1,0))</f>
        <v>1</v>
      </c>
    </row>
    <row r="237" spans="1:90" x14ac:dyDescent="0.3">
      <c r="A237" s="6233" t="s">
        <v>4436</v>
      </c>
      <c r="B237" s="6908"/>
      <c r="C237" s="2" t="s">
        <v>1992</v>
      </c>
      <c r="D237" s="2288" t="s">
        <v>5292</v>
      </c>
      <c r="E237" s="2289" t="s">
        <v>5293</v>
      </c>
      <c r="F237" s="2" t="s">
        <v>5294</v>
      </c>
      <c r="G237" s="3" t="s">
        <v>5295</v>
      </c>
      <c r="H237" s="12" t="s">
        <v>5296</v>
      </c>
      <c r="I237" s="3" t="s">
        <v>5297</v>
      </c>
      <c r="J237" s="12" t="s">
        <v>5298</v>
      </c>
      <c r="K237" s="3" t="s">
        <v>5299</v>
      </c>
      <c r="L237" s="12" t="s">
        <v>5300</v>
      </c>
      <c r="M237" s="3" t="s">
        <v>5301</v>
      </c>
      <c r="N237" s="12" t="s">
        <v>5302</v>
      </c>
      <c r="O237" s="3" t="s">
        <v>5303</v>
      </c>
      <c r="P237" s="12" t="s">
        <v>5304</v>
      </c>
      <c r="Q237" s="3" t="s">
        <v>5305</v>
      </c>
      <c r="R237" s="12" t="s">
        <v>5306</v>
      </c>
      <c r="S237" s="3" t="s">
        <v>5307</v>
      </c>
      <c r="T237" s="12" t="s">
        <v>5308</v>
      </c>
      <c r="U237" s="3" t="s">
        <v>5309</v>
      </c>
      <c r="V237" s="12" t="s">
        <v>5310</v>
      </c>
      <c r="W237" s="3" t="s">
        <v>5311</v>
      </c>
      <c r="X237" s="12" t="s">
        <v>5312</v>
      </c>
      <c r="Y237" s="3" t="s">
        <v>5313</v>
      </c>
      <c r="Z237" s="12" t="s">
        <v>5314</v>
      </c>
      <c r="AA237" s="3" t="s">
        <v>5315</v>
      </c>
      <c r="AB237" s="12" t="s">
        <v>5316</v>
      </c>
      <c r="AC237" s="3" t="s">
        <v>5317</v>
      </c>
      <c r="AD237" s="12" t="s">
        <v>5318</v>
      </c>
      <c r="AE237" s="3" t="s">
        <v>5319</v>
      </c>
      <c r="AF237" s="12" t="s">
        <v>5320</v>
      </c>
      <c r="AG237" s="3" t="s">
        <v>5321</v>
      </c>
      <c r="AH237" s="12" t="s">
        <v>5322</v>
      </c>
      <c r="AI237" s="3" t="s">
        <v>5323</v>
      </c>
      <c r="AJ237" s="12" t="s">
        <v>5324</v>
      </c>
      <c r="AK237" s="9" t="s">
        <v>5325</v>
      </c>
      <c r="AL237" s="11" t="s">
        <v>5326</v>
      </c>
      <c r="AM237" s="2120" t="s">
        <v>5327</v>
      </c>
      <c r="AN237" s="2230" t="s">
        <v>5328</v>
      </c>
      <c r="AO237" s="5709" t="s">
        <v>5329</v>
      </c>
      <c r="AP237" s="5710" t="s">
        <v>5330</v>
      </c>
      <c r="AQ237" s="5711" t="s">
        <v>5331</v>
      </c>
      <c r="AR237" s="5698" t="s">
        <v>5332</v>
      </c>
      <c r="AS237" s="2264" t="s">
        <v>5333</v>
      </c>
      <c r="AT237" s="2260" t="s">
        <v>5334</v>
      </c>
      <c r="AU237" s="2261" t="s">
        <v>5335</v>
      </c>
      <c r="AV237" s="2261" t="s">
        <v>5336</v>
      </c>
      <c r="AW237" s="2261" t="s">
        <v>5337</v>
      </c>
      <c r="AX237" s="2261" t="s">
        <v>5338</v>
      </c>
      <c r="AY237" s="2261" t="s">
        <v>5339</v>
      </c>
      <c r="AZ237" s="17" t="str">
        <f t="shared" ref="AZ237:AZ278" si="162">BR237&amp;BS237&amp;BT237&amp;BU237&amp;BV237&amp;BW237&amp;BX237&amp;BY237&amp;BZ237</f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R237" s="170"/>
      <c r="BS237" s="2465" t="str">
        <f t="shared" ref="BS237:BS278" si="163">IF(AND(F237&gt;0,AR237=""), "* No olvide digitar la variable Gestantes. Digite Cero si no tiene.",IF(AR237&gt;F237,"  * La variable Gestantes No puede ser mayor al Total.",""))</f>
        <v xml:space="preserve">  * La variable Gestantes No puede ser mayor al Total.</v>
      </c>
      <c r="BT237" s="2465" t="str">
        <f t="shared" si="147"/>
        <v xml:space="preserve">  * La variable Madre de hijo menor de 5 años No puede ser mayor al Total.</v>
      </c>
      <c r="BU237" s="2465" t="str">
        <f t="shared" si="148"/>
        <v xml:space="preserve">  * La variable Pueblos originarios Hombres No puede ser mayor al Total Hombres.</v>
      </c>
      <c r="BV237" s="2465" t="str">
        <f t="shared" si="149"/>
        <v xml:space="preserve">  * La variable Pueblos originarios Mujeres No puede ser mayor al Total Mujeres.</v>
      </c>
      <c r="BW237" s="2465" t="str">
        <f t="shared" si="150"/>
        <v xml:space="preserve">  * La variable Niños, niñas, adolescentes y jóvenes SENAME No puede ser mayor al Total.</v>
      </c>
      <c r="BX237" s="2465" t="str">
        <f t="shared" si="151"/>
        <v xml:space="preserve">  * La variable Niños, niñas, adolescentes y jóvenes Mejor Niñez No puede ser mayor al Total.</v>
      </c>
      <c r="BY237" s="2465" t="str">
        <f t="shared" si="152"/>
        <v xml:space="preserve">  * La variable Migrantes No puede ser mayor al Total.</v>
      </c>
      <c r="BZ237" s="2465" t="str">
        <f t="shared" si="153"/>
        <v xml:space="preserve">  * La variable Trans (Masculino/Femenino) No puede ser mayor al Total Ambos Sexos.</v>
      </c>
      <c r="CA237"/>
      <c r="CB237"/>
      <c r="CC237" s="1724">
        <f t="shared" si="154"/>
        <v>1</v>
      </c>
      <c r="CD237" s="1724">
        <f t="shared" si="155"/>
        <v>1</v>
      </c>
      <c r="CE237" s="1724">
        <f t="shared" si="156"/>
        <v>1</v>
      </c>
      <c r="CF237" s="1724">
        <f t="shared" si="157"/>
        <v>1</v>
      </c>
      <c r="CG237" s="1724">
        <f t="shared" si="158"/>
        <v>1</v>
      </c>
      <c r="CH237" s="1724">
        <f t="shared" si="159"/>
        <v>1</v>
      </c>
      <c r="CI237" s="1724">
        <f t="shared" si="160"/>
        <v>1</v>
      </c>
      <c r="CJ237" s="1724">
        <f t="shared" si="161"/>
        <v>1</v>
      </c>
    </row>
    <row r="238" spans="1:90" x14ac:dyDescent="0.3">
      <c r="A238" s="6233" t="s">
        <v>4437</v>
      </c>
      <c r="B238" s="6935" t="s">
        <v>1993</v>
      </c>
      <c r="C238" s="6936"/>
      <c r="D238" s="2325" t="s">
        <v>5292</v>
      </c>
      <c r="E238" s="2259" t="s">
        <v>5293</v>
      </c>
      <c r="F238" s="2257" t="s">
        <v>5294</v>
      </c>
      <c r="G238" s="2260" t="s">
        <v>5295</v>
      </c>
      <c r="H238" s="2261" t="s">
        <v>5296</v>
      </c>
      <c r="I238" s="2260" t="s">
        <v>5297</v>
      </c>
      <c r="J238" s="2261" t="s">
        <v>5298</v>
      </c>
      <c r="K238" s="2260" t="s">
        <v>5299</v>
      </c>
      <c r="L238" s="2261" t="s">
        <v>5300</v>
      </c>
      <c r="M238" s="2260" t="s">
        <v>5301</v>
      </c>
      <c r="N238" s="2261" t="s">
        <v>5302</v>
      </c>
      <c r="O238" s="2260" t="s">
        <v>5303</v>
      </c>
      <c r="P238" s="2261" t="s">
        <v>5304</v>
      </c>
      <c r="Q238" s="2260" t="s">
        <v>5305</v>
      </c>
      <c r="R238" s="2261" t="s">
        <v>5306</v>
      </c>
      <c r="S238" s="2260" t="s">
        <v>5307</v>
      </c>
      <c r="T238" s="2261" t="s">
        <v>5308</v>
      </c>
      <c r="U238" s="2260" t="s">
        <v>5309</v>
      </c>
      <c r="V238" s="2261" t="s">
        <v>5310</v>
      </c>
      <c r="W238" s="2260" t="s">
        <v>5311</v>
      </c>
      <c r="X238" s="2261" t="s">
        <v>5312</v>
      </c>
      <c r="Y238" s="2260" t="s">
        <v>5313</v>
      </c>
      <c r="Z238" s="2261" t="s">
        <v>5314</v>
      </c>
      <c r="AA238" s="2260" t="s">
        <v>5315</v>
      </c>
      <c r="AB238" s="2261" t="s">
        <v>5316</v>
      </c>
      <c r="AC238" s="2260" t="s">
        <v>5317</v>
      </c>
      <c r="AD238" s="2261" t="s">
        <v>5318</v>
      </c>
      <c r="AE238" s="2260" t="s">
        <v>5319</v>
      </c>
      <c r="AF238" s="2261" t="s">
        <v>5320</v>
      </c>
      <c r="AG238" s="2260" t="s">
        <v>5321</v>
      </c>
      <c r="AH238" s="2261" t="s">
        <v>5322</v>
      </c>
      <c r="AI238" s="2260" t="s">
        <v>5323</v>
      </c>
      <c r="AJ238" s="2261" t="s">
        <v>5324</v>
      </c>
      <c r="AK238" s="2260" t="s">
        <v>5325</v>
      </c>
      <c r="AL238" s="2261" t="s">
        <v>5326</v>
      </c>
      <c r="AM238" s="2120" t="s">
        <v>5327</v>
      </c>
      <c r="AN238" s="2230" t="s">
        <v>5328</v>
      </c>
      <c r="AO238" s="5709" t="s">
        <v>5329</v>
      </c>
      <c r="AP238" s="5710" t="s">
        <v>5330</v>
      </c>
      <c r="AQ238" s="5711" t="s">
        <v>5331</v>
      </c>
      <c r="AR238" s="5698" t="s">
        <v>5332</v>
      </c>
      <c r="AS238" s="2264" t="s">
        <v>5333</v>
      </c>
      <c r="AT238" s="2260" t="s">
        <v>5334</v>
      </c>
      <c r="AU238" s="2261" t="s">
        <v>5335</v>
      </c>
      <c r="AV238" s="2261" t="s">
        <v>5336</v>
      </c>
      <c r="AW238" s="2261" t="s">
        <v>5337</v>
      </c>
      <c r="AX238" s="2261" t="s">
        <v>5338</v>
      </c>
      <c r="AY238" s="2261" t="s">
        <v>5339</v>
      </c>
      <c r="AZ238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R238" s="170"/>
      <c r="BS238" s="2465" t="str">
        <f t="shared" si="163"/>
        <v xml:space="preserve">  * La variable Gestantes No puede ser mayor al Total.</v>
      </c>
      <c r="BT238" s="2465" t="str">
        <f t="shared" si="147"/>
        <v xml:space="preserve">  * La variable Madre de hijo menor de 5 años No puede ser mayor al Total.</v>
      </c>
      <c r="BU238" s="2465" t="str">
        <f t="shared" si="148"/>
        <v xml:space="preserve">  * La variable Pueblos originarios Hombres No puede ser mayor al Total Hombres.</v>
      </c>
      <c r="BV238" s="2465" t="str">
        <f t="shared" si="149"/>
        <v xml:space="preserve">  * La variable Pueblos originarios Mujeres No puede ser mayor al Total Mujeres.</v>
      </c>
      <c r="BW238" s="2465" t="str">
        <f t="shared" si="150"/>
        <v xml:space="preserve">  * La variable Niños, niñas, adolescentes y jóvenes SENAME No puede ser mayor al Total.</v>
      </c>
      <c r="BX238" s="2465" t="str">
        <f t="shared" si="151"/>
        <v xml:space="preserve">  * La variable Niños, niñas, adolescentes y jóvenes Mejor Niñez No puede ser mayor al Total.</v>
      </c>
      <c r="BY238" s="2465" t="str">
        <f t="shared" si="152"/>
        <v xml:space="preserve">  * La variable Migrantes No puede ser mayor al Total.</v>
      </c>
      <c r="BZ238" s="2465" t="str">
        <f t="shared" si="153"/>
        <v xml:space="preserve">  * La variable Trans (Masculino/Femenino) No puede ser mayor al Total Ambos Sexos.</v>
      </c>
      <c r="CA238"/>
      <c r="CB238"/>
      <c r="CC238" s="1724">
        <f t="shared" si="154"/>
        <v>1</v>
      </c>
      <c r="CD238" s="1724">
        <f t="shared" si="155"/>
        <v>1</v>
      </c>
      <c r="CE238" s="1724">
        <f t="shared" si="156"/>
        <v>1</v>
      </c>
      <c r="CF238" s="1724">
        <f t="shared" si="157"/>
        <v>1</v>
      </c>
      <c r="CG238" s="1724">
        <f t="shared" si="158"/>
        <v>1</v>
      </c>
      <c r="CH238" s="1724">
        <f t="shared" si="159"/>
        <v>1</v>
      </c>
      <c r="CI238" s="1724">
        <f t="shared" si="160"/>
        <v>1</v>
      </c>
      <c r="CJ238" s="1724">
        <f t="shared" si="161"/>
        <v>1</v>
      </c>
    </row>
    <row r="239" spans="1:90" x14ac:dyDescent="0.3">
      <c r="A239" s="6233" t="s">
        <v>4438</v>
      </c>
      <c r="B239" s="6917" t="s">
        <v>1994</v>
      </c>
      <c r="C239" s="2249" t="s">
        <v>1995</v>
      </c>
      <c r="D239" s="2250" t="s">
        <v>5292</v>
      </c>
      <c r="E239" s="2251" t="s">
        <v>5293</v>
      </c>
      <c r="F239" s="2249" t="s">
        <v>5294</v>
      </c>
      <c r="G239" s="2265" t="s">
        <v>5295</v>
      </c>
      <c r="H239" s="2266" t="s">
        <v>5296</v>
      </c>
      <c r="I239" s="2120" t="s">
        <v>5297</v>
      </c>
      <c r="J239" s="2229" t="s">
        <v>5298</v>
      </c>
      <c r="K239" s="2120" t="s">
        <v>5299</v>
      </c>
      <c r="L239" s="2229" t="s">
        <v>5300</v>
      </c>
      <c r="M239" s="2120" t="s">
        <v>5301</v>
      </c>
      <c r="N239" s="2229" t="s">
        <v>5302</v>
      </c>
      <c r="O239" s="2120" t="s">
        <v>5303</v>
      </c>
      <c r="P239" s="2229" t="s">
        <v>5304</v>
      </c>
      <c r="Q239" s="2120" t="s">
        <v>5305</v>
      </c>
      <c r="R239" s="2229" t="s">
        <v>5306</v>
      </c>
      <c r="S239" s="2120" t="s">
        <v>5307</v>
      </c>
      <c r="T239" s="2229" t="s">
        <v>5308</v>
      </c>
      <c r="U239" s="2120" t="s">
        <v>5309</v>
      </c>
      <c r="V239" s="2229" t="s">
        <v>5310</v>
      </c>
      <c r="W239" s="2120" t="s">
        <v>5311</v>
      </c>
      <c r="X239" s="2229" t="s">
        <v>5312</v>
      </c>
      <c r="Y239" s="2120" t="s">
        <v>5313</v>
      </c>
      <c r="Z239" s="2229" t="s">
        <v>5314</v>
      </c>
      <c r="AA239" s="2120" t="s">
        <v>5315</v>
      </c>
      <c r="AB239" s="2229" t="s">
        <v>5316</v>
      </c>
      <c r="AC239" s="2120" t="s">
        <v>5317</v>
      </c>
      <c r="AD239" s="2229" t="s">
        <v>5318</v>
      </c>
      <c r="AE239" s="2120" t="s">
        <v>5319</v>
      </c>
      <c r="AF239" s="2229" t="s">
        <v>5320</v>
      </c>
      <c r="AG239" s="2120" t="s">
        <v>5321</v>
      </c>
      <c r="AH239" s="2229" t="s">
        <v>5322</v>
      </c>
      <c r="AI239" s="2120" t="s">
        <v>5323</v>
      </c>
      <c r="AJ239" s="2229" t="s">
        <v>5324</v>
      </c>
      <c r="AK239" s="2120" t="s">
        <v>5325</v>
      </c>
      <c r="AL239" s="2229" t="s">
        <v>5326</v>
      </c>
      <c r="AM239" s="2120" t="s">
        <v>5327</v>
      </c>
      <c r="AN239" s="2230" t="s">
        <v>5328</v>
      </c>
      <c r="AO239" s="5709" t="s">
        <v>5329</v>
      </c>
      <c r="AP239" s="5710" t="s">
        <v>5330</v>
      </c>
      <c r="AQ239" s="5711" t="s">
        <v>5331</v>
      </c>
      <c r="AR239" s="5698" t="s">
        <v>5332</v>
      </c>
      <c r="AS239" s="2264" t="s">
        <v>5333</v>
      </c>
      <c r="AT239" s="2260" t="s">
        <v>5334</v>
      </c>
      <c r="AU239" s="2261" t="s">
        <v>5335</v>
      </c>
      <c r="AV239" s="2261" t="s">
        <v>5336</v>
      </c>
      <c r="AW239" s="2261" t="s">
        <v>5337</v>
      </c>
      <c r="AX239" s="2261" t="s">
        <v>5338</v>
      </c>
      <c r="AY239" s="2261" t="s">
        <v>5339</v>
      </c>
      <c r="AZ239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R239" s="170"/>
      <c r="BS239" s="2465" t="str">
        <f t="shared" si="163"/>
        <v xml:space="preserve">  * La variable Gestantes No puede ser mayor al Total.</v>
      </c>
      <c r="BT239" s="2465" t="str">
        <f t="shared" si="147"/>
        <v xml:space="preserve">  * La variable Madre de hijo menor de 5 años No puede ser mayor al Total.</v>
      </c>
      <c r="BU239" s="2465" t="str">
        <f t="shared" si="148"/>
        <v xml:space="preserve">  * La variable Pueblos originarios Hombres No puede ser mayor al Total Hombres.</v>
      </c>
      <c r="BV239" s="2465" t="str">
        <f t="shared" si="149"/>
        <v xml:space="preserve">  * La variable Pueblos originarios Mujeres No puede ser mayor al Total Mujeres.</v>
      </c>
      <c r="BW239" s="2465" t="str">
        <f t="shared" si="150"/>
        <v xml:space="preserve">  * La variable Niños, niñas, adolescentes y jóvenes SENAME No puede ser mayor al Total.</v>
      </c>
      <c r="BX239" s="2465" t="str">
        <f t="shared" si="151"/>
        <v xml:space="preserve">  * La variable Niños, niñas, adolescentes y jóvenes Mejor Niñez No puede ser mayor al Total.</v>
      </c>
      <c r="BY239" s="2465" t="str">
        <f t="shared" si="152"/>
        <v xml:space="preserve">  * La variable Migrantes No puede ser mayor al Total.</v>
      </c>
      <c r="BZ239" s="2465" t="str">
        <f t="shared" si="153"/>
        <v xml:space="preserve">  * La variable Trans (Masculino/Femenino) No puede ser mayor al Total Ambos Sexos.</v>
      </c>
      <c r="CA239"/>
      <c r="CB239"/>
      <c r="CC239" s="1724">
        <f t="shared" si="154"/>
        <v>1</v>
      </c>
      <c r="CD239" s="1724">
        <f t="shared" si="155"/>
        <v>1</v>
      </c>
      <c r="CE239" s="1724">
        <f t="shared" si="156"/>
        <v>1</v>
      </c>
      <c r="CF239" s="1724">
        <f t="shared" si="157"/>
        <v>1</v>
      </c>
      <c r="CG239" s="1724">
        <f t="shared" si="158"/>
        <v>1</v>
      </c>
      <c r="CH239" s="1724">
        <f t="shared" si="159"/>
        <v>1</v>
      </c>
      <c r="CI239" s="1724">
        <f t="shared" si="160"/>
        <v>1</v>
      </c>
      <c r="CJ239" s="1724">
        <f t="shared" si="161"/>
        <v>1</v>
      </c>
    </row>
    <row r="240" spans="1:90" x14ac:dyDescent="0.3">
      <c r="A240" s="6233" t="s">
        <v>4439</v>
      </c>
      <c r="B240" s="6908"/>
      <c r="C240" s="2" t="s">
        <v>1996</v>
      </c>
      <c r="D240" s="2267" t="s">
        <v>5292</v>
      </c>
      <c r="E240" s="2268" t="s">
        <v>5293</v>
      </c>
      <c r="F240" s="2269" t="s">
        <v>5294</v>
      </c>
      <c r="G240" s="2270" t="s">
        <v>5295</v>
      </c>
      <c r="H240" s="2271" t="s">
        <v>5296</v>
      </c>
      <c r="I240" s="2272" t="s">
        <v>5297</v>
      </c>
      <c r="J240" s="1258" t="s">
        <v>5298</v>
      </c>
      <c r="K240" s="2272" t="s">
        <v>5299</v>
      </c>
      <c r="L240" s="1258" t="s">
        <v>5300</v>
      </c>
      <c r="M240" s="2272" t="s">
        <v>5301</v>
      </c>
      <c r="N240" s="1258" t="s">
        <v>5302</v>
      </c>
      <c r="O240" s="2272" t="s">
        <v>5303</v>
      </c>
      <c r="P240" s="1258" t="s">
        <v>5304</v>
      </c>
      <c r="Q240" s="2272" t="s">
        <v>5305</v>
      </c>
      <c r="R240" s="1258" t="s">
        <v>5306</v>
      </c>
      <c r="S240" s="2272" t="s">
        <v>5307</v>
      </c>
      <c r="T240" s="1258" t="s">
        <v>5308</v>
      </c>
      <c r="U240" s="2272" t="s">
        <v>5309</v>
      </c>
      <c r="V240" s="1258" t="s">
        <v>5310</v>
      </c>
      <c r="W240" s="2272" t="s">
        <v>5311</v>
      </c>
      <c r="X240" s="1258" t="s">
        <v>5312</v>
      </c>
      <c r="Y240" s="2272" t="s">
        <v>5313</v>
      </c>
      <c r="Z240" s="1258" t="s">
        <v>5314</v>
      </c>
      <c r="AA240" s="2272" t="s">
        <v>5315</v>
      </c>
      <c r="AB240" s="1258" t="s">
        <v>5316</v>
      </c>
      <c r="AC240" s="2272" t="s">
        <v>5317</v>
      </c>
      <c r="AD240" s="1258" t="s">
        <v>5318</v>
      </c>
      <c r="AE240" s="2272" t="s">
        <v>5319</v>
      </c>
      <c r="AF240" s="1258" t="s">
        <v>5320</v>
      </c>
      <c r="AG240" s="2272" t="s">
        <v>5321</v>
      </c>
      <c r="AH240" s="1258" t="s">
        <v>5322</v>
      </c>
      <c r="AI240" s="2272" t="s">
        <v>5323</v>
      </c>
      <c r="AJ240" s="1258" t="s">
        <v>5324</v>
      </c>
      <c r="AK240" s="2152" t="s">
        <v>5325</v>
      </c>
      <c r="AL240" s="2212" t="s">
        <v>5326</v>
      </c>
      <c r="AM240" s="2120" t="s">
        <v>5327</v>
      </c>
      <c r="AN240" s="2230" t="s">
        <v>5328</v>
      </c>
      <c r="AO240" s="5709" t="s">
        <v>5329</v>
      </c>
      <c r="AP240" s="5710" t="s">
        <v>5330</v>
      </c>
      <c r="AQ240" s="5711" t="s">
        <v>5331</v>
      </c>
      <c r="AR240" s="5698" t="s">
        <v>5332</v>
      </c>
      <c r="AS240" s="2264" t="s">
        <v>5333</v>
      </c>
      <c r="AT240" s="2260" t="s">
        <v>5334</v>
      </c>
      <c r="AU240" s="2261" t="s">
        <v>5335</v>
      </c>
      <c r="AV240" s="2261" t="s">
        <v>5336</v>
      </c>
      <c r="AW240" s="2261" t="s">
        <v>5337</v>
      </c>
      <c r="AX240" s="2261" t="s">
        <v>5338</v>
      </c>
      <c r="AY240" s="2261" t="s">
        <v>5339</v>
      </c>
      <c r="AZ240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R240" s="170"/>
      <c r="BS240" s="2465" t="str">
        <f t="shared" si="163"/>
        <v xml:space="preserve">  * La variable Gestantes No puede ser mayor al Total.</v>
      </c>
      <c r="BT240" s="2465" t="str">
        <f t="shared" si="147"/>
        <v xml:space="preserve">  * La variable Madre de hijo menor de 5 años No puede ser mayor al Total.</v>
      </c>
      <c r="BU240" s="2465" t="str">
        <f t="shared" si="148"/>
        <v xml:space="preserve">  * La variable Pueblos originarios Hombres No puede ser mayor al Total Hombres.</v>
      </c>
      <c r="BV240" s="2465" t="str">
        <f t="shared" si="149"/>
        <v xml:space="preserve">  * La variable Pueblos originarios Mujeres No puede ser mayor al Total Mujeres.</v>
      </c>
      <c r="BW240" s="2465" t="str">
        <f t="shared" si="150"/>
        <v xml:space="preserve">  * La variable Niños, niñas, adolescentes y jóvenes SENAME No puede ser mayor al Total.</v>
      </c>
      <c r="BX240" s="2465" t="str">
        <f t="shared" si="151"/>
        <v xml:space="preserve">  * La variable Niños, niñas, adolescentes y jóvenes Mejor Niñez No puede ser mayor al Total.</v>
      </c>
      <c r="BY240" s="2465" t="str">
        <f t="shared" si="152"/>
        <v xml:space="preserve">  * La variable Migrantes No puede ser mayor al Total.</v>
      </c>
      <c r="BZ240" s="2465" t="str">
        <f t="shared" si="153"/>
        <v xml:space="preserve">  * La variable Trans (Masculino/Femenino) No puede ser mayor al Total Ambos Sexos.</v>
      </c>
      <c r="CA240"/>
      <c r="CB240"/>
      <c r="CC240" s="1724">
        <f t="shared" si="154"/>
        <v>1</v>
      </c>
      <c r="CD240" s="1724">
        <f t="shared" si="155"/>
        <v>1</v>
      </c>
      <c r="CE240" s="1724">
        <f t="shared" si="156"/>
        <v>1</v>
      </c>
      <c r="CF240" s="1724">
        <f t="shared" si="157"/>
        <v>1</v>
      </c>
      <c r="CG240" s="1724">
        <f t="shared" si="158"/>
        <v>1</v>
      </c>
      <c r="CH240" s="1724">
        <f t="shared" si="159"/>
        <v>1</v>
      </c>
      <c r="CI240" s="1724">
        <f t="shared" si="160"/>
        <v>1</v>
      </c>
      <c r="CJ240" s="1724">
        <f t="shared" si="161"/>
        <v>1</v>
      </c>
    </row>
    <row r="241" spans="1:88" s="17" customFormat="1" ht="18" customHeight="1" x14ac:dyDescent="0.3">
      <c r="A241" s="6233" t="s">
        <v>4440</v>
      </c>
      <c r="B241" s="2273" t="s">
        <v>1997</v>
      </c>
      <c r="C241" s="2243"/>
      <c r="D241" s="2222" t="s">
        <v>5292</v>
      </c>
      <c r="E241" s="2223" t="s">
        <v>5293</v>
      </c>
      <c r="F241" s="2224" t="s">
        <v>5294</v>
      </c>
      <c r="G241" s="2244" t="s">
        <v>5295</v>
      </c>
      <c r="H241" s="2245" t="s">
        <v>5296</v>
      </c>
      <c r="I241" s="2244" t="s">
        <v>5297</v>
      </c>
      <c r="J241" s="2245" t="s">
        <v>5298</v>
      </c>
      <c r="K241" s="2244" t="s">
        <v>5299</v>
      </c>
      <c r="L241" s="2245" t="s">
        <v>5300</v>
      </c>
      <c r="M241" s="2244" t="s">
        <v>5301</v>
      </c>
      <c r="N241" s="2245" t="s">
        <v>5302</v>
      </c>
      <c r="O241" s="2244" t="s">
        <v>5303</v>
      </c>
      <c r="P241" s="2245" t="s">
        <v>5304</v>
      </c>
      <c r="Q241" s="2244" t="s">
        <v>5305</v>
      </c>
      <c r="R241" s="2245" t="s">
        <v>5306</v>
      </c>
      <c r="S241" s="2244" t="s">
        <v>5307</v>
      </c>
      <c r="T241" s="2245" t="s">
        <v>5308</v>
      </c>
      <c r="U241" s="2244" t="s">
        <v>5309</v>
      </c>
      <c r="V241" s="2245" t="s">
        <v>5310</v>
      </c>
      <c r="W241" s="2244" t="s">
        <v>5311</v>
      </c>
      <c r="X241" s="2245" t="s">
        <v>5312</v>
      </c>
      <c r="Y241" s="2244" t="s">
        <v>5313</v>
      </c>
      <c r="Z241" s="2245" t="s">
        <v>5314</v>
      </c>
      <c r="AA241" s="2244" t="s">
        <v>5315</v>
      </c>
      <c r="AB241" s="2245" t="s">
        <v>5316</v>
      </c>
      <c r="AC241" s="2244" t="s">
        <v>5317</v>
      </c>
      <c r="AD241" s="2245" t="s">
        <v>5318</v>
      </c>
      <c r="AE241" s="2244" t="s">
        <v>5319</v>
      </c>
      <c r="AF241" s="2245" t="s">
        <v>5320</v>
      </c>
      <c r="AG241" s="2244" t="s">
        <v>5321</v>
      </c>
      <c r="AH241" s="2245" t="s">
        <v>5322</v>
      </c>
      <c r="AI241" s="2244" t="s">
        <v>5323</v>
      </c>
      <c r="AJ241" s="2245" t="s">
        <v>5324</v>
      </c>
      <c r="AK241" s="2244" t="s">
        <v>5325</v>
      </c>
      <c r="AL241" s="2245" t="s">
        <v>5326</v>
      </c>
      <c r="AM241" s="2120" t="s">
        <v>5327</v>
      </c>
      <c r="AN241" s="2230" t="s">
        <v>5328</v>
      </c>
      <c r="AO241" s="5709" t="s">
        <v>5329</v>
      </c>
      <c r="AP241" s="5710" t="s">
        <v>5330</v>
      </c>
      <c r="AQ241" s="5711" t="s">
        <v>5331</v>
      </c>
      <c r="AR241" s="5698" t="s">
        <v>5332</v>
      </c>
      <c r="AS241" s="2264" t="s">
        <v>5333</v>
      </c>
      <c r="AT241" s="2260" t="s">
        <v>5334</v>
      </c>
      <c r="AU241" s="2261" t="s">
        <v>5335</v>
      </c>
      <c r="AV241" s="2261" t="s">
        <v>5336</v>
      </c>
      <c r="AW241" s="2261" t="s">
        <v>5337</v>
      </c>
      <c r="AX241" s="2261" t="s">
        <v>5338</v>
      </c>
      <c r="AY241" s="2261" t="s">
        <v>5339</v>
      </c>
      <c r="AZ241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R241" s="170"/>
      <c r="BS241" s="2465" t="str">
        <f t="shared" si="163"/>
        <v xml:space="preserve">  * La variable Gestantes No puede ser mayor al Total.</v>
      </c>
      <c r="BT241" s="2465" t="str">
        <f t="shared" si="147"/>
        <v xml:space="preserve">  * La variable Madre de hijo menor de 5 años No puede ser mayor al Total.</v>
      </c>
      <c r="BU241" s="2465" t="str">
        <f t="shared" si="148"/>
        <v xml:space="preserve">  * La variable Pueblos originarios Hombres No puede ser mayor al Total Hombres.</v>
      </c>
      <c r="BV241" s="2465" t="str">
        <f t="shared" si="149"/>
        <v xml:space="preserve">  * La variable Pueblos originarios Mujeres No puede ser mayor al Total Mujeres.</v>
      </c>
      <c r="BW241" s="2465" t="str">
        <f t="shared" si="150"/>
        <v xml:space="preserve">  * La variable Niños, niñas, adolescentes y jóvenes SENAME No puede ser mayor al Total.</v>
      </c>
      <c r="BX241" s="2465" t="str">
        <f t="shared" si="151"/>
        <v xml:space="preserve">  * La variable Niños, niñas, adolescentes y jóvenes Mejor Niñez No puede ser mayor al Total.</v>
      </c>
      <c r="BY241" s="2465" t="str">
        <f t="shared" si="152"/>
        <v xml:space="preserve">  * La variable Migrantes No puede ser mayor al Total.</v>
      </c>
      <c r="BZ241" s="2465" t="str">
        <f t="shared" si="153"/>
        <v xml:space="preserve">  * La variable Trans (Masculino/Femenino) No puede ser mayor al Total Ambos Sexos.</v>
      </c>
      <c r="CB241"/>
      <c r="CC241" s="1724">
        <f t="shared" si="154"/>
        <v>1</v>
      </c>
      <c r="CD241" s="1724">
        <f t="shared" si="155"/>
        <v>1</v>
      </c>
      <c r="CE241" s="1724">
        <f t="shared" si="156"/>
        <v>1</v>
      </c>
      <c r="CF241" s="1724">
        <f t="shared" si="157"/>
        <v>1</v>
      </c>
      <c r="CG241" s="1724">
        <f t="shared" si="158"/>
        <v>1</v>
      </c>
      <c r="CH241" s="1724">
        <f t="shared" si="159"/>
        <v>1</v>
      </c>
      <c r="CI241" s="1724">
        <f t="shared" si="160"/>
        <v>1</v>
      </c>
      <c r="CJ241" s="1724">
        <f t="shared" si="161"/>
        <v>1</v>
      </c>
    </row>
    <row r="242" spans="1:88" ht="15" customHeight="1" x14ac:dyDescent="0.3">
      <c r="A242" s="6233" t="s">
        <v>4441</v>
      </c>
      <c r="B242" s="6917" t="s">
        <v>1998</v>
      </c>
      <c r="C242" s="2274" t="s">
        <v>1999</v>
      </c>
      <c r="D242" s="2275" t="s">
        <v>5292</v>
      </c>
      <c r="E242" s="2276" t="s">
        <v>5293</v>
      </c>
      <c r="F242" s="2274" t="s">
        <v>5294</v>
      </c>
      <c r="G242" s="2112" t="s">
        <v>5295</v>
      </c>
      <c r="H242" s="1089" t="s">
        <v>5296</v>
      </c>
      <c r="I242" s="2112" t="s">
        <v>5297</v>
      </c>
      <c r="J242" s="1089" t="s">
        <v>5298</v>
      </c>
      <c r="K242" s="2112" t="s">
        <v>5299</v>
      </c>
      <c r="L242" s="1089" t="s">
        <v>5300</v>
      </c>
      <c r="M242" s="2112" t="s">
        <v>5301</v>
      </c>
      <c r="N242" s="1089" t="s">
        <v>5302</v>
      </c>
      <c r="O242" s="2112" t="s">
        <v>5303</v>
      </c>
      <c r="P242" s="1089" t="s">
        <v>5304</v>
      </c>
      <c r="Q242" s="2112" t="s">
        <v>5305</v>
      </c>
      <c r="R242" s="1089" t="s">
        <v>5306</v>
      </c>
      <c r="S242" s="2112" t="s">
        <v>5307</v>
      </c>
      <c r="T242" s="1089" t="s">
        <v>5308</v>
      </c>
      <c r="U242" s="2112" t="s">
        <v>5309</v>
      </c>
      <c r="V242" s="1089" t="s">
        <v>5310</v>
      </c>
      <c r="W242" s="2112" t="s">
        <v>5311</v>
      </c>
      <c r="X242" s="1089" t="s">
        <v>5312</v>
      </c>
      <c r="Y242" s="2112" t="s">
        <v>5313</v>
      </c>
      <c r="Z242" s="1089" t="s">
        <v>5314</v>
      </c>
      <c r="AA242" s="2112" t="s">
        <v>5315</v>
      </c>
      <c r="AB242" s="1089" t="s">
        <v>5316</v>
      </c>
      <c r="AC242" s="2112" t="s">
        <v>5317</v>
      </c>
      <c r="AD242" s="1089" t="s">
        <v>5318</v>
      </c>
      <c r="AE242" s="2112" t="s">
        <v>5319</v>
      </c>
      <c r="AF242" s="1089" t="s">
        <v>5320</v>
      </c>
      <c r="AG242" s="2112" t="s">
        <v>5321</v>
      </c>
      <c r="AH242" s="1089" t="s">
        <v>5322</v>
      </c>
      <c r="AI242" s="2112" t="s">
        <v>5323</v>
      </c>
      <c r="AJ242" s="1089" t="s">
        <v>5324</v>
      </c>
      <c r="AK242" s="2112" t="s">
        <v>5325</v>
      </c>
      <c r="AL242" s="1089" t="s">
        <v>5326</v>
      </c>
      <c r="AM242" s="2120" t="s">
        <v>5327</v>
      </c>
      <c r="AN242" s="2230" t="s">
        <v>5328</v>
      </c>
      <c r="AO242" s="5709" t="s">
        <v>5329</v>
      </c>
      <c r="AP242" s="5710" t="s">
        <v>5330</v>
      </c>
      <c r="AQ242" s="5711" t="s">
        <v>5331</v>
      </c>
      <c r="AR242" s="5698" t="s">
        <v>5332</v>
      </c>
      <c r="AS242" s="2264" t="s">
        <v>5333</v>
      </c>
      <c r="AT242" s="2260" t="s">
        <v>5334</v>
      </c>
      <c r="AU242" s="2261" t="s">
        <v>5335</v>
      </c>
      <c r="AV242" s="2261" t="s">
        <v>5336</v>
      </c>
      <c r="AW242" s="2261" t="s">
        <v>5337</v>
      </c>
      <c r="AX242" s="2261" t="s">
        <v>5338</v>
      </c>
      <c r="AY242" s="2261" t="s">
        <v>5339</v>
      </c>
      <c r="AZ242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R242" s="170"/>
      <c r="BS242" s="2465" t="str">
        <f t="shared" si="163"/>
        <v xml:space="preserve">  * La variable Gestantes No puede ser mayor al Total.</v>
      </c>
      <c r="BT242" s="2465" t="str">
        <f t="shared" si="147"/>
        <v xml:space="preserve">  * La variable Madre de hijo menor de 5 años No puede ser mayor al Total.</v>
      </c>
      <c r="BU242" s="2465" t="str">
        <f t="shared" si="148"/>
        <v xml:space="preserve">  * La variable Pueblos originarios Hombres No puede ser mayor al Total Hombres.</v>
      </c>
      <c r="BV242" s="2465" t="str">
        <f t="shared" si="149"/>
        <v xml:space="preserve">  * La variable Pueblos originarios Mujeres No puede ser mayor al Total Mujeres.</v>
      </c>
      <c r="BW242" s="2465" t="str">
        <f t="shared" si="150"/>
        <v xml:space="preserve">  * La variable Niños, niñas, adolescentes y jóvenes SENAME No puede ser mayor al Total.</v>
      </c>
      <c r="BX242" s="2465" t="str">
        <f t="shared" si="151"/>
        <v xml:space="preserve">  * La variable Niños, niñas, adolescentes y jóvenes Mejor Niñez No puede ser mayor al Total.</v>
      </c>
      <c r="BY242" s="2465" t="str">
        <f t="shared" si="152"/>
        <v xml:space="preserve">  * La variable Migrantes No puede ser mayor al Total.</v>
      </c>
      <c r="BZ242" s="2465" t="str">
        <f t="shared" si="153"/>
        <v xml:space="preserve">  * La variable Trans (Masculino/Femenino) No puede ser mayor al Total Ambos Sexos.</v>
      </c>
      <c r="CA242"/>
      <c r="CB242"/>
      <c r="CC242" s="1724">
        <f t="shared" si="154"/>
        <v>1</v>
      </c>
      <c r="CD242" s="1724">
        <f t="shared" si="155"/>
        <v>1</v>
      </c>
      <c r="CE242" s="1724">
        <f t="shared" si="156"/>
        <v>1</v>
      </c>
      <c r="CF242" s="1724">
        <f t="shared" si="157"/>
        <v>1</v>
      </c>
      <c r="CG242" s="1724">
        <f t="shared" si="158"/>
        <v>1</v>
      </c>
      <c r="CH242" s="1724">
        <f t="shared" si="159"/>
        <v>1</v>
      </c>
      <c r="CI242" s="1724">
        <f t="shared" si="160"/>
        <v>1</v>
      </c>
      <c r="CJ242" s="1724">
        <f t="shared" si="161"/>
        <v>1</v>
      </c>
    </row>
    <row r="243" spans="1:88" x14ac:dyDescent="0.3">
      <c r="A243" s="6233" t="s">
        <v>4442</v>
      </c>
      <c r="B243" s="6899"/>
      <c r="C243" s="1" t="s">
        <v>2000</v>
      </c>
      <c r="D243" s="2277" t="s">
        <v>5292</v>
      </c>
      <c r="E243" s="2278" t="s">
        <v>5293</v>
      </c>
      <c r="F243" s="1" t="s">
        <v>5294</v>
      </c>
      <c r="G243" s="1095" t="s">
        <v>5295</v>
      </c>
      <c r="H243" s="8" t="s">
        <v>5296</v>
      </c>
      <c r="I243" s="1095" t="s">
        <v>5297</v>
      </c>
      <c r="J243" s="8" t="s">
        <v>5298</v>
      </c>
      <c r="K243" s="1095" t="s">
        <v>5299</v>
      </c>
      <c r="L243" s="8" t="s">
        <v>5300</v>
      </c>
      <c r="M243" s="1095" t="s">
        <v>5301</v>
      </c>
      <c r="N243" s="8" t="s">
        <v>5302</v>
      </c>
      <c r="O243" s="1095" t="s">
        <v>5303</v>
      </c>
      <c r="P243" s="8" t="s">
        <v>5304</v>
      </c>
      <c r="Q243" s="1095" t="s">
        <v>5305</v>
      </c>
      <c r="R243" s="8" t="s">
        <v>5306</v>
      </c>
      <c r="S243" s="1095" t="s">
        <v>5307</v>
      </c>
      <c r="T243" s="8" t="s">
        <v>5308</v>
      </c>
      <c r="U243" s="1095" t="s">
        <v>5309</v>
      </c>
      <c r="V243" s="8" t="s">
        <v>5310</v>
      </c>
      <c r="W243" s="1095" t="s">
        <v>5311</v>
      </c>
      <c r="X243" s="8" t="s">
        <v>5312</v>
      </c>
      <c r="Y243" s="1095" t="s">
        <v>5313</v>
      </c>
      <c r="Z243" s="8" t="s">
        <v>5314</v>
      </c>
      <c r="AA243" s="1095" t="s">
        <v>5315</v>
      </c>
      <c r="AB243" s="8" t="s">
        <v>5316</v>
      </c>
      <c r="AC243" s="1095" t="s">
        <v>5317</v>
      </c>
      <c r="AD243" s="8" t="s">
        <v>5318</v>
      </c>
      <c r="AE243" s="1095" t="s">
        <v>5319</v>
      </c>
      <c r="AF243" s="8" t="s">
        <v>5320</v>
      </c>
      <c r="AG243" s="1095" t="s">
        <v>5321</v>
      </c>
      <c r="AH243" s="8" t="s">
        <v>5322</v>
      </c>
      <c r="AI243" s="1095" t="s">
        <v>5323</v>
      </c>
      <c r="AJ243" s="8" t="s">
        <v>5324</v>
      </c>
      <c r="AK243" s="1095" t="s">
        <v>5325</v>
      </c>
      <c r="AL243" s="8" t="s">
        <v>5326</v>
      </c>
      <c r="AM243" s="2120" t="s">
        <v>5327</v>
      </c>
      <c r="AN243" s="2230" t="s">
        <v>5328</v>
      </c>
      <c r="AO243" s="5709" t="s">
        <v>5329</v>
      </c>
      <c r="AP243" s="5710" t="s">
        <v>5330</v>
      </c>
      <c r="AQ243" s="5711" t="s">
        <v>5331</v>
      </c>
      <c r="AR243" s="5698" t="s">
        <v>5332</v>
      </c>
      <c r="AS243" s="2264" t="s">
        <v>5333</v>
      </c>
      <c r="AT243" s="2260" t="s">
        <v>5334</v>
      </c>
      <c r="AU243" s="2261" t="s">
        <v>5335</v>
      </c>
      <c r="AV243" s="2261" t="s">
        <v>5336</v>
      </c>
      <c r="AW243" s="2261" t="s">
        <v>5337</v>
      </c>
      <c r="AX243" s="2261" t="s">
        <v>5338</v>
      </c>
      <c r="AY243" s="2261" t="s">
        <v>5339</v>
      </c>
      <c r="AZ243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R243" s="170"/>
      <c r="BS243" s="2465" t="str">
        <f t="shared" si="163"/>
        <v xml:space="preserve">  * La variable Gestantes No puede ser mayor al Total.</v>
      </c>
      <c r="BT243" s="2465" t="str">
        <f t="shared" si="147"/>
        <v xml:space="preserve">  * La variable Madre de hijo menor de 5 años No puede ser mayor al Total.</v>
      </c>
      <c r="BU243" s="2465" t="str">
        <f t="shared" si="148"/>
        <v xml:space="preserve">  * La variable Pueblos originarios Hombres No puede ser mayor al Total Hombres.</v>
      </c>
      <c r="BV243" s="2465" t="str">
        <f t="shared" si="149"/>
        <v xml:space="preserve">  * La variable Pueblos originarios Mujeres No puede ser mayor al Total Mujeres.</v>
      </c>
      <c r="BW243" s="2465" t="str">
        <f t="shared" si="150"/>
        <v xml:space="preserve">  * La variable Niños, niñas, adolescentes y jóvenes SENAME No puede ser mayor al Total.</v>
      </c>
      <c r="BX243" s="2465" t="str">
        <f t="shared" si="151"/>
        <v xml:space="preserve">  * La variable Niños, niñas, adolescentes y jóvenes Mejor Niñez No puede ser mayor al Total.</v>
      </c>
      <c r="BY243" s="2465" t="str">
        <f t="shared" si="152"/>
        <v xml:space="preserve">  * La variable Migrantes No puede ser mayor al Total.</v>
      </c>
      <c r="BZ243" s="2465" t="str">
        <f t="shared" si="153"/>
        <v xml:space="preserve">  * La variable Trans (Masculino/Femenino) No puede ser mayor al Total Ambos Sexos.</v>
      </c>
      <c r="CA243"/>
      <c r="CB243"/>
      <c r="CC243" s="1724">
        <f t="shared" si="154"/>
        <v>1</v>
      </c>
      <c r="CD243" s="1724">
        <f t="shared" si="155"/>
        <v>1</v>
      </c>
      <c r="CE243" s="1724">
        <f t="shared" si="156"/>
        <v>1</v>
      </c>
      <c r="CF243" s="1724">
        <f t="shared" si="157"/>
        <v>1</v>
      </c>
      <c r="CG243" s="1724">
        <f t="shared" si="158"/>
        <v>1</v>
      </c>
      <c r="CH243" s="1724">
        <f t="shared" si="159"/>
        <v>1</v>
      </c>
      <c r="CI243" s="1724">
        <f t="shared" si="160"/>
        <v>1</v>
      </c>
      <c r="CJ243" s="1724">
        <f t="shared" si="161"/>
        <v>1</v>
      </c>
    </row>
    <row r="244" spans="1:88" x14ac:dyDescent="0.3">
      <c r="A244" s="6233" t="s">
        <v>4443</v>
      </c>
      <c r="B244" s="6899"/>
      <c r="C244" s="1" t="s">
        <v>2001</v>
      </c>
      <c r="D244" s="2277" t="s">
        <v>5292</v>
      </c>
      <c r="E244" s="2278" t="s">
        <v>5293</v>
      </c>
      <c r="F244" s="1" t="s">
        <v>5294</v>
      </c>
      <c r="G244" s="1095" t="s">
        <v>5295</v>
      </c>
      <c r="H244" s="8" t="s">
        <v>5296</v>
      </c>
      <c r="I244" s="1095" t="s">
        <v>5297</v>
      </c>
      <c r="J244" s="8" t="s">
        <v>5298</v>
      </c>
      <c r="K244" s="1095" t="s">
        <v>5299</v>
      </c>
      <c r="L244" s="8" t="s">
        <v>5300</v>
      </c>
      <c r="M244" s="1095" t="s">
        <v>5301</v>
      </c>
      <c r="N244" s="8" t="s">
        <v>5302</v>
      </c>
      <c r="O244" s="1095" t="s">
        <v>5303</v>
      </c>
      <c r="P244" s="8" t="s">
        <v>5304</v>
      </c>
      <c r="Q244" s="1095" t="s">
        <v>5305</v>
      </c>
      <c r="R244" s="8" t="s">
        <v>5306</v>
      </c>
      <c r="S244" s="1095" t="s">
        <v>5307</v>
      </c>
      <c r="T244" s="8" t="s">
        <v>5308</v>
      </c>
      <c r="U244" s="1095" t="s">
        <v>5309</v>
      </c>
      <c r="V244" s="8" t="s">
        <v>5310</v>
      </c>
      <c r="W244" s="1095" t="s">
        <v>5311</v>
      </c>
      <c r="X244" s="8" t="s">
        <v>5312</v>
      </c>
      <c r="Y244" s="1095" t="s">
        <v>5313</v>
      </c>
      <c r="Z244" s="8" t="s">
        <v>5314</v>
      </c>
      <c r="AA244" s="1095" t="s">
        <v>5315</v>
      </c>
      <c r="AB244" s="8" t="s">
        <v>5316</v>
      </c>
      <c r="AC244" s="1095" t="s">
        <v>5317</v>
      </c>
      <c r="AD244" s="8" t="s">
        <v>5318</v>
      </c>
      <c r="AE244" s="1095" t="s">
        <v>5319</v>
      </c>
      <c r="AF244" s="8" t="s">
        <v>5320</v>
      </c>
      <c r="AG244" s="1095" t="s">
        <v>5321</v>
      </c>
      <c r="AH244" s="8" t="s">
        <v>5322</v>
      </c>
      <c r="AI244" s="1095" t="s">
        <v>5323</v>
      </c>
      <c r="AJ244" s="8" t="s">
        <v>5324</v>
      </c>
      <c r="AK244" s="1095" t="s">
        <v>5325</v>
      </c>
      <c r="AL244" s="8" t="s">
        <v>5326</v>
      </c>
      <c r="AM244" s="2120" t="s">
        <v>5327</v>
      </c>
      <c r="AN244" s="2230" t="s">
        <v>5328</v>
      </c>
      <c r="AO244" s="5709" t="s">
        <v>5329</v>
      </c>
      <c r="AP244" s="5710" t="s">
        <v>5330</v>
      </c>
      <c r="AQ244" s="5711" t="s">
        <v>5331</v>
      </c>
      <c r="AR244" s="5698" t="s">
        <v>5332</v>
      </c>
      <c r="AS244" s="2264" t="s">
        <v>5333</v>
      </c>
      <c r="AT244" s="2260" t="s">
        <v>5334</v>
      </c>
      <c r="AU244" s="2261" t="s">
        <v>5335</v>
      </c>
      <c r="AV244" s="2261" t="s">
        <v>5336</v>
      </c>
      <c r="AW244" s="2261" t="s">
        <v>5337</v>
      </c>
      <c r="AX244" s="2261" t="s">
        <v>5338</v>
      </c>
      <c r="AY244" s="2261" t="s">
        <v>5339</v>
      </c>
      <c r="AZ244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R244" s="170"/>
      <c r="BS244" s="2465" t="str">
        <f t="shared" si="163"/>
        <v xml:space="preserve">  * La variable Gestantes No puede ser mayor al Total.</v>
      </c>
      <c r="BT244" s="2465" t="str">
        <f t="shared" si="147"/>
        <v xml:space="preserve">  * La variable Madre de hijo menor de 5 años No puede ser mayor al Total.</v>
      </c>
      <c r="BU244" s="2465" t="str">
        <f t="shared" si="148"/>
        <v xml:space="preserve">  * La variable Pueblos originarios Hombres No puede ser mayor al Total Hombres.</v>
      </c>
      <c r="BV244" s="2465" t="str">
        <f t="shared" si="149"/>
        <v xml:space="preserve">  * La variable Pueblos originarios Mujeres No puede ser mayor al Total Mujeres.</v>
      </c>
      <c r="BW244" s="2465" t="str">
        <f t="shared" si="150"/>
        <v xml:space="preserve">  * La variable Niños, niñas, adolescentes y jóvenes SENAME No puede ser mayor al Total.</v>
      </c>
      <c r="BX244" s="2465" t="str">
        <f t="shared" si="151"/>
        <v xml:space="preserve">  * La variable Niños, niñas, adolescentes y jóvenes Mejor Niñez No puede ser mayor al Total.</v>
      </c>
      <c r="BY244" s="2465" t="str">
        <f t="shared" si="152"/>
        <v xml:space="preserve">  * La variable Migrantes No puede ser mayor al Total.</v>
      </c>
      <c r="BZ244" s="2465" t="str">
        <f>IF(AND(D244&gt;0,AY244=""), "* No olvide digitar la variable Trans (Masculino/ Femenino). Digite Cero si no tiene.",IF(AY244&gt;D244,"  * La variable Trans (Masculino/Femenino) No puede ser mayor al Total Ambos Sexos.",""))</f>
        <v xml:space="preserve">  * La variable Trans (Masculino/Femenino) No puede ser mayor al Total Ambos Sexos.</v>
      </c>
      <c r="CA244"/>
      <c r="CB244"/>
      <c r="CC244" s="1724">
        <f t="shared" si="154"/>
        <v>1</v>
      </c>
      <c r="CD244" s="1724">
        <f t="shared" si="155"/>
        <v>1</v>
      </c>
      <c r="CE244" s="1724">
        <f t="shared" si="156"/>
        <v>1</v>
      </c>
      <c r="CF244" s="1724">
        <f t="shared" si="157"/>
        <v>1</v>
      </c>
      <c r="CG244" s="1724">
        <f t="shared" si="158"/>
        <v>1</v>
      </c>
      <c r="CH244" s="1724">
        <f t="shared" si="159"/>
        <v>1</v>
      </c>
      <c r="CI244" s="1724">
        <f t="shared" si="160"/>
        <v>1</v>
      </c>
      <c r="CJ244" s="1724">
        <f t="shared" si="161"/>
        <v>1</v>
      </c>
    </row>
    <row r="245" spans="1:88" x14ac:dyDescent="0.3">
      <c r="A245" s="6233" t="s">
        <v>4444</v>
      </c>
      <c r="B245" s="6899"/>
      <c r="C245" s="2280" t="s">
        <v>2002</v>
      </c>
      <c r="D245" s="2277" t="s">
        <v>5292</v>
      </c>
      <c r="E245" s="1528" t="s">
        <v>5293</v>
      </c>
      <c r="F245" s="1" t="s">
        <v>5294</v>
      </c>
      <c r="G245" s="1530" t="s">
        <v>5295</v>
      </c>
      <c r="H245" s="34" t="s">
        <v>5296</v>
      </c>
      <c r="I245" s="1530" t="s">
        <v>5297</v>
      </c>
      <c r="J245" s="34" t="s">
        <v>5298</v>
      </c>
      <c r="K245" s="1530" t="s">
        <v>5299</v>
      </c>
      <c r="L245" s="8" t="s">
        <v>5300</v>
      </c>
      <c r="M245" s="1530" t="s">
        <v>5301</v>
      </c>
      <c r="N245" s="8" t="s">
        <v>5302</v>
      </c>
      <c r="O245" s="1530" t="s">
        <v>5303</v>
      </c>
      <c r="P245" s="8" t="s">
        <v>5304</v>
      </c>
      <c r="Q245" s="1530" t="s">
        <v>5305</v>
      </c>
      <c r="R245" s="8" t="s">
        <v>5306</v>
      </c>
      <c r="S245" s="1530" t="s">
        <v>5307</v>
      </c>
      <c r="T245" s="8" t="s">
        <v>5308</v>
      </c>
      <c r="U245" s="1530" t="s">
        <v>5309</v>
      </c>
      <c r="V245" s="8" t="s">
        <v>5310</v>
      </c>
      <c r="W245" s="1530" t="s">
        <v>5311</v>
      </c>
      <c r="X245" s="8" t="s">
        <v>5312</v>
      </c>
      <c r="Y245" s="1530" t="s">
        <v>5313</v>
      </c>
      <c r="Z245" s="8" t="s">
        <v>5314</v>
      </c>
      <c r="AA245" s="1530" t="s">
        <v>5315</v>
      </c>
      <c r="AB245" s="8" t="s">
        <v>5316</v>
      </c>
      <c r="AC245" s="1530" t="s">
        <v>5317</v>
      </c>
      <c r="AD245" s="8" t="s">
        <v>5318</v>
      </c>
      <c r="AE245" s="1530" t="s">
        <v>5319</v>
      </c>
      <c r="AF245" s="8" t="s">
        <v>5320</v>
      </c>
      <c r="AG245" s="1530" t="s">
        <v>5321</v>
      </c>
      <c r="AH245" s="8" t="s">
        <v>5322</v>
      </c>
      <c r="AI245" s="1530" t="s">
        <v>5323</v>
      </c>
      <c r="AJ245" s="8" t="s">
        <v>5324</v>
      </c>
      <c r="AK245" s="1530" t="s">
        <v>5325</v>
      </c>
      <c r="AL245" s="8" t="s">
        <v>5326</v>
      </c>
      <c r="AM245" s="1530" t="s">
        <v>5327</v>
      </c>
      <c r="AN245" s="1697" t="s">
        <v>5328</v>
      </c>
      <c r="AO245" s="5715" t="s">
        <v>5329</v>
      </c>
      <c r="AP245" s="1102" t="s">
        <v>5330</v>
      </c>
      <c r="AQ245" s="2113" t="s">
        <v>5331</v>
      </c>
      <c r="AR245" s="3930" t="s">
        <v>5332</v>
      </c>
      <c r="AS245" s="1092" t="s">
        <v>5333</v>
      </c>
      <c r="AT245" s="2329" t="s">
        <v>5334</v>
      </c>
      <c r="AU245" s="8" t="s">
        <v>5335</v>
      </c>
      <c r="AV245" s="8" t="s">
        <v>5336</v>
      </c>
      <c r="AW245" s="8" t="s">
        <v>5337</v>
      </c>
      <c r="AX245" s="8" t="s">
        <v>5338</v>
      </c>
      <c r="AY245" s="8" t="s">
        <v>5339</v>
      </c>
      <c r="AZ245" s="17" t="str">
        <f t="shared" si="162"/>
        <v xml:space="preserve">  * La variable Gestantes No puede ser mayor al Total.  * La variable Madre de hijo menor de 5 años No puede ser mayor al Total.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R245" s="170"/>
      <c r="BS245" s="2465" t="str">
        <f t="shared" si="163"/>
        <v xml:space="preserve">  * La variable Gestantes No puede ser mayor al Total.</v>
      </c>
      <c r="BT245" s="2465" t="str">
        <f t="shared" si="147"/>
        <v xml:space="preserve">  * La variable Madre de hijo menor de 5 años No puede ser mayor al Total.</v>
      </c>
      <c r="BU245" s="2466"/>
      <c r="BV245" s="2465" t="str">
        <f t="shared" si="149"/>
        <v xml:space="preserve">  * La variable Pueblos originarios Mujeres No puede ser mayor al Total Mujeres.</v>
      </c>
      <c r="BW245" s="2465" t="str">
        <f t="shared" si="150"/>
        <v xml:space="preserve">  * La variable Niños, niñas, adolescentes y jóvenes SENAME No puede ser mayor al Total.</v>
      </c>
      <c r="BX245" s="2465" t="str">
        <f t="shared" si="151"/>
        <v xml:space="preserve">  * La variable Niños, niñas, adolescentes y jóvenes Mejor Niñez No puede ser mayor al Total.</v>
      </c>
      <c r="BY245" s="2465" t="str">
        <f t="shared" si="152"/>
        <v xml:space="preserve">  * La variable Migrantes No puede ser mayor al Total.</v>
      </c>
      <c r="BZ245" s="2465" t="str">
        <f t="shared" si="153"/>
        <v xml:space="preserve">  * La variable Trans (Masculino/Femenino) No puede ser mayor al Total Ambos Sexos.</v>
      </c>
      <c r="CA245"/>
      <c r="CB245"/>
      <c r="CC245" s="1724">
        <f t="shared" si="154"/>
        <v>1</v>
      </c>
      <c r="CD245" s="1724">
        <f t="shared" si="155"/>
        <v>1</v>
      </c>
      <c r="CE245" s="1724">
        <f t="shared" si="156"/>
        <v>1</v>
      </c>
      <c r="CF245" s="1724">
        <f t="shared" si="157"/>
        <v>1</v>
      </c>
      <c r="CG245" s="1724">
        <f t="shared" si="158"/>
        <v>1</v>
      </c>
      <c r="CH245" s="1724">
        <f t="shared" si="159"/>
        <v>1</v>
      </c>
      <c r="CI245" s="1724">
        <f t="shared" si="160"/>
        <v>1</v>
      </c>
      <c r="CJ245" s="1724">
        <f t="shared" si="161"/>
        <v>1</v>
      </c>
    </row>
    <row r="246" spans="1:88" x14ac:dyDescent="0.3">
      <c r="A246" s="6233" t="s">
        <v>4445</v>
      </c>
      <c r="B246" s="6899"/>
      <c r="C246" s="1" t="s">
        <v>2003</v>
      </c>
      <c r="D246" s="2277" t="s">
        <v>5292</v>
      </c>
      <c r="E246" s="2278" t="s">
        <v>5293</v>
      </c>
      <c r="F246" s="1" t="s">
        <v>5294</v>
      </c>
      <c r="G246" s="1095" t="s">
        <v>5295</v>
      </c>
      <c r="H246" s="8" t="s">
        <v>5296</v>
      </c>
      <c r="I246" s="1095" t="s">
        <v>5297</v>
      </c>
      <c r="J246" s="8" t="s">
        <v>5298</v>
      </c>
      <c r="K246" s="1095" t="s">
        <v>5299</v>
      </c>
      <c r="L246" s="8" t="s">
        <v>5300</v>
      </c>
      <c r="M246" s="1095" t="s">
        <v>5301</v>
      </c>
      <c r="N246" s="8" t="s">
        <v>5302</v>
      </c>
      <c r="O246" s="1095" t="s">
        <v>5303</v>
      </c>
      <c r="P246" s="8" t="s">
        <v>5304</v>
      </c>
      <c r="Q246" s="1095" t="s">
        <v>5305</v>
      </c>
      <c r="R246" s="8" t="s">
        <v>5306</v>
      </c>
      <c r="S246" s="1095" t="s">
        <v>5307</v>
      </c>
      <c r="T246" s="8" t="s">
        <v>5308</v>
      </c>
      <c r="U246" s="1095" t="s">
        <v>5309</v>
      </c>
      <c r="V246" s="8" t="s">
        <v>5310</v>
      </c>
      <c r="W246" s="1095" t="s">
        <v>5311</v>
      </c>
      <c r="X246" s="8" t="s">
        <v>5312</v>
      </c>
      <c r="Y246" s="1095" t="s">
        <v>5313</v>
      </c>
      <c r="Z246" s="8" t="s">
        <v>5314</v>
      </c>
      <c r="AA246" s="1095" t="s">
        <v>5315</v>
      </c>
      <c r="AB246" s="8" t="s">
        <v>5316</v>
      </c>
      <c r="AC246" s="1095" t="s">
        <v>5317</v>
      </c>
      <c r="AD246" s="8" t="s">
        <v>5318</v>
      </c>
      <c r="AE246" s="1095" t="s">
        <v>5319</v>
      </c>
      <c r="AF246" s="8" t="s">
        <v>5320</v>
      </c>
      <c r="AG246" s="1095" t="s">
        <v>5321</v>
      </c>
      <c r="AH246" s="8" t="s">
        <v>5322</v>
      </c>
      <c r="AI246" s="1095" t="s">
        <v>5323</v>
      </c>
      <c r="AJ246" s="8" t="s">
        <v>5324</v>
      </c>
      <c r="AK246" s="1095" t="s">
        <v>5325</v>
      </c>
      <c r="AL246" s="8" t="s">
        <v>5326</v>
      </c>
      <c r="AM246" s="1095" t="s">
        <v>5327</v>
      </c>
      <c r="AN246" s="1697" t="s">
        <v>5328</v>
      </c>
      <c r="AO246" s="5715" t="s">
        <v>5329</v>
      </c>
      <c r="AP246" s="1102" t="s">
        <v>5330</v>
      </c>
      <c r="AQ246" s="2113" t="s">
        <v>5331</v>
      </c>
      <c r="AR246" s="3930" t="s">
        <v>5332</v>
      </c>
      <c r="AS246" s="1092" t="s">
        <v>5333</v>
      </c>
      <c r="AT246" s="1095" t="s">
        <v>5334</v>
      </c>
      <c r="AU246" s="8" t="s">
        <v>5335</v>
      </c>
      <c r="AV246" s="8" t="s">
        <v>5336</v>
      </c>
      <c r="AW246" s="8" t="s">
        <v>5337</v>
      </c>
      <c r="AX246" s="8" t="s">
        <v>5338</v>
      </c>
      <c r="AY246" s="8" t="s">
        <v>5339</v>
      </c>
      <c r="AZ246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R246" s="170"/>
      <c r="BS246" s="2465" t="str">
        <f t="shared" si="163"/>
        <v xml:space="preserve">  * La variable Gestantes No puede ser mayor al Total.</v>
      </c>
      <c r="BT246" s="2465" t="str">
        <f t="shared" si="147"/>
        <v xml:space="preserve">  * La variable Madre de hijo menor de 5 años No puede ser mayor al Total.</v>
      </c>
      <c r="BU246" s="2465" t="str">
        <f t="shared" si="148"/>
        <v xml:space="preserve">  * La variable Pueblos originarios Hombres No puede ser mayor al Total Hombres.</v>
      </c>
      <c r="BV246" s="2465" t="str">
        <f t="shared" si="149"/>
        <v xml:space="preserve">  * La variable Pueblos originarios Mujeres No puede ser mayor al Total Mujeres.</v>
      </c>
      <c r="BW246" s="2465" t="str">
        <f t="shared" si="150"/>
        <v xml:space="preserve">  * La variable Niños, niñas, adolescentes y jóvenes SENAME No puede ser mayor al Total.</v>
      </c>
      <c r="BX246" s="2465" t="str">
        <f t="shared" si="151"/>
        <v xml:space="preserve">  * La variable Niños, niñas, adolescentes y jóvenes Mejor Niñez No puede ser mayor al Total.</v>
      </c>
      <c r="BY246" s="2465" t="str">
        <f t="shared" si="152"/>
        <v xml:space="preserve">  * La variable Migrantes No puede ser mayor al Total.</v>
      </c>
      <c r="BZ246" s="2465" t="str">
        <f t="shared" si="153"/>
        <v xml:space="preserve">  * La variable Trans (Masculino/Femenino) No puede ser mayor al Total Ambos Sexos.</v>
      </c>
      <c r="CA246"/>
      <c r="CB246"/>
      <c r="CC246" s="1724">
        <f t="shared" si="154"/>
        <v>1</v>
      </c>
      <c r="CD246" s="1724">
        <f t="shared" si="155"/>
        <v>1</v>
      </c>
      <c r="CE246" s="1724">
        <f t="shared" si="156"/>
        <v>1</v>
      </c>
      <c r="CF246" s="1724">
        <f t="shared" si="157"/>
        <v>1</v>
      </c>
      <c r="CG246" s="1724">
        <f t="shared" si="158"/>
        <v>1</v>
      </c>
      <c r="CH246" s="1724">
        <f t="shared" si="159"/>
        <v>1</v>
      </c>
      <c r="CI246" s="1724">
        <f t="shared" si="160"/>
        <v>1</v>
      </c>
      <c r="CJ246" s="1724">
        <f t="shared" si="161"/>
        <v>1</v>
      </c>
    </row>
    <row r="247" spans="1:88" x14ac:dyDescent="0.3">
      <c r="A247" s="6233" t="s">
        <v>4446</v>
      </c>
      <c r="B247" s="6899"/>
      <c r="C247" s="2282" t="s">
        <v>2004</v>
      </c>
      <c r="D247" s="2277" t="s">
        <v>5292</v>
      </c>
      <c r="E247" s="2278" t="s">
        <v>5293</v>
      </c>
      <c r="F247" s="1" t="s">
        <v>5294</v>
      </c>
      <c r="G247" s="1095" t="s">
        <v>5295</v>
      </c>
      <c r="H247" s="8" t="s">
        <v>5296</v>
      </c>
      <c r="I247" s="1095" t="s">
        <v>5297</v>
      </c>
      <c r="J247" s="8" t="s">
        <v>5298</v>
      </c>
      <c r="K247" s="1095" t="s">
        <v>5299</v>
      </c>
      <c r="L247" s="8" t="s">
        <v>5300</v>
      </c>
      <c r="M247" s="1095" t="s">
        <v>5301</v>
      </c>
      <c r="N247" s="8" t="s">
        <v>5302</v>
      </c>
      <c r="O247" s="1095" t="s">
        <v>5303</v>
      </c>
      <c r="P247" s="8" t="s">
        <v>5304</v>
      </c>
      <c r="Q247" s="1095" t="s">
        <v>5305</v>
      </c>
      <c r="R247" s="8" t="s">
        <v>5306</v>
      </c>
      <c r="S247" s="1095" t="s">
        <v>5307</v>
      </c>
      <c r="T247" s="8" t="s">
        <v>5308</v>
      </c>
      <c r="U247" s="1095" t="s">
        <v>5309</v>
      </c>
      <c r="V247" s="8" t="s">
        <v>5310</v>
      </c>
      <c r="W247" s="1095" t="s">
        <v>5311</v>
      </c>
      <c r="X247" s="8" t="s">
        <v>5312</v>
      </c>
      <c r="Y247" s="1095" t="s">
        <v>5313</v>
      </c>
      <c r="Z247" s="8" t="s">
        <v>5314</v>
      </c>
      <c r="AA247" s="1095" t="s">
        <v>5315</v>
      </c>
      <c r="AB247" s="8" t="s">
        <v>5316</v>
      </c>
      <c r="AC247" s="1095" t="s">
        <v>5317</v>
      </c>
      <c r="AD247" s="8" t="s">
        <v>5318</v>
      </c>
      <c r="AE247" s="1095" t="s">
        <v>5319</v>
      </c>
      <c r="AF247" s="8" t="s">
        <v>5320</v>
      </c>
      <c r="AG247" s="1095" t="s">
        <v>5321</v>
      </c>
      <c r="AH247" s="8" t="s">
        <v>5322</v>
      </c>
      <c r="AI247" s="1095" t="s">
        <v>5323</v>
      </c>
      <c r="AJ247" s="8" t="s">
        <v>5324</v>
      </c>
      <c r="AK247" s="1095" t="s">
        <v>5325</v>
      </c>
      <c r="AL247" s="8" t="s">
        <v>5326</v>
      </c>
      <c r="AM247" s="1095" t="s">
        <v>5327</v>
      </c>
      <c r="AN247" s="1697" t="s">
        <v>5328</v>
      </c>
      <c r="AO247" s="5715" t="s">
        <v>5329</v>
      </c>
      <c r="AP247" s="1102" t="s">
        <v>5330</v>
      </c>
      <c r="AQ247" s="2113" t="s">
        <v>5331</v>
      </c>
      <c r="AR247" s="3930" t="s">
        <v>5332</v>
      </c>
      <c r="AS247" s="1092" t="s">
        <v>5333</v>
      </c>
      <c r="AT247" s="1095" t="s">
        <v>5334</v>
      </c>
      <c r="AU247" s="8" t="s">
        <v>5335</v>
      </c>
      <c r="AV247" s="8" t="s">
        <v>5336</v>
      </c>
      <c r="AW247" s="8" t="s">
        <v>5337</v>
      </c>
      <c r="AX247" s="8" t="s">
        <v>5338</v>
      </c>
      <c r="AY247" s="8" t="s">
        <v>5339</v>
      </c>
      <c r="AZ247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R247" s="170"/>
      <c r="BS247" s="2465" t="str">
        <f t="shared" si="163"/>
        <v xml:space="preserve">  * La variable Gestantes No puede ser mayor al Total.</v>
      </c>
      <c r="BT247" s="2465" t="str">
        <f t="shared" si="147"/>
        <v xml:space="preserve">  * La variable Madre de hijo menor de 5 años No puede ser mayor al Total.</v>
      </c>
      <c r="BU247" s="2465" t="str">
        <f t="shared" si="148"/>
        <v xml:space="preserve">  * La variable Pueblos originarios Hombres No puede ser mayor al Total Hombres.</v>
      </c>
      <c r="BV247" s="2465" t="str">
        <f t="shared" si="149"/>
        <v xml:space="preserve">  * La variable Pueblos originarios Mujeres No puede ser mayor al Total Mujeres.</v>
      </c>
      <c r="BW247" s="2465" t="str">
        <f t="shared" si="150"/>
        <v xml:space="preserve">  * La variable Niños, niñas, adolescentes y jóvenes SENAME No puede ser mayor al Total.</v>
      </c>
      <c r="BX247" s="2465" t="str">
        <f t="shared" si="151"/>
        <v xml:space="preserve">  * La variable Niños, niñas, adolescentes y jóvenes Mejor Niñez No puede ser mayor al Total.</v>
      </c>
      <c r="BY247" s="2465" t="str">
        <f t="shared" si="152"/>
        <v xml:space="preserve">  * La variable Migrantes No puede ser mayor al Total.</v>
      </c>
      <c r="BZ247" s="2465" t="str">
        <f t="shared" si="153"/>
        <v xml:space="preserve">  * La variable Trans (Masculino/Femenino) No puede ser mayor al Total Ambos Sexos.</v>
      </c>
      <c r="CA247"/>
      <c r="CB247"/>
      <c r="CC247" s="1724">
        <f t="shared" si="154"/>
        <v>1</v>
      </c>
      <c r="CD247" s="1724">
        <f t="shared" si="155"/>
        <v>1</v>
      </c>
      <c r="CE247" s="1724">
        <f t="shared" si="156"/>
        <v>1</v>
      </c>
      <c r="CF247" s="1724">
        <f t="shared" si="157"/>
        <v>1</v>
      </c>
      <c r="CG247" s="1724">
        <f t="shared" si="158"/>
        <v>1</v>
      </c>
      <c r="CH247" s="1724">
        <f t="shared" si="159"/>
        <v>1</v>
      </c>
      <c r="CI247" s="1724">
        <f t="shared" si="160"/>
        <v>1</v>
      </c>
      <c r="CJ247" s="1724">
        <f t="shared" si="161"/>
        <v>1</v>
      </c>
    </row>
    <row r="248" spans="1:88" x14ac:dyDescent="0.3">
      <c r="A248" s="6233" t="s">
        <v>4447</v>
      </c>
      <c r="B248" s="6899"/>
      <c r="C248" s="2283" t="s">
        <v>2042</v>
      </c>
      <c r="D248" s="2277" t="s">
        <v>5292</v>
      </c>
      <c r="E248" s="2278" t="s">
        <v>5293</v>
      </c>
      <c r="F248" s="1" t="s">
        <v>5294</v>
      </c>
      <c r="G248" s="1095" t="s">
        <v>5295</v>
      </c>
      <c r="H248" s="8" t="s">
        <v>5296</v>
      </c>
      <c r="I248" s="1095" t="s">
        <v>5297</v>
      </c>
      <c r="J248" s="8" t="s">
        <v>5298</v>
      </c>
      <c r="K248" s="1095" t="s">
        <v>5299</v>
      </c>
      <c r="L248" s="8" t="s">
        <v>5300</v>
      </c>
      <c r="M248" s="1095" t="s">
        <v>5301</v>
      </c>
      <c r="N248" s="8" t="s">
        <v>5302</v>
      </c>
      <c r="O248" s="1095" t="s">
        <v>5303</v>
      </c>
      <c r="P248" s="8" t="s">
        <v>5304</v>
      </c>
      <c r="Q248" s="1095" t="s">
        <v>5305</v>
      </c>
      <c r="R248" s="8" t="s">
        <v>5306</v>
      </c>
      <c r="S248" s="1095" t="s">
        <v>5307</v>
      </c>
      <c r="T248" s="8" t="s">
        <v>5308</v>
      </c>
      <c r="U248" s="1095" t="s">
        <v>5309</v>
      </c>
      <c r="V248" s="8" t="s">
        <v>5310</v>
      </c>
      <c r="W248" s="1095" t="s">
        <v>5311</v>
      </c>
      <c r="X248" s="8" t="s">
        <v>5312</v>
      </c>
      <c r="Y248" s="1095" t="s">
        <v>5313</v>
      </c>
      <c r="Z248" s="8" t="s">
        <v>5314</v>
      </c>
      <c r="AA248" s="1095" t="s">
        <v>5315</v>
      </c>
      <c r="AB248" s="8" t="s">
        <v>5316</v>
      </c>
      <c r="AC248" s="1095" t="s">
        <v>5317</v>
      </c>
      <c r="AD248" s="8" t="s">
        <v>5318</v>
      </c>
      <c r="AE248" s="1095" t="s">
        <v>5319</v>
      </c>
      <c r="AF248" s="8" t="s">
        <v>5320</v>
      </c>
      <c r="AG248" s="1095" t="s">
        <v>5321</v>
      </c>
      <c r="AH248" s="8" t="s">
        <v>5322</v>
      </c>
      <c r="AI248" s="1095" t="s">
        <v>5323</v>
      </c>
      <c r="AJ248" s="8" t="s">
        <v>5324</v>
      </c>
      <c r="AK248" s="1095" t="s">
        <v>5325</v>
      </c>
      <c r="AL248" s="8" t="s">
        <v>5326</v>
      </c>
      <c r="AM248" s="1095" t="s">
        <v>5327</v>
      </c>
      <c r="AN248" s="1697" t="s">
        <v>5328</v>
      </c>
      <c r="AO248" s="5715" t="s">
        <v>5329</v>
      </c>
      <c r="AP248" s="1102" t="s">
        <v>5330</v>
      </c>
      <c r="AQ248" s="2113" t="s">
        <v>5331</v>
      </c>
      <c r="AR248" s="3930" t="s">
        <v>5332</v>
      </c>
      <c r="AS248" s="1092" t="s">
        <v>5333</v>
      </c>
      <c r="AT248" s="1095" t="s">
        <v>5334</v>
      </c>
      <c r="AU248" s="8" t="s">
        <v>5335</v>
      </c>
      <c r="AV248" s="8" t="s">
        <v>5336</v>
      </c>
      <c r="AW248" s="8" t="s">
        <v>5337</v>
      </c>
      <c r="AX248" s="8" t="s">
        <v>5338</v>
      </c>
      <c r="AY248" s="8" t="s">
        <v>5339</v>
      </c>
      <c r="AZ248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R248" s="170"/>
      <c r="BS248" s="2465" t="str">
        <f t="shared" si="163"/>
        <v xml:space="preserve">  * La variable Gestantes No puede ser mayor al Total.</v>
      </c>
      <c r="BT248" s="2465" t="str">
        <f t="shared" si="147"/>
        <v xml:space="preserve">  * La variable Madre de hijo menor de 5 años No puede ser mayor al Total.</v>
      </c>
      <c r="BU248" s="2465" t="str">
        <f t="shared" si="148"/>
        <v xml:space="preserve">  * La variable Pueblos originarios Hombres No puede ser mayor al Total Hombres.</v>
      </c>
      <c r="BV248" s="2465" t="str">
        <f t="shared" si="149"/>
        <v xml:space="preserve">  * La variable Pueblos originarios Mujeres No puede ser mayor al Total Mujeres.</v>
      </c>
      <c r="BW248" s="2465" t="str">
        <f t="shared" si="150"/>
        <v xml:space="preserve">  * La variable Niños, niñas, adolescentes y jóvenes SENAME No puede ser mayor al Total.</v>
      </c>
      <c r="BX248" s="2465" t="str">
        <f t="shared" si="151"/>
        <v xml:space="preserve">  * La variable Niños, niñas, adolescentes y jóvenes Mejor Niñez No puede ser mayor al Total.</v>
      </c>
      <c r="BY248" s="2465" t="str">
        <f t="shared" si="152"/>
        <v xml:space="preserve">  * La variable Migrantes No puede ser mayor al Total.</v>
      </c>
      <c r="BZ248" s="2465" t="str">
        <f t="shared" si="153"/>
        <v xml:space="preserve">  * La variable Trans (Masculino/Femenino) No puede ser mayor al Total Ambos Sexos.</v>
      </c>
      <c r="CA248"/>
      <c r="CB248"/>
      <c r="CC248" s="1724">
        <f t="shared" si="154"/>
        <v>1</v>
      </c>
      <c r="CD248" s="1724">
        <f t="shared" si="155"/>
        <v>1</v>
      </c>
      <c r="CE248" s="1724">
        <f t="shared" si="156"/>
        <v>1</v>
      </c>
      <c r="CF248" s="1724">
        <f t="shared" si="157"/>
        <v>1</v>
      </c>
      <c r="CG248" s="1724">
        <f t="shared" si="158"/>
        <v>1</v>
      </c>
      <c r="CH248" s="1724">
        <f t="shared" si="159"/>
        <v>1</v>
      </c>
      <c r="CI248" s="1724">
        <f t="shared" si="160"/>
        <v>1</v>
      </c>
      <c r="CJ248" s="1724">
        <f t="shared" si="161"/>
        <v>1</v>
      </c>
    </row>
    <row r="249" spans="1:88" x14ac:dyDescent="0.3">
      <c r="A249" s="6233" t="s">
        <v>4448</v>
      </c>
      <c r="B249" s="6908"/>
      <c r="C249" s="2284" t="s">
        <v>2006</v>
      </c>
      <c r="D249" s="2285" t="s">
        <v>5292</v>
      </c>
      <c r="E249" s="2279" t="s">
        <v>5293</v>
      </c>
      <c r="F249" s="1695" t="s">
        <v>5294</v>
      </c>
      <c r="G249" s="9" t="s">
        <v>5295</v>
      </c>
      <c r="H249" s="11" t="s">
        <v>5296</v>
      </c>
      <c r="I249" s="9" t="s">
        <v>5297</v>
      </c>
      <c r="J249" s="11" t="s">
        <v>5298</v>
      </c>
      <c r="K249" s="9" t="s">
        <v>5299</v>
      </c>
      <c r="L249" s="11" t="s">
        <v>5300</v>
      </c>
      <c r="M249" s="9" t="s">
        <v>5301</v>
      </c>
      <c r="N249" s="11" t="s">
        <v>5302</v>
      </c>
      <c r="O249" s="9" t="s">
        <v>5303</v>
      </c>
      <c r="P249" s="11" t="s">
        <v>5304</v>
      </c>
      <c r="Q249" s="9" t="s">
        <v>5305</v>
      </c>
      <c r="R249" s="11" t="s">
        <v>5306</v>
      </c>
      <c r="S249" s="9" t="s">
        <v>5307</v>
      </c>
      <c r="T249" s="11" t="s">
        <v>5308</v>
      </c>
      <c r="U249" s="9" t="s">
        <v>5309</v>
      </c>
      <c r="V249" s="11" t="s">
        <v>5310</v>
      </c>
      <c r="W249" s="9" t="s">
        <v>5311</v>
      </c>
      <c r="X249" s="11" t="s">
        <v>5312</v>
      </c>
      <c r="Y249" s="9" t="s">
        <v>5313</v>
      </c>
      <c r="Z249" s="11" t="s">
        <v>5314</v>
      </c>
      <c r="AA249" s="9" t="s">
        <v>5315</v>
      </c>
      <c r="AB249" s="11" t="s">
        <v>5316</v>
      </c>
      <c r="AC249" s="9" t="s">
        <v>5317</v>
      </c>
      <c r="AD249" s="11" t="s">
        <v>5318</v>
      </c>
      <c r="AE249" s="9" t="s">
        <v>5319</v>
      </c>
      <c r="AF249" s="11" t="s">
        <v>5320</v>
      </c>
      <c r="AG249" s="9" t="s">
        <v>5321</v>
      </c>
      <c r="AH249" s="11" t="s">
        <v>5322</v>
      </c>
      <c r="AI249" s="9" t="s">
        <v>5323</v>
      </c>
      <c r="AJ249" s="11" t="s">
        <v>5324</v>
      </c>
      <c r="AK249" s="9" t="s">
        <v>5325</v>
      </c>
      <c r="AL249" s="11" t="s">
        <v>5326</v>
      </c>
      <c r="AM249" s="9" t="s">
        <v>5327</v>
      </c>
      <c r="AN249" s="2236" t="s">
        <v>5328</v>
      </c>
      <c r="AO249" s="4372" t="s">
        <v>5329</v>
      </c>
      <c r="AP249" s="21" t="s">
        <v>5330</v>
      </c>
      <c r="AQ249" s="1698" t="s">
        <v>5331</v>
      </c>
      <c r="AR249" s="11" t="s">
        <v>5332</v>
      </c>
      <c r="AS249" s="27" t="s">
        <v>5333</v>
      </c>
      <c r="AT249" s="9" t="s">
        <v>5334</v>
      </c>
      <c r="AU249" s="11" t="s">
        <v>5335</v>
      </c>
      <c r="AV249" s="11" t="s">
        <v>5336</v>
      </c>
      <c r="AW249" s="11" t="s">
        <v>5337</v>
      </c>
      <c r="AX249" s="11" t="s">
        <v>5338</v>
      </c>
      <c r="AY249" s="11" t="s">
        <v>5339</v>
      </c>
      <c r="AZ249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R249" s="170"/>
      <c r="BS249" s="2465" t="str">
        <f t="shared" si="163"/>
        <v xml:space="preserve">  * La variable Gestantes No puede ser mayor al Total.</v>
      </c>
      <c r="BT249" s="2465" t="str">
        <f t="shared" si="147"/>
        <v xml:space="preserve">  * La variable Madre de hijo menor de 5 años No puede ser mayor al Total.</v>
      </c>
      <c r="BU249" s="2465" t="str">
        <f t="shared" si="148"/>
        <v xml:space="preserve">  * La variable Pueblos originarios Hombres No puede ser mayor al Total Hombres.</v>
      </c>
      <c r="BV249" s="2465" t="str">
        <f t="shared" si="149"/>
        <v xml:space="preserve">  * La variable Pueblos originarios Mujeres No puede ser mayor al Total Mujeres.</v>
      </c>
      <c r="BW249" s="2465" t="str">
        <f t="shared" si="150"/>
        <v xml:space="preserve">  * La variable Niños, niñas, adolescentes y jóvenes SENAME No puede ser mayor al Total.</v>
      </c>
      <c r="BX249" s="2465" t="str">
        <f t="shared" si="151"/>
        <v xml:space="preserve">  * La variable Niños, niñas, adolescentes y jóvenes Mejor Niñez No puede ser mayor al Total.</v>
      </c>
      <c r="BY249" s="2465" t="str">
        <f t="shared" si="152"/>
        <v xml:space="preserve">  * La variable Migrantes No puede ser mayor al Total.</v>
      </c>
      <c r="BZ249" s="2465" t="str">
        <f t="shared" si="153"/>
        <v xml:space="preserve">  * La variable Trans (Masculino/Femenino) No puede ser mayor al Total Ambos Sexos.</v>
      </c>
      <c r="CA249"/>
      <c r="CB249"/>
      <c r="CC249" s="1724">
        <f t="shared" si="154"/>
        <v>1</v>
      </c>
      <c r="CD249" s="1724">
        <f t="shared" si="155"/>
        <v>1</v>
      </c>
      <c r="CE249" s="1724">
        <f t="shared" si="156"/>
        <v>1</v>
      </c>
      <c r="CF249" s="1724">
        <f t="shared" si="157"/>
        <v>1</v>
      </c>
      <c r="CG249" s="1724">
        <f t="shared" si="158"/>
        <v>1</v>
      </c>
      <c r="CH249" s="1724">
        <f t="shared" si="159"/>
        <v>1</v>
      </c>
      <c r="CI249" s="1724">
        <f t="shared" si="160"/>
        <v>1</v>
      </c>
      <c r="CJ249" s="1724">
        <f t="shared" si="161"/>
        <v>1</v>
      </c>
    </row>
    <row r="250" spans="1:88" ht="15" customHeight="1" x14ac:dyDescent="0.3">
      <c r="A250" s="6233" t="s">
        <v>4449</v>
      </c>
      <c r="B250" s="6917" t="s">
        <v>2007</v>
      </c>
      <c r="C250" s="2286" t="s">
        <v>2008</v>
      </c>
      <c r="D250" s="2250" t="s">
        <v>5292</v>
      </c>
      <c r="E250" s="2251" t="s">
        <v>5293</v>
      </c>
      <c r="F250" s="2249" t="s">
        <v>5294</v>
      </c>
      <c r="G250" s="2120" t="s">
        <v>5295</v>
      </c>
      <c r="H250" s="2229" t="s">
        <v>5296</v>
      </c>
      <c r="I250" s="2120" t="s">
        <v>5297</v>
      </c>
      <c r="J250" s="2229" t="s">
        <v>5298</v>
      </c>
      <c r="K250" s="2120" t="s">
        <v>5299</v>
      </c>
      <c r="L250" s="2229" t="s">
        <v>5300</v>
      </c>
      <c r="M250" s="2120" t="s">
        <v>5301</v>
      </c>
      <c r="N250" s="2229" t="s">
        <v>5302</v>
      </c>
      <c r="O250" s="2120" t="s">
        <v>5303</v>
      </c>
      <c r="P250" s="2229" t="s">
        <v>5304</v>
      </c>
      <c r="Q250" s="2120" t="s">
        <v>5305</v>
      </c>
      <c r="R250" s="2229" t="s">
        <v>5306</v>
      </c>
      <c r="S250" s="2120" t="s">
        <v>5307</v>
      </c>
      <c r="T250" s="2229" t="s">
        <v>5308</v>
      </c>
      <c r="U250" s="2120" t="s">
        <v>5309</v>
      </c>
      <c r="V250" s="2229" t="s">
        <v>5310</v>
      </c>
      <c r="W250" s="2120" t="s">
        <v>5311</v>
      </c>
      <c r="X250" s="2229" t="s">
        <v>5312</v>
      </c>
      <c r="Y250" s="2120" t="s">
        <v>5313</v>
      </c>
      <c r="Z250" s="2229" t="s">
        <v>5314</v>
      </c>
      <c r="AA250" s="2120" t="s">
        <v>5315</v>
      </c>
      <c r="AB250" s="2229" t="s">
        <v>5316</v>
      </c>
      <c r="AC250" s="2120" t="s">
        <v>5317</v>
      </c>
      <c r="AD250" s="2229" t="s">
        <v>5318</v>
      </c>
      <c r="AE250" s="2120" t="s">
        <v>5319</v>
      </c>
      <c r="AF250" s="2229" t="s">
        <v>5320</v>
      </c>
      <c r="AG250" s="2120" t="s">
        <v>5321</v>
      </c>
      <c r="AH250" s="2229" t="s">
        <v>5322</v>
      </c>
      <c r="AI250" s="2120" t="s">
        <v>5323</v>
      </c>
      <c r="AJ250" s="2229" t="s">
        <v>5324</v>
      </c>
      <c r="AK250" s="2330" t="s">
        <v>5325</v>
      </c>
      <c r="AL250" s="2287" t="s">
        <v>5326</v>
      </c>
      <c r="AM250" s="2120" t="s">
        <v>5327</v>
      </c>
      <c r="AN250" s="2230" t="s">
        <v>5328</v>
      </c>
      <c r="AO250" s="5715" t="s">
        <v>5329</v>
      </c>
      <c r="AP250" s="1102" t="s">
        <v>5330</v>
      </c>
      <c r="AQ250" s="2113" t="s">
        <v>5331</v>
      </c>
      <c r="AR250" s="5700" t="s">
        <v>5332</v>
      </c>
      <c r="AS250" s="2166" t="s">
        <v>5333</v>
      </c>
      <c r="AT250" s="2120" t="s">
        <v>5334</v>
      </c>
      <c r="AU250" s="2229" t="s">
        <v>5335</v>
      </c>
      <c r="AV250" s="2229" t="s">
        <v>5336</v>
      </c>
      <c r="AW250" s="2229" t="s">
        <v>5337</v>
      </c>
      <c r="AX250" s="2229" t="s">
        <v>5338</v>
      </c>
      <c r="AY250" s="2229" t="s">
        <v>5339</v>
      </c>
      <c r="AZ250" s="17" t="str">
        <f>BR250&amp;BS250&amp;BT250&amp;BU250&amp;BV250&amp;BW250&amp;BX250&amp;BY250&amp;BZ250</f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R250" s="170"/>
      <c r="BS250" s="2465" t="str">
        <f t="shared" si="163"/>
        <v xml:space="preserve">  * La variable Gestantes No puede ser mayor al Total.</v>
      </c>
      <c r="BT250" s="2465" t="str">
        <f t="shared" si="147"/>
        <v xml:space="preserve">  * La variable Madre de hijo menor de 5 años No puede ser mayor al Total.</v>
      </c>
      <c r="BU250" s="2465" t="str">
        <f t="shared" si="148"/>
        <v xml:space="preserve">  * La variable Pueblos originarios Hombres No puede ser mayor al Total Hombres.</v>
      </c>
      <c r="BV250" s="2465" t="str">
        <f t="shared" si="149"/>
        <v xml:space="preserve">  * La variable Pueblos originarios Mujeres No puede ser mayor al Total Mujeres.</v>
      </c>
      <c r="BW250" s="2465" t="str">
        <f t="shared" si="150"/>
        <v xml:space="preserve">  * La variable Niños, niñas, adolescentes y jóvenes SENAME No puede ser mayor al Total.</v>
      </c>
      <c r="BX250" s="2465" t="str">
        <f t="shared" si="151"/>
        <v xml:space="preserve">  * La variable Niños, niñas, adolescentes y jóvenes Mejor Niñez No puede ser mayor al Total.</v>
      </c>
      <c r="BY250" s="2465" t="str">
        <f t="shared" si="152"/>
        <v xml:space="preserve">  * La variable Migrantes No puede ser mayor al Total.</v>
      </c>
      <c r="BZ250" s="2465" t="str">
        <f t="shared" si="153"/>
        <v xml:space="preserve">  * La variable Trans (Masculino/Femenino) No puede ser mayor al Total Ambos Sexos.</v>
      </c>
      <c r="CA250"/>
      <c r="CB250"/>
      <c r="CC250" s="1724">
        <f t="shared" si="154"/>
        <v>1</v>
      </c>
      <c r="CD250" s="1724">
        <f t="shared" si="155"/>
        <v>1</v>
      </c>
      <c r="CE250" s="1724">
        <f t="shared" si="156"/>
        <v>1</v>
      </c>
      <c r="CF250" s="1724">
        <f t="shared" si="157"/>
        <v>1</v>
      </c>
      <c r="CG250" s="1724">
        <f t="shared" si="158"/>
        <v>1</v>
      </c>
      <c r="CH250" s="1724">
        <f t="shared" si="159"/>
        <v>1</v>
      </c>
      <c r="CI250" s="1724">
        <f t="shared" si="160"/>
        <v>1</v>
      </c>
      <c r="CJ250" s="1724">
        <f t="shared" si="161"/>
        <v>1</v>
      </c>
    </row>
    <row r="251" spans="1:88" x14ac:dyDescent="0.3">
      <c r="A251" s="6233" t="s">
        <v>4450</v>
      </c>
      <c r="B251" s="6899"/>
      <c r="C251" s="1" t="s">
        <v>2009</v>
      </c>
      <c r="D251" s="2277" t="s">
        <v>5292</v>
      </c>
      <c r="E251" s="2278" t="s">
        <v>5293</v>
      </c>
      <c r="F251" s="1" t="s">
        <v>5294</v>
      </c>
      <c r="G251" s="1095" t="s">
        <v>5295</v>
      </c>
      <c r="H251" s="8" t="s">
        <v>5296</v>
      </c>
      <c r="I251" s="1095" t="s">
        <v>5297</v>
      </c>
      <c r="J251" s="8" t="s">
        <v>5298</v>
      </c>
      <c r="K251" s="1095" t="s">
        <v>5299</v>
      </c>
      <c r="L251" s="8" t="s">
        <v>5300</v>
      </c>
      <c r="M251" s="1095" t="s">
        <v>5301</v>
      </c>
      <c r="N251" s="8" t="s">
        <v>5302</v>
      </c>
      <c r="O251" s="1095" t="s">
        <v>5303</v>
      </c>
      <c r="P251" s="8" t="s">
        <v>5304</v>
      </c>
      <c r="Q251" s="1095" t="s">
        <v>5305</v>
      </c>
      <c r="R251" s="8" t="s">
        <v>5306</v>
      </c>
      <c r="S251" s="1095" t="s">
        <v>5307</v>
      </c>
      <c r="T251" s="8" t="s">
        <v>5308</v>
      </c>
      <c r="U251" s="1095" t="s">
        <v>5309</v>
      </c>
      <c r="V251" s="8" t="s">
        <v>5310</v>
      </c>
      <c r="W251" s="1095" t="s">
        <v>5311</v>
      </c>
      <c r="X251" s="8" t="s">
        <v>5312</v>
      </c>
      <c r="Y251" s="1095" t="s">
        <v>5313</v>
      </c>
      <c r="Z251" s="8" t="s">
        <v>5314</v>
      </c>
      <c r="AA251" s="1095" t="s">
        <v>5315</v>
      </c>
      <c r="AB251" s="8" t="s">
        <v>5316</v>
      </c>
      <c r="AC251" s="1095" t="s">
        <v>5317</v>
      </c>
      <c r="AD251" s="8" t="s">
        <v>5318</v>
      </c>
      <c r="AE251" s="1095" t="s">
        <v>5319</v>
      </c>
      <c r="AF251" s="8" t="s">
        <v>5320</v>
      </c>
      <c r="AG251" s="1095" t="s">
        <v>5321</v>
      </c>
      <c r="AH251" s="8" t="s">
        <v>5322</v>
      </c>
      <c r="AI251" s="1095" t="s">
        <v>5323</v>
      </c>
      <c r="AJ251" s="8" t="s">
        <v>5324</v>
      </c>
      <c r="AK251" s="9" t="s">
        <v>5325</v>
      </c>
      <c r="AL251" s="11" t="s">
        <v>5326</v>
      </c>
      <c r="AM251" s="1095" t="s">
        <v>5327</v>
      </c>
      <c r="AN251" s="1697" t="s">
        <v>5328</v>
      </c>
      <c r="AO251" s="5715" t="s">
        <v>5329</v>
      </c>
      <c r="AP251" s="1102" t="s">
        <v>5330</v>
      </c>
      <c r="AQ251" s="2113" t="s">
        <v>5331</v>
      </c>
      <c r="AR251" s="3930" t="s">
        <v>5332</v>
      </c>
      <c r="AS251" s="1092" t="s">
        <v>5333</v>
      </c>
      <c r="AT251" s="1095" t="s">
        <v>5334</v>
      </c>
      <c r="AU251" s="8" t="s">
        <v>5335</v>
      </c>
      <c r="AV251" s="8" t="s">
        <v>5336</v>
      </c>
      <c r="AW251" s="8" t="s">
        <v>5337</v>
      </c>
      <c r="AX251" s="8" t="s">
        <v>5338</v>
      </c>
      <c r="AY251" s="8" t="s">
        <v>5339</v>
      </c>
      <c r="AZ251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R251" s="170"/>
      <c r="BS251" s="2465" t="str">
        <f t="shared" si="163"/>
        <v xml:space="preserve">  * La variable Gestantes No puede ser mayor al Total.</v>
      </c>
      <c r="BT251" s="2465" t="str">
        <f t="shared" si="147"/>
        <v xml:space="preserve">  * La variable Madre de hijo menor de 5 años No puede ser mayor al Total.</v>
      </c>
      <c r="BU251" s="2465" t="str">
        <f t="shared" si="148"/>
        <v xml:space="preserve">  * La variable Pueblos originarios Hombres No puede ser mayor al Total Hombres.</v>
      </c>
      <c r="BV251" s="2465" t="str">
        <f t="shared" si="149"/>
        <v xml:space="preserve">  * La variable Pueblos originarios Mujeres No puede ser mayor al Total Mujeres.</v>
      </c>
      <c r="BW251" s="2465" t="str">
        <f t="shared" si="150"/>
        <v xml:space="preserve">  * La variable Niños, niñas, adolescentes y jóvenes SENAME No puede ser mayor al Total.</v>
      </c>
      <c r="BX251" s="2465" t="str">
        <f t="shared" si="151"/>
        <v xml:space="preserve">  * La variable Niños, niñas, adolescentes y jóvenes Mejor Niñez No puede ser mayor al Total.</v>
      </c>
      <c r="BY251" s="2465" t="str">
        <f t="shared" si="152"/>
        <v xml:space="preserve">  * La variable Migrantes No puede ser mayor al Total.</v>
      </c>
      <c r="BZ251" s="2465" t="str">
        <f t="shared" si="153"/>
        <v xml:space="preserve">  * La variable Trans (Masculino/Femenino) No puede ser mayor al Total Ambos Sexos.</v>
      </c>
      <c r="CA251"/>
      <c r="CB251"/>
      <c r="CC251" s="1724">
        <f t="shared" si="154"/>
        <v>1</v>
      </c>
      <c r="CD251" s="1724">
        <f t="shared" si="155"/>
        <v>1</v>
      </c>
      <c r="CE251" s="1724">
        <f t="shared" si="156"/>
        <v>1</v>
      </c>
      <c r="CF251" s="1724">
        <f t="shared" si="157"/>
        <v>1</v>
      </c>
      <c r="CG251" s="1724">
        <f t="shared" si="158"/>
        <v>1</v>
      </c>
      <c r="CH251" s="1724">
        <f t="shared" si="159"/>
        <v>1</v>
      </c>
      <c r="CI251" s="1724">
        <f t="shared" si="160"/>
        <v>1</v>
      </c>
      <c r="CJ251" s="1724">
        <f t="shared" si="161"/>
        <v>1</v>
      </c>
    </row>
    <row r="252" spans="1:88" x14ac:dyDescent="0.3">
      <c r="A252" s="6233" t="s">
        <v>4451</v>
      </c>
      <c r="B252" s="6899"/>
      <c r="C252" s="1695" t="s">
        <v>2010</v>
      </c>
      <c r="D252" s="2285" t="s">
        <v>5292</v>
      </c>
      <c r="E252" s="2279" t="s">
        <v>5293</v>
      </c>
      <c r="F252" s="1695" t="s">
        <v>5294</v>
      </c>
      <c r="G252" s="9" t="s">
        <v>5295</v>
      </c>
      <c r="H252" s="11" t="s">
        <v>5296</v>
      </c>
      <c r="I252" s="9" t="s">
        <v>5297</v>
      </c>
      <c r="J252" s="11" t="s">
        <v>5298</v>
      </c>
      <c r="K252" s="9" t="s">
        <v>5299</v>
      </c>
      <c r="L252" s="11" t="s">
        <v>5300</v>
      </c>
      <c r="M252" s="9" t="s">
        <v>5301</v>
      </c>
      <c r="N252" s="11" t="s">
        <v>5302</v>
      </c>
      <c r="O252" s="9" t="s">
        <v>5303</v>
      </c>
      <c r="P252" s="11" t="s">
        <v>5304</v>
      </c>
      <c r="Q252" s="9" t="s">
        <v>5305</v>
      </c>
      <c r="R252" s="11" t="s">
        <v>5306</v>
      </c>
      <c r="S252" s="9" t="s">
        <v>5307</v>
      </c>
      <c r="T252" s="11" t="s">
        <v>5308</v>
      </c>
      <c r="U252" s="9" t="s">
        <v>5309</v>
      </c>
      <c r="V252" s="11" t="s">
        <v>5310</v>
      </c>
      <c r="W252" s="9" t="s">
        <v>5311</v>
      </c>
      <c r="X252" s="11" t="s">
        <v>5312</v>
      </c>
      <c r="Y252" s="9" t="s">
        <v>5313</v>
      </c>
      <c r="Z252" s="11" t="s">
        <v>5314</v>
      </c>
      <c r="AA252" s="9" t="s">
        <v>5315</v>
      </c>
      <c r="AB252" s="11" t="s">
        <v>5316</v>
      </c>
      <c r="AC252" s="9" t="s">
        <v>5317</v>
      </c>
      <c r="AD252" s="11" t="s">
        <v>5318</v>
      </c>
      <c r="AE252" s="9" t="s">
        <v>5319</v>
      </c>
      <c r="AF252" s="11" t="s">
        <v>5320</v>
      </c>
      <c r="AG252" s="9" t="s">
        <v>5321</v>
      </c>
      <c r="AH252" s="11" t="s">
        <v>5322</v>
      </c>
      <c r="AI252" s="9" t="s">
        <v>5323</v>
      </c>
      <c r="AJ252" s="11" t="s">
        <v>5324</v>
      </c>
      <c r="AK252" s="9" t="s">
        <v>5325</v>
      </c>
      <c r="AL252" s="11" t="s">
        <v>5326</v>
      </c>
      <c r="AM252" s="9" t="s">
        <v>5327</v>
      </c>
      <c r="AN252" s="2236" t="s">
        <v>5328</v>
      </c>
      <c r="AO252" s="4371" t="s">
        <v>5329</v>
      </c>
      <c r="AP252" s="3941" t="s">
        <v>5330</v>
      </c>
      <c r="AQ252" s="3931" t="s">
        <v>5331</v>
      </c>
      <c r="AR252" s="11" t="s">
        <v>5332</v>
      </c>
      <c r="AS252" s="27" t="s">
        <v>5333</v>
      </c>
      <c r="AT252" s="9" t="s">
        <v>5334</v>
      </c>
      <c r="AU252" s="11" t="s">
        <v>5335</v>
      </c>
      <c r="AV252" s="11" t="s">
        <v>5336</v>
      </c>
      <c r="AW252" s="11" t="s">
        <v>5337</v>
      </c>
      <c r="AX252" s="11" t="s">
        <v>5338</v>
      </c>
      <c r="AY252" s="11" t="s">
        <v>5339</v>
      </c>
      <c r="AZ252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R252" s="170"/>
      <c r="BS252" s="2465" t="str">
        <f t="shared" si="163"/>
        <v xml:space="preserve">  * La variable Gestantes No puede ser mayor al Total.</v>
      </c>
      <c r="BT252" s="2465" t="str">
        <f t="shared" si="147"/>
        <v xml:space="preserve">  * La variable Madre de hijo menor de 5 años No puede ser mayor al Total.</v>
      </c>
      <c r="BU252" s="2465" t="str">
        <f t="shared" si="148"/>
        <v xml:space="preserve">  * La variable Pueblos originarios Hombres No puede ser mayor al Total Hombres.</v>
      </c>
      <c r="BV252" s="2465" t="str">
        <f t="shared" si="149"/>
        <v xml:space="preserve">  * La variable Pueblos originarios Mujeres No puede ser mayor al Total Mujeres.</v>
      </c>
      <c r="BW252" s="2465" t="str">
        <f t="shared" si="150"/>
        <v xml:space="preserve">  * La variable Niños, niñas, adolescentes y jóvenes SENAME No puede ser mayor al Total.</v>
      </c>
      <c r="BX252" s="2465" t="str">
        <f t="shared" si="151"/>
        <v xml:space="preserve">  * La variable Niños, niñas, adolescentes y jóvenes Mejor Niñez No puede ser mayor al Total.</v>
      </c>
      <c r="BY252" s="2465" t="str">
        <f t="shared" si="152"/>
        <v xml:space="preserve">  * La variable Migrantes No puede ser mayor al Total.</v>
      </c>
      <c r="BZ252" s="2465" t="str">
        <f t="shared" si="153"/>
        <v xml:space="preserve">  * La variable Trans (Masculino/Femenino) No puede ser mayor al Total Ambos Sexos.</v>
      </c>
      <c r="CA252"/>
      <c r="CB252"/>
      <c r="CC252" s="1724">
        <f t="shared" si="154"/>
        <v>1</v>
      </c>
      <c r="CD252" s="1724">
        <f t="shared" si="155"/>
        <v>1</v>
      </c>
      <c r="CE252" s="1724">
        <f t="shared" si="156"/>
        <v>1</v>
      </c>
      <c r="CF252" s="1724">
        <f t="shared" si="157"/>
        <v>1</v>
      </c>
      <c r="CG252" s="1724">
        <f t="shared" si="158"/>
        <v>1</v>
      </c>
      <c r="CH252" s="1724">
        <f t="shared" si="159"/>
        <v>1</v>
      </c>
      <c r="CI252" s="1724">
        <f t="shared" si="160"/>
        <v>1</v>
      </c>
      <c r="CJ252" s="1724">
        <f t="shared" si="161"/>
        <v>1</v>
      </c>
    </row>
    <row r="253" spans="1:88" x14ac:dyDescent="0.3">
      <c r="A253" s="6233" t="s">
        <v>4452</v>
      </c>
      <c r="B253" s="6899"/>
      <c r="C253" s="1695" t="s">
        <v>2011</v>
      </c>
      <c r="D253" s="2285" t="s">
        <v>5292</v>
      </c>
      <c r="E253" s="2279" t="s">
        <v>5293</v>
      </c>
      <c r="F253" s="1695" t="s">
        <v>5294</v>
      </c>
      <c r="G253" s="9" t="s">
        <v>5295</v>
      </c>
      <c r="H253" s="11" t="s">
        <v>5296</v>
      </c>
      <c r="I253" s="9" t="s">
        <v>5297</v>
      </c>
      <c r="J253" s="11" t="s">
        <v>5298</v>
      </c>
      <c r="K253" s="9" t="s">
        <v>5299</v>
      </c>
      <c r="L253" s="11" t="s">
        <v>5300</v>
      </c>
      <c r="M253" s="9" t="s">
        <v>5301</v>
      </c>
      <c r="N253" s="11" t="s">
        <v>5302</v>
      </c>
      <c r="O253" s="9" t="s">
        <v>5303</v>
      </c>
      <c r="P253" s="11" t="s">
        <v>5304</v>
      </c>
      <c r="Q253" s="9" t="s">
        <v>5305</v>
      </c>
      <c r="R253" s="11" t="s">
        <v>5306</v>
      </c>
      <c r="S253" s="9" t="s">
        <v>5307</v>
      </c>
      <c r="T253" s="11" t="s">
        <v>5308</v>
      </c>
      <c r="U253" s="9" t="s">
        <v>5309</v>
      </c>
      <c r="V253" s="11" t="s">
        <v>5310</v>
      </c>
      <c r="W253" s="9" t="s">
        <v>5311</v>
      </c>
      <c r="X253" s="11" t="s">
        <v>5312</v>
      </c>
      <c r="Y253" s="9" t="s">
        <v>5313</v>
      </c>
      <c r="Z253" s="11" t="s">
        <v>5314</v>
      </c>
      <c r="AA253" s="9" t="s">
        <v>5315</v>
      </c>
      <c r="AB253" s="11" t="s">
        <v>5316</v>
      </c>
      <c r="AC253" s="9" t="s">
        <v>5317</v>
      </c>
      <c r="AD253" s="11" t="s">
        <v>5318</v>
      </c>
      <c r="AE253" s="9" t="s">
        <v>5319</v>
      </c>
      <c r="AF253" s="11" t="s">
        <v>5320</v>
      </c>
      <c r="AG253" s="9" t="s">
        <v>5321</v>
      </c>
      <c r="AH253" s="11" t="s">
        <v>5322</v>
      </c>
      <c r="AI253" s="9" t="s">
        <v>5323</v>
      </c>
      <c r="AJ253" s="11" t="s">
        <v>5324</v>
      </c>
      <c r="AK253" s="9" t="s">
        <v>5325</v>
      </c>
      <c r="AL253" s="11" t="s">
        <v>5326</v>
      </c>
      <c r="AM253" s="9" t="s">
        <v>5327</v>
      </c>
      <c r="AN253" s="2236" t="s">
        <v>5328</v>
      </c>
      <c r="AO253" s="2327" t="s">
        <v>5329</v>
      </c>
      <c r="AP253" s="5713" t="s">
        <v>5330</v>
      </c>
      <c r="AQ253" s="2356" t="s">
        <v>5331</v>
      </c>
      <c r="AR253" s="11" t="s">
        <v>5332</v>
      </c>
      <c r="AS253" s="27" t="s">
        <v>5333</v>
      </c>
      <c r="AT253" s="9" t="s">
        <v>5334</v>
      </c>
      <c r="AU253" s="11" t="s">
        <v>5335</v>
      </c>
      <c r="AV253" s="11" t="s">
        <v>5336</v>
      </c>
      <c r="AW253" s="11" t="s">
        <v>5337</v>
      </c>
      <c r="AX253" s="11" t="s">
        <v>5338</v>
      </c>
      <c r="AY253" s="11" t="s">
        <v>5339</v>
      </c>
      <c r="AZ253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R253" s="170"/>
      <c r="BS253" s="2465" t="str">
        <f t="shared" si="163"/>
        <v xml:space="preserve">  * La variable Gestantes No puede ser mayor al Total.</v>
      </c>
      <c r="BT253" s="2465" t="str">
        <f t="shared" si="147"/>
        <v xml:space="preserve">  * La variable Madre de hijo menor de 5 años No puede ser mayor al Total.</v>
      </c>
      <c r="BU253" s="2465" t="str">
        <f t="shared" si="148"/>
        <v xml:space="preserve">  * La variable Pueblos originarios Hombres No puede ser mayor al Total Hombres.</v>
      </c>
      <c r="BV253" s="2465" t="str">
        <f t="shared" si="149"/>
        <v xml:space="preserve">  * La variable Pueblos originarios Mujeres No puede ser mayor al Total Mujeres.</v>
      </c>
      <c r="BW253" s="2465" t="str">
        <f t="shared" si="150"/>
        <v xml:space="preserve">  * La variable Niños, niñas, adolescentes y jóvenes SENAME No puede ser mayor al Total.</v>
      </c>
      <c r="BX253" s="2465" t="str">
        <f t="shared" si="151"/>
        <v xml:space="preserve">  * La variable Niños, niñas, adolescentes y jóvenes Mejor Niñez No puede ser mayor al Total.</v>
      </c>
      <c r="BY253" s="2465" t="str">
        <f t="shared" si="152"/>
        <v xml:space="preserve">  * La variable Migrantes No puede ser mayor al Total.</v>
      </c>
      <c r="BZ253" s="2465" t="str">
        <f t="shared" si="153"/>
        <v xml:space="preserve">  * La variable Trans (Masculino/Femenino) No puede ser mayor al Total Ambos Sexos.</v>
      </c>
      <c r="CA253"/>
      <c r="CB253"/>
      <c r="CC253" s="1724">
        <f t="shared" si="154"/>
        <v>1</v>
      </c>
      <c r="CD253" s="1724">
        <f t="shared" si="155"/>
        <v>1</v>
      </c>
      <c r="CE253" s="1724">
        <f t="shared" si="156"/>
        <v>1</v>
      </c>
      <c r="CF253" s="1724">
        <f t="shared" si="157"/>
        <v>1</v>
      </c>
      <c r="CG253" s="1724">
        <f t="shared" si="158"/>
        <v>1</v>
      </c>
      <c r="CH253" s="1724">
        <f t="shared" si="159"/>
        <v>1</v>
      </c>
      <c r="CI253" s="1724">
        <f t="shared" si="160"/>
        <v>1</v>
      </c>
      <c r="CJ253" s="1724">
        <f t="shared" si="161"/>
        <v>1</v>
      </c>
    </row>
    <row r="254" spans="1:88" x14ac:dyDescent="0.3">
      <c r="A254" s="6233" t="s">
        <v>4453</v>
      </c>
      <c r="B254" s="6908"/>
      <c r="C254" s="2" t="s">
        <v>2012</v>
      </c>
      <c r="D254" s="2288" t="s">
        <v>5292</v>
      </c>
      <c r="E254" s="2289" t="s">
        <v>5293</v>
      </c>
      <c r="F254" s="2" t="s">
        <v>5294</v>
      </c>
      <c r="G254" s="3" t="s">
        <v>5295</v>
      </c>
      <c r="H254" s="12" t="s">
        <v>5296</v>
      </c>
      <c r="I254" s="3" t="s">
        <v>5297</v>
      </c>
      <c r="J254" s="12" t="s">
        <v>5298</v>
      </c>
      <c r="K254" s="3" t="s">
        <v>5299</v>
      </c>
      <c r="L254" s="12" t="s">
        <v>5300</v>
      </c>
      <c r="M254" s="3" t="s">
        <v>5301</v>
      </c>
      <c r="N254" s="12" t="s">
        <v>5302</v>
      </c>
      <c r="O254" s="3" t="s">
        <v>5303</v>
      </c>
      <c r="P254" s="12" t="s">
        <v>5304</v>
      </c>
      <c r="Q254" s="3" t="s">
        <v>5305</v>
      </c>
      <c r="R254" s="12" t="s">
        <v>5306</v>
      </c>
      <c r="S254" s="3" t="s">
        <v>5307</v>
      </c>
      <c r="T254" s="12" t="s">
        <v>5308</v>
      </c>
      <c r="U254" s="3" t="s">
        <v>5309</v>
      </c>
      <c r="V254" s="12" t="s">
        <v>5310</v>
      </c>
      <c r="W254" s="3" t="s">
        <v>5311</v>
      </c>
      <c r="X254" s="12" t="s">
        <v>5312</v>
      </c>
      <c r="Y254" s="3" t="s">
        <v>5313</v>
      </c>
      <c r="Z254" s="12" t="s">
        <v>5314</v>
      </c>
      <c r="AA254" s="3" t="s">
        <v>5315</v>
      </c>
      <c r="AB254" s="12" t="s">
        <v>5316</v>
      </c>
      <c r="AC254" s="3" t="s">
        <v>5317</v>
      </c>
      <c r="AD254" s="12" t="s">
        <v>5318</v>
      </c>
      <c r="AE254" s="3" t="s">
        <v>5319</v>
      </c>
      <c r="AF254" s="12" t="s">
        <v>5320</v>
      </c>
      <c r="AG254" s="3" t="s">
        <v>5321</v>
      </c>
      <c r="AH254" s="12" t="s">
        <v>5322</v>
      </c>
      <c r="AI254" s="3" t="s">
        <v>5323</v>
      </c>
      <c r="AJ254" s="12" t="s">
        <v>5324</v>
      </c>
      <c r="AK254" s="3" t="s">
        <v>5325</v>
      </c>
      <c r="AL254" s="12" t="s">
        <v>5326</v>
      </c>
      <c r="AM254" s="3" t="s">
        <v>5327</v>
      </c>
      <c r="AN254" s="2290" t="s">
        <v>5328</v>
      </c>
      <c r="AO254" s="4372" t="s">
        <v>5329</v>
      </c>
      <c r="AP254" s="21" t="s">
        <v>5330</v>
      </c>
      <c r="AQ254" s="1698" t="s">
        <v>5331</v>
      </c>
      <c r="AR254" s="2760" t="s">
        <v>5332</v>
      </c>
      <c r="AS254" s="30" t="s">
        <v>5333</v>
      </c>
      <c r="AT254" s="3" t="s">
        <v>5334</v>
      </c>
      <c r="AU254" s="12" t="s">
        <v>5335</v>
      </c>
      <c r="AV254" s="12" t="s">
        <v>5336</v>
      </c>
      <c r="AW254" s="12" t="s">
        <v>5337</v>
      </c>
      <c r="AX254" s="12" t="s">
        <v>5338</v>
      </c>
      <c r="AY254" s="12" t="s">
        <v>5339</v>
      </c>
      <c r="AZ254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R254" s="170"/>
      <c r="BS254" s="2465" t="str">
        <f t="shared" si="163"/>
        <v xml:space="preserve">  * La variable Gestantes No puede ser mayor al Total.</v>
      </c>
      <c r="BT254" s="2465" t="str">
        <f t="shared" si="147"/>
        <v xml:space="preserve">  * La variable Madre de hijo menor de 5 años No puede ser mayor al Total.</v>
      </c>
      <c r="BU254" s="2465" t="str">
        <f t="shared" si="148"/>
        <v xml:space="preserve">  * La variable Pueblos originarios Hombres No puede ser mayor al Total Hombres.</v>
      </c>
      <c r="BV254" s="2465" t="str">
        <f t="shared" si="149"/>
        <v xml:space="preserve">  * La variable Pueblos originarios Mujeres No puede ser mayor al Total Mujeres.</v>
      </c>
      <c r="BW254" s="2465" t="str">
        <f t="shared" si="150"/>
        <v xml:space="preserve">  * La variable Niños, niñas, adolescentes y jóvenes SENAME No puede ser mayor al Total.</v>
      </c>
      <c r="BX254" s="2465" t="str">
        <f t="shared" si="151"/>
        <v xml:space="preserve">  * La variable Niños, niñas, adolescentes y jóvenes Mejor Niñez No puede ser mayor al Total.</v>
      </c>
      <c r="BY254" s="2465" t="str">
        <f t="shared" si="152"/>
        <v xml:space="preserve">  * La variable Migrantes No puede ser mayor al Total.</v>
      </c>
      <c r="BZ254" s="2465" t="str">
        <f t="shared" si="153"/>
        <v xml:space="preserve">  * La variable Trans (Masculino/Femenino) No puede ser mayor al Total Ambos Sexos.</v>
      </c>
      <c r="CA254"/>
      <c r="CB254"/>
      <c r="CC254" s="1724">
        <f t="shared" si="154"/>
        <v>1</v>
      </c>
      <c r="CD254" s="1724">
        <f t="shared" si="155"/>
        <v>1</v>
      </c>
      <c r="CE254" s="1724">
        <f t="shared" si="156"/>
        <v>1</v>
      </c>
      <c r="CF254" s="1724">
        <f t="shared" si="157"/>
        <v>1</v>
      </c>
      <c r="CG254" s="1724">
        <f t="shared" si="158"/>
        <v>1</v>
      </c>
      <c r="CH254" s="1724">
        <f t="shared" si="159"/>
        <v>1</v>
      </c>
      <c r="CI254" s="1724">
        <f t="shared" si="160"/>
        <v>1</v>
      </c>
      <c r="CJ254" s="1724">
        <f t="shared" si="161"/>
        <v>1</v>
      </c>
    </row>
    <row r="255" spans="1:88" ht="15" customHeight="1" x14ac:dyDescent="0.3">
      <c r="A255" s="6233" t="s">
        <v>4454</v>
      </c>
      <c r="B255" s="6917" t="s">
        <v>2043</v>
      </c>
      <c r="C255" s="2249" t="s">
        <v>2014</v>
      </c>
      <c r="D255" s="2250" t="s">
        <v>5292</v>
      </c>
      <c r="E255" s="2251" t="s">
        <v>5293</v>
      </c>
      <c r="F255" s="2249" t="s">
        <v>5294</v>
      </c>
      <c r="G255" s="2120" t="s">
        <v>5295</v>
      </c>
      <c r="H255" s="2229" t="s">
        <v>5296</v>
      </c>
      <c r="I255" s="2120" t="s">
        <v>5297</v>
      </c>
      <c r="J255" s="2229" t="s">
        <v>5298</v>
      </c>
      <c r="K255" s="2120" t="s">
        <v>5299</v>
      </c>
      <c r="L255" s="2229" t="s">
        <v>5300</v>
      </c>
      <c r="M255" s="2120" t="s">
        <v>5301</v>
      </c>
      <c r="N255" s="2229" t="s">
        <v>5302</v>
      </c>
      <c r="O255" s="2120" t="s">
        <v>5303</v>
      </c>
      <c r="P255" s="2229" t="s">
        <v>5304</v>
      </c>
      <c r="Q255" s="2291" t="s">
        <v>5305</v>
      </c>
      <c r="R255" s="2292" t="s">
        <v>5306</v>
      </c>
      <c r="S255" s="2292" t="s">
        <v>5307</v>
      </c>
      <c r="T255" s="2292" t="s">
        <v>5308</v>
      </c>
      <c r="U255" s="2292" t="s">
        <v>5309</v>
      </c>
      <c r="V255" s="2292" t="s">
        <v>5310</v>
      </c>
      <c r="W255" s="2292" t="s">
        <v>5311</v>
      </c>
      <c r="X255" s="2292" t="s">
        <v>5312</v>
      </c>
      <c r="Y255" s="2292" t="s">
        <v>5313</v>
      </c>
      <c r="Z255" s="2292" t="s">
        <v>5314</v>
      </c>
      <c r="AA255" s="2292" t="s">
        <v>5315</v>
      </c>
      <c r="AB255" s="2292" t="s">
        <v>5316</v>
      </c>
      <c r="AC255" s="2292" t="s">
        <v>5317</v>
      </c>
      <c r="AD255" s="2292" t="s">
        <v>5318</v>
      </c>
      <c r="AE255" s="2292" t="s">
        <v>5319</v>
      </c>
      <c r="AF255" s="2292" t="s">
        <v>5320</v>
      </c>
      <c r="AG255" s="2292" t="s">
        <v>5321</v>
      </c>
      <c r="AH255" s="2292" t="s">
        <v>5322</v>
      </c>
      <c r="AI255" s="2292" t="s">
        <v>5323</v>
      </c>
      <c r="AJ255" s="2292" t="s">
        <v>5324</v>
      </c>
      <c r="AK255" s="2292" t="s">
        <v>5325</v>
      </c>
      <c r="AL255" s="2292" t="s">
        <v>5326</v>
      </c>
      <c r="AM255" s="2292" t="s">
        <v>5327</v>
      </c>
      <c r="AN255" s="2293" t="s">
        <v>5328</v>
      </c>
      <c r="AO255" s="5709" t="s">
        <v>5329</v>
      </c>
      <c r="AP255" s="5710" t="s">
        <v>5330</v>
      </c>
      <c r="AQ255" s="5711" t="s">
        <v>5331</v>
      </c>
      <c r="AR255" s="5700" t="s">
        <v>5332</v>
      </c>
      <c r="AS255" s="2294" t="s">
        <v>5333</v>
      </c>
      <c r="AT255" s="2120" t="s">
        <v>5334</v>
      </c>
      <c r="AU255" s="2229" t="s">
        <v>5335</v>
      </c>
      <c r="AV255" s="2229" t="s">
        <v>5336</v>
      </c>
      <c r="AW255" s="2229" t="s">
        <v>5337</v>
      </c>
      <c r="AX255" s="2229" t="s">
        <v>5338</v>
      </c>
      <c r="AY255" s="2229" t="s">
        <v>5339</v>
      </c>
      <c r="AZ255" s="17" t="str">
        <f t="shared" si="162"/>
        <v xml:space="preserve">  * La variable Gestantes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R255" s="170"/>
      <c r="BS255" s="2465" t="str">
        <f>IF(AND(F255&gt;0,AR255=""), "* No olvide digitar la variable Gestantes. Digite Cero si no tiene.",IF(AR255&gt;F255,"  * La variable Gestantes No puede ser mayor al Total.",""))</f>
        <v xml:space="preserve">  * La variable Gestantes No puede ser mayor al Total.</v>
      </c>
      <c r="BT255" s="2466"/>
      <c r="BU255" s="2465" t="str">
        <f t="shared" si="148"/>
        <v xml:space="preserve">  * La variable Pueblos originarios Hombres No puede ser mayor al Total Hombres.</v>
      </c>
      <c r="BV255" s="2465" t="str">
        <f t="shared" si="149"/>
        <v xml:space="preserve">  * La variable Pueblos originarios Mujeres No puede ser mayor al Total Mujeres.</v>
      </c>
      <c r="BW255" s="2465" t="str">
        <f t="shared" si="150"/>
        <v xml:space="preserve">  * La variable Niños, niñas, adolescentes y jóvenes SENAME No puede ser mayor al Total.</v>
      </c>
      <c r="BX255" s="2465" t="str">
        <f t="shared" si="151"/>
        <v xml:space="preserve">  * La variable Niños, niñas, adolescentes y jóvenes Mejor Niñez No puede ser mayor al Total.</v>
      </c>
      <c r="BY255" s="2465" t="str">
        <f t="shared" si="152"/>
        <v xml:space="preserve">  * La variable Migrantes No puede ser mayor al Total.</v>
      </c>
      <c r="BZ255" s="2465" t="str">
        <f t="shared" si="153"/>
        <v xml:space="preserve">  * La variable Trans (Masculino/Femenino) No puede ser mayor al Total Ambos Sexos.</v>
      </c>
      <c r="CA255"/>
      <c r="CB255"/>
      <c r="CC255" s="1724">
        <f t="shared" si="154"/>
        <v>1</v>
      </c>
      <c r="CD255" s="1722"/>
      <c r="CE255" s="1724">
        <f t="shared" si="156"/>
        <v>1</v>
      </c>
      <c r="CF255" s="1724">
        <f t="shared" si="157"/>
        <v>1</v>
      </c>
      <c r="CG255" s="1724">
        <f t="shared" si="158"/>
        <v>1</v>
      </c>
      <c r="CH255" s="1724">
        <f t="shared" si="159"/>
        <v>1</v>
      </c>
      <c r="CI255" s="1724">
        <f t="shared" si="160"/>
        <v>1</v>
      </c>
      <c r="CJ255" s="1724">
        <f t="shared" si="161"/>
        <v>1</v>
      </c>
    </row>
    <row r="256" spans="1:88" x14ac:dyDescent="0.3">
      <c r="A256" s="6233" t="s">
        <v>4455</v>
      </c>
      <c r="B256" s="6899"/>
      <c r="C256" s="1" t="s">
        <v>2015</v>
      </c>
      <c r="D256" s="2277" t="s">
        <v>5292</v>
      </c>
      <c r="E256" s="2278" t="s">
        <v>5293</v>
      </c>
      <c r="F256" s="1" t="s">
        <v>5294</v>
      </c>
      <c r="G256" s="1095" t="s">
        <v>5295</v>
      </c>
      <c r="H256" s="8" t="s">
        <v>5296</v>
      </c>
      <c r="I256" s="1095" t="s">
        <v>5297</v>
      </c>
      <c r="J256" s="8" t="s">
        <v>5298</v>
      </c>
      <c r="K256" s="1095" t="s">
        <v>5299</v>
      </c>
      <c r="L256" s="8" t="s">
        <v>5300</v>
      </c>
      <c r="M256" s="1095" t="s">
        <v>5301</v>
      </c>
      <c r="N256" s="8" t="s">
        <v>5302</v>
      </c>
      <c r="O256" s="1095" t="s">
        <v>5303</v>
      </c>
      <c r="P256" s="8" t="s">
        <v>5304</v>
      </c>
      <c r="Q256" s="2295" t="s">
        <v>5305</v>
      </c>
      <c r="R256" s="2296" t="s">
        <v>5306</v>
      </c>
      <c r="S256" s="2296" t="s">
        <v>5307</v>
      </c>
      <c r="T256" s="2296" t="s">
        <v>5308</v>
      </c>
      <c r="U256" s="2296" t="s">
        <v>5309</v>
      </c>
      <c r="V256" s="2296" t="s">
        <v>5310</v>
      </c>
      <c r="W256" s="2296" t="s">
        <v>5311</v>
      </c>
      <c r="X256" s="2296" t="s">
        <v>5312</v>
      </c>
      <c r="Y256" s="2296" t="s">
        <v>5313</v>
      </c>
      <c r="Z256" s="2296" t="s">
        <v>5314</v>
      </c>
      <c r="AA256" s="2296" t="s">
        <v>5315</v>
      </c>
      <c r="AB256" s="2296" t="s">
        <v>5316</v>
      </c>
      <c r="AC256" s="2296" t="s">
        <v>5317</v>
      </c>
      <c r="AD256" s="2296" t="s">
        <v>5318</v>
      </c>
      <c r="AE256" s="2296" t="s">
        <v>5319</v>
      </c>
      <c r="AF256" s="2296" t="s">
        <v>5320</v>
      </c>
      <c r="AG256" s="2296" t="s">
        <v>5321</v>
      </c>
      <c r="AH256" s="2296" t="s">
        <v>5322</v>
      </c>
      <c r="AI256" s="2296" t="s">
        <v>5323</v>
      </c>
      <c r="AJ256" s="2296" t="s">
        <v>5324</v>
      </c>
      <c r="AK256" s="2296" t="s">
        <v>5325</v>
      </c>
      <c r="AL256" s="2296" t="s">
        <v>5326</v>
      </c>
      <c r="AM256" s="2296" t="s">
        <v>5327</v>
      </c>
      <c r="AN256" s="2297" t="s">
        <v>5328</v>
      </c>
      <c r="AO256" s="5715" t="s">
        <v>5329</v>
      </c>
      <c r="AP256" s="1102" t="s">
        <v>5330</v>
      </c>
      <c r="AQ256" s="2113" t="s">
        <v>5331</v>
      </c>
      <c r="AR256" s="3930" t="s">
        <v>5332</v>
      </c>
      <c r="AS256" s="2298" t="s">
        <v>5333</v>
      </c>
      <c r="AT256" s="1095" t="s">
        <v>5334</v>
      </c>
      <c r="AU256" s="8" t="s">
        <v>5335</v>
      </c>
      <c r="AV256" s="8" t="s">
        <v>5336</v>
      </c>
      <c r="AW256" s="8" t="s">
        <v>5337</v>
      </c>
      <c r="AX256" s="8" t="s">
        <v>5338</v>
      </c>
      <c r="AY256" s="8" t="s">
        <v>5339</v>
      </c>
      <c r="AZ256" s="17" t="str">
        <f t="shared" si="162"/>
        <v xml:space="preserve">  * La variable Gestantes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R256" s="170"/>
      <c r="BS256" s="2465" t="str">
        <f t="shared" si="163"/>
        <v xml:space="preserve">  * La variable Gestantes No puede ser mayor al Total.</v>
      </c>
      <c r="BT256" s="2466"/>
      <c r="BU256" s="2465" t="str">
        <f t="shared" si="148"/>
        <v xml:space="preserve">  * La variable Pueblos originarios Hombres No puede ser mayor al Total Hombres.</v>
      </c>
      <c r="BV256" s="2465" t="str">
        <f t="shared" si="149"/>
        <v xml:space="preserve">  * La variable Pueblos originarios Mujeres No puede ser mayor al Total Mujeres.</v>
      </c>
      <c r="BW256" s="2465" t="str">
        <f t="shared" si="150"/>
        <v xml:space="preserve">  * La variable Niños, niñas, adolescentes y jóvenes SENAME No puede ser mayor al Total.</v>
      </c>
      <c r="BX256" s="2465" t="str">
        <f t="shared" si="151"/>
        <v xml:space="preserve">  * La variable Niños, niñas, adolescentes y jóvenes Mejor Niñez No puede ser mayor al Total.</v>
      </c>
      <c r="BY256" s="2465" t="str">
        <f t="shared" si="152"/>
        <v xml:space="preserve">  * La variable Migrantes No puede ser mayor al Total.</v>
      </c>
      <c r="BZ256" s="2465" t="str">
        <f t="shared" si="153"/>
        <v xml:space="preserve">  * La variable Trans (Masculino/Femenino) No puede ser mayor al Total Ambos Sexos.</v>
      </c>
      <c r="CA256"/>
      <c r="CB256"/>
      <c r="CC256" s="1724">
        <f t="shared" si="154"/>
        <v>1</v>
      </c>
      <c r="CD256" s="1722"/>
      <c r="CE256" s="1724">
        <f t="shared" si="156"/>
        <v>1</v>
      </c>
      <c r="CF256" s="1724">
        <f t="shared" si="157"/>
        <v>1</v>
      </c>
      <c r="CG256" s="1724">
        <f t="shared" si="158"/>
        <v>1</v>
      </c>
      <c r="CH256" s="1724">
        <f t="shared" si="159"/>
        <v>1</v>
      </c>
      <c r="CI256" s="1724">
        <f t="shared" si="160"/>
        <v>1</v>
      </c>
      <c r="CJ256" s="1724">
        <f t="shared" si="161"/>
        <v>1</v>
      </c>
    </row>
    <row r="257" spans="1:88" ht="21.6" x14ac:dyDescent="0.3">
      <c r="A257" s="6233" t="s">
        <v>4456</v>
      </c>
      <c r="B257" s="6899"/>
      <c r="C257" s="1" t="s">
        <v>2016</v>
      </c>
      <c r="D257" s="2277" t="s">
        <v>5292</v>
      </c>
      <c r="E257" s="2278" t="s">
        <v>5293</v>
      </c>
      <c r="F257" s="1" t="s">
        <v>5294</v>
      </c>
      <c r="G257" s="1095" t="s">
        <v>5295</v>
      </c>
      <c r="H257" s="8" t="s">
        <v>5296</v>
      </c>
      <c r="I257" s="1095" t="s">
        <v>5297</v>
      </c>
      <c r="J257" s="8" t="s">
        <v>5298</v>
      </c>
      <c r="K257" s="1095" t="s">
        <v>5299</v>
      </c>
      <c r="L257" s="8" t="s">
        <v>5300</v>
      </c>
      <c r="M257" s="1095" t="s">
        <v>5301</v>
      </c>
      <c r="N257" s="8" t="s">
        <v>5302</v>
      </c>
      <c r="O257" s="1095" t="s">
        <v>5303</v>
      </c>
      <c r="P257" s="8" t="s">
        <v>5304</v>
      </c>
      <c r="Q257" s="2295" t="s">
        <v>5305</v>
      </c>
      <c r="R257" s="2296" t="s">
        <v>5306</v>
      </c>
      <c r="S257" s="2296" t="s">
        <v>5307</v>
      </c>
      <c r="T257" s="2296" t="s">
        <v>5308</v>
      </c>
      <c r="U257" s="2296" t="s">
        <v>5309</v>
      </c>
      <c r="V257" s="2296" t="s">
        <v>5310</v>
      </c>
      <c r="W257" s="2296" t="s">
        <v>5311</v>
      </c>
      <c r="X257" s="2296" t="s">
        <v>5312</v>
      </c>
      <c r="Y257" s="2296" t="s">
        <v>5313</v>
      </c>
      <c r="Z257" s="2296" t="s">
        <v>5314</v>
      </c>
      <c r="AA257" s="2296" t="s">
        <v>5315</v>
      </c>
      <c r="AB257" s="2296" t="s">
        <v>5316</v>
      </c>
      <c r="AC257" s="2296" t="s">
        <v>5317</v>
      </c>
      <c r="AD257" s="2296" t="s">
        <v>5318</v>
      </c>
      <c r="AE257" s="2296" t="s">
        <v>5319</v>
      </c>
      <c r="AF257" s="2296" t="s">
        <v>5320</v>
      </c>
      <c r="AG257" s="2296" t="s">
        <v>5321</v>
      </c>
      <c r="AH257" s="2296" t="s">
        <v>5322</v>
      </c>
      <c r="AI257" s="2296" t="s">
        <v>5323</v>
      </c>
      <c r="AJ257" s="2296" t="s">
        <v>5324</v>
      </c>
      <c r="AK257" s="2296" t="s">
        <v>5325</v>
      </c>
      <c r="AL257" s="2296" t="s">
        <v>5326</v>
      </c>
      <c r="AM257" s="2296" t="s">
        <v>5327</v>
      </c>
      <c r="AN257" s="2297" t="s">
        <v>5328</v>
      </c>
      <c r="AO257" s="5715" t="s">
        <v>5329</v>
      </c>
      <c r="AP257" s="1102" t="s">
        <v>5330</v>
      </c>
      <c r="AQ257" s="2113" t="s">
        <v>5331</v>
      </c>
      <c r="AR257" s="3930" t="s">
        <v>5332</v>
      </c>
      <c r="AS257" s="2298" t="s">
        <v>5333</v>
      </c>
      <c r="AT257" s="1095" t="s">
        <v>5334</v>
      </c>
      <c r="AU257" s="8" t="s">
        <v>5335</v>
      </c>
      <c r="AV257" s="8" t="s">
        <v>5336</v>
      </c>
      <c r="AW257" s="8" t="s">
        <v>5337</v>
      </c>
      <c r="AX257" s="8" t="s">
        <v>5338</v>
      </c>
      <c r="AY257" s="8" t="s">
        <v>5339</v>
      </c>
      <c r="AZ257" s="17" t="str">
        <f t="shared" si="162"/>
        <v xml:space="preserve">  * La variable Gestantes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R257" s="170"/>
      <c r="BS257" s="2465" t="str">
        <f t="shared" si="163"/>
        <v xml:space="preserve">  * La variable Gestantes No puede ser mayor al Total.</v>
      </c>
      <c r="BT257" s="2466"/>
      <c r="BU257" s="2465" t="str">
        <f t="shared" si="148"/>
        <v xml:space="preserve">  * La variable Pueblos originarios Hombres No puede ser mayor al Total Hombres.</v>
      </c>
      <c r="BV257" s="2465" t="str">
        <f t="shared" si="149"/>
        <v xml:space="preserve">  * La variable Pueblos originarios Mujeres No puede ser mayor al Total Mujeres.</v>
      </c>
      <c r="BW257" s="2465" t="str">
        <f t="shared" si="150"/>
        <v xml:space="preserve">  * La variable Niños, niñas, adolescentes y jóvenes SENAME No puede ser mayor al Total.</v>
      </c>
      <c r="BX257" s="2465" t="str">
        <f t="shared" si="151"/>
        <v xml:space="preserve">  * La variable Niños, niñas, adolescentes y jóvenes Mejor Niñez No puede ser mayor al Total.</v>
      </c>
      <c r="BY257" s="2465" t="str">
        <f t="shared" si="152"/>
        <v xml:space="preserve">  * La variable Migrantes No puede ser mayor al Total.</v>
      </c>
      <c r="BZ257" s="2465" t="str">
        <f t="shared" si="153"/>
        <v xml:space="preserve">  * La variable Trans (Masculino/Femenino) No puede ser mayor al Total Ambos Sexos.</v>
      </c>
      <c r="CA257"/>
      <c r="CB257"/>
      <c r="CC257" s="1724">
        <f t="shared" si="154"/>
        <v>1</v>
      </c>
      <c r="CD257" s="1722"/>
      <c r="CE257" s="1724">
        <f t="shared" si="156"/>
        <v>1</v>
      </c>
      <c r="CF257" s="1724">
        <f t="shared" si="157"/>
        <v>1</v>
      </c>
      <c r="CG257" s="1724">
        <f t="shared" si="158"/>
        <v>1</v>
      </c>
      <c r="CH257" s="1724">
        <f t="shared" si="159"/>
        <v>1</v>
      </c>
      <c r="CI257" s="1724">
        <f t="shared" si="160"/>
        <v>1</v>
      </c>
      <c r="CJ257" s="1724">
        <f t="shared" si="161"/>
        <v>1</v>
      </c>
    </row>
    <row r="258" spans="1:88" ht="31.8" x14ac:dyDescent="0.3">
      <c r="A258" s="6233" t="s">
        <v>4457</v>
      </c>
      <c r="B258" s="6908"/>
      <c r="C258" s="2" t="s">
        <v>2017</v>
      </c>
      <c r="D258" s="2288" t="s">
        <v>5292</v>
      </c>
      <c r="E258" s="2289" t="s">
        <v>5293</v>
      </c>
      <c r="F258" s="2" t="s">
        <v>5294</v>
      </c>
      <c r="G258" s="3" t="s">
        <v>5295</v>
      </c>
      <c r="H258" s="12" t="s">
        <v>5296</v>
      </c>
      <c r="I258" s="3" t="s">
        <v>5297</v>
      </c>
      <c r="J258" s="12" t="s">
        <v>5298</v>
      </c>
      <c r="K258" s="3" t="s">
        <v>5299</v>
      </c>
      <c r="L258" s="12" t="s">
        <v>5300</v>
      </c>
      <c r="M258" s="3" t="s">
        <v>5301</v>
      </c>
      <c r="N258" s="12" t="s">
        <v>5302</v>
      </c>
      <c r="O258" s="3" t="s">
        <v>5303</v>
      </c>
      <c r="P258" s="12" t="s">
        <v>5304</v>
      </c>
      <c r="Q258" s="2299" t="s">
        <v>5305</v>
      </c>
      <c r="R258" s="2300" t="s">
        <v>5306</v>
      </c>
      <c r="S258" s="2300" t="s">
        <v>5307</v>
      </c>
      <c r="T258" s="2300" t="s">
        <v>5308</v>
      </c>
      <c r="U258" s="2300" t="s">
        <v>5309</v>
      </c>
      <c r="V258" s="2300" t="s">
        <v>5310</v>
      </c>
      <c r="W258" s="2300" t="s">
        <v>5311</v>
      </c>
      <c r="X258" s="2300" t="s">
        <v>5312</v>
      </c>
      <c r="Y258" s="2300" t="s">
        <v>5313</v>
      </c>
      <c r="Z258" s="2300" t="s">
        <v>5314</v>
      </c>
      <c r="AA258" s="2300" t="s">
        <v>5315</v>
      </c>
      <c r="AB258" s="2300" t="s">
        <v>5316</v>
      </c>
      <c r="AC258" s="2300" t="s">
        <v>5317</v>
      </c>
      <c r="AD258" s="2300" t="s">
        <v>5318</v>
      </c>
      <c r="AE258" s="2300" t="s">
        <v>5319</v>
      </c>
      <c r="AF258" s="2300" t="s">
        <v>5320</v>
      </c>
      <c r="AG258" s="2300" t="s">
        <v>5321</v>
      </c>
      <c r="AH258" s="2300" t="s">
        <v>5322</v>
      </c>
      <c r="AI258" s="2300" t="s">
        <v>5323</v>
      </c>
      <c r="AJ258" s="2300" t="s">
        <v>5324</v>
      </c>
      <c r="AK258" s="2300" t="s">
        <v>5325</v>
      </c>
      <c r="AL258" s="2300" t="s">
        <v>5326</v>
      </c>
      <c r="AM258" s="2300" t="s">
        <v>5327</v>
      </c>
      <c r="AN258" s="2301" t="s">
        <v>5328</v>
      </c>
      <c r="AO258" s="5715" t="s">
        <v>5329</v>
      </c>
      <c r="AP258" s="1102" t="s">
        <v>5330</v>
      </c>
      <c r="AQ258" s="3949" t="s">
        <v>5331</v>
      </c>
      <c r="AR258" s="21" t="s">
        <v>5332</v>
      </c>
      <c r="AS258" s="2302" t="s">
        <v>5333</v>
      </c>
      <c r="AT258" s="3" t="s">
        <v>5334</v>
      </c>
      <c r="AU258" s="12" t="s">
        <v>5335</v>
      </c>
      <c r="AV258" s="12" t="s">
        <v>5336</v>
      </c>
      <c r="AW258" s="12" t="s">
        <v>5337</v>
      </c>
      <c r="AX258" s="12" t="s">
        <v>5338</v>
      </c>
      <c r="AY258" s="12" t="s">
        <v>5339</v>
      </c>
      <c r="AZ258" s="17" t="str">
        <f t="shared" si="162"/>
        <v xml:space="preserve">  * La variable Gestantes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R258" s="170"/>
      <c r="BS258" s="2465" t="str">
        <f t="shared" si="163"/>
        <v xml:space="preserve">  * La variable Gestantes No puede ser mayor al Total.</v>
      </c>
      <c r="BT258" s="2466"/>
      <c r="BU258" s="2465" t="str">
        <f t="shared" si="148"/>
        <v xml:space="preserve">  * La variable Pueblos originarios Hombres No puede ser mayor al Total Hombres.</v>
      </c>
      <c r="BV258" s="2465" t="str">
        <f t="shared" si="149"/>
        <v xml:space="preserve">  * La variable Pueblos originarios Mujeres No puede ser mayor al Total Mujeres.</v>
      </c>
      <c r="BW258" s="2465" t="str">
        <f t="shared" si="150"/>
        <v xml:space="preserve">  * La variable Niños, niñas, adolescentes y jóvenes SENAME No puede ser mayor al Total.</v>
      </c>
      <c r="BX258" s="2465" t="str">
        <f t="shared" si="151"/>
        <v xml:space="preserve">  * La variable Niños, niñas, adolescentes y jóvenes Mejor Niñez No puede ser mayor al Total.</v>
      </c>
      <c r="BY258" s="2465" t="str">
        <f t="shared" si="152"/>
        <v xml:space="preserve">  * La variable Migrantes No puede ser mayor al Total.</v>
      </c>
      <c r="BZ258" s="2465" t="str">
        <f t="shared" si="153"/>
        <v xml:space="preserve">  * La variable Trans (Masculino/Femenino) No puede ser mayor al Total Ambos Sexos.</v>
      </c>
      <c r="CA258"/>
      <c r="CB258"/>
      <c r="CC258" s="1724">
        <f t="shared" si="154"/>
        <v>1</v>
      </c>
      <c r="CD258" s="1722"/>
      <c r="CE258" s="1724">
        <f t="shared" si="156"/>
        <v>1</v>
      </c>
      <c r="CF258" s="1724">
        <f t="shared" si="157"/>
        <v>1</v>
      </c>
      <c r="CG258" s="1724">
        <f t="shared" si="158"/>
        <v>1</v>
      </c>
      <c r="CH258" s="1724">
        <f t="shared" si="159"/>
        <v>1</v>
      </c>
      <c r="CI258" s="1724">
        <f t="shared" si="160"/>
        <v>1</v>
      </c>
      <c r="CJ258" s="1724">
        <f t="shared" si="161"/>
        <v>1</v>
      </c>
    </row>
    <row r="259" spans="1:88" x14ac:dyDescent="0.3">
      <c r="A259" s="6233" t="s">
        <v>4458</v>
      </c>
      <c r="B259" s="6928" t="s">
        <v>2018</v>
      </c>
      <c r="C259" s="2303" t="s">
        <v>2019</v>
      </c>
      <c r="D259" s="2275" t="s">
        <v>5292</v>
      </c>
      <c r="E259" s="2276" t="s">
        <v>5293</v>
      </c>
      <c r="F259" s="2274" t="s">
        <v>5294</v>
      </c>
      <c r="G259" s="2112" t="s">
        <v>5295</v>
      </c>
      <c r="H259" s="1089" t="s">
        <v>5296</v>
      </c>
      <c r="I259" s="2112" t="s">
        <v>5297</v>
      </c>
      <c r="J259" s="1089" t="s">
        <v>5298</v>
      </c>
      <c r="K259" s="2112" t="s">
        <v>5299</v>
      </c>
      <c r="L259" s="1089" t="s">
        <v>5300</v>
      </c>
      <c r="M259" s="2112" t="s">
        <v>5301</v>
      </c>
      <c r="N259" s="1089" t="s">
        <v>5302</v>
      </c>
      <c r="O259" s="2112" t="s">
        <v>5303</v>
      </c>
      <c r="P259" s="1089" t="s">
        <v>5304</v>
      </c>
      <c r="Q259" s="2112" t="s">
        <v>5305</v>
      </c>
      <c r="R259" s="1089" t="s">
        <v>5306</v>
      </c>
      <c r="S259" s="2112" t="s">
        <v>5307</v>
      </c>
      <c r="T259" s="1089" t="s">
        <v>5308</v>
      </c>
      <c r="U259" s="2112" t="s">
        <v>5309</v>
      </c>
      <c r="V259" s="1089" t="s">
        <v>5310</v>
      </c>
      <c r="W259" s="2112" t="s">
        <v>5311</v>
      </c>
      <c r="X259" s="1089" t="s">
        <v>5312</v>
      </c>
      <c r="Y259" s="2112" t="s">
        <v>5313</v>
      </c>
      <c r="Z259" s="1089" t="s">
        <v>5314</v>
      </c>
      <c r="AA259" s="2112" t="s">
        <v>5315</v>
      </c>
      <c r="AB259" s="1089" t="s">
        <v>5316</v>
      </c>
      <c r="AC259" s="2112" t="s">
        <v>5317</v>
      </c>
      <c r="AD259" s="1089" t="s">
        <v>5318</v>
      </c>
      <c r="AE259" s="2112" t="s">
        <v>5319</v>
      </c>
      <c r="AF259" s="1089" t="s">
        <v>5320</v>
      </c>
      <c r="AG259" s="2112" t="s">
        <v>5321</v>
      </c>
      <c r="AH259" s="1089" t="s">
        <v>5322</v>
      </c>
      <c r="AI259" s="2112" t="s">
        <v>5323</v>
      </c>
      <c r="AJ259" s="1089" t="s">
        <v>5324</v>
      </c>
      <c r="AK259" s="2112" t="s">
        <v>5325</v>
      </c>
      <c r="AL259" s="1089" t="s">
        <v>5326</v>
      </c>
      <c r="AM259" s="2112" t="s">
        <v>5327</v>
      </c>
      <c r="AN259" s="2240" t="s">
        <v>5328</v>
      </c>
      <c r="AO259" s="5710" t="s">
        <v>5329</v>
      </c>
      <c r="AP259" s="5716" t="s">
        <v>5330</v>
      </c>
      <c r="AQ259" s="5717" t="s">
        <v>5331</v>
      </c>
      <c r="AR259" s="4407" t="s">
        <v>5332</v>
      </c>
      <c r="AS259" s="1089" t="s">
        <v>5333</v>
      </c>
      <c r="AT259" s="2120" t="s">
        <v>5334</v>
      </c>
      <c r="AU259" s="8" t="s">
        <v>5335</v>
      </c>
      <c r="AV259" s="8" t="s">
        <v>5336</v>
      </c>
      <c r="AW259" s="8" t="s">
        <v>5337</v>
      </c>
      <c r="AX259" s="8" t="s">
        <v>5338</v>
      </c>
      <c r="AY259" s="8" t="s">
        <v>5339</v>
      </c>
      <c r="AZ259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R259" s="170"/>
      <c r="BS259" s="2465" t="str">
        <f t="shared" si="163"/>
        <v xml:space="preserve">  * La variable Gestantes No puede ser mayor al Total.</v>
      </c>
      <c r="BT259" s="2465" t="str">
        <f t="shared" si="147"/>
        <v xml:space="preserve">  * La variable Madre de hijo menor de 5 años No puede ser mayor al Total.</v>
      </c>
      <c r="BU259" s="2465" t="str">
        <f t="shared" si="148"/>
        <v xml:space="preserve">  * La variable Pueblos originarios Hombres No puede ser mayor al Total Hombres.</v>
      </c>
      <c r="BV259" s="2465" t="str">
        <f t="shared" si="149"/>
        <v xml:space="preserve">  * La variable Pueblos originarios Mujeres No puede ser mayor al Total Mujeres.</v>
      </c>
      <c r="BW259" s="2465" t="str">
        <f t="shared" si="150"/>
        <v xml:space="preserve">  * La variable Niños, niñas, adolescentes y jóvenes SENAME No puede ser mayor al Total.</v>
      </c>
      <c r="BX259" s="2465" t="str">
        <f t="shared" si="151"/>
        <v xml:space="preserve">  * La variable Niños, niñas, adolescentes y jóvenes Mejor Niñez No puede ser mayor al Total.</v>
      </c>
      <c r="BY259" s="2465" t="str">
        <f t="shared" si="152"/>
        <v xml:space="preserve">  * La variable Migrantes No puede ser mayor al Total.</v>
      </c>
      <c r="BZ259" s="2465" t="str">
        <f t="shared" si="153"/>
        <v xml:space="preserve">  * La variable Trans (Masculino/Femenino) No puede ser mayor al Total Ambos Sexos.</v>
      </c>
      <c r="CA259"/>
      <c r="CB259"/>
      <c r="CC259" s="1724">
        <f t="shared" si="154"/>
        <v>1</v>
      </c>
      <c r="CD259" s="1724">
        <f t="shared" si="155"/>
        <v>1</v>
      </c>
      <c r="CE259" s="1724">
        <f t="shared" si="156"/>
        <v>1</v>
      </c>
      <c r="CF259" s="1724">
        <f t="shared" si="157"/>
        <v>1</v>
      </c>
      <c r="CG259" s="1724">
        <f t="shared" si="158"/>
        <v>1</v>
      </c>
      <c r="CH259" s="1724">
        <f t="shared" si="159"/>
        <v>1</v>
      </c>
      <c r="CI259" s="1724">
        <f t="shared" si="160"/>
        <v>1</v>
      </c>
      <c r="CJ259" s="1724">
        <f t="shared" si="161"/>
        <v>1</v>
      </c>
    </row>
    <row r="260" spans="1:88" x14ac:dyDescent="0.3">
      <c r="A260" s="6233" t="s">
        <v>4459</v>
      </c>
      <c r="B260" s="6929"/>
      <c r="C260" s="2305" t="s">
        <v>2020</v>
      </c>
      <c r="D260" s="2277" t="s">
        <v>5292</v>
      </c>
      <c r="E260" s="2278" t="s">
        <v>5293</v>
      </c>
      <c r="F260" s="1" t="s">
        <v>5294</v>
      </c>
      <c r="G260" s="1095" t="s">
        <v>5295</v>
      </c>
      <c r="H260" s="8" t="s">
        <v>5296</v>
      </c>
      <c r="I260" s="1095" t="s">
        <v>5297</v>
      </c>
      <c r="J260" s="8" t="s">
        <v>5298</v>
      </c>
      <c r="K260" s="1095" t="s">
        <v>5299</v>
      </c>
      <c r="L260" s="8" t="s">
        <v>5300</v>
      </c>
      <c r="M260" s="1095" t="s">
        <v>5301</v>
      </c>
      <c r="N260" s="8" t="s">
        <v>5302</v>
      </c>
      <c r="O260" s="1095" t="s">
        <v>5303</v>
      </c>
      <c r="P260" s="8" t="s">
        <v>5304</v>
      </c>
      <c r="Q260" s="1095" t="s">
        <v>5305</v>
      </c>
      <c r="R260" s="8" t="s">
        <v>5306</v>
      </c>
      <c r="S260" s="1095" t="s">
        <v>5307</v>
      </c>
      <c r="T260" s="8" t="s">
        <v>5308</v>
      </c>
      <c r="U260" s="1095" t="s">
        <v>5309</v>
      </c>
      <c r="V260" s="8" t="s">
        <v>5310</v>
      </c>
      <c r="W260" s="1095" t="s">
        <v>5311</v>
      </c>
      <c r="X260" s="8" t="s">
        <v>5312</v>
      </c>
      <c r="Y260" s="1095" t="s">
        <v>5313</v>
      </c>
      <c r="Z260" s="8" t="s">
        <v>5314</v>
      </c>
      <c r="AA260" s="1095" t="s">
        <v>5315</v>
      </c>
      <c r="AB260" s="8" t="s">
        <v>5316</v>
      </c>
      <c r="AC260" s="1095" t="s">
        <v>5317</v>
      </c>
      <c r="AD260" s="8" t="s">
        <v>5318</v>
      </c>
      <c r="AE260" s="1095" t="s">
        <v>5319</v>
      </c>
      <c r="AF260" s="8" t="s">
        <v>5320</v>
      </c>
      <c r="AG260" s="1095" t="s">
        <v>5321</v>
      </c>
      <c r="AH260" s="8" t="s">
        <v>5322</v>
      </c>
      <c r="AI260" s="1095" t="s">
        <v>5323</v>
      </c>
      <c r="AJ260" s="8" t="s">
        <v>5324</v>
      </c>
      <c r="AK260" s="1095" t="s">
        <v>5325</v>
      </c>
      <c r="AL260" s="8" t="s">
        <v>5326</v>
      </c>
      <c r="AM260" s="1095" t="s">
        <v>5327</v>
      </c>
      <c r="AN260" s="1100" t="s">
        <v>5328</v>
      </c>
      <c r="AO260" s="3941" t="s">
        <v>5329</v>
      </c>
      <c r="AP260" s="5718" t="s">
        <v>5330</v>
      </c>
      <c r="AQ260" s="3945" t="s">
        <v>5331</v>
      </c>
      <c r="AR260" s="3930" t="s">
        <v>5332</v>
      </c>
      <c r="AS260" s="8" t="s">
        <v>5333</v>
      </c>
      <c r="AT260" s="1095" t="s">
        <v>5334</v>
      </c>
      <c r="AU260" s="8" t="s">
        <v>5335</v>
      </c>
      <c r="AV260" s="8" t="s">
        <v>5336</v>
      </c>
      <c r="AW260" s="8" t="s">
        <v>5337</v>
      </c>
      <c r="AX260" s="8" t="s">
        <v>5338</v>
      </c>
      <c r="AY260" s="8" t="s">
        <v>5339</v>
      </c>
      <c r="AZ260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R260" s="170"/>
      <c r="BS260" s="2465" t="str">
        <f t="shared" si="163"/>
        <v xml:space="preserve">  * La variable Gestantes No puede ser mayor al Total.</v>
      </c>
      <c r="BT260" s="2465" t="str">
        <f t="shared" si="147"/>
        <v xml:space="preserve">  * La variable Madre de hijo menor de 5 años No puede ser mayor al Total.</v>
      </c>
      <c r="BU260" s="2465" t="str">
        <f t="shared" si="148"/>
        <v xml:space="preserve">  * La variable Pueblos originarios Hombres No puede ser mayor al Total Hombres.</v>
      </c>
      <c r="BV260" s="2465" t="str">
        <f t="shared" si="149"/>
        <v xml:space="preserve">  * La variable Pueblos originarios Mujeres No puede ser mayor al Total Mujeres.</v>
      </c>
      <c r="BW260" s="2465" t="str">
        <f t="shared" si="150"/>
        <v xml:space="preserve">  * La variable Niños, niñas, adolescentes y jóvenes SENAME No puede ser mayor al Total.</v>
      </c>
      <c r="BX260" s="2465" t="str">
        <f t="shared" si="151"/>
        <v xml:space="preserve">  * La variable Niños, niñas, adolescentes y jóvenes Mejor Niñez No puede ser mayor al Total.</v>
      </c>
      <c r="BY260" s="2465" t="str">
        <f t="shared" si="152"/>
        <v xml:space="preserve">  * La variable Migrantes No puede ser mayor al Total.</v>
      </c>
      <c r="BZ260" s="2465" t="str">
        <f t="shared" si="153"/>
        <v xml:space="preserve">  * La variable Trans (Masculino/Femenino) No puede ser mayor al Total Ambos Sexos.</v>
      </c>
      <c r="CA260"/>
      <c r="CB260"/>
      <c r="CC260" s="1724">
        <f t="shared" si="154"/>
        <v>1</v>
      </c>
      <c r="CD260" s="1724">
        <f t="shared" si="155"/>
        <v>1</v>
      </c>
      <c r="CE260" s="1724">
        <f t="shared" si="156"/>
        <v>1</v>
      </c>
      <c r="CF260" s="1724">
        <f t="shared" si="157"/>
        <v>1</v>
      </c>
      <c r="CG260" s="1724">
        <f t="shared" si="158"/>
        <v>1</v>
      </c>
      <c r="CH260" s="1724">
        <f t="shared" si="159"/>
        <v>1</v>
      </c>
      <c r="CI260" s="1724">
        <f t="shared" si="160"/>
        <v>1</v>
      </c>
      <c r="CJ260" s="1724">
        <f t="shared" si="161"/>
        <v>1</v>
      </c>
    </row>
    <row r="261" spans="1:88" x14ac:dyDescent="0.3">
      <c r="A261" s="6233" t="s">
        <v>4460</v>
      </c>
      <c r="B261" s="6929"/>
      <c r="C261" s="2280" t="s">
        <v>2021</v>
      </c>
      <c r="D261" s="2277" t="s">
        <v>5292</v>
      </c>
      <c r="E261" s="2278" t="s">
        <v>5293</v>
      </c>
      <c r="F261" s="1" t="s">
        <v>5294</v>
      </c>
      <c r="G261" s="1095" t="s">
        <v>5295</v>
      </c>
      <c r="H261" s="8" t="s">
        <v>5296</v>
      </c>
      <c r="I261" s="1095" t="s">
        <v>5297</v>
      </c>
      <c r="J261" s="8" t="s">
        <v>5298</v>
      </c>
      <c r="K261" s="1095" t="s">
        <v>5299</v>
      </c>
      <c r="L261" s="8" t="s">
        <v>5300</v>
      </c>
      <c r="M261" s="1095" t="s">
        <v>5301</v>
      </c>
      <c r="N261" s="8" t="s">
        <v>5302</v>
      </c>
      <c r="O261" s="1095" t="s">
        <v>5303</v>
      </c>
      <c r="P261" s="8" t="s">
        <v>5304</v>
      </c>
      <c r="Q261" s="1095" t="s">
        <v>5305</v>
      </c>
      <c r="R261" s="8" t="s">
        <v>5306</v>
      </c>
      <c r="S261" s="1095" t="s">
        <v>5307</v>
      </c>
      <c r="T261" s="8" t="s">
        <v>5308</v>
      </c>
      <c r="U261" s="1095" t="s">
        <v>5309</v>
      </c>
      <c r="V261" s="8" t="s">
        <v>5310</v>
      </c>
      <c r="W261" s="1095" t="s">
        <v>5311</v>
      </c>
      <c r="X261" s="8" t="s">
        <v>5312</v>
      </c>
      <c r="Y261" s="1095" t="s">
        <v>5313</v>
      </c>
      <c r="Z261" s="8" t="s">
        <v>5314</v>
      </c>
      <c r="AA261" s="1095" t="s">
        <v>5315</v>
      </c>
      <c r="AB261" s="8" t="s">
        <v>5316</v>
      </c>
      <c r="AC261" s="1095" t="s">
        <v>5317</v>
      </c>
      <c r="AD261" s="8" t="s">
        <v>5318</v>
      </c>
      <c r="AE261" s="1095" t="s">
        <v>5319</v>
      </c>
      <c r="AF261" s="8" t="s">
        <v>5320</v>
      </c>
      <c r="AG261" s="1095" t="s">
        <v>5321</v>
      </c>
      <c r="AH261" s="8" t="s">
        <v>5322</v>
      </c>
      <c r="AI261" s="1095" t="s">
        <v>5323</v>
      </c>
      <c r="AJ261" s="8" t="s">
        <v>5324</v>
      </c>
      <c r="AK261" s="1095" t="s">
        <v>5325</v>
      </c>
      <c r="AL261" s="8" t="s">
        <v>5326</v>
      </c>
      <c r="AM261" s="1095" t="s">
        <v>5327</v>
      </c>
      <c r="AN261" s="1100" t="s">
        <v>5328</v>
      </c>
      <c r="AO261" s="3941" t="s">
        <v>5329</v>
      </c>
      <c r="AP261" s="5718" t="s">
        <v>5330</v>
      </c>
      <c r="AQ261" s="3945" t="s">
        <v>5331</v>
      </c>
      <c r="AR261" s="3930" t="s">
        <v>5332</v>
      </c>
      <c r="AS261" s="8" t="s">
        <v>5333</v>
      </c>
      <c r="AT261" s="1095" t="s">
        <v>5334</v>
      </c>
      <c r="AU261" s="8" t="s">
        <v>5335</v>
      </c>
      <c r="AV261" s="8" t="s">
        <v>5336</v>
      </c>
      <c r="AW261" s="8" t="s">
        <v>5337</v>
      </c>
      <c r="AX261" s="8" t="s">
        <v>5338</v>
      </c>
      <c r="AY261" s="8" t="s">
        <v>5339</v>
      </c>
      <c r="AZ261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R261" s="170"/>
      <c r="BS261" s="2465" t="str">
        <f t="shared" si="163"/>
        <v xml:space="preserve">  * La variable Gestantes No puede ser mayor al Total.</v>
      </c>
      <c r="BT261" s="2465" t="str">
        <f t="shared" si="147"/>
        <v xml:space="preserve">  * La variable Madre de hijo menor de 5 años No puede ser mayor al Total.</v>
      </c>
      <c r="BU261" s="2465" t="str">
        <f t="shared" si="148"/>
        <v xml:space="preserve">  * La variable Pueblos originarios Hombres No puede ser mayor al Total Hombres.</v>
      </c>
      <c r="BV261" s="2465" t="str">
        <f t="shared" si="149"/>
        <v xml:space="preserve">  * La variable Pueblos originarios Mujeres No puede ser mayor al Total Mujeres.</v>
      </c>
      <c r="BW261" s="2465" t="str">
        <f t="shared" si="150"/>
        <v xml:space="preserve">  * La variable Niños, niñas, adolescentes y jóvenes SENAME No puede ser mayor al Total.</v>
      </c>
      <c r="BX261" s="2465" t="str">
        <f t="shared" si="151"/>
        <v xml:space="preserve">  * La variable Niños, niñas, adolescentes y jóvenes Mejor Niñez No puede ser mayor al Total.</v>
      </c>
      <c r="BY261" s="2465" t="str">
        <f t="shared" si="152"/>
        <v xml:space="preserve">  * La variable Migrantes No puede ser mayor al Total.</v>
      </c>
      <c r="BZ261" s="2465" t="str">
        <f t="shared" si="153"/>
        <v xml:space="preserve">  * La variable Trans (Masculino/Femenino) No puede ser mayor al Total Ambos Sexos.</v>
      </c>
      <c r="CA261"/>
      <c r="CB261"/>
      <c r="CC261" s="1724">
        <f t="shared" si="154"/>
        <v>1</v>
      </c>
      <c r="CD261" s="1724">
        <f t="shared" si="155"/>
        <v>1</v>
      </c>
      <c r="CE261" s="1724">
        <f t="shared" si="156"/>
        <v>1</v>
      </c>
      <c r="CF261" s="1724">
        <f t="shared" si="157"/>
        <v>1</v>
      </c>
      <c r="CG261" s="1724">
        <f t="shared" si="158"/>
        <v>1</v>
      </c>
      <c r="CH261" s="1724">
        <f t="shared" si="159"/>
        <v>1</v>
      </c>
      <c r="CI261" s="1724">
        <f t="shared" si="160"/>
        <v>1</v>
      </c>
      <c r="CJ261" s="1724">
        <f t="shared" si="161"/>
        <v>1</v>
      </c>
    </row>
    <row r="262" spans="1:88" x14ac:dyDescent="0.3">
      <c r="A262" s="6233" t="s">
        <v>4461</v>
      </c>
      <c r="B262" s="6929"/>
      <c r="C262" s="2280" t="s">
        <v>2022</v>
      </c>
      <c r="D262" s="2275" t="s">
        <v>5292</v>
      </c>
      <c r="E262" s="2276" t="s">
        <v>5293</v>
      </c>
      <c r="F262" s="2274" t="s">
        <v>5294</v>
      </c>
      <c r="G262" s="1095" t="s">
        <v>5295</v>
      </c>
      <c r="H262" s="8" t="s">
        <v>5296</v>
      </c>
      <c r="I262" s="1095" t="s">
        <v>5297</v>
      </c>
      <c r="J262" s="8" t="s">
        <v>5298</v>
      </c>
      <c r="K262" s="1095" t="s">
        <v>5299</v>
      </c>
      <c r="L262" s="8" t="s">
        <v>5300</v>
      </c>
      <c r="M262" s="1095" t="s">
        <v>5301</v>
      </c>
      <c r="N262" s="8" t="s">
        <v>5302</v>
      </c>
      <c r="O262" s="1095" t="s">
        <v>5303</v>
      </c>
      <c r="P262" s="8" t="s">
        <v>5304</v>
      </c>
      <c r="Q262" s="1095" t="s">
        <v>5305</v>
      </c>
      <c r="R262" s="8" t="s">
        <v>5306</v>
      </c>
      <c r="S262" s="1095" t="s">
        <v>5307</v>
      </c>
      <c r="T262" s="8" t="s">
        <v>5308</v>
      </c>
      <c r="U262" s="1095" t="s">
        <v>5309</v>
      </c>
      <c r="V262" s="8" t="s">
        <v>5310</v>
      </c>
      <c r="W262" s="1095" t="s">
        <v>5311</v>
      </c>
      <c r="X262" s="8" t="s">
        <v>5312</v>
      </c>
      <c r="Y262" s="1095" t="s">
        <v>5313</v>
      </c>
      <c r="Z262" s="8" t="s">
        <v>5314</v>
      </c>
      <c r="AA262" s="1095" t="s">
        <v>5315</v>
      </c>
      <c r="AB262" s="8" t="s">
        <v>5316</v>
      </c>
      <c r="AC262" s="1095" t="s">
        <v>5317</v>
      </c>
      <c r="AD262" s="8" t="s">
        <v>5318</v>
      </c>
      <c r="AE262" s="1095" t="s">
        <v>5319</v>
      </c>
      <c r="AF262" s="8" t="s">
        <v>5320</v>
      </c>
      <c r="AG262" s="1095" t="s">
        <v>5321</v>
      </c>
      <c r="AH262" s="8" t="s">
        <v>5322</v>
      </c>
      <c r="AI262" s="1095" t="s">
        <v>5323</v>
      </c>
      <c r="AJ262" s="8" t="s">
        <v>5324</v>
      </c>
      <c r="AK262" s="1095" t="s">
        <v>5325</v>
      </c>
      <c r="AL262" s="8" t="s">
        <v>5326</v>
      </c>
      <c r="AM262" s="1095" t="s">
        <v>5327</v>
      </c>
      <c r="AN262" s="1100" t="s">
        <v>5328</v>
      </c>
      <c r="AO262" s="3941" t="s">
        <v>5329</v>
      </c>
      <c r="AP262" s="5718" t="s">
        <v>5330</v>
      </c>
      <c r="AQ262" s="3945" t="s">
        <v>5331</v>
      </c>
      <c r="AR262" s="3930" t="s">
        <v>5332</v>
      </c>
      <c r="AS262" s="8" t="s">
        <v>5333</v>
      </c>
      <c r="AT262" s="1095" t="s">
        <v>5334</v>
      </c>
      <c r="AU262" s="8" t="s">
        <v>5335</v>
      </c>
      <c r="AV262" s="8" t="s">
        <v>5336</v>
      </c>
      <c r="AW262" s="8" t="s">
        <v>5337</v>
      </c>
      <c r="AX262" s="8" t="s">
        <v>5338</v>
      </c>
      <c r="AY262" s="8" t="s">
        <v>5339</v>
      </c>
      <c r="AZ262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R262" s="170"/>
      <c r="BS262" s="2465" t="str">
        <f t="shared" si="163"/>
        <v xml:space="preserve">  * La variable Gestantes No puede ser mayor al Total.</v>
      </c>
      <c r="BT262" s="2465" t="str">
        <f t="shared" si="147"/>
        <v xml:space="preserve">  * La variable Madre de hijo menor de 5 años No puede ser mayor al Total.</v>
      </c>
      <c r="BU262" s="2465" t="str">
        <f t="shared" si="148"/>
        <v xml:space="preserve">  * La variable Pueblos originarios Hombres No puede ser mayor al Total Hombres.</v>
      </c>
      <c r="BV262" s="2465" t="str">
        <f t="shared" si="149"/>
        <v xml:space="preserve">  * La variable Pueblos originarios Mujeres No puede ser mayor al Total Mujeres.</v>
      </c>
      <c r="BW262" s="2465" t="str">
        <f t="shared" si="150"/>
        <v xml:space="preserve">  * La variable Niños, niñas, adolescentes y jóvenes SENAME No puede ser mayor al Total.</v>
      </c>
      <c r="BX262" s="2465" t="str">
        <f t="shared" si="151"/>
        <v xml:space="preserve">  * La variable Niños, niñas, adolescentes y jóvenes Mejor Niñez No puede ser mayor al Total.</v>
      </c>
      <c r="BY262" s="2465" t="str">
        <f t="shared" si="152"/>
        <v xml:space="preserve">  * La variable Migrantes No puede ser mayor al Total.</v>
      </c>
      <c r="BZ262" s="2465" t="str">
        <f t="shared" si="153"/>
        <v xml:space="preserve">  * La variable Trans (Masculino/Femenino) No puede ser mayor al Total Ambos Sexos.</v>
      </c>
      <c r="CA262"/>
      <c r="CB262"/>
      <c r="CC262" s="1724">
        <f t="shared" si="154"/>
        <v>1</v>
      </c>
      <c r="CD262" s="1724">
        <f t="shared" si="155"/>
        <v>1</v>
      </c>
      <c r="CE262" s="1724">
        <f t="shared" si="156"/>
        <v>1</v>
      </c>
      <c r="CF262" s="1724">
        <f t="shared" si="157"/>
        <v>1</v>
      </c>
      <c r="CG262" s="1724">
        <f t="shared" si="158"/>
        <v>1</v>
      </c>
      <c r="CH262" s="1724">
        <f t="shared" si="159"/>
        <v>1</v>
      </c>
      <c r="CI262" s="1724">
        <f t="shared" si="160"/>
        <v>1</v>
      </c>
      <c r="CJ262" s="1724">
        <f t="shared" si="161"/>
        <v>1</v>
      </c>
    </row>
    <row r="263" spans="1:88" x14ac:dyDescent="0.3">
      <c r="A263" s="6233" t="s">
        <v>4462</v>
      </c>
      <c r="B263" s="6930"/>
      <c r="C263" s="2306" t="s">
        <v>2023</v>
      </c>
      <c r="D263" s="2267" t="s">
        <v>5292</v>
      </c>
      <c r="E263" s="2268" t="s">
        <v>5293</v>
      </c>
      <c r="F263" s="2269" t="s">
        <v>5294</v>
      </c>
      <c r="G263" s="1095" t="s">
        <v>5295</v>
      </c>
      <c r="H263" s="8" t="s">
        <v>5296</v>
      </c>
      <c r="I263" s="1095" t="s">
        <v>5297</v>
      </c>
      <c r="J263" s="8" t="s">
        <v>5298</v>
      </c>
      <c r="K263" s="1095" t="s">
        <v>5299</v>
      </c>
      <c r="L263" s="8" t="s">
        <v>5300</v>
      </c>
      <c r="M263" s="1095" t="s">
        <v>5301</v>
      </c>
      <c r="N263" s="8" t="s">
        <v>5302</v>
      </c>
      <c r="O263" s="1095" t="s">
        <v>5303</v>
      </c>
      <c r="P263" s="8" t="s">
        <v>5304</v>
      </c>
      <c r="Q263" s="1095" t="s">
        <v>5305</v>
      </c>
      <c r="R263" s="8" t="s">
        <v>5306</v>
      </c>
      <c r="S263" s="1095" t="s">
        <v>5307</v>
      </c>
      <c r="T263" s="8" t="s">
        <v>5308</v>
      </c>
      <c r="U263" s="1095" t="s">
        <v>5309</v>
      </c>
      <c r="V263" s="8" t="s">
        <v>5310</v>
      </c>
      <c r="W263" s="1095" t="s">
        <v>5311</v>
      </c>
      <c r="X263" s="8" t="s">
        <v>5312</v>
      </c>
      <c r="Y263" s="1095" t="s">
        <v>5313</v>
      </c>
      <c r="Z263" s="8" t="s">
        <v>5314</v>
      </c>
      <c r="AA263" s="1095" t="s">
        <v>5315</v>
      </c>
      <c r="AB263" s="8" t="s">
        <v>5316</v>
      </c>
      <c r="AC263" s="1095" t="s">
        <v>5317</v>
      </c>
      <c r="AD263" s="8" t="s">
        <v>5318</v>
      </c>
      <c r="AE263" s="1095" t="s">
        <v>5319</v>
      </c>
      <c r="AF263" s="8" t="s">
        <v>5320</v>
      </c>
      <c r="AG263" s="1095" t="s">
        <v>5321</v>
      </c>
      <c r="AH263" s="8" t="s">
        <v>5322</v>
      </c>
      <c r="AI263" s="1095" t="s">
        <v>5323</v>
      </c>
      <c r="AJ263" s="8" t="s">
        <v>5324</v>
      </c>
      <c r="AK263" s="1095" t="s">
        <v>5325</v>
      </c>
      <c r="AL263" s="8" t="s">
        <v>5326</v>
      </c>
      <c r="AM263" s="3" t="s">
        <v>5327</v>
      </c>
      <c r="AN263" s="5" t="s">
        <v>5328</v>
      </c>
      <c r="AO263" s="21" t="s">
        <v>5329</v>
      </c>
      <c r="AP263" s="5007" t="s">
        <v>5330</v>
      </c>
      <c r="AQ263" s="3949" t="s">
        <v>5331</v>
      </c>
      <c r="AR263" s="2760" t="s">
        <v>5332</v>
      </c>
      <c r="AS263" s="12" t="s">
        <v>5333</v>
      </c>
      <c r="AT263" s="1095" t="s">
        <v>5334</v>
      </c>
      <c r="AU263" s="8" t="s">
        <v>5335</v>
      </c>
      <c r="AV263" s="8" t="s">
        <v>5336</v>
      </c>
      <c r="AW263" s="8" t="s">
        <v>5337</v>
      </c>
      <c r="AX263" s="8" t="s">
        <v>5338</v>
      </c>
      <c r="AY263" s="8" t="s">
        <v>5339</v>
      </c>
      <c r="AZ263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R263" s="170"/>
      <c r="BS263" s="2465" t="str">
        <f t="shared" si="163"/>
        <v xml:space="preserve">  * La variable Gestantes No puede ser mayor al Total.</v>
      </c>
      <c r="BT263" s="2465" t="str">
        <f t="shared" si="147"/>
        <v xml:space="preserve">  * La variable Madre de hijo menor de 5 años No puede ser mayor al Total.</v>
      </c>
      <c r="BU263" s="2465" t="str">
        <f t="shared" si="148"/>
        <v xml:space="preserve">  * La variable Pueblos originarios Hombres No puede ser mayor al Total Hombres.</v>
      </c>
      <c r="BV263" s="2465" t="str">
        <f t="shared" si="149"/>
        <v xml:space="preserve">  * La variable Pueblos originarios Mujeres No puede ser mayor al Total Mujeres.</v>
      </c>
      <c r="BW263" s="2465" t="str">
        <f t="shared" si="150"/>
        <v xml:space="preserve">  * La variable Niños, niñas, adolescentes y jóvenes SENAME No puede ser mayor al Total.</v>
      </c>
      <c r="BX263" s="2465" t="str">
        <f t="shared" si="151"/>
        <v xml:space="preserve">  * La variable Niños, niñas, adolescentes y jóvenes Mejor Niñez No puede ser mayor al Total.</v>
      </c>
      <c r="BY263" s="2465" t="str">
        <f t="shared" si="152"/>
        <v xml:space="preserve">  * La variable Migrantes No puede ser mayor al Total.</v>
      </c>
      <c r="BZ263" s="2465" t="str">
        <f t="shared" si="153"/>
        <v xml:space="preserve">  * La variable Trans (Masculino/Femenino) No puede ser mayor al Total Ambos Sexos.</v>
      </c>
      <c r="CA263"/>
      <c r="CB263"/>
      <c r="CC263" s="1724">
        <f t="shared" si="154"/>
        <v>1</v>
      </c>
      <c r="CD263" s="1724">
        <f t="shared" si="155"/>
        <v>1</v>
      </c>
      <c r="CE263" s="1724">
        <f t="shared" si="156"/>
        <v>1</v>
      </c>
      <c r="CF263" s="1724">
        <f t="shared" si="157"/>
        <v>1</v>
      </c>
      <c r="CG263" s="1724">
        <f t="shared" si="158"/>
        <v>1</v>
      </c>
      <c r="CH263" s="1724">
        <f t="shared" si="159"/>
        <v>1</v>
      </c>
      <c r="CI263" s="1724">
        <f t="shared" si="160"/>
        <v>1</v>
      </c>
      <c r="CJ263" s="1724">
        <f t="shared" si="161"/>
        <v>1</v>
      </c>
    </row>
    <row r="264" spans="1:88" ht="15" customHeight="1" x14ac:dyDescent="0.3">
      <c r="A264" s="6233" t="s">
        <v>4463</v>
      </c>
      <c r="B264" s="6917" t="s">
        <v>2024</v>
      </c>
      <c r="C264" s="2286" t="s">
        <v>1020</v>
      </c>
      <c r="D264" s="2250" t="s">
        <v>5292</v>
      </c>
      <c r="E264" s="2251" t="s">
        <v>5293</v>
      </c>
      <c r="F264" s="2249" t="s">
        <v>5294</v>
      </c>
      <c r="G264" s="2120" t="s">
        <v>5295</v>
      </c>
      <c r="H264" s="2229" t="s">
        <v>5296</v>
      </c>
      <c r="I264" s="2120" t="s">
        <v>5297</v>
      </c>
      <c r="J264" s="2229" t="s">
        <v>5298</v>
      </c>
      <c r="K264" s="2120" t="s">
        <v>5299</v>
      </c>
      <c r="L264" s="2229" t="s">
        <v>5300</v>
      </c>
      <c r="M264" s="2120" t="s">
        <v>5301</v>
      </c>
      <c r="N264" s="2229" t="s">
        <v>5302</v>
      </c>
      <c r="O264" s="2120" t="s">
        <v>5303</v>
      </c>
      <c r="P264" s="2229" t="s">
        <v>5304</v>
      </c>
      <c r="Q264" s="2120" t="s">
        <v>5305</v>
      </c>
      <c r="R264" s="2229" t="s">
        <v>5306</v>
      </c>
      <c r="S264" s="2120" t="s">
        <v>5307</v>
      </c>
      <c r="T264" s="2229" t="s">
        <v>5308</v>
      </c>
      <c r="U264" s="2120" t="s">
        <v>5309</v>
      </c>
      <c r="V264" s="2229" t="s">
        <v>5310</v>
      </c>
      <c r="W264" s="2120" t="s">
        <v>5311</v>
      </c>
      <c r="X264" s="2229" t="s">
        <v>5312</v>
      </c>
      <c r="Y264" s="2120" t="s">
        <v>5313</v>
      </c>
      <c r="Z264" s="2229" t="s">
        <v>5314</v>
      </c>
      <c r="AA264" s="2120" t="s">
        <v>5315</v>
      </c>
      <c r="AB264" s="2229" t="s">
        <v>5316</v>
      </c>
      <c r="AC264" s="2120" t="s">
        <v>5317</v>
      </c>
      <c r="AD264" s="2229" t="s">
        <v>5318</v>
      </c>
      <c r="AE264" s="2120" t="s">
        <v>5319</v>
      </c>
      <c r="AF264" s="2229" t="s">
        <v>5320</v>
      </c>
      <c r="AG264" s="2120" t="s">
        <v>5321</v>
      </c>
      <c r="AH264" s="2229" t="s">
        <v>5322</v>
      </c>
      <c r="AI264" s="2120" t="s">
        <v>5323</v>
      </c>
      <c r="AJ264" s="2229" t="s">
        <v>5324</v>
      </c>
      <c r="AK264" s="2120" t="s">
        <v>5325</v>
      </c>
      <c r="AL264" s="2229" t="s">
        <v>5326</v>
      </c>
      <c r="AM264" s="2120" t="s">
        <v>5327</v>
      </c>
      <c r="AN264" s="2230" t="s">
        <v>5328</v>
      </c>
      <c r="AO264" s="5715" t="s">
        <v>5329</v>
      </c>
      <c r="AP264" s="1102" t="s">
        <v>5330</v>
      </c>
      <c r="AQ264" s="2113" t="s">
        <v>5331</v>
      </c>
      <c r="AR264" s="5701" t="s">
        <v>5332</v>
      </c>
      <c r="AS264" s="2308" t="s">
        <v>5333</v>
      </c>
      <c r="AT264" s="2120" t="s">
        <v>5334</v>
      </c>
      <c r="AU264" s="2229" t="s">
        <v>5335</v>
      </c>
      <c r="AV264" s="2229" t="s">
        <v>5336</v>
      </c>
      <c r="AW264" s="2229" t="s">
        <v>5337</v>
      </c>
      <c r="AX264" s="2229" t="s">
        <v>5338</v>
      </c>
      <c r="AY264" s="2229" t="s">
        <v>5339</v>
      </c>
      <c r="AZ264" s="17" t="str">
        <f t="shared" si="162"/>
        <v xml:space="preserve">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R264" s="170"/>
      <c r="BS264" s="2466"/>
      <c r="BT264" s="2466"/>
      <c r="BU264" s="2465" t="str">
        <f t="shared" si="148"/>
        <v xml:space="preserve">  * La variable Pueblos originarios Hombres No puede ser mayor al Total Hombres.</v>
      </c>
      <c r="BV264" s="2465" t="str">
        <f t="shared" si="149"/>
        <v xml:space="preserve">  * La variable Pueblos originarios Mujeres No puede ser mayor al Total Mujeres.</v>
      </c>
      <c r="BW264" s="2465" t="str">
        <f t="shared" si="150"/>
        <v xml:space="preserve">  * La variable Niños, niñas, adolescentes y jóvenes SENAME No puede ser mayor al Total.</v>
      </c>
      <c r="BX264" s="2465" t="str">
        <f t="shared" si="151"/>
        <v xml:space="preserve">  * La variable Niños, niñas, adolescentes y jóvenes Mejor Niñez No puede ser mayor al Total.</v>
      </c>
      <c r="BY264" s="2465" t="str">
        <f t="shared" si="152"/>
        <v xml:space="preserve">  * La variable Migrantes No puede ser mayor al Total.</v>
      </c>
      <c r="BZ264" s="2465" t="str">
        <f t="shared" si="153"/>
        <v xml:space="preserve">  * La variable Trans (Masculino/Femenino) No puede ser mayor al Total Ambos Sexos.</v>
      </c>
      <c r="CA264"/>
      <c r="CB264"/>
      <c r="CC264" s="1722"/>
      <c r="CD264" s="1722"/>
      <c r="CE264" s="1724">
        <f t="shared" si="156"/>
        <v>1</v>
      </c>
      <c r="CF264" s="1724">
        <f t="shared" si="157"/>
        <v>1</v>
      </c>
      <c r="CG264" s="1724">
        <f t="shared" si="158"/>
        <v>1</v>
      </c>
      <c r="CH264" s="1724">
        <f t="shared" si="159"/>
        <v>1</v>
      </c>
      <c r="CI264" s="1724">
        <f t="shared" si="160"/>
        <v>1</v>
      </c>
      <c r="CJ264" s="1724">
        <f t="shared" si="161"/>
        <v>1</v>
      </c>
    </row>
    <row r="265" spans="1:88" x14ac:dyDescent="0.3">
      <c r="A265" s="6233" t="s">
        <v>4464</v>
      </c>
      <c r="B265" s="6899"/>
      <c r="C265" s="2280" t="s">
        <v>1021</v>
      </c>
      <c r="D265" s="2275" t="s">
        <v>5292</v>
      </c>
      <c r="E265" s="2276" t="s">
        <v>5293</v>
      </c>
      <c r="F265" s="2274" t="s">
        <v>5294</v>
      </c>
      <c r="G265" s="2112" t="s">
        <v>5295</v>
      </c>
      <c r="H265" s="1089" t="s">
        <v>5296</v>
      </c>
      <c r="I265" s="2112" t="s">
        <v>5297</v>
      </c>
      <c r="J265" s="1089" t="s">
        <v>5298</v>
      </c>
      <c r="K265" s="2112" t="s">
        <v>5299</v>
      </c>
      <c r="L265" s="1089" t="s">
        <v>5300</v>
      </c>
      <c r="M265" s="2112" t="s">
        <v>5301</v>
      </c>
      <c r="N265" s="1089" t="s">
        <v>5302</v>
      </c>
      <c r="O265" s="2112" t="s">
        <v>5303</v>
      </c>
      <c r="P265" s="1089" t="s">
        <v>5304</v>
      </c>
      <c r="Q265" s="2112" t="s">
        <v>5305</v>
      </c>
      <c r="R265" s="1089" t="s">
        <v>5306</v>
      </c>
      <c r="S265" s="2112" t="s">
        <v>5307</v>
      </c>
      <c r="T265" s="1089" t="s">
        <v>5308</v>
      </c>
      <c r="U265" s="2112" t="s">
        <v>5309</v>
      </c>
      <c r="V265" s="1089" t="s">
        <v>5310</v>
      </c>
      <c r="W265" s="2112" t="s">
        <v>5311</v>
      </c>
      <c r="X265" s="1089" t="s">
        <v>5312</v>
      </c>
      <c r="Y265" s="2112" t="s">
        <v>5313</v>
      </c>
      <c r="Z265" s="1089" t="s">
        <v>5314</v>
      </c>
      <c r="AA265" s="2112" t="s">
        <v>5315</v>
      </c>
      <c r="AB265" s="1089" t="s">
        <v>5316</v>
      </c>
      <c r="AC265" s="2112" t="s">
        <v>5317</v>
      </c>
      <c r="AD265" s="1089" t="s">
        <v>5318</v>
      </c>
      <c r="AE265" s="2112" t="s">
        <v>5319</v>
      </c>
      <c r="AF265" s="1089" t="s">
        <v>5320</v>
      </c>
      <c r="AG265" s="2112" t="s">
        <v>5321</v>
      </c>
      <c r="AH265" s="1089" t="s">
        <v>5322</v>
      </c>
      <c r="AI265" s="2112" t="s">
        <v>5323</v>
      </c>
      <c r="AJ265" s="1089" t="s">
        <v>5324</v>
      </c>
      <c r="AK265" s="2112" t="s">
        <v>5325</v>
      </c>
      <c r="AL265" s="1089" t="s">
        <v>5326</v>
      </c>
      <c r="AM265" s="2112" t="s">
        <v>5327</v>
      </c>
      <c r="AN265" s="2239" t="s">
        <v>5328</v>
      </c>
      <c r="AO265" s="5715" t="s">
        <v>5329</v>
      </c>
      <c r="AP265" s="1102" t="s">
        <v>5330</v>
      </c>
      <c r="AQ265" s="2113" t="s">
        <v>5331</v>
      </c>
      <c r="AR265" s="2296" t="s">
        <v>5332</v>
      </c>
      <c r="AS265" s="2310" t="s">
        <v>5333</v>
      </c>
      <c r="AT265" s="2112" t="s">
        <v>5334</v>
      </c>
      <c r="AU265" s="1089" t="s">
        <v>5335</v>
      </c>
      <c r="AV265" s="1089" t="s">
        <v>5336</v>
      </c>
      <c r="AW265" s="1089" t="s">
        <v>5337</v>
      </c>
      <c r="AX265" s="1089" t="s">
        <v>5338</v>
      </c>
      <c r="AY265" s="1089" t="s">
        <v>5339</v>
      </c>
      <c r="AZ265" s="17" t="str">
        <f t="shared" si="162"/>
        <v xml:space="preserve">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R265" s="170"/>
      <c r="BS265" s="2466"/>
      <c r="BT265" s="2466"/>
      <c r="BU265" s="2465" t="str">
        <f t="shared" si="148"/>
        <v xml:space="preserve">  * La variable Pueblos originarios Hombres No puede ser mayor al Total Hombres.</v>
      </c>
      <c r="BV265" s="2465" t="str">
        <f t="shared" si="149"/>
        <v xml:space="preserve">  * La variable Pueblos originarios Mujeres No puede ser mayor al Total Mujeres.</v>
      </c>
      <c r="BW265" s="2465" t="str">
        <f t="shared" si="150"/>
        <v xml:space="preserve">  * La variable Niños, niñas, adolescentes y jóvenes SENAME No puede ser mayor al Total.</v>
      </c>
      <c r="BX265" s="2465" t="str">
        <f t="shared" si="151"/>
        <v xml:space="preserve">  * La variable Niños, niñas, adolescentes y jóvenes Mejor Niñez No puede ser mayor al Total.</v>
      </c>
      <c r="BY265" s="2465" t="str">
        <f t="shared" si="152"/>
        <v xml:space="preserve">  * La variable Migrantes No puede ser mayor al Total.</v>
      </c>
      <c r="BZ265" s="2465" t="str">
        <f t="shared" si="153"/>
        <v xml:space="preserve">  * La variable Trans (Masculino/Femenino) No puede ser mayor al Total Ambos Sexos.</v>
      </c>
      <c r="CA265"/>
      <c r="CB265"/>
      <c r="CC265" s="1722"/>
      <c r="CD265" s="1722"/>
      <c r="CE265" s="1724">
        <f t="shared" si="156"/>
        <v>1</v>
      </c>
      <c r="CF265" s="1724">
        <f t="shared" si="157"/>
        <v>1</v>
      </c>
      <c r="CG265" s="1724">
        <f t="shared" si="158"/>
        <v>1</v>
      </c>
      <c r="CH265" s="1724">
        <f t="shared" si="159"/>
        <v>1</v>
      </c>
      <c r="CI265" s="1724">
        <f t="shared" si="160"/>
        <v>1</v>
      </c>
      <c r="CJ265" s="1724">
        <f t="shared" si="161"/>
        <v>1</v>
      </c>
    </row>
    <row r="266" spans="1:88" x14ac:dyDescent="0.3">
      <c r="A266" s="6233" t="s">
        <v>4465</v>
      </c>
      <c r="B266" s="6908"/>
      <c r="C266" s="2311" t="s">
        <v>43</v>
      </c>
      <c r="D266" s="2253" t="s">
        <v>5292</v>
      </c>
      <c r="E266" s="2254" t="s">
        <v>5293</v>
      </c>
      <c r="F266" s="2255" t="s">
        <v>5294</v>
      </c>
      <c r="G266" s="2152" t="s">
        <v>5295</v>
      </c>
      <c r="H266" s="2212" t="s">
        <v>5296</v>
      </c>
      <c r="I266" s="2152" t="s">
        <v>5297</v>
      </c>
      <c r="J266" s="2212" t="s">
        <v>5298</v>
      </c>
      <c r="K266" s="2152" t="s">
        <v>5299</v>
      </c>
      <c r="L266" s="2212" t="s">
        <v>5300</v>
      </c>
      <c r="M266" s="2152" t="s">
        <v>5301</v>
      </c>
      <c r="N266" s="2212" t="s">
        <v>5302</v>
      </c>
      <c r="O266" s="2152" t="s">
        <v>5303</v>
      </c>
      <c r="P266" s="2212" t="s">
        <v>5304</v>
      </c>
      <c r="Q266" s="2152" t="s">
        <v>5305</v>
      </c>
      <c r="R266" s="2212" t="s">
        <v>5306</v>
      </c>
      <c r="S266" s="2152" t="s">
        <v>5307</v>
      </c>
      <c r="T266" s="2212" t="s">
        <v>5308</v>
      </c>
      <c r="U266" s="2152" t="s">
        <v>5309</v>
      </c>
      <c r="V266" s="2212" t="s">
        <v>5310</v>
      </c>
      <c r="W266" s="2152" t="s">
        <v>5311</v>
      </c>
      <c r="X266" s="2212" t="s">
        <v>5312</v>
      </c>
      <c r="Y266" s="2152" t="s">
        <v>5313</v>
      </c>
      <c r="Z266" s="2212" t="s">
        <v>5314</v>
      </c>
      <c r="AA266" s="2152" t="s">
        <v>5315</v>
      </c>
      <c r="AB266" s="2212" t="s">
        <v>5316</v>
      </c>
      <c r="AC266" s="2152" t="s">
        <v>5317</v>
      </c>
      <c r="AD266" s="2212" t="s">
        <v>5318</v>
      </c>
      <c r="AE266" s="2152" t="s">
        <v>5319</v>
      </c>
      <c r="AF266" s="2212" t="s">
        <v>5320</v>
      </c>
      <c r="AG266" s="2152" t="s">
        <v>5321</v>
      </c>
      <c r="AH266" s="2212" t="s">
        <v>5322</v>
      </c>
      <c r="AI266" s="2152" t="s">
        <v>5323</v>
      </c>
      <c r="AJ266" s="2212" t="s">
        <v>5324</v>
      </c>
      <c r="AK266" s="2152" t="s">
        <v>5325</v>
      </c>
      <c r="AL266" s="2212" t="s">
        <v>5326</v>
      </c>
      <c r="AM266" s="2152" t="s">
        <v>5327</v>
      </c>
      <c r="AN266" s="2256" t="s">
        <v>5328</v>
      </c>
      <c r="AO266" s="5706" t="s">
        <v>5329</v>
      </c>
      <c r="AP266" s="5707" t="s">
        <v>5330</v>
      </c>
      <c r="AQ266" s="5714" t="s">
        <v>5331</v>
      </c>
      <c r="AR266" s="5702" t="s">
        <v>5332</v>
      </c>
      <c r="AS266" s="2313" t="s">
        <v>5333</v>
      </c>
      <c r="AT266" s="2152" t="s">
        <v>5334</v>
      </c>
      <c r="AU266" s="2212" t="s">
        <v>5335</v>
      </c>
      <c r="AV266" s="2212" t="s">
        <v>5336</v>
      </c>
      <c r="AW266" s="2212" t="s">
        <v>5337</v>
      </c>
      <c r="AX266" s="2212" t="s">
        <v>5338</v>
      </c>
      <c r="AY266" s="2212" t="s">
        <v>5339</v>
      </c>
      <c r="AZ266" s="17" t="str">
        <f t="shared" si="162"/>
        <v xml:space="preserve">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R266" s="170"/>
      <c r="BS266" s="2466"/>
      <c r="BT266" s="2466"/>
      <c r="BU266" s="2465" t="str">
        <f t="shared" si="148"/>
        <v xml:space="preserve">  * La variable Pueblos originarios Hombres No puede ser mayor al Total Hombres.</v>
      </c>
      <c r="BV266" s="2465" t="str">
        <f t="shared" si="149"/>
        <v xml:space="preserve">  * La variable Pueblos originarios Mujeres No puede ser mayor al Total Mujeres.</v>
      </c>
      <c r="BW266" s="2465" t="str">
        <f t="shared" si="150"/>
        <v xml:space="preserve">  * La variable Niños, niñas, adolescentes y jóvenes SENAME No puede ser mayor al Total.</v>
      </c>
      <c r="BX266" s="2465" t="str">
        <f t="shared" si="151"/>
        <v xml:space="preserve">  * La variable Niños, niñas, adolescentes y jóvenes Mejor Niñez No puede ser mayor al Total.</v>
      </c>
      <c r="BY266" s="2465" t="str">
        <f t="shared" si="152"/>
        <v xml:space="preserve">  * La variable Migrantes No puede ser mayor al Total.</v>
      </c>
      <c r="BZ266" s="2465" t="str">
        <f t="shared" si="153"/>
        <v xml:space="preserve">  * La variable Trans (Masculino/Femenino) No puede ser mayor al Total Ambos Sexos.</v>
      </c>
      <c r="CA266"/>
      <c r="CB266"/>
      <c r="CC266" s="1722"/>
      <c r="CD266" s="1722"/>
      <c r="CE266" s="1724">
        <f t="shared" si="156"/>
        <v>1</v>
      </c>
      <c r="CF266" s="1724">
        <f t="shared" si="157"/>
        <v>1</v>
      </c>
      <c r="CG266" s="1724">
        <f t="shared" si="158"/>
        <v>1</v>
      </c>
      <c r="CH266" s="1724">
        <f t="shared" si="159"/>
        <v>1</v>
      </c>
      <c r="CI266" s="1724">
        <f t="shared" si="160"/>
        <v>1</v>
      </c>
      <c r="CJ266" s="1724">
        <f t="shared" si="161"/>
        <v>1</v>
      </c>
    </row>
    <row r="267" spans="1:88" x14ac:dyDescent="0.3">
      <c r="A267" s="6233" t="s">
        <v>4466</v>
      </c>
      <c r="B267" s="6943" t="s">
        <v>2025</v>
      </c>
      <c r="C267" s="6944"/>
      <c r="D267" s="2250" t="s">
        <v>5292</v>
      </c>
      <c r="E267" s="2251" t="s">
        <v>5293</v>
      </c>
      <c r="F267" s="2249" t="s">
        <v>5294</v>
      </c>
      <c r="G267" s="2120" t="s">
        <v>5295</v>
      </c>
      <c r="H267" s="2229" t="s">
        <v>5296</v>
      </c>
      <c r="I267" s="2120" t="s">
        <v>5297</v>
      </c>
      <c r="J267" s="2229" t="s">
        <v>5298</v>
      </c>
      <c r="K267" s="2120" t="s">
        <v>5299</v>
      </c>
      <c r="L267" s="2229" t="s">
        <v>5300</v>
      </c>
      <c r="M267" s="2120" t="s">
        <v>5301</v>
      </c>
      <c r="N267" s="2229" t="s">
        <v>5302</v>
      </c>
      <c r="O267" s="2120" t="s">
        <v>5303</v>
      </c>
      <c r="P267" s="2229" t="s">
        <v>5304</v>
      </c>
      <c r="Q267" s="2120" t="s">
        <v>5305</v>
      </c>
      <c r="R267" s="2229" t="s">
        <v>5306</v>
      </c>
      <c r="S267" s="2120" t="s">
        <v>5307</v>
      </c>
      <c r="T267" s="2229" t="s">
        <v>5308</v>
      </c>
      <c r="U267" s="2120" t="s">
        <v>5309</v>
      </c>
      <c r="V267" s="2229" t="s">
        <v>5310</v>
      </c>
      <c r="W267" s="2120" t="s">
        <v>5311</v>
      </c>
      <c r="X267" s="2229" t="s">
        <v>5312</v>
      </c>
      <c r="Y267" s="2120" t="s">
        <v>5313</v>
      </c>
      <c r="Z267" s="2229" t="s">
        <v>5314</v>
      </c>
      <c r="AA267" s="2120" t="s">
        <v>5315</v>
      </c>
      <c r="AB267" s="2229" t="s">
        <v>5316</v>
      </c>
      <c r="AC267" s="2120" t="s">
        <v>5317</v>
      </c>
      <c r="AD267" s="2229" t="s">
        <v>5318</v>
      </c>
      <c r="AE267" s="2120" t="s">
        <v>5319</v>
      </c>
      <c r="AF267" s="2229" t="s">
        <v>5320</v>
      </c>
      <c r="AG267" s="2120" t="s">
        <v>5321</v>
      </c>
      <c r="AH267" s="2229" t="s">
        <v>5322</v>
      </c>
      <c r="AI267" s="2120" t="s">
        <v>5323</v>
      </c>
      <c r="AJ267" s="2229" t="s">
        <v>5324</v>
      </c>
      <c r="AK267" s="2120" t="s">
        <v>5325</v>
      </c>
      <c r="AL267" s="2229" t="s">
        <v>5326</v>
      </c>
      <c r="AM267" s="2120" t="s">
        <v>5327</v>
      </c>
      <c r="AN267" s="2230" t="s">
        <v>5328</v>
      </c>
      <c r="AO267" s="5709" t="s">
        <v>5329</v>
      </c>
      <c r="AP267" s="5710" t="s">
        <v>5330</v>
      </c>
      <c r="AQ267" s="5711" t="s">
        <v>5331</v>
      </c>
      <c r="AR267" s="5700" t="s">
        <v>5332</v>
      </c>
      <c r="AS267" s="2229" t="s">
        <v>5333</v>
      </c>
      <c r="AT267" s="2120" t="s">
        <v>5334</v>
      </c>
      <c r="AU267" s="2229" t="s">
        <v>5335</v>
      </c>
      <c r="AV267" s="2229" t="s">
        <v>5336</v>
      </c>
      <c r="AW267" s="2229" t="s">
        <v>5337</v>
      </c>
      <c r="AX267" s="2229" t="s">
        <v>5338</v>
      </c>
      <c r="AY267" s="2229" t="s">
        <v>5339</v>
      </c>
      <c r="AZ267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R267" s="170"/>
      <c r="BS267" s="2465" t="str">
        <f t="shared" si="163"/>
        <v xml:space="preserve">  * La variable Gestantes No puede ser mayor al Total.</v>
      </c>
      <c r="BT267" s="2465" t="str">
        <f t="shared" si="147"/>
        <v xml:space="preserve">  * La variable Madre de hijo menor de 5 años No puede ser mayor al Total.</v>
      </c>
      <c r="BU267" s="2465" t="str">
        <f t="shared" si="148"/>
        <v xml:space="preserve">  * La variable Pueblos originarios Hombres No puede ser mayor al Total Hombres.</v>
      </c>
      <c r="BV267" s="2465" t="str">
        <f t="shared" si="149"/>
        <v xml:space="preserve">  * La variable Pueblos originarios Mujeres No puede ser mayor al Total Mujeres.</v>
      </c>
      <c r="BW267" s="2465" t="str">
        <f t="shared" si="150"/>
        <v xml:space="preserve">  * La variable Niños, niñas, adolescentes y jóvenes SENAME No puede ser mayor al Total.</v>
      </c>
      <c r="BX267" s="2465" t="str">
        <f t="shared" si="151"/>
        <v xml:space="preserve">  * La variable Niños, niñas, adolescentes y jóvenes Mejor Niñez No puede ser mayor al Total.</v>
      </c>
      <c r="BY267" s="2465" t="str">
        <f t="shared" si="152"/>
        <v xml:space="preserve">  * La variable Migrantes No puede ser mayor al Total.</v>
      </c>
      <c r="BZ267" s="2465" t="str">
        <f t="shared" si="153"/>
        <v xml:space="preserve">  * La variable Trans (Masculino/Femenino) No puede ser mayor al Total Ambos Sexos.</v>
      </c>
      <c r="CA267"/>
      <c r="CB267"/>
      <c r="CC267" s="1724">
        <f t="shared" si="154"/>
        <v>1</v>
      </c>
      <c r="CD267" s="1724">
        <f t="shared" si="155"/>
        <v>1</v>
      </c>
      <c r="CE267" s="1724">
        <f t="shared" si="156"/>
        <v>1</v>
      </c>
      <c r="CF267" s="1724">
        <f t="shared" si="157"/>
        <v>1</v>
      </c>
      <c r="CG267" s="1724">
        <f t="shared" si="158"/>
        <v>1</v>
      </c>
      <c r="CH267" s="1724">
        <f t="shared" si="159"/>
        <v>1</v>
      </c>
      <c r="CI267" s="1724">
        <f t="shared" si="160"/>
        <v>1</v>
      </c>
      <c r="CJ267" s="1724">
        <f t="shared" si="161"/>
        <v>1</v>
      </c>
    </row>
    <row r="268" spans="1:88" x14ac:dyDescent="0.3">
      <c r="A268" s="6233" t="s">
        <v>4467</v>
      </c>
      <c r="B268" s="6945" t="s">
        <v>2026</v>
      </c>
      <c r="C268" s="6946"/>
      <c r="D268" s="2277" t="s">
        <v>5292</v>
      </c>
      <c r="E268" s="2278" t="s">
        <v>5293</v>
      </c>
      <c r="F268" s="1" t="s">
        <v>5294</v>
      </c>
      <c r="G268" s="2112" t="s">
        <v>5295</v>
      </c>
      <c r="H268" s="1089" t="s">
        <v>5296</v>
      </c>
      <c r="I268" s="2112" t="s">
        <v>5297</v>
      </c>
      <c r="J268" s="1089" t="s">
        <v>5298</v>
      </c>
      <c r="K268" s="2112" t="s">
        <v>5299</v>
      </c>
      <c r="L268" s="1089" t="s">
        <v>5300</v>
      </c>
      <c r="M268" s="2112" t="s">
        <v>5301</v>
      </c>
      <c r="N268" s="1089" t="s">
        <v>5302</v>
      </c>
      <c r="O268" s="2112" t="s">
        <v>5303</v>
      </c>
      <c r="P268" s="1089" t="s">
        <v>5304</v>
      </c>
      <c r="Q268" s="2112" t="s">
        <v>5305</v>
      </c>
      <c r="R268" s="1089" t="s">
        <v>5306</v>
      </c>
      <c r="S268" s="2112" t="s">
        <v>5307</v>
      </c>
      <c r="T268" s="1089" t="s">
        <v>5308</v>
      </c>
      <c r="U268" s="2112" t="s">
        <v>5309</v>
      </c>
      <c r="V268" s="1089" t="s">
        <v>5310</v>
      </c>
      <c r="W268" s="2112" t="s">
        <v>5311</v>
      </c>
      <c r="X268" s="1089" t="s">
        <v>5312</v>
      </c>
      <c r="Y268" s="2112" t="s">
        <v>5313</v>
      </c>
      <c r="Z268" s="1089" t="s">
        <v>5314</v>
      </c>
      <c r="AA268" s="2112" t="s">
        <v>5315</v>
      </c>
      <c r="AB268" s="1089" t="s">
        <v>5316</v>
      </c>
      <c r="AC268" s="2112" t="s">
        <v>5317</v>
      </c>
      <c r="AD268" s="1089" t="s">
        <v>5318</v>
      </c>
      <c r="AE268" s="2112" t="s">
        <v>5319</v>
      </c>
      <c r="AF268" s="1089" t="s">
        <v>5320</v>
      </c>
      <c r="AG268" s="2112" t="s">
        <v>5321</v>
      </c>
      <c r="AH268" s="1089" t="s">
        <v>5322</v>
      </c>
      <c r="AI268" s="2112" t="s">
        <v>5323</v>
      </c>
      <c r="AJ268" s="1089" t="s">
        <v>5324</v>
      </c>
      <c r="AK268" s="2112" t="s">
        <v>5325</v>
      </c>
      <c r="AL268" s="1089" t="s">
        <v>5326</v>
      </c>
      <c r="AM268" s="2112" t="s">
        <v>5327</v>
      </c>
      <c r="AN268" s="2239" t="s">
        <v>5328</v>
      </c>
      <c r="AO268" s="5715" t="s">
        <v>5329</v>
      </c>
      <c r="AP268" s="1102" t="s">
        <v>5330</v>
      </c>
      <c r="AQ268" s="2113" t="s">
        <v>5331</v>
      </c>
      <c r="AR268" s="4407" t="s">
        <v>5332</v>
      </c>
      <c r="AS268" s="1089" t="s">
        <v>5333</v>
      </c>
      <c r="AT268" s="2112" t="s">
        <v>5334</v>
      </c>
      <c r="AU268" s="1089" t="s">
        <v>5335</v>
      </c>
      <c r="AV268" s="1089" t="s">
        <v>5336</v>
      </c>
      <c r="AW268" s="1089" t="s">
        <v>5337</v>
      </c>
      <c r="AX268" s="1089" t="s">
        <v>5338</v>
      </c>
      <c r="AY268" s="1089" t="s">
        <v>5339</v>
      </c>
      <c r="AZ268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R268" s="170"/>
      <c r="BS268" s="2465" t="str">
        <f t="shared" si="163"/>
        <v xml:space="preserve">  * La variable Gestantes No puede ser mayor al Total.</v>
      </c>
      <c r="BT268" s="2465" t="str">
        <f t="shared" si="147"/>
        <v xml:space="preserve">  * La variable Madre de hijo menor de 5 años No puede ser mayor al Total.</v>
      </c>
      <c r="BU268" s="2465" t="str">
        <f t="shared" si="148"/>
        <v xml:space="preserve">  * La variable Pueblos originarios Hombres No puede ser mayor al Total Hombres.</v>
      </c>
      <c r="BV268" s="2465" t="str">
        <f t="shared" si="149"/>
        <v xml:space="preserve">  * La variable Pueblos originarios Mujeres No puede ser mayor al Total Mujeres.</v>
      </c>
      <c r="BW268" s="2465" t="str">
        <f t="shared" si="150"/>
        <v xml:space="preserve">  * La variable Niños, niñas, adolescentes y jóvenes SENAME No puede ser mayor al Total.</v>
      </c>
      <c r="BX268" s="2465" t="str">
        <f t="shared" si="151"/>
        <v xml:space="preserve">  * La variable Niños, niñas, adolescentes y jóvenes Mejor Niñez No puede ser mayor al Total.</v>
      </c>
      <c r="BY268" s="2465" t="str">
        <f t="shared" si="152"/>
        <v xml:space="preserve">  * La variable Migrantes No puede ser mayor al Total.</v>
      </c>
      <c r="BZ268" s="2465" t="str">
        <f t="shared" si="153"/>
        <v xml:space="preserve">  * La variable Trans (Masculino/Femenino) No puede ser mayor al Total Ambos Sexos.</v>
      </c>
      <c r="CA268"/>
      <c r="CB268"/>
      <c r="CC268" s="1724">
        <f t="shared" si="154"/>
        <v>1</v>
      </c>
      <c r="CD268" s="1724">
        <f t="shared" si="155"/>
        <v>1</v>
      </c>
      <c r="CE268" s="1724">
        <f t="shared" si="156"/>
        <v>1</v>
      </c>
      <c r="CF268" s="1724">
        <f t="shared" si="157"/>
        <v>1</v>
      </c>
      <c r="CG268" s="1724">
        <f t="shared" si="158"/>
        <v>1</v>
      </c>
      <c r="CH268" s="1724">
        <f t="shared" si="159"/>
        <v>1</v>
      </c>
      <c r="CI268" s="1724">
        <f t="shared" si="160"/>
        <v>1</v>
      </c>
      <c r="CJ268" s="1724">
        <f t="shared" si="161"/>
        <v>1</v>
      </c>
    </row>
    <row r="269" spans="1:88" ht="15" customHeight="1" x14ac:dyDescent="0.3">
      <c r="A269" s="6233" t="s">
        <v>4468</v>
      </c>
      <c r="B269" s="6820" t="s">
        <v>2027</v>
      </c>
      <c r="C269" s="6821"/>
      <c r="D269" s="2277" t="s">
        <v>5292</v>
      </c>
      <c r="E269" s="2278" t="s">
        <v>5293</v>
      </c>
      <c r="F269" s="1" t="s">
        <v>5294</v>
      </c>
      <c r="G269" s="1095" t="s">
        <v>5295</v>
      </c>
      <c r="H269" s="8" t="s">
        <v>5296</v>
      </c>
      <c r="I269" s="1095" t="s">
        <v>5297</v>
      </c>
      <c r="J269" s="8" t="s">
        <v>5298</v>
      </c>
      <c r="K269" s="1095" t="s">
        <v>5299</v>
      </c>
      <c r="L269" s="8" t="s">
        <v>5300</v>
      </c>
      <c r="M269" s="1095" t="s">
        <v>5301</v>
      </c>
      <c r="N269" s="8" t="s">
        <v>5302</v>
      </c>
      <c r="O269" s="1095" t="s">
        <v>5303</v>
      </c>
      <c r="P269" s="8" t="s">
        <v>5304</v>
      </c>
      <c r="Q269" s="1095" t="s">
        <v>5305</v>
      </c>
      <c r="R269" s="8" t="s">
        <v>5306</v>
      </c>
      <c r="S269" s="1095" t="s">
        <v>5307</v>
      </c>
      <c r="T269" s="8" t="s">
        <v>5308</v>
      </c>
      <c r="U269" s="1095" t="s">
        <v>5309</v>
      </c>
      <c r="V269" s="8" t="s">
        <v>5310</v>
      </c>
      <c r="W269" s="1095" t="s">
        <v>5311</v>
      </c>
      <c r="X269" s="8" t="s">
        <v>5312</v>
      </c>
      <c r="Y269" s="1095" t="s">
        <v>5313</v>
      </c>
      <c r="Z269" s="8" t="s">
        <v>5314</v>
      </c>
      <c r="AA269" s="1095" t="s">
        <v>5315</v>
      </c>
      <c r="AB269" s="8" t="s">
        <v>5316</v>
      </c>
      <c r="AC269" s="1095" t="s">
        <v>5317</v>
      </c>
      <c r="AD269" s="8" t="s">
        <v>5318</v>
      </c>
      <c r="AE269" s="1095" t="s">
        <v>5319</v>
      </c>
      <c r="AF269" s="8" t="s">
        <v>5320</v>
      </c>
      <c r="AG269" s="1095" t="s">
        <v>5321</v>
      </c>
      <c r="AH269" s="8" t="s">
        <v>5322</v>
      </c>
      <c r="AI269" s="1095" t="s">
        <v>5323</v>
      </c>
      <c r="AJ269" s="8" t="s">
        <v>5324</v>
      </c>
      <c r="AK269" s="1095" t="s">
        <v>5325</v>
      </c>
      <c r="AL269" s="8" t="s">
        <v>5326</v>
      </c>
      <c r="AM269" s="1095" t="s">
        <v>5327</v>
      </c>
      <c r="AN269" s="1697" t="s">
        <v>5328</v>
      </c>
      <c r="AO269" s="5715" t="s">
        <v>5329</v>
      </c>
      <c r="AP269" s="1102" t="s">
        <v>5330</v>
      </c>
      <c r="AQ269" s="2113" t="s">
        <v>5331</v>
      </c>
      <c r="AR269" s="3930" t="s">
        <v>5332</v>
      </c>
      <c r="AS269" s="1092" t="s">
        <v>5333</v>
      </c>
      <c r="AT269" s="1095" t="s">
        <v>5334</v>
      </c>
      <c r="AU269" s="8" t="s">
        <v>5335</v>
      </c>
      <c r="AV269" s="8" t="s">
        <v>5336</v>
      </c>
      <c r="AW269" s="8" t="s">
        <v>5337</v>
      </c>
      <c r="AX269" s="8" t="s">
        <v>5338</v>
      </c>
      <c r="AY269" s="8" t="s">
        <v>5339</v>
      </c>
      <c r="AZ269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R269" s="170"/>
      <c r="BS269" s="2465" t="str">
        <f t="shared" si="163"/>
        <v xml:space="preserve">  * La variable Gestantes No puede ser mayor al Total.</v>
      </c>
      <c r="BT269" s="2465" t="str">
        <f t="shared" si="147"/>
        <v xml:space="preserve">  * La variable Madre de hijo menor de 5 años No puede ser mayor al Total.</v>
      </c>
      <c r="BU269" s="2465" t="str">
        <f t="shared" si="148"/>
        <v xml:space="preserve">  * La variable Pueblos originarios Hombres No puede ser mayor al Total Hombres.</v>
      </c>
      <c r="BV269" s="2465" t="str">
        <f t="shared" si="149"/>
        <v xml:space="preserve">  * La variable Pueblos originarios Mujeres No puede ser mayor al Total Mujeres.</v>
      </c>
      <c r="BW269" s="2465" t="str">
        <f t="shared" si="150"/>
        <v xml:space="preserve">  * La variable Niños, niñas, adolescentes y jóvenes SENAME No puede ser mayor al Total.</v>
      </c>
      <c r="BX269" s="2465" t="str">
        <f t="shared" si="151"/>
        <v xml:space="preserve">  * La variable Niños, niñas, adolescentes y jóvenes Mejor Niñez No puede ser mayor al Total.</v>
      </c>
      <c r="BY269" s="2465" t="str">
        <f t="shared" si="152"/>
        <v xml:space="preserve">  * La variable Migrantes No puede ser mayor al Total.</v>
      </c>
      <c r="BZ269" s="2465" t="str">
        <f t="shared" si="153"/>
        <v xml:space="preserve">  * La variable Trans (Masculino/Femenino) No puede ser mayor al Total Ambos Sexos.</v>
      </c>
      <c r="CA269"/>
      <c r="CB269"/>
      <c r="CC269" s="1724">
        <f t="shared" si="154"/>
        <v>1</v>
      </c>
      <c r="CD269" s="1724">
        <f t="shared" si="155"/>
        <v>1</v>
      </c>
      <c r="CE269" s="1724">
        <f t="shared" si="156"/>
        <v>1</v>
      </c>
      <c r="CF269" s="1724">
        <f t="shared" si="157"/>
        <v>1</v>
      </c>
      <c r="CG269" s="1724">
        <f t="shared" si="158"/>
        <v>1</v>
      </c>
      <c r="CH269" s="1724">
        <f t="shared" si="159"/>
        <v>1</v>
      </c>
      <c r="CI269" s="1724">
        <f t="shared" si="160"/>
        <v>1</v>
      </c>
      <c r="CJ269" s="1724">
        <f t="shared" si="161"/>
        <v>1</v>
      </c>
    </row>
    <row r="270" spans="1:88" x14ac:dyDescent="0.3">
      <c r="A270" s="6233" t="s">
        <v>4469</v>
      </c>
      <c r="B270" s="6820" t="s">
        <v>2028</v>
      </c>
      <c r="C270" s="6821"/>
      <c r="D270" s="2277" t="s">
        <v>5292</v>
      </c>
      <c r="E270" s="2278" t="s">
        <v>5293</v>
      </c>
      <c r="F270" s="1" t="s">
        <v>5294</v>
      </c>
      <c r="G270" s="1095" t="s">
        <v>5295</v>
      </c>
      <c r="H270" s="8" t="s">
        <v>5296</v>
      </c>
      <c r="I270" s="1095" t="s">
        <v>5297</v>
      </c>
      <c r="J270" s="8" t="s">
        <v>5298</v>
      </c>
      <c r="K270" s="1095" t="s">
        <v>5299</v>
      </c>
      <c r="L270" s="8" t="s">
        <v>5300</v>
      </c>
      <c r="M270" s="1095" t="s">
        <v>5301</v>
      </c>
      <c r="N270" s="8" t="s">
        <v>5302</v>
      </c>
      <c r="O270" s="1095" t="s">
        <v>5303</v>
      </c>
      <c r="P270" s="8" t="s">
        <v>5304</v>
      </c>
      <c r="Q270" s="1095" t="s">
        <v>5305</v>
      </c>
      <c r="R270" s="8" t="s">
        <v>5306</v>
      </c>
      <c r="S270" s="1095" t="s">
        <v>5307</v>
      </c>
      <c r="T270" s="8" t="s">
        <v>5308</v>
      </c>
      <c r="U270" s="1095" t="s">
        <v>5309</v>
      </c>
      <c r="V270" s="8" t="s">
        <v>5310</v>
      </c>
      <c r="W270" s="1095" t="s">
        <v>5311</v>
      </c>
      <c r="X270" s="8" t="s">
        <v>5312</v>
      </c>
      <c r="Y270" s="1095" t="s">
        <v>5313</v>
      </c>
      <c r="Z270" s="8" t="s">
        <v>5314</v>
      </c>
      <c r="AA270" s="1095" t="s">
        <v>5315</v>
      </c>
      <c r="AB270" s="8" t="s">
        <v>5316</v>
      </c>
      <c r="AC270" s="1095" t="s">
        <v>5317</v>
      </c>
      <c r="AD270" s="8" t="s">
        <v>5318</v>
      </c>
      <c r="AE270" s="1095" t="s">
        <v>5319</v>
      </c>
      <c r="AF270" s="8" t="s">
        <v>5320</v>
      </c>
      <c r="AG270" s="1095" t="s">
        <v>5321</v>
      </c>
      <c r="AH270" s="8" t="s">
        <v>5322</v>
      </c>
      <c r="AI270" s="1095" t="s">
        <v>5323</v>
      </c>
      <c r="AJ270" s="8" t="s">
        <v>5324</v>
      </c>
      <c r="AK270" s="1095" t="s">
        <v>5325</v>
      </c>
      <c r="AL270" s="8" t="s">
        <v>5326</v>
      </c>
      <c r="AM270" s="1095" t="s">
        <v>5327</v>
      </c>
      <c r="AN270" s="1697" t="s">
        <v>5328</v>
      </c>
      <c r="AO270" s="5715" t="s">
        <v>5329</v>
      </c>
      <c r="AP270" s="1102" t="s">
        <v>5330</v>
      </c>
      <c r="AQ270" s="2113" t="s">
        <v>5331</v>
      </c>
      <c r="AR270" s="3930" t="s">
        <v>5332</v>
      </c>
      <c r="AS270" s="1092" t="s">
        <v>5333</v>
      </c>
      <c r="AT270" s="1095" t="s">
        <v>5334</v>
      </c>
      <c r="AU270" s="8" t="s">
        <v>5335</v>
      </c>
      <c r="AV270" s="8" t="s">
        <v>5336</v>
      </c>
      <c r="AW270" s="8" t="s">
        <v>5337</v>
      </c>
      <c r="AX270" s="8" t="s">
        <v>5338</v>
      </c>
      <c r="AY270" s="8" t="s">
        <v>5339</v>
      </c>
      <c r="AZ270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R270" s="170"/>
      <c r="BS270" s="2465" t="str">
        <f t="shared" si="163"/>
        <v xml:space="preserve">  * La variable Gestantes No puede ser mayor al Total.</v>
      </c>
      <c r="BT270" s="2465" t="str">
        <f t="shared" si="147"/>
        <v xml:space="preserve">  * La variable Madre de hijo menor de 5 años No puede ser mayor al Total.</v>
      </c>
      <c r="BU270" s="2465" t="str">
        <f t="shared" si="148"/>
        <v xml:space="preserve">  * La variable Pueblos originarios Hombres No puede ser mayor al Total Hombres.</v>
      </c>
      <c r="BV270" s="2465" t="str">
        <f t="shared" si="149"/>
        <v xml:space="preserve">  * La variable Pueblos originarios Mujeres No puede ser mayor al Total Mujeres.</v>
      </c>
      <c r="BW270" s="2465" t="str">
        <f t="shared" si="150"/>
        <v xml:space="preserve">  * La variable Niños, niñas, adolescentes y jóvenes SENAME No puede ser mayor al Total.</v>
      </c>
      <c r="BX270" s="2465" t="str">
        <f t="shared" si="151"/>
        <v xml:space="preserve">  * La variable Niños, niñas, adolescentes y jóvenes Mejor Niñez No puede ser mayor al Total.</v>
      </c>
      <c r="BY270" s="2465" t="str">
        <f t="shared" si="152"/>
        <v xml:space="preserve">  * La variable Migrantes No puede ser mayor al Total.</v>
      </c>
      <c r="BZ270" s="2465" t="str">
        <f t="shared" si="153"/>
        <v xml:space="preserve">  * La variable Trans (Masculino/Femenino) No puede ser mayor al Total Ambos Sexos.</v>
      </c>
      <c r="CA270"/>
      <c r="CB270"/>
      <c r="CC270" s="1724">
        <f t="shared" si="154"/>
        <v>1</v>
      </c>
      <c r="CD270" s="1724">
        <f t="shared" si="155"/>
        <v>1</v>
      </c>
      <c r="CE270" s="1724">
        <f t="shared" si="156"/>
        <v>1</v>
      </c>
      <c r="CF270" s="1724">
        <f t="shared" si="157"/>
        <v>1</v>
      </c>
      <c r="CG270" s="1724">
        <f t="shared" si="158"/>
        <v>1</v>
      </c>
      <c r="CH270" s="1724">
        <f t="shared" si="159"/>
        <v>1</v>
      </c>
      <c r="CI270" s="1724">
        <f t="shared" si="160"/>
        <v>1</v>
      </c>
      <c r="CJ270" s="1724">
        <f t="shared" si="161"/>
        <v>1</v>
      </c>
    </row>
    <row r="271" spans="1:88" x14ac:dyDescent="0.3">
      <c r="A271" s="6233" t="s">
        <v>4470</v>
      </c>
      <c r="B271" s="6849" t="s">
        <v>2029</v>
      </c>
      <c r="C271" s="6850"/>
      <c r="D271" s="2288" t="s">
        <v>5292</v>
      </c>
      <c r="E271" s="2289" t="s">
        <v>5293</v>
      </c>
      <c r="F271" s="2" t="s">
        <v>5294</v>
      </c>
      <c r="G271" s="1095" t="s">
        <v>5295</v>
      </c>
      <c r="H271" s="8" t="s">
        <v>5296</v>
      </c>
      <c r="I271" s="1095" t="s">
        <v>5297</v>
      </c>
      <c r="J271" s="8" t="s">
        <v>5298</v>
      </c>
      <c r="K271" s="1095" t="s">
        <v>5299</v>
      </c>
      <c r="L271" s="8" t="s">
        <v>5300</v>
      </c>
      <c r="M271" s="1095" t="s">
        <v>5301</v>
      </c>
      <c r="N271" s="8" t="s">
        <v>5302</v>
      </c>
      <c r="O271" s="1095" t="s">
        <v>5303</v>
      </c>
      <c r="P271" s="8" t="s">
        <v>5304</v>
      </c>
      <c r="Q271" s="1095" t="s">
        <v>5305</v>
      </c>
      <c r="R271" s="8" t="s">
        <v>5306</v>
      </c>
      <c r="S271" s="1095" t="s">
        <v>5307</v>
      </c>
      <c r="T271" s="8" t="s">
        <v>5308</v>
      </c>
      <c r="U271" s="1095" t="s">
        <v>5309</v>
      </c>
      <c r="V271" s="8" t="s">
        <v>5310</v>
      </c>
      <c r="W271" s="1095" t="s">
        <v>5311</v>
      </c>
      <c r="X271" s="8" t="s">
        <v>5312</v>
      </c>
      <c r="Y271" s="1095" t="s">
        <v>5313</v>
      </c>
      <c r="Z271" s="8" t="s">
        <v>5314</v>
      </c>
      <c r="AA271" s="1095" t="s">
        <v>5315</v>
      </c>
      <c r="AB271" s="8" t="s">
        <v>5316</v>
      </c>
      <c r="AC271" s="1095" t="s">
        <v>5317</v>
      </c>
      <c r="AD271" s="8" t="s">
        <v>5318</v>
      </c>
      <c r="AE271" s="1095" t="s">
        <v>5319</v>
      </c>
      <c r="AF271" s="8" t="s">
        <v>5320</v>
      </c>
      <c r="AG271" s="1095" t="s">
        <v>5321</v>
      </c>
      <c r="AH271" s="8" t="s">
        <v>5322</v>
      </c>
      <c r="AI271" s="1095" t="s">
        <v>5323</v>
      </c>
      <c r="AJ271" s="8" t="s">
        <v>5324</v>
      </c>
      <c r="AK271" s="1095" t="s">
        <v>5325</v>
      </c>
      <c r="AL271" s="8" t="s">
        <v>5326</v>
      </c>
      <c r="AM271" s="1095" t="s">
        <v>5327</v>
      </c>
      <c r="AN271" s="1697" t="s">
        <v>5328</v>
      </c>
      <c r="AO271" s="5715" t="s">
        <v>5329</v>
      </c>
      <c r="AP271" s="1102" t="s">
        <v>5330</v>
      </c>
      <c r="AQ271" s="2113" t="s">
        <v>5331</v>
      </c>
      <c r="AR271" s="3930" t="s">
        <v>5332</v>
      </c>
      <c r="AS271" s="1092" t="s">
        <v>5333</v>
      </c>
      <c r="AT271" s="1095" t="s">
        <v>5334</v>
      </c>
      <c r="AU271" s="8" t="s">
        <v>5335</v>
      </c>
      <c r="AV271" s="8" t="s">
        <v>5336</v>
      </c>
      <c r="AW271" s="8" t="s">
        <v>5337</v>
      </c>
      <c r="AX271" s="8" t="s">
        <v>5338</v>
      </c>
      <c r="AY271" s="8" t="s">
        <v>5339</v>
      </c>
      <c r="AZ271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R271" s="170"/>
      <c r="BS271" s="2465" t="str">
        <f t="shared" si="163"/>
        <v xml:space="preserve">  * La variable Gestantes No puede ser mayor al Total.</v>
      </c>
      <c r="BT271" s="2465" t="str">
        <f t="shared" si="147"/>
        <v xml:space="preserve">  * La variable Madre de hijo menor de 5 años No puede ser mayor al Total.</v>
      </c>
      <c r="BU271" s="2465" t="str">
        <f t="shared" si="148"/>
        <v xml:space="preserve">  * La variable Pueblos originarios Hombres No puede ser mayor al Total Hombres.</v>
      </c>
      <c r="BV271" s="2465" t="str">
        <f t="shared" si="149"/>
        <v xml:space="preserve">  * La variable Pueblos originarios Mujeres No puede ser mayor al Total Mujeres.</v>
      </c>
      <c r="BW271" s="2465" t="str">
        <f t="shared" si="150"/>
        <v xml:space="preserve">  * La variable Niños, niñas, adolescentes y jóvenes SENAME No puede ser mayor al Total.</v>
      </c>
      <c r="BX271" s="2465" t="str">
        <f t="shared" si="151"/>
        <v xml:space="preserve">  * La variable Niños, niñas, adolescentes y jóvenes Mejor Niñez No puede ser mayor al Total.</v>
      </c>
      <c r="BY271" s="2465" t="str">
        <f t="shared" si="152"/>
        <v xml:space="preserve">  * La variable Migrantes No puede ser mayor al Total.</v>
      </c>
      <c r="BZ271" s="2465" t="str">
        <f t="shared" si="153"/>
        <v xml:space="preserve">  * La variable Trans (Masculino/Femenino) No puede ser mayor al Total Ambos Sexos.</v>
      </c>
      <c r="CA271"/>
      <c r="CB271"/>
      <c r="CC271" s="1724">
        <f t="shared" si="154"/>
        <v>1</v>
      </c>
      <c r="CD271" s="1724">
        <f t="shared" si="155"/>
        <v>1</v>
      </c>
      <c r="CE271" s="1724">
        <f t="shared" si="156"/>
        <v>1</v>
      </c>
      <c r="CF271" s="1724">
        <f t="shared" si="157"/>
        <v>1</v>
      </c>
      <c r="CG271" s="1724">
        <f t="shared" si="158"/>
        <v>1</v>
      </c>
      <c r="CH271" s="1724">
        <f t="shared" si="159"/>
        <v>1</v>
      </c>
      <c r="CI271" s="1724">
        <f t="shared" si="160"/>
        <v>1</v>
      </c>
      <c r="CJ271" s="1724">
        <f t="shared" si="161"/>
        <v>1</v>
      </c>
    </row>
    <row r="272" spans="1:88" ht="15" customHeight="1" x14ac:dyDescent="0.3">
      <c r="A272" s="6233" t="s">
        <v>4471</v>
      </c>
      <c r="B272" s="6917" t="s">
        <v>2030</v>
      </c>
      <c r="C272" s="2303" t="s">
        <v>2031</v>
      </c>
      <c r="D272" s="2275" t="s">
        <v>5292</v>
      </c>
      <c r="E272" s="2276" t="s">
        <v>5293</v>
      </c>
      <c r="F272" s="2274" t="s">
        <v>5294</v>
      </c>
      <c r="G272" s="9" t="s">
        <v>5295</v>
      </c>
      <c r="H272" s="11" t="s">
        <v>5296</v>
      </c>
      <c r="I272" s="9" t="s">
        <v>5297</v>
      </c>
      <c r="J272" s="11" t="s">
        <v>5298</v>
      </c>
      <c r="K272" s="9" t="s">
        <v>5299</v>
      </c>
      <c r="L272" s="11" t="s">
        <v>5300</v>
      </c>
      <c r="M272" s="9" t="s">
        <v>5301</v>
      </c>
      <c r="N272" s="11" t="s">
        <v>5302</v>
      </c>
      <c r="O272" s="9" t="s">
        <v>5303</v>
      </c>
      <c r="P272" s="11" t="s">
        <v>5304</v>
      </c>
      <c r="Q272" s="9" t="s">
        <v>5305</v>
      </c>
      <c r="R272" s="11" t="s">
        <v>5306</v>
      </c>
      <c r="S272" s="9" t="s">
        <v>5307</v>
      </c>
      <c r="T272" s="11" t="s">
        <v>5308</v>
      </c>
      <c r="U272" s="9" t="s">
        <v>5309</v>
      </c>
      <c r="V272" s="11" t="s">
        <v>5310</v>
      </c>
      <c r="W272" s="9" t="s">
        <v>5311</v>
      </c>
      <c r="X272" s="11" t="s">
        <v>5312</v>
      </c>
      <c r="Y272" s="9" t="s">
        <v>5313</v>
      </c>
      <c r="Z272" s="11" t="s">
        <v>5314</v>
      </c>
      <c r="AA272" s="9" t="s">
        <v>5315</v>
      </c>
      <c r="AB272" s="11" t="s">
        <v>5316</v>
      </c>
      <c r="AC272" s="9" t="s">
        <v>5317</v>
      </c>
      <c r="AD272" s="11" t="s">
        <v>5318</v>
      </c>
      <c r="AE272" s="9" t="s">
        <v>5319</v>
      </c>
      <c r="AF272" s="11" t="s">
        <v>5320</v>
      </c>
      <c r="AG272" s="9" t="s">
        <v>5321</v>
      </c>
      <c r="AH272" s="11" t="s">
        <v>5322</v>
      </c>
      <c r="AI272" s="9" t="s">
        <v>5323</v>
      </c>
      <c r="AJ272" s="11" t="s">
        <v>5324</v>
      </c>
      <c r="AK272" s="9" t="s">
        <v>5325</v>
      </c>
      <c r="AL272" s="11" t="s">
        <v>5326</v>
      </c>
      <c r="AM272" s="9" t="s">
        <v>5327</v>
      </c>
      <c r="AN272" s="2236" t="s">
        <v>5328</v>
      </c>
      <c r="AO272" s="5715" t="s">
        <v>5329</v>
      </c>
      <c r="AP272" s="1102" t="s">
        <v>5330</v>
      </c>
      <c r="AQ272" s="2113" t="s">
        <v>5331</v>
      </c>
      <c r="AR272" s="11" t="s">
        <v>5332</v>
      </c>
      <c r="AS272" s="27" t="s">
        <v>5333</v>
      </c>
      <c r="AT272" s="9" t="s">
        <v>5334</v>
      </c>
      <c r="AU272" s="11" t="s">
        <v>5335</v>
      </c>
      <c r="AV272" s="11" t="s">
        <v>5336</v>
      </c>
      <c r="AW272" s="11" t="s">
        <v>5337</v>
      </c>
      <c r="AX272" s="11" t="s">
        <v>5338</v>
      </c>
      <c r="AY272" s="11" t="s">
        <v>5339</v>
      </c>
      <c r="AZ272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R272" s="170"/>
      <c r="BS272" s="2465" t="str">
        <f t="shared" si="163"/>
        <v xml:space="preserve">  * La variable Gestantes No puede ser mayor al Total.</v>
      </c>
      <c r="BT272" s="2465" t="str">
        <f t="shared" si="147"/>
        <v xml:space="preserve">  * La variable Madre de hijo menor de 5 años No puede ser mayor al Total.</v>
      </c>
      <c r="BU272" s="2465" t="str">
        <f t="shared" si="148"/>
        <v xml:space="preserve">  * La variable Pueblos originarios Hombres No puede ser mayor al Total Hombres.</v>
      </c>
      <c r="BV272" s="2465" t="str">
        <f t="shared" si="149"/>
        <v xml:space="preserve">  * La variable Pueblos originarios Mujeres No puede ser mayor al Total Mujeres.</v>
      </c>
      <c r="BW272" s="2465" t="str">
        <f t="shared" si="150"/>
        <v xml:space="preserve">  * La variable Niños, niñas, adolescentes y jóvenes SENAME No puede ser mayor al Total.</v>
      </c>
      <c r="BX272" s="2465" t="str">
        <f t="shared" si="151"/>
        <v xml:space="preserve">  * La variable Niños, niñas, adolescentes y jóvenes Mejor Niñez No puede ser mayor al Total.</v>
      </c>
      <c r="BY272" s="2465" t="str">
        <f t="shared" si="152"/>
        <v xml:space="preserve">  * La variable Migrantes No puede ser mayor al Total.</v>
      </c>
      <c r="BZ272" s="2465" t="str">
        <f t="shared" si="153"/>
        <v xml:space="preserve">  * La variable Trans (Masculino/Femenino) No puede ser mayor al Total Ambos Sexos.</v>
      </c>
      <c r="CA272"/>
      <c r="CB272"/>
      <c r="CC272" s="1724">
        <f t="shared" si="154"/>
        <v>1</v>
      </c>
      <c r="CD272" s="1724">
        <f t="shared" si="155"/>
        <v>1</v>
      </c>
      <c r="CE272" s="1724">
        <f t="shared" si="156"/>
        <v>1</v>
      </c>
      <c r="CF272" s="1724">
        <f t="shared" si="157"/>
        <v>1</v>
      </c>
      <c r="CG272" s="1724">
        <f t="shared" si="158"/>
        <v>1</v>
      </c>
      <c r="CH272" s="1724">
        <f t="shared" si="159"/>
        <v>1</v>
      </c>
      <c r="CI272" s="1724">
        <f t="shared" si="160"/>
        <v>1</v>
      </c>
      <c r="CJ272" s="1724">
        <f t="shared" si="161"/>
        <v>1</v>
      </c>
    </row>
    <row r="273" spans="1:88" x14ac:dyDescent="0.3">
      <c r="A273" s="6233" t="s">
        <v>4472</v>
      </c>
      <c r="B273" s="6899"/>
      <c r="C273" s="1094" t="s">
        <v>2032</v>
      </c>
      <c r="D273" s="2277" t="s">
        <v>5292</v>
      </c>
      <c r="E273" s="2278" t="s">
        <v>5293</v>
      </c>
      <c r="F273" s="1" t="s">
        <v>5294</v>
      </c>
      <c r="G273" s="9" t="s">
        <v>5295</v>
      </c>
      <c r="H273" s="11" t="s">
        <v>5296</v>
      </c>
      <c r="I273" s="9" t="s">
        <v>5297</v>
      </c>
      <c r="J273" s="11" t="s">
        <v>5298</v>
      </c>
      <c r="K273" s="9" t="s">
        <v>5299</v>
      </c>
      <c r="L273" s="11" t="s">
        <v>5300</v>
      </c>
      <c r="M273" s="9" t="s">
        <v>5301</v>
      </c>
      <c r="N273" s="11" t="s">
        <v>5302</v>
      </c>
      <c r="O273" s="9" t="s">
        <v>5303</v>
      </c>
      <c r="P273" s="11" t="s">
        <v>5304</v>
      </c>
      <c r="Q273" s="9" t="s">
        <v>5305</v>
      </c>
      <c r="R273" s="11" t="s">
        <v>5306</v>
      </c>
      <c r="S273" s="9" t="s">
        <v>5307</v>
      </c>
      <c r="T273" s="11" t="s">
        <v>5308</v>
      </c>
      <c r="U273" s="9" t="s">
        <v>5309</v>
      </c>
      <c r="V273" s="11" t="s">
        <v>5310</v>
      </c>
      <c r="W273" s="9" t="s">
        <v>5311</v>
      </c>
      <c r="X273" s="11" t="s">
        <v>5312</v>
      </c>
      <c r="Y273" s="9" t="s">
        <v>5313</v>
      </c>
      <c r="Z273" s="11" t="s">
        <v>5314</v>
      </c>
      <c r="AA273" s="9" t="s">
        <v>5315</v>
      </c>
      <c r="AB273" s="11" t="s">
        <v>5316</v>
      </c>
      <c r="AC273" s="9" t="s">
        <v>5317</v>
      </c>
      <c r="AD273" s="11" t="s">
        <v>5318</v>
      </c>
      <c r="AE273" s="9" t="s">
        <v>5319</v>
      </c>
      <c r="AF273" s="11" t="s">
        <v>5320</v>
      </c>
      <c r="AG273" s="9" t="s">
        <v>5321</v>
      </c>
      <c r="AH273" s="11" t="s">
        <v>5322</v>
      </c>
      <c r="AI273" s="9" t="s">
        <v>5323</v>
      </c>
      <c r="AJ273" s="11" t="s">
        <v>5324</v>
      </c>
      <c r="AK273" s="9" t="s">
        <v>5325</v>
      </c>
      <c r="AL273" s="11" t="s">
        <v>5326</v>
      </c>
      <c r="AM273" s="9" t="s">
        <v>5327</v>
      </c>
      <c r="AN273" s="2236" t="s">
        <v>5328</v>
      </c>
      <c r="AO273" s="5715" t="s">
        <v>5329</v>
      </c>
      <c r="AP273" s="1102" t="s">
        <v>5330</v>
      </c>
      <c r="AQ273" s="2113" t="s">
        <v>5331</v>
      </c>
      <c r="AR273" s="11" t="s">
        <v>5332</v>
      </c>
      <c r="AS273" s="27" t="s">
        <v>5333</v>
      </c>
      <c r="AT273" s="9" t="s">
        <v>5334</v>
      </c>
      <c r="AU273" s="11" t="s">
        <v>5335</v>
      </c>
      <c r="AV273" s="11" t="s">
        <v>5336</v>
      </c>
      <c r="AW273" s="11" t="s">
        <v>5337</v>
      </c>
      <c r="AX273" s="11" t="s">
        <v>5338</v>
      </c>
      <c r="AY273" s="11" t="s">
        <v>5339</v>
      </c>
      <c r="AZ273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R273" s="170"/>
      <c r="BS273" s="2465" t="str">
        <f t="shared" si="163"/>
        <v xml:space="preserve">  * La variable Gestantes No puede ser mayor al Total.</v>
      </c>
      <c r="BT273" s="2465" t="str">
        <f t="shared" si="147"/>
        <v xml:space="preserve">  * La variable Madre de hijo menor de 5 años No puede ser mayor al Total.</v>
      </c>
      <c r="BU273" s="2465" t="str">
        <f t="shared" si="148"/>
        <v xml:space="preserve">  * La variable Pueblos originarios Hombres No puede ser mayor al Total Hombres.</v>
      </c>
      <c r="BV273" s="2465" t="str">
        <f t="shared" si="149"/>
        <v xml:space="preserve">  * La variable Pueblos originarios Mujeres No puede ser mayor al Total Mujeres.</v>
      </c>
      <c r="BW273" s="2465" t="str">
        <f t="shared" si="150"/>
        <v xml:space="preserve">  * La variable Niños, niñas, adolescentes y jóvenes SENAME No puede ser mayor al Total.</v>
      </c>
      <c r="BX273" s="2465" t="str">
        <f t="shared" si="151"/>
        <v xml:space="preserve">  * La variable Niños, niñas, adolescentes y jóvenes Mejor Niñez No puede ser mayor al Total.</v>
      </c>
      <c r="BY273" s="2465" t="str">
        <f t="shared" si="152"/>
        <v xml:space="preserve">  * La variable Migrantes No puede ser mayor al Total.</v>
      </c>
      <c r="BZ273" s="2465" t="str">
        <f t="shared" si="153"/>
        <v xml:space="preserve">  * La variable Trans (Masculino/Femenino) No puede ser mayor al Total Ambos Sexos.</v>
      </c>
      <c r="CA273"/>
      <c r="CB273"/>
      <c r="CC273" s="1724">
        <f t="shared" si="154"/>
        <v>1</v>
      </c>
      <c r="CD273" s="1724">
        <f t="shared" si="155"/>
        <v>1</v>
      </c>
      <c r="CE273" s="1724">
        <f t="shared" si="156"/>
        <v>1</v>
      </c>
      <c r="CF273" s="1724">
        <f t="shared" si="157"/>
        <v>1</v>
      </c>
      <c r="CG273" s="1724">
        <f t="shared" si="158"/>
        <v>1</v>
      </c>
      <c r="CH273" s="1724">
        <f t="shared" si="159"/>
        <v>1</v>
      </c>
      <c r="CI273" s="1724">
        <f t="shared" si="160"/>
        <v>1</v>
      </c>
      <c r="CJ273" s="1724">
        <f t="shared" si="161"/>
        <v>1</v>
      </c>
    </row>
    <row r="274" spans="1:88" x14ac:dyDescent="0.3">
      <c r="A274" s="6233" t="s">
        <v>4473</v>
      </c>
      <c r="B274" s="6899"/>
      <c r="C274" s="1094" t="s">
        <v>2033</v>
      </c>
      <c r="D274" s="2277" t="s">
        <v>5292</v>
      </c>
      <c r="E274" s="2278" t="s">
        <v>5293</v>
      </c>
      <c r="F274" s="1" t="s">
        <v>5294</v>
      </c>
      <c r="G274" s="9" t="s">
        <v>5295</v>
      </c>
      <c r="H274" s="11" t="s">
        <v>5296</v>
      </c>
      <c r="I274" s="9" t="s">
        <v>5297</v>
      </c>
      <c r="J274" s="11" t="s">
        <v>5298</v>
      </c>
      <c r="K274" s="9" t="s">
        <v>5299</v>
      </c>
      <c r="L274" s="11" t="s">
        <v>5300</v>
      </c>
      <c r="M274" s="9" t="s">
        <v>5301</v>
      </c>
      <c r="N274" s="11" t="s">
        <v>5302</v>
      </c>
      <c r="O274" s="9" t="s">
        <v>5303</v>
      </c>
      <c r="P274" s="11" t="s">
        <v>5304</v>
      </c>
      <c r="Q274" s="9" t="s">
        <v>5305</v>
      </c>
      <c r="R274" s="11" t="s">
        <v>5306</v>
      </c>
      <c r="S274" s="9" t="s">
        <v>5307</v>
      </c>
      <c r="T274" s="11" t="s">
        <v>5308</v>
      </c>
      <c r="U274" s="9" t="s">
        <v>5309</v>
      </c>
      <c r="V274" s="11" t="s">
        <v>5310</v>
      </c>
      <c r="W274" s="9" t="s">
        <v>5311</v>
      </c>
      <c r="X274" s="11" t="s">
        <v>5312</v>
      </c>
      <c r="Y274" s="9" t="s">
        <v>5313</v>
      </c>
      <c r="Z274" s="11" t="s">
        <v>5314</v>
      </c>
      <c r="AA274" s="9" t="s">
        <v>5315</v>
      </c>
      <c r="AB274" s="11" t="s">
        <v>5316</v>
      </c>
      <c r="AC274" s="9" t="s">
        <v>5317</v>
      </c>
      <c r="AD274" s="11" t="s">
        <v>5318</v>
      </c>
      <c r="AE274" s="9" t="s">
        <v>5319</v>
      </c>
      <c r="AF274" s="11" t="s">
        <v>5320</v>
      </c>
      <c r="AG274" s="9" t="s">
        <v>5321</v>
      </c>
      <c r="AH274" s="11" t="s">
        <v>5322</v>
      </c>
      <c r="AI274" s="9" t="s">
        <v>5323</v>
      </c>
      <c r="AJ274" s="11" t="s">
        <v>5324</v>
      </c>
      <c r="AK274" s="9" t="s">
        <v>5325</v>
      </c>
      <c r="AL274" s="11" t="s">
        <v>5326</v>
      </c>
      <c r="AM274" s="9" t="s">
        <v>5327</v>
      </c>
      <c r="AN274" s="2236" t="s">
        <v>5328</v>
      </c>
      <c r="AO274" s="5715" t="s">
        <v>5329</v>
      </c>
      <c r="AP274" s="1102" t="s">
        <v>5330</v>
      </c>
      <c r="AQ274" s="2113" t="s">
        <v>5331</v>
      </c>
      <c r="AR274" s="11" t="s">
        <v>5332</v>
      </c>
      <c r="AS274" s="27" t="s">
        <v>5333</v>
      </c>
      <c r="AT274" s="9" t="s">
        <v>5334</v>
      </c>
      <c r="AU274" s="11" t="s">
        <v>5335</v>
      </c>
      <c r="AV274" s="11" t="s">
        <v>5336</v>
      </c>
      <c r="AW274" s="11" t="s">
        <v>5337</v>
      </c>
      <c r="AX274" s="11" t="s">
        <v>5338</v>
      </c>
      <c r="AY274" s="11" t="s">
        <v>5339</v>
      </c>
      <c r="AZ274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R274" s="170"/>
      <c r="BS274" s="2465" t="str">
        <f t="shared" si="163"/>
        <v xml:space="preserve">  * La variable Gestantes No puede ser mayor al Total.</v>
      </c>
      <c r="BT274" s="2465" t="str">
        <f t="shared" si="147"/>
        <v xml:space="preserve">  * La variable Madre de hijo menor de 5 años No puede ser mayor al Total.</v>
      </c>
      <c r="BU274" s="2465" t="str">
        <f t="shared" si="148"/>
        <v xml:space="preserve">  * La variable Pueblos originarios Hombres No puede ser mayor al Total Hombres.</v>
      </c>
      <c r="BV274" s="2465" t="str">
        <f t="shared" si="149"/>
        <v xml:space="preserve">  * La variable Pueblos originarios Mujeres No puede ser mayor al Total Mujeres.</v>
      </c>
      <c r="BW274" s="2465" t="str">
        <f t="shared" si="150"/>
        <v xml:space="preserve">  * La variable Niños, niñas, adolescentes y jóvenes SENAME No puede ser mayor al Total.</v>
      </c>
      <c r="BX274" s="2465" t="str">
        <f t="shared" si="151"/>
        <v xml:space="preserve">  * La variable Niños, niñas, adolescentes y jóvenes Mejor Niñez No puede ser mayor al Total.</v>
      </c>
      <c r="BY274" s="2465" t="str">
        <f t="shared" si="152"/>
        <v xml:space="preserve">  * La variable Migrantes No puede ser mayor al Total.</v>
      </c>
      <c r="BZ274" s="2465" t="str">
        <f t="shared" si="153"/>
        <v xml:space="preserve">  * La variable Trans (Masculino/Femenino) No puede ser mayor al Total Ambos Sexos.</v>
      </c>
      <c r="CA274"/>
      <c r="CB274"/>
      <c r="CC274" s="1724">
        <f t="shared" si="154"/>
        <v>1</v>
      </c>
      <c r="CD274" s="1724">
        <f t="shared" si="155"/>
        <v>1</v>
      </c>
      <c r="CE274" s="1724">
        <f t="shared" si="156"/>
        <v>1</v>
      </c>
      <c r="CF274" s="1724">
        <f t="shared" si="157"/>
        <v>1</v>
      </c>
      <c r="CG274" s="1724">
        <f t="shared" si="158"/>
        <v>1</v>
      </c>
      <c r="CH274" s="1724">
        <f t="shared" si="159"/>
        <v>1</v>
      </c>
      <c r="CI274" s="1724">
        <f t="shared" si="160"/>
        <v>1</v>
      </c>
      <c r="CJ274" s="1724">
        <f t="shared" si="161"/>
        <v>1</v>
      </c>
    </row>
    <row r="275" spans="1:88" x14ac:dyDescent="0.3">
      <c r="A275" s="6233" t="s">
        <v>4474</v>
      </c>
      <c r="B275" s="6899"/>
      <c r="C275" s="1094" t="s">
        <v>2034</v>
      </c>
      <c r="D275" s="2277" t="s">
        <v>5292</v>
      </c>
      <c r="E275" s="2278" t="s">
        <v>5293</v>
      </c>
      <c r="F275" s="1" t="s">
        <v>5294</v>
      </c>
      <c r="G275" s="9" t="s">
        <v>5295</v>
      </c>
      <c r="H275" s="11" t="s">
        <v>5296</v>
      </c>
      <c r="I275" s="9" t="s">
        <v>5297</v>
      </c>
      <c r="J275" s="11" t="s">
        <v>5298</v>
      </c>
      <c r="K275" s="9" t="s">
        <v>5299</v>
      </c>
      <c r="L275" s="11" t="s">
        <v>5300</v>
      </c>
      <c r="M275" s="9" t="s">
        <v>5301</v>
      </c>
      <c r="N275" s="11" t="s">
        <v>5302</v>
      </c>
      <c r="O275" s="9" t="s">
        <v>5303</v>
      </c>
      <c r="P275" s="11" t="s">
        <v>5304</v>
      </c>
      <c r="Q275" s="9" t="s">
        <v>5305</v>
      </c>
      <c r="R275" s="11" t="s">
        <v>5306</v>
      </c>
      <c r="S275" s="9" t="s">
        <v>5307</v>
      </c>
      <c r="T275" s="11" t="s">
        <v>5308</v>
      </c>
      <c r="U275" s="9" t="s">
        <v>5309</v>
      </c>
      <c r="V275" s="11" t="s">
        <v>5310</v>
      </c>
      <c r="W275" s="9" t="s">
        <v>5311</v>
      </c>
      <c r="X275" s="11" t="s">
        <v>5312</v>
      </c>
      <c r="Y275" s="9" t="s">
        <v>5313</v>
      </c>
      <c r="Z275" s="11" t="s">
        <v>5314</v>
      </c>
      <c r="AA275" s="9" t="s">
        <v>5315</v>
      </c>
      <c r="AB275" s="11" t="s">
        <v>5316</v>
      </c>
      <c r="AC275" s="9" t="s">
        <v>5317</v>
      </c>
      <c r="AD275" s="11" t="s">
        <v>5318</v>
      </c>
      <c r="AE275" s="9" t="s">
        <v>5319</v>
      </c>
      <c r="AF275" s="11" t="s">
        <v>5320</v>
      </c>
      <c r="AG275" s="9" t="s">
        <v>5321</v>
      </c>
      <c r="AH275" s="11" t="s">
        <v>5322</v>
      </c>
      <c r="AI275" s="9" t="s">
        <v>5323</v>
      </c>
      <c r="AJ275" s="11" t="s">
        <v>5324</v>
      </c>
      <c r="AK275" s="9" t="s">
        <v>5325</v>
      </c>
      <c r="AL275" s="11" t="s">
        <v>5326</v>
      </c>
      <c r="AM275" s="9" t="s">
        <v>5327</v>
      </c>
      <c r="AN275" s="2236" t="s">
        <v>5328</v>
      </c>
      <c r="AO275" s="5715" t="s">
        <v>5329</v>
      </c>
      <c r="AP275" s="1102" t="s">
        <v>5330</v>
      </c>
      <c r="AQ275" s="2113" t="s">
        <v>5331</v>
      </c>
      <c r="AR275" s="11" t="s">
        <v>5332</v>
      </c>
      <c r="AS275" s="27" t="s">
        <v>5333</v>
      </c>
      <c r="AT275" s="9" t="s">
        <v>5334</v>
      </c>
      <c r="AU275" s="11" t="s">
        <v>5335</v>
      </c>
      <c r="AV275" s="11" t="s">
        <v>5336</v>
      </c>
      <c r="AW275" s="11" t="s">
        <v>5337</v>
      </c>
      <c r="AX275" s="11" t="s">
        <v>5338</v>
      </c>
      <c r="AY275" s="11" t="s">
        <v>5339</v>
      </c>
      <c r="AZ275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R275" s="170"/>
      <c r="BS275" s="2465" t="str">
        <f t="shared" si="163"/>
        <v xml:space="preserve">  * La variable Gestantes No puede ser mayor al Total.</v>
      </c>
      <c r="BT275" s="2465" t="str">
        <f t="shared" si="147"/>
        <v xml:space="preserve">  * La variable Madre de hijo menor de 5 años No puede ser mayor al Total.</v>
      </c>
      <c r="BU275" s="2465" t="str">
        <f t="shared" si="148"/>
        <v xml:space="preserve">  * La variable Pueblos originarios Hombres No puede ser mayor al Total Hombres.</v>
      </c>
      <c r="BV275" s="2465" t="str">
        <f t="shared" si="149"/>
        <v xml:space="preserve">  * La variable Pueblos originarios Mujeres No puede ser mayor al Total Mujeres.</v>
      </c>
      <c r="BW275" s="2465" t="str">
        <f t="shared" si="150"/>
        <v xml:space="preserve">  * La variable Niños, niñas, adolescentes y jóvenes SENAME No puede ser mayor al Total.</v>
      </c>
      <c r="BX275" s="2465" t="str">
        <f t="shared" si="151"/>
        <v xml:space="preserve">  * La variable Niños, niñas, adolescentes y jóvenes Mejor Niñez No puede ser mayor al Total.</v>
      </c>
      <c r="BY275" s="2465" t="str">
        <f t="shared" si="152"/>
        <v xml:space="preserve">  * La variable Migrantes No puede ser mayor al Total.</v>
      </c>
      <c r="BZ275" s="2465" t="str">
        <f t="shared" si="153"/>
        <v xml:space="preserve">  * La variable Trans (Masculino/Femenino) No puede ser mayor al Total Ambos Sexos.</v>
      </c>
      <c r="CA275"/>
      <c r="CB275"/>
      <c r="CC275" s="1724">
        <f t="shared" si="154"/>
        <v>1</v>
      </c>
      <c r="CD275" s="1724">
        <f t="shared" si="155"/>
        <v>1</v>
      </c>
      <c r="CE275" s="1724">
        <f t="shared" si="156"/>
        <v>1</v>
      </c>
      <c r="CF275" s="1724">
        <f t="shared" si="157"/>
        <v>1</v>
      </c>
      <c r="CG275" s="1724">
        <f t="shared" si="158"/>
        <v>1</v>
      </c>
      <c r="CH275" s="1724">
        <f t="shared" si="159"/>
        <v>1</v>
      </c>
      <c r="CI275" s="1724">
        <f t="shared" si="160"/>
        <v>1</v>
      </c>
      <c r="CJ275" s="1724">
        <f t="shared" si="161"/>
        <v>1</v>
      </c>
    </row>
    <row r="276" spans="1:88" ht="22.5" customHeight="1" x14ac:dyDescent="0.3">
      <c r="A276" s="6233" t="s">
        <v>4475</v>
      </c>
      <c r="B276" s="6908"/>
      <c r="C276" s="38" t="s">
        <v>2035</v>
      </c>
      <c r="D276" s="2288" t="s">
        <v>5292</v>
      </c>
      <c r="E276" s="2289" t="s">
        <v>5293</v>
      </c>
      <c r="F276" s="2" t="s">
        <v>5294</v>
      </c>
      <c r="G276" s="3" t="s">
        <v>5295</v>
      </c>
      <c r="H276" s="12" t="s">
        <v>5296</v>
      </c>
      <c r="I276" s="3" t="s">
        <v>5297</v>
      </c>
      <c r="J276" s="12" t="s">
        <v>5298</v>
      </c>
      <c r="K276" s="3" t="s">
        <v>5299</v>
      </c>
      <c r="L276" s="12" t="s">
        <v>5300</v>
      </c>
      <c r="M276" s="3" t="s">
        <v>5301</v>
      </c>
      <c r="N276" s="12" t="s">
        <v>5302</v>
      </c>
      <c r="O276" s="3" t="s">
        <v>5303</v>
      </c>
      <c r="P276" s="12" t="s">
        <v>5304</v>
      </c>
      <c r="Q276" s="3" t="s">
        <v>5305</v>
      </c>
      <c r="R276" s="12" t="s">
        <v>5306</v>
      </c>
      <c r="S276" s="3" t="s">
        <v>5307</v>
      </c>
      <c r="T276" s="12" t="s">
        <v>5308</v>
      </c>
      <c r="U276" s="3" t="s">
        <v>5309</v>
      </c>
      <c r="V276" s="12" t="s">
        <v>5310</v>
      </c>
      <c r="W276" s="3" t="s">
        <v>5311</v>
      </c>
      <c r="X276" s="12" t="s">
        <v>5312</v>
      </c>
      <c r="Y276" s="3" t="s">
        <v>5313</v>
      </c>
      <c r="Z276" s="12" t="s">
        <v>5314</v>
      </c>
      <c r="AA276" s="3" t="s">
        <v>5315</v>
      </c>
      <c r="AB276" s="12" t="s">
        <v>5316</v>
      </c>
      <c r="AC276" s="3" t="s">
        <v>5317</v>
      </c>
      <c r="AD276" s="12" t="s">
        <v>5318</v>
      </c>
      <c r="AE276" s="3" t="s">
        <v>5319</v>
      </c>
      <c r="AF276" s="12" t="s">
        <v>5320</v>
      </c>
      <c r="AG276" s="3" t="s">
        <v>5321</v>
      </c>
      <c r="AH276" s="12" t="s">
        <v>5322</v>
      </c>
      <c r="AI276" s="3" t="s">
        <v>5323</v>
      </c>
      <c r="AJ276" s="12" t="s">
        <v>5324</v>
      </c>
      <c r="AK276" s="3" t="s">
        <v>5325</v>
      </c>
      <c r="AL276" s="12" t="s">
        <v>5326</v>
      </c>
      <c r="AM276" s="3" t="s">
        <v>5327</v>
      </c>
      <c r="AN276" s="2290" t="s">
        <v>5328</v>
      </c>
      <c r="AO276" s="4372" t="s">
        <v>5329</v>
      </c>
      <c r="AP276" s="21" t="s">
        <v>5330</v>
      </c>
      <c r="AQ276" s="1698" t="s">
        <v>5331</v>
      </c>
      <c r="AR276" s="2760" t="s">
        <v>5332</v>
      </c>
      <c r="AS276" s="30" t="s">
        <v>5333</v>
      </c>
      <c r="AT276" s="3" t="s">
        <v>5334</v>
      </c>
      <c r="AU276" s="12" t="s">
        <v>5335</v>
      </c>
      <c r="AV276" s="12" t="s">
        <v>5336</v>
      </c>
      <c r="AW276" s="12" t="s">
        <v>5337</v>
      </c>
      <c r="AX276" s="12" t="s">
        <v>5338</v>
      </c>
      <c r="AY276" s="12" t="s">
        <v>5339</v>
      </c>
      <c r="AZ276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R276" s="170"/>
      <c r="BS276" s="2465" t="str">
        <f t="shared" si="163"/>
        <v xml:space="preserve">  * La variable Gestantes No puede ser mayor al Total.</v>
      </c>
      <c r="BT276" s="2465" t="str">
        <f t="shared" si="147"/>
        <v xml:space="preserve">  * La variable Madre de hijo menor de 5 años No puede ser mayor al Total.</v>
      </c>
      <c r="BU276" s="2465" t="str">
        <f t="shared" si="148"/>
        <v xml:space="preserve">  * La variable Pueblos originarios Hombres No puede ser mayor al Total Hombres.</v>
      </c>
      <c r="BV276" s="2465" t="str">
        <f t="shared" si="149"/>
        <v xml:space="preserve">  * La variable Pueblos originarios Mujeres No puede ser mayor al Total Mujeres.</v>
      </c>
      <c r="BW276" s="2465" t="str">
        <f t="shared" si="150"/>
        <v xml:space="preserve">  * La variable Niños, niñas, adolescentes y jóvenes SENAME No puede ser mayor al Total.</v>
      </c>
      <c r="BX276" s="2465" t="str">
        <f t="shared" si="151"/>
        <v xml:space="preserve">  * La variable Niños, niñas, adolescentes y jóvenes Mejor Niñez No puede ser mayor al Total.</v>
      </c>
      <c r="BY276" s="2465" t="str">
        <f t="shared" si="152"/>
        <v xml:space="preserve">  * La variable Migrantes No puede ser mayor al Total.</v>
      </c>
      <c r="BZ276" s="2465" t="str">
        <f t="shared" si="153"/>
        <v xml:space="preserve">  * La variable Trans (Masculino/Femenino) No puede ser mayor al Total Ambos Sexos.</v>
      </c>
      <c r="CA276"/>
      <c r="CB276"/>
      <c r="CC276" s="1724">
        <f t="shared" si="154"/>
        <v>1</v>
      </c>
      <c r="CD276" s="1724">
        <f t="shared" si="155"/>
        <v>1</v>
      </c>
      <c r="CE276" s="1724">
        <f t="shared" si="156"/>
        <v>1</v>
      </c>
      <c r="CF276" s="1724">
        <f t="shared" si="157"/>
        <v>1</v>
      </c>
      <c r="CG276" s="1724">
        <f t="shared" si="158"/>
        <v>1</v>
      </c>
      <c r="CH276" s="1724">
        <f t="shared" si="159"/>
        <v>1</v>
      </c>
      <c r="CI276" s="1724">
        <f t="shared" si="160"/>
        <v>1</v>
      </c>
      <c r="CJ276" s="1724">
        <f t="shared" si="161"/>
        <v>1</v>
      </c>
    </row>
    <row r="277" spans="1:88" x14ac:dyDescent="0.3">
      <c r="A277" s="6233" t="s">
        <v>4476</v>
      </c>
      <c r="B277" s="6941" t="s">
        <v>2036</v>
      </c>
      <c r="C277" s="6942"/>
      <c r="D277" s="2267" t="s">
        <v>5292</v>
      </c>
      <c r="E277" s="2268" t="s">
        <v>5293</v>
      </c>
      <c r="F277" s="2269" t="s">
        <v>5294</v>
      </c>
      <c r="G277" s="2272" t="s">
        <v>5295</v>
      </c>
      <c r="H277" s="1258" t="s">
        <v>5296</v>
      </c>
      <c r="I277" s="2272" t="s">
        <v>5297</v>
      </c>
      <c r="J277" s="1258" t="s">
        <v>5298</v>
      </c>
      <c r="K277" s="2272" t="s">
        <v>5299</v>
      </c>
      <c r="L277" s="1258" t="s">
        <v>5300</v>
      </c>
      <c r="M277" s="2272" t="s">
        <v>5301</v>
      </c>
      <c r="N277" s="1258" t="s">
        <v>5302</v>
      </c>
      <c r="O277" s="2272" t="s">
        <v>5303</v>
      </c>
      <c r="P277" s="1258" t="s">
        <v>5304</v>
      </c>
      <c r="Q277" s="2272" t="s">
        <v>5305</v>
      </c>
      <c r="R277" s="1258" t="s">
        <v>5306</v>
      </c>
      <c r="S277" s="2272" t="s">
        <v>5307</v>
      </c>
      <c r="T277" s="1258" t="s">
        <v>5308</v>
      </c>
      <c r="U277" s="2272" t="s">
        <v>5309</v>
      </c>
      <c r="V277" s="1258" t="s">
        <v>5310</v>
      </c>
      <c r="W277" s="2272" t="s">
        <v>5311</v>
      </c>
      <c r="X277" s="1258" t="s">
        <v>5312</v>
      </c>
      <c r="Y277" s="2272" t="s">
        <v>5313</v>
      </c>
      <c r="Z277" s="1258" t="s">
        <v>5314</v>
      </c>
      <c r="AA277" s="2272" t="s">
        <v>5315</v>
      </c>
      <c r="AB277" s="1258" t="s">
        <v>5316</v>
      </c>
      <c r="AC277" s="2272" t="s">
        <v>5317</v>
      </c>
      <c r="AD277" s="1258" t="s">
        <v>5318</v>
      </c>
      <c r="AE277" s="2272" t="s">
        <v>5319</v>
      </c>
      <c r="AF277" s="1258" t="s">
        <v>5320</v>
      </c>
      <c r="AG277" s="2272" t="s">
        <v>5321</v>
      </c>
      <c r="AH277" s="1258" t="s">
        <v>5322</v>
      </c>
      <c r="AI277" s="2272" t="s">
        <v>5323</v>
      </c>
      <c r="AJ277" s="1258" t="s">
        <v>5324</v>
      </c>
      <c r="AK277" s="2272" t="s">
        <v>5325</v>
      </c>
      <c r="AL277" s="1258" t="s">
        <v>5326</v>
      </c>
      <c r="AM277" s="2272" t="s">
        <v>5327</v>
      </c>
      <c r="AN277" s="2241" t="s">
        <v>5328</v>
      </c>
      <c r="AO277" s="5715" t="s">
        <v>5329</v>
      </c>
      <c r="AP277" s="1102" t="s">
        <v>5330</v>
      </c>
      <c r="AQ277" s="2113" t="s">
        <v>5331</v>
      </c>
      <c r="AR277" s="1258" t="s">
        <v>5332</v>
      </c>
      <c r="AS277" s="2316" t="s">
        <v>5333</v>
      </c>
      <c r="AT277" s="2272" t="s">
        <v>5334</v>
      </c>
      <c r="AU277" s="1258" t="s">
        <v>5335</v>
      </c>
      <c r="AV277" s="1258" t="s">
        <v>5336</v>
      </c>
      <c r="AW277" s="1258" t="s">
        <v>5337</v>
      </c>
      <c r="AX277" s="1258" t="s">
        <v>5338</v>
      </c>
      <c r="AY277" s="1258" t="s">
        <v>5339</v>
      </c>
      <c r="AZ277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R277" s="170"/>
      <c r="BS277" s="2465" t="str">
        <f t="shared" si="163"/>
        <v xml:space="preserve">  * La variable Gestantes No puede ser mayor al Total.</v>
      </c>
      <c r="BT277" s="2465" t="str">
        <f t="shared" si="147"/>
        <v xml:space="preserve">  * La variable Madre de hijo menor de 5 años No puede ser mayor al Total.</v>
      </c>
      <c r="BU277" s="2465" t="str">
        <f t="shared" si="148"/>
        <v xml:space="preserve">  * La variable Pueblos originarios Hombres No puede ser mayor al Total Hombres.</v>
      </c>
      <c r="BV277" s="2465" t="str">
        <f t="shared" si="149"/>
        <v xml:space="preserve">  * La variable Pueblos originarios Mujeres No puede ser mayor al Total Mujeres.</v>
      </c>
      <c r="BW277" s="2465" t="str">
        <f t="shared" si="150"/>
        <v xml:space="preserve">  * La variable Niños, niñas, adolescentes y jóvenes SENAME No puede ser mayor al Total.</v>
      </c>
      <c r="BX277" s="2465" t="str">
        <f t="shared" si="151"/>
        <v xml:space="preserve">  * La variable Niños, niñas, adolescentes y jóvenes Mejor Niñez No puede ser mayor al Total.</v>
      </c>
      <c r="BY277" s="2465" t="str">
        <f t="shared" si="152"/>
        <v xml:space="preserve">  * La variable Migrantes No puede ser mayor al Total.</v>
      </c>
      <c r="BZ277" s="2465" t="str">
        <f t="shared" si="153"/>
        <v xml:space="preserve">  * La variable Trans (Masculino/Femenino) No puede ser mayor al Total Ambos Sexos.</v>
      </c>
      <c r="CA277"/>
      <c r="CB277"/>
      <c r="CC277" s="1724">
        <f t="shared" si="154"/>
        <v>1</v>
      </c>
      <c r="CD277" s="1724">
        <f t="shared" si="155"/>
        <v>1</v>
      </c>
      <c r="CE277" s="1724">
        <f t="shared" si="156"/>
        <v>1</v>
      </c>
      <c r="CF277" s="1724">
        <f t="shared" si="157"/>
        <v>1</v>
      </c>
      <c r="CG277" s="1724">
        <f t="shared" si="158"/>
        <v>1</v>
      </c>
      <c r="CH277" s="1724">
        <f t="shared" si="159"/>
        <v>1</v>
      </c>
      <c r="CI277" s="1724">
        <f t="shared" si="160"/>
        <v>1</v>
      </c>
      <c r="CJ277" s="1724">
        <f t="shared" si="161"/>
        <v>1</v>
      </c>
    </row>
    <row r="278" spans="1:88" x14ac:dyDescent="0.3">
      <c r="A278" s="6233" t="s">
        <v>4477</v>
      </c>
      <c r="B278" s="6818" t="s">
        <v>44</v>
      </c>
      <c r="C278" s="6819"/>
      <c r="D278" s="2288" t="s">
        <v>5292</v>
      </c>
      <c r="E278" s="2289" t="s">
        <v>5293</v>
      </c>
      <c r="F278" s="2" t="s">
        <v>5294</v>
      </c>
      <c r="G278" s="3" t="s">
        <v>5295</v>
      </c>
      <c r="H278" s="12" t="s">
        <v>5296</v>
      </c>
      <c r="I278" s="3" t="s">
        <v>5297</v>
      </c>
      <c r="J278" s="12" t="s">
        <v>5298</v>
      </c>
      <c r="K278" s="3" t="s">
        <v>5299</v>
      </c>
      <c r="L278" s="12" t="s">
        <v>5300</v>
      </c>
      <c r="M278" s="3" t="s">
        <v>5301</v>
      </c>
      <c r="N278" s="12" t="s">
        <v>5302</v>
      </c>
      <c r="O278" s="3" t="s">
        <v>5303</v>
      </c>
      <c r="P278" s="12" t="s">
        <v>5304</v>
      </c>
      <c r="Q278" s="3" t="s">
        <v>5305</v>
      </c>
      <c r="R278" s="12" t="s">
        <v>5306</v>
      </c>
      <c r="S278" s="3" t="s">
        <v>5307</v>
      </c>
      <c r="T278" s="12" t="s">
        <v>5308</v>
      </c>
      <c r="U278" s="3" t="s">
        <v>5309</v>
      </c>
      <c r="V278" s="12" t="s">
        <v>5310</v>
      </c>
      <c r="W278" s="3" t="s">
        <v>5311</v>
      </c>
      <c r="X278" s="12" t="s">
        <v>5312</v>
      </c>
      <c r="Y278" s="3" t="s">
        <v>5313</v>
      </c>
      <c r="Z278" s="12" t="s">
        <v>5314</v>
      </c>
      <c r="AA278" s="3" t="s">
        <v>5315</v>
      </c>
      <c r="AB278" s="12" t="s">
        <v>5316</v>
      </c>
      <c r="AC278" s="3" t="s">
        <v>5317</v>
      </c>
      <c r="AD278" s="12" t="s">
        <v>5318</v>
      </c>
      <c r="AE278" s="3" t="s">
        <v>5319</v>
      </c>
      <c r="AF278" s="12" t="s">
        <v>5320</v>
      </c>
      <c r="AG278" s="3" t="s">
        <v>5321</v>
      </c>
      <c r="AH278" s="12" t="s">
        <v>5322</v>
      </c>
      <c r="AI278" s="3" t="s">
        <v>5323</v>
      </c>
      <c r="AJ278" s="12" t="s">
        <v>5324</v>
      </c>
      <c r="AK278" s="3" t="s">
        <v>5325</v>
      </c>
      <c r="AL278" s="12" t="s">
        <v>5326</v>
      </c>
      <c r="AM278" s="3" t="s">
        <v>5327</v>
      </c>
      <c r="AN278" s="2290" t="s">
        <v>5328</v>
      </c>
      <c r="AO278" s="5706" t="s">
        <v>5329</v>
      </c>
      <c r="AP278" s="5707" t="s">
        <v>5330</v>
      </c>
      <c r="AQ278" s="5714" t="s">
        <v>5331</v>
      </c>
      <c r="AR278" s="5640" t="s">
        <v>5332</v>
      </c>
      <c r="AS278" s="2321" t="s">
        <v>5333</v>
      </c>
      <c r="AT278" s="3" t="s">
        <v>5334</v>
      </c>
      <c r="AU278" s="12" t="s">
        <v>5335</v>
      </c>
      <c r="AV278" s="12" t="s">
        <v>5336</v>
      </c>
      <c r="AW278" s="12" t="s">
        <v>5337</v>
      </c>
      <c r="AX278" s="12" t="s">
        <v>5338</v>
      </c>
      <c r="AY278" s="12" t="s">
        <v>5339</v>
      </c>
      <c r="AZ278" s="17" t="str">
        <f t="shared" si="162"/>
        <v xml:space="preserve">  * La variable Gestantes No puede ser mayor al Total.  * La variable Madre de hijo menor de 5 años No puede ser mayor al Total.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R278" s="170"/>
      <c r="BS278" s="2465" t="str">
        <f t="shared" si="163"/>
        <v xml:space="preserve">  * La variable Gestantes No puede ser mayor al Total.</v>
      </c>
      <c r="BT278" s="2465" t="str">
        <f t="shared" si="147"/>
        <v xml:space="preserve">  * La variable Madre de hijo menor de 5 años No puede ser mayor al Total.</v>
      </c>
      <c r="BU278" s="2465" t="str">
        <f t="shared" si="148"/>
        <v xml:space="preserve">  * La variable Pueblos originarios Hombres No puede ser mayor al Total Hombres.</v>
      </c>
      <c r="BV278" s="2465" t="str">
        <f t="shared" si="149"/>
        <v xml:space="preserve">  * La variable Pueblos originarios Mujeres No puede ser mayor al Total Mujeres.</v>
      </c>
      <c r="BW278" s="2465" t="str">
        <f t="shared" si="150"/>
        <v xml:space="preserve">  * La variable Niños, niñas, adolescentes y jóvenes SENAME No puede ser mayor al Total.</v>
      </c>
      <c r="BX278" s="2465" t="str">
        <f t="shared" si="151"/>
        <v xml:space="preserve">  * La variable Niños, niñas, adolescentes y jóvenes Mejor Niñez No puede ser mayor al Total.</v>
      </c>
      <c r="BY278" s="2465" t="str">
        <f t="shared" si="152"/>
        <v xml:space="preserve">  * La variable Migrantes No puede ser mayor al Total.</v>
      </c>
      <c r="BZ278" s="2465" t="str">
        <f t="shared" si="153"/>
        <v xml:space="preserve">  * La variable Trans (Masculino/Femenino) No puede ser mayor al Total Ambos Sexos.</v>
      </c>
      <c r="CA278"/>
      <c r="CB278"/>
      <c r="CC278" s="1724">
        <f t="shared" si="154"/>
        <v>1</v>
      </c>
      <c r="CD278" s="1724">
        <f t="shared" si="155"/>
        <v>1</v>
      </c>
      <c r="CE278" s="1724">
        <f t="shared" si="156"/>
        <v>1</v>
      </c>
      <c r="CF278" s="1724">
        <f t="shared" si="157"/>
        <v>1</v>
      </c>
      <c r="CG278" s="1724">
        <f t="shared" si="158"/>
        <v>1</v>
      </c>
      <c r="CH278" s="1724">
        <f t="shared" si="159"/>
        <v>1</v>
      </c>
      <c r="CI278" s="1724">
        <f t="shared" si="160"/>
        <v>1</v>
      </c>
      <c r="CJ278" s="1724">
        <f t="shared" si="161"/>
        <v>1</v>
      </c>
    </row>
    <row r="279" spans="1:88" s="17" customFormat="1" ht="18" customHeight="1" x14ac:dyDescent="0.25">
      <c r="B279" s="14" t="s">
        <v>2044</v>
      </c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</row>
    <row r="280" spans="1:88" x14ac:dyDescent="0.3">
      <c r="B280" s="6953" t="s">
        <v>2045</v>
      </c>
      <c r="C280" s="6956" t="s">
        <v>2046</v>
      </c>
      <c r="D280" s="6921" t="s">
        <v>1</v>
      </c>
      <c r="E280" s="6891"/>
      <c r="F280" s="6399"/>
      <c r="G280" s="6960" t="s">
        <v>30</v>
      </c>
      <c r="H280" s="6961"/>
      <c r="I280" s="6961"/>
      <c r="J280" s="6961"/>
      <c r="K280" s="6961"/>
      <c r="L280" s="6961"/>
      <c r="M280" s="6961"/>
      <c r="N280" s="6961"/>
      <c r="O280" s="6961"/>
      <c r="P280" s="6961"/>
      <c r="Q280" s="6961"/>
      <c r="R280" s="6961"/>
      <c r="S280" s="6961"/>
      <c r="T280" s="6961"/>
      <c r="U280" s="6961"/>
      <c r="V280" s="6961"/>
      <c r="W280" s="6961"/>
      <c r="X280" s="6961"/>
      <c r="Y280" s="6961"/>
      <c r="Z280" s="6961"/>
      <c r="AA280" s="6961"/>
      <c r="AB280" s="6961"/>
      <c r="AC280" s="6961"/>
      <c r="AD280" s="6961"/>
      <c r="AE280" s="6961"/>
      <c r="AF280" s="6961"/>
      <c r="AG280" s="6961"/>
      <c r="AH280" s="6961"/>
      <c r="AI280" s="6961"/>
      <c r="AJ280" s="6961"/>
      <c r="AK280" s="6961"/>
      <c r="AL280" s="6962"/>
      <c r="AM280" s="6399" t="s">
        <v>2</v>
      </c>
      <c r="AN280" s="6399" t="s">
        <v>3</v>
      </c>
      <c r="AO280" s="6399" t="s">
        <v>40</v>
      </c>
      <c r="AP280" s="6399" t="s">
        <v>45</v>
      </c>
      <c r="BR280"/>
      <c r="BS280"/>
      <c r="BT280"/>
      <c r="BU280"/>
      <c r="BV280"/>
      <c r="BW280"/>
      <c r="BX280"/>
      <c r="BY280"/>
      <c r="CA280"/>
      <c r="CB280"/>
      <c r="CC280"/>
    </row>
    <row r="281" spans="1:88" x14ac:dyDescent="0.3">
      <c r="B281" s="6954"/>
      <c r="C281" s="6957"/>
      <c r="D281" s="6909"/>
      <c r="E281" s="6959"/>
      <c r="F281" s="6796"/>
      <c r="G281" s="6927" t="s">
        <v>37</v>
      </c>
      <c r="H281" s="6927"/>
      <c r="I281" s="6927" t="s">
        <v>38</v>
      </c>
      <c r="J281" s="6927"/>
      <c r="K281" s="6927" t="s">
        <v>4</v>
      </c>
      <c r="L281" s="6927"/>
      <c r="M281" s="6797" t="s">
        <v>5</v>
      </c>
      <c r="N281" s="6798"/>
      <c r="O281" s="6799" t="s">
        <v>6</v>
      </c>
      <c r="P281" s="6799"/>
      <c r="Q281" s="6799" t="s">
        <v>7</v>
      </c>
      <c r="R281" s="6799"/>
      <c r="S281" s="6799" t="s">
        <v>8</v>
      </c>
      <c r="T281" s="6799"/>
      <c r="U281" s="6799" t="s">
        <v>9</v>
      </c>
      <c r="V281" s="6799"/>
      <c r="W281" s="6799" t="s">
        <v>10</v>
      </c>
      <c r="X281" s="6799"/>
      <c r="Y281" s="6799" t="s">
        <v>11</v>
      </c>
      <c r="Z281" s="6799"/>
      <c r="AA281" s="6799" t="s">
        <v>18</v>
      </c>
      <c r="AB281" s="6799"/>
      <c r="AC281" s="6799" t="s">
        <v>19</v>
      </c>
      <c r="AD281" s="6799"/>
      <c r="AE281" s="6799" t="s">
        <v>20</v>
      </c>
      <c r="AF281" s="6799"/>
      <c r="AG281" s="6799" t="s">
        <v>70</v>
      </c>
      <c r="AH281" s="6799"/>
      <c r="AI281" s="6799" t="s">
        <v>71</v>
      </c>
      <c r="AJ281" s="6799"/>
      <c r="AK281" s="6799" t="s">
        <v>32</v>
      </c>
      <c r="AL281" s="6963"/>
      <c r="AM281" s="6831"/>
      <c r="AN281" s="6831"/>
      <c r="AO281" s="6831"/>
      <c r="AP281" s="6831"/>
      <c r="BR281"/>
      <c r="BS281"/>
      <c r="BT281"/>
      <c r="BU281"/>
      <c r="BV281"/>
      <c r="BW281"/>
      <c r="BX281"/>
      <c r="BY281"/>
      <c r="CA281"/>
      <c r="CB281"/>
      <c r="CC281"/>
    </row>
    <row r="282" spans="1:88" ht="26.25" customHeight="1" x14ac:dyDescent="0.3">
      <c r="B282" s="6955"/>
      <c r="C282" s="6958"/>
      <c r="D282" s="2704" t="s">
        <v>26</v>
      </c>
      <c r="E282" s="2705" t="s">
        <v>22</v>
      </c>
      <c r="F282" s="2560" t="s">
        <v>27</v>
      </c>
      <c r="G282" s="2706" t="s">
        <v>22</v>
      </c>
      <c r="H282" s="2707" t="s">
        <v>27</v>
      </c>
      <c r="I282" s="2706" t="s">
        <v>22</v>
      </c>
      <c r="J282" s="2707" t="s">
        <v>27</v>
      </c>
      <c r="K282" s="2706" t="s">
        <v>22</v>
      </c>
      <c r="L282" s="2707" t="s">
        <v>27</v>
      </c>
      <c r="M282" s="2706" t="s">
        <v>22</v>
      </c>
      <c r="N282" s="2707" t="s">
        <v>27</v>
      </c>
      <c r="O282" s="2706" t="s">
        <v>22</v>
      </c>
      <c r="P282" s="2707" t="s">
        <v>27</v>
      </c>
      <c r="Q282" s="2706" t="s">
        <v>22</v>
      </c>
      <c r="R282" s="2707" t="s">
        <v>27</v>
      </c>
      <c r="S282" s="2706" t="s">
        <v>22</v>
      </c>
      <c r="T282" s="2707" t="s">
        <v>27</v>
      </c>
      <c r="U282" s="2703" t="s">
        <v>22</v>
      </c>
      <c r="V282" s="2703" t="s">
        <v>27</v>
      </c>
      <c r="W282" s="2708" t="s">
        <v>22</v>
      </c>
      <c r="X282" s="2707" t="s">
        <v>27</v>
      </c>
      <c r="Y282" s="2706" t="s">
        <v>22</v>
      </c>
      <c r="Z282" s="2707" t="s">
        <v>27</v>
      </c>
      <c r="AA282" s="2706" t="s">
        <v>22</v>
      </c>
      <c r="AB282" s="2707" t="s">
        <v>27</v>
      </c>
      <c r="AC282" s="2706" t="s">
        <v>22</v>
      </c>
      <c r="AD282" s="2707" t="s">
        <v>27</v>
      </c>
      <c r="AE282" s="2706" t="s">
        <v>22</v>
      </c>
      <c r="AF282" s="2707" t="s">
        <v>27</v>
      </c>
      <c r="AG282" s="2706" t="s">
        <v>22</v>
      </c>
      <c r="AH282" s="2707" t="s">
        <v>27</v>
      </c>
      <c r="AI282" s="2706" t="s">
        <v>22</v>
      </c>
      <c r="AJ282" s="2707" t="s">
        <v>27</v>
      </c>
      <c r="AK282" s="2706" t="s">
        <v>22</v>
      </c>
      <c r="AL282" s="2709" t="s">
        <v>27</v>
      </c>
      <c r="AM282" s="6796"/>
      <c r="AN282" s="6796"/>
      <c r="AO282" s="6796"/>
      <c r="AP282" s="6796"/>
      <c r="BR282"/>
      <c r="BS282"/>
      <c r="BT282"/>
      <c r="BU282"/>
      <c r="BV282"/>
      <c r="BW282"/>
      <c r="BX282"/>
      <c r="BY282"/>
      <c r="CA282"/>
      <c r="CB282"/>
      <c r="CC282"/>
    </row>
    <row r="283" spans="1:88" ht="15" customHeight="1" x14ac:dyDescent="0.3">
      <c r="A283" s="6233" t="s">
        <v>4478</v>
      </c>
      <c r="B283" s="6964" t="s">
        <v>46</v>
      </c>
      <c r="C283" s="2332" t="s">
        <v>25</v>
      </c>
      <c r="D283" s="2333" t="s">
        <v>5292</v>
      </c>
      <c r="E283" s="2334" t="s">
        <v>5293</v>
      </c>
      <c r="F283" s="2228" t="s">
        <v>5294</v>
      </c>
      <c r="G283" s="2120" t="s">
        <v>5295</v>
      </c>
      <c r="H283" s="2229" t="s">
        <v>5296</v>
      </c>
      <c r="I283" s="2120" t="s">
        <v>5297</v>
      </c>
      <c r="J283" s="2229" t="s">
        <v>5298</v>
      </c>
      <c r="K283" s="2120" t="s">
        <v>5299</v>
      </c>
      <c r="L283" s="2229" t="s">
        <v>5300</v>
      </c>
      <c r="M283" s="2120" t="s">
        <v>5301</v>
      </c>
      <c r="N283" s="2229" t="s">
        <v>5302</v>
      </c>
      <c r="O283" s="2120" t="s">
        <v>5303</v>
      </c>
      <c r="P283" s="2229" t="s">
        <v>5304</v>
      </c>
      <c r="Q283" s="2120" t="s">
        <v>5305</v>
      </c>
      <c r="R283" s="2229" t="s">
        <v>5306</v>
      </c>
      <c r="S283" s="2120" t="s">
        <v>5307</v>
      </c>
      <c r="T283" s="2229" t="s">
        <v>5308</v>
      </c>
      <c r="U283" s="2120" t="s">
        <v>5309</v>
      </c>
      <c r="V283" s="2229" t="s">
        <v>5310</v>
      </c>
      <c r="W283" s="2120" t="s">
        <v>5311</v>
      </c>
      <c r="X283" s="2229" t="s">
        <v>5312</v>
      </c>
      <c r="Y283" s="2120" t="s">
        <v>5313</v>
      </c>
      <c r="Z283" s="2229" t="s">
        <v>5314</v>
      </c>
      <c r="AA283" s="2120" t="s">
        <v>5315</v>
      </c>
      <c r="AB283" s="2229" t="s">
        <v>5316</v>
      </c>
      <c r="AC283" s="2120" t="s">
        <v>5317</v>
      </c>
      <c r="AD283" s="2229" t="s">
        <v>5318</v>
      </c>
      <c r="AE283" s="2120" t="s">
        <v>5319</v>
      </c>
      <c r="AF283" s="2229" t="s">
        <v>5320</v>
      </c>
      <c r="AG283" s="2120" t="s">
        <v>5321</v>
      </c>
      <c r="AH283" s="2229" t="s">
        <v>5322</v>
      </c>
      <c r="AI283" s="2120" t="s">
        <v>5323</v>
      </c>
      <c r="AJ283" s="2229" t="s">
        <v>5324</v>
      </c>
      <c r="AK283" s="2120" t="s">
        <v>5325</v>
      </c>
      <c r="AL283" s="2200" t="s">
        <v>5326</v>
      </c>
      <c r="AM283" s="2229" t="s">
        <v>5327</v>
      </c>
      <c r="AN283" s="2229" t="s">
        <v>5328</v>
      </c>
      <c r="AO283" s="2229" t="s">
        <v>5329</v>
      </c>
      <c r="AP283" s="2229" t="s">
        <v>5330</v>
      </c>
      <c r="AQ283" t="str">
        <f>BR283&amp;BS283&amp;BT283&amp;BU283</f>
        <v xml:space="preserve">  * La variable Pueblos originarios No puede ser mayor al Total.  * La variable Migrantes No puede ser mayor al Total.  * La variable Niños, Niñas, adolescentes y Jóvenes SENAME No puede ser mayor al Total.  * La variable Niños, Niñas, adolescentes y Jóvenes Mejor Niñez No puede ser mayor al Total.</v>
      </c>
      <c r="BR283" s="2465" t="str">
        <f>IF(AND(D283&gt;0,AM283=""),"  * No olvide digitar la variable Pueblos originarios. Digite Cero si no tiene.",IF(AM283&gt;D283,"  * La variable Pueblos originarios No puede ser mayor al Total.",""))</f>
        <v xml:space="preserve">  * La variable Pueblos originarios No puede ser mayor al Total.</v>
      </c>
      <c r="BS283" s="2465" t="str">
        <f>IF(AND(D283&gt;0,AN283=""),"  * No olvide digitar la variable Migrantes. Digite Cero si no tiene.",IF(AN283&gt;D283,"  * La variable Migrantes No puede ser mayor al Total.",""))</f>
        <v xml:space="preserve">  * La variable Migrantes No puede ser mayor al Total.</v>
      </c>
      <c r="BT283" s="2465" t="str">
        <f>IF(AND(D283&gt;0,AO283=""),"  * No olvide digitar la variable Niños, Niñas, adolescentes y Jóvenes SENAME. Digite Cero si no tiene.",IF(AO283&gt;D283,"  * La variable Niños, Niñas, adolescentes y Jóvenes SENAME No puede ser mayor al Total.",""))</f>
        <v xml:space="preserve">  * La variable Niños, Niñas, adolescentes y Jóvenes SENAME No puede ser mayor al Total.</v>
      </c>
      <c r="BU283" s="2465" t="str">
        <f>IF(AND(D283&gt;0,AP283=""),"  * No olvide digitar la variable Niños, Niñas, adolescentes y Jóvenes Mejor niñez. Digite Cero si no tiene.",IF(AP283&gt;D283,"  * La variable Niños, Niñas, adolescentes y Jóvenes Mejor Niñez No puede ser mayor al Total.",""))</f>
        <v xml:space="preserve">  * La variable Niños, Niñas, adolescentes y Jóvenes Mejor Niñez No puede ser mayor al Total.</v>
      </c>
      <c r="BV283"/>
      <c r="BW283"/>
      <c r="BX283"/>
      <c r="BY283"/>
      <c r="CA283"/>
      <c r="CB283"/>
      <c r="CC283" s="1725">
        <f>IF(AND(D283&gt;0,AM283=""),1,IF(AM283&gt;D283,1,0))</f>
        <v>1</v>
      </c>
      <c r="CD283" s="1725">
        <f>IF(AND(D283&gt;0,AN283=""),1,IF(AN283&gt;D283,1,0))</f>
        <v>1</v>
      </c>
      <c r="CE283" s="1725">
        <f>IF(AND(D283&gt;0,AO283=""),1,IF(AO283&gt;D283,1,0))</f>
        <v>1</v>
      </c>
      <c r="CF283" s="1725">
        <f>IF(AND(D283&gt;0,AP283=""),1,IF(AP283&gt;D283,1,0))</f>
        <v>1</v>
      </c>
    </row>
    <row r="284" spans="1:88" x14ac:dyDescent="0.3">
      <c r="A284" s="6233" t="s">
        <v>4479</v>
      </c>
      <c r="B284" s="6965"/>
      <c r="C284" s="2149" t="s">
        <v>31</v>
      </c>
      <c r="D284" s="39" t="s">
        <v>5292</v>
      </c>
      <c r="E284" s="40" t="s">
        <v>5293</v>
      </c>
      <c r="F284" s="37" t="s">
        <v>5294</v>
      </c>
      <c r="G284" s="3" t="s">
        <v>5295</v>
      </c>
      <c r="H284" s="12" t="s">
        <v>5296</v>
      </c>
      <c r="I284" s="3" t="s">
        <v>5297</v>
      </c>
      <c r="J284" s="12" t="s">
        <v>5298</v>
      </c>
      <c r="K284" s="3" t="s">
        <v>5299</v>
      </c>
      <c r="L284" s="12" t="s">
        <v>5300</v>
      </c>
      <c r="M284" s="3" t="s">
        <v>5301</v>
      </c>
      <c r="N284" s="12" t="s">
        <v>5302</v>
      </c>
      <c r="O284" s="3" t="s">
        <v>5303</v>
      </c>
      <c r="P284" s="12" t="s">
        <v>5304</v>
      </c>
      <c r="Q284" s="3" t="s">
        <v>5305</v>
      </c>
      <c r="R284" s="12" t="s">
        <v>5306</v>
      </c>
      <c r="S284" s="3" t="s">
        <v>5307</v>
      </c>
      <c r="T284" s="12" t="s">
        <v>5308</v>
      </c>
      <c r="U284" s="3" t="s">
        <v>5309</v>
      </c>
      <c r="V284" s="12" t="s">
        <v>5310</v>
      </c>
      <c r="W284" s="3" t="s">
        <v>5311</v>
      </c>
      <c r="X284" s="12" t="s">
        <v>5312</v>
      </c>
      <c r="Y284" s="3" t="s">
        <v>5313</v>
      </c>
      <c r="Z284" s="12" t="s">
        <v>5314</v>
      </c>
      <c r="AA284" s="3" t="s">
        <v>5315</v>
      </c>
      <c r="AB284" s="12" t="s">
        <v>5316</v>
      </c>
      <c r="AC284" s="3" t="s">
        <v>5317</v>
      </c>
      <c r="AD284" s="12" t="s">
        <v>5318</v>
      </c>
      <c r="AE284" s="3" t="s">
        <v>5319</v>
      </c>
      <c r="AF284" s="12" t="s">
        <v>5320</v>
      </c>
      <c r="AG284" s="3" t="s">
        <v>5321</v>
      </c>
      <c r="AH284" s="12" t="s">
        <v>5322</v>
      </c>
      <c r="AI284" s="3" t="s">
        <v>5323</v>
      </c>
      <c r="AJ284" s="12" t="s">
        <v>5324</v>
      </c>
      <c r="AK284" s="3" t="s">
        <v>5325</v>
      </c>
      <c r="AL284" s="1698" t="s">
        <v>5326</v>
      </c>
      <c r="AM284" s="12" t="s">
        <v>5327</v>
      </c>
      <c r="AN284" s="12" t="s">
        <v>5328</v>
      </c>
      <c r="AO284" s="12" t="s">
        <v>5329</v>
      </c>
      <c r="AP284" s="12" t="s">
        <v>5330</v>
      </c>
      <c r="AQ284" t="str">
        <f t="shared" ref="AQ284:AQ286" si="164">BR284&amp;BS284&amp;BT284&amp;BU284</f>
        <v xml:space="preserve">  * La variable Pueblos originarios No puede ser mayor al Total.  * La variable Migrantes No puede ser mayor al Total.  * La variable Niños, Niñas, adolescentes y Jóvenes SENAME No puede ser mayor al Total.  * La variable Niños, Niñas, adolescentes y Jóvenes Mejor Niñez No puede ser mayor al Total.</v>
      </c>
      <c r="BR284" s="2465" t="str">
        <f t="shared" ref="BR284:BR286" si="165">IF(AND(D284&gt;0,AM284=""),"  * No olvide digitar la variable Pueblos originarios. Digite Cero si no tiene.",IF(AM284&gt;D284,"  * La variable Pueblos originarios No puede ser mayor al Total.",""))</f>
        <v xml:space="preserve">  * La variable Pueblos originarios No puede ser mayor al Total.</v>
      </c>
      <c r="BS284" s="2465" t="str">
        <f t="shared" ref="BS284:BS286" si="166">IF(AND(D284&gt;0,AN284=""),"  * No olvide digitar la variable Migrantes. Digite Cero si no tiene.",IF(AN284&gt;D284,"  * La variable Migrantes No puede ser mayor al Total.",""))</f>
        <v xml:space="preserve">  * La variable Migrantes No puede ser mayor al Total.</v>
      </c>
      <c r="BT284" s="2465" t="str">
        <f t="shared" ref="BT284:BT286" si="167">IF(AND(D284&gt;0,AO284=""),"  * No olvide digitar la variable Niños, Niñas, adolescentes y Jóvenes SENAME. Digite Cero si no tiene.",IF(AO284&gt;D284,"  * La variable Niños, Niñas, adolescentes y Jóvenes SENAME No puede ser mayor al Total.",""))</f>
        <v xml:space="preserve">  * La variable Niños, Niñas, adolescentes y Jóvenes SENAME No puede ser mayor al Total.</v>
      </c>
      <c r="BU284" s="2465" t="str">
        <f t="shared" ref="BU284:BU286" si="168">IF(AND(D284&gt;0,AP284=""),"  * No olvide digitar la variable Niños, Niñas, adolescentes y Jóvenes Mejor niñez. Digite Cero si no tiene.",IF(AP284&gt;D284,"  * La variable Niños, Niñas, adolescentes y Jóvenes Mejor Niñez No puede ser mayor al Total.",""))</f>
        <v xml:space="preserve">  * La variable Niños, Niñas, adolescentes y Jóvenes Mejor Niñez No puede ser mayor al Total.</v>
      </c>
      <c r="BV284"/>
      <c r="BW284"/>
      <c r="BX284"/>
      <c r="BY284"/>
      <c r="CA284"/>
      <c r="CB284"/>
      <c r="CC284" s="1725">
        <f t="shared" ref="CC284:CC286" si="169">IF(AND(D284&gt;0,AM284=""),1,IF(AM284&gt;D284,1,0))</f>
        <v>1</v>
      </c>
      <c r="CD284" s="1725">
        <f t="shared" ref="CD284:CD286" si="170">IF(AND(D284&gt;0,AN284=""),1,IF(AN284&gt;D284,1,0))</f>
        <v>1</v>
      </c>
      <c r="CE284" s="1725">
        <f t="shared" ref="CE284:CE286" si="171">IF(AND(D284&gt;0,AO284=""),1,IF(AO284&gt;D284,1,0))</f>
        <v>1</v>
      </c>
      <c r="CF284" s="1725">
        <f t="shared" ref="CF284:CF286" si="172">IF(AND(D284&gt;0,AP284=""),1,IF(AP284&gt;D284,1,0))</f>
        <v>1</v>
      </c>
    </row>
    <row r="285" spans="1:88" x14ac:dyDescent="0.3">
      <c r="A285" s="6233" t="s">
        <v>4480</v>
      </c>
      <c r="B285" s="6964" t="s">
        <v>2047</v>
      </c>
      <c r="C285" s="2332" t="s">
        <v>25</v>
      </c>
      <c r="D285" s="2335" t="s">
        <v>5292</v>
      </c>
      <c r="E285" s="2336" t="s">
        <v>5293</v>
      </c>
      <c r="F285" s="33" t="s">
        <v>5294</v>
      </c>
      <c r="G285" s="2112" t="s">
        <v>5295</v>
      </c>
      <c r="H285" s="1089" t="s">
        <v>5296</v>
      </c>
      <c r="I285" s="2112" t="s">
        <v>5297</v>
      </c>
      <c r="J285" s="1089" t="s">
        <v>5298</v>
      </c>
      <c r="K285" s="2112" t="s">
        <v>5299</v>
      </c>
      <c r="L285" s="1089" t="s">
        <v>5300</v>
      </c>
      <c r="M285" s="2112" t="s">
        <v>5301</v>
      </c>
      <c r="N285" s="1089" t="s">
        <v>5302</v>
      </c>
      <c r="O285" s="2112" t="s">
        <v>5303</v>
      </c>
      <c r="P285" s="1089" t="s">
        <v>5304</v>
      </c>
      <c r="Q285" s="2112" t="s">
        <v>5305</v>
      </c>
      <c r="R285" s="1089" t="s">
        <v>5306</v>
      </c>
      <c r="S285" s="2112" t="s">
        <v>5307</v>
      </c>
      <c r="T285" s="1089" t="s">
        <v>5308</v>
      </c>
      <c r="U285" s="2112" t="s">
        <v>5309</v>
      </c>
      <c r="V285" s="1089" t="s">
        <v>5310</v>
      </c>
      <c r="W285" s="2112" t="s">
        <v>5311</v>
      </c>
      <c r="X285" s="1089" t="s">
        <v>5312</v>
      </c>
      <c r="Y285" s="2112" t="s">
        <v>5313</v>
      </c>
      <c r="Z285" s="1089" t="s">
        <v>5314</v>
      </c>
      <c r="AA285" s="2112" t="s">
        <v>5315</v>
      </c>
      <c r="AB285" s="1089" t="s">
        <v>5316</v>
      </c>
      <c r="AC285" s="2112" t="s">
        <v>5317</v>
      </c>
      <c r="AD285" s="1089" t="s">
        <v>5318</v>
      </c>
      <c r="AE285" s="2112" t="s">
        <v>5319</v>
      </c>
      <c r="AF285" s="1089" t="s">
        <v>5320</v>
      </c>
      <c r="AG285" s="2112" t="s">
        <v>5321</v>
      </c>
      <c r="AH285" s="1089" t="s">
        <v>5322</v>
      </c>
      <c r="AI285" s="2112" t="s">
        <v>5323</v>
      </c>
      <c r="AJ285" s="1089" t="s">
        <v>5324</v>
      </c>
      <c r="AK285" s="2112" t="s">
        <v>5325</v>
      </c>
      <c r="AL285" s="2113" t="s">
        <v>5326</v>
      </c>
      <c r="AM285" s="1089" t="s">
        <v>5327</v>
      </c>
      <c r="AN285" s="1089" t="s">
        <v>5328</v>
      </c>
      <c r="AO285" s="1089" t="s">
        <v>5329</v>
      </c>
      <c r="AP285" s="1089" t="s">
        <v>5330</v>
      </c>
      <c r="AQ285" t="str">
        <f t="shared" si="164"/>
        <v xml:space="preserve">  * La variable Pueblos originarios No puede ser mayor al Total.  * La variable Migrantes No puede ser mayor al Total.  * La variable Niños, Niñas, adolescentes y Jóvenes SENAME No puede ser mayor al Total.  * La variable Niños, Niñas, adolescentes y Jóvenes Mejor Niñez No puede ser mayor al Total.</v>
      </c>
      <c r="BR285" s="2465" t="str">
        <f t="shared" si="165"/>
        <v xml:space="preserve">  * La variable Pueblos originarios No puede ser mayor al Total.</v>
      </c>
      <c r="BS285" s="2465" t="str">
        <f t="shared" si="166"/>
        <v xml:space="preserve">  * La variable Migrantes No puede ser mayor al Total.</v>
      </c>
      <c r="BT285" s="2465" t="str">
        <f t="shared" si="167"/>
        <v xml:space="preserve">  * La variable Niños, Niñas, adolescentes y Jóvenes SENAME No puede ser mayor al Total.</v>
      </c>
      <c r="BU285" s="2465" t="str">
        <f t="shared" si="168"/>
        <v xml:space="preserve">  * La variable Niños, Niñas, adolescentes y Jóvenes Mejor Niñez No puede ser mayor al Total.</v>
      </c>
      <c r="BV285"/>
      <c r="BW285"/>
      <c r="BX285"/>
      <c r="BY285"/>
      <c r="CA285"/>
      <c r="CB285"/>
      <c r="CC285" s="1725">
        <f t="shared" si="169"/>
        <v>1</v>
      </c>
      <c r="CD285" s="1725">
        <f t="shared" si="170"/>
        <v>1</v>
      </c>
      <c r="CE285" s="1725">
        <f t="shared" si="171"/>
        <v>1</v>
      </c>
      <c r="CF285" s="1725">
        <f t="shared" si="172"/>
        <v>1</v>
      </c>
    </row>
    <row r="286" spans="1:88" x14ac:dyDescent="0.3">
      <c r="A286" s="6233" t="s">
        <v>4481</v>
      </c>
      <c r="B286" s="6965"/>
      <c r="C286" s="2149" t="s">
        <v>31</v>
      </c>
      <c r="D286" s="39" t="s">
        <v>5292</v>
      </c>
      <c r="E286" s="40" t="s">
        <v>5293</v>
      </c>
      <c r="F286" s="37" t="s">
        <v>5294</v>
      </c>
      <c r="G286" s="3" t="s">
        <v>5295</v>
      </c>
      <c r="H286" s="12" t="s">
        <v>5296</v>
      </c>
      <c r="I286" s="3" t="s">
        <v>5297</v>
      </c>
      <c r="J286" s="12" t="s">
        <v>5298</v>
      </c>
      <c r="K286" s="3" t="s">
        <v>5299</v>
      </c>
      <c r="L286" s="12" t="s">
        <v>5300</v>
      </c>
      <c r="M286" s="3" t="s">
        <v>5301</v>
      </c>
      <c r="N286" s="12" t="s">
        <v>5302</v>
      </c>
      <c r="O286" s="3" t="s">
        <v>5303</v>
      </c>
      <c r="P286" s="12" t="s">
        <v>5304</v>
      </c>
      <c r="Q286" s="3" t="s">
        <v>5305</v>
      </c>
      <c r="R286" s="12" t="s">
        <v>5306</v>
      </c>
      <c r="S286" s="3" t="s">
        <v>5307</v>
      </c>
      <c r="T286" s="12" t="s">
        <v>5308</v>
      </c>
      <c r="U286" s="3" t="s">
        <v>5309</v>
      </c>
      <c r="V286" s="12" t="s">
        <v>5310</v>
      </c>
      <c r="W286" s="3" t="s">
        <v>5311</v>
      </c>
      <c r="X286" s="12" t="s">
        <v>5312</v>
      </c>
      <c r="Y286" s="3" t="s">
        <v>5313</v>
      </c>
      <c r="Z286" s="12" t="s">
        <v>5314</v>
      </c>
      <c r="AA286" s="3" t="s">
        <v>5315</v>
      </c>
      <c r="AB286" s="12" t="s">
        <v>5316</v>
      </c>
      <c r="AC286" s="3" t="s">
        <v>5317</v>
      </c>
      <c r="AD286" s="12" t="s">
        <v>5318</v>
      </c>
      <c r="AE286" s="3" t="s">
        <v>5319</v>
      </c>
      <c r="AF286" s="12" t="s">
        <v>5320</v>
      </c>
      <c r="AG286" s="3" t="s">
        <v>5321</v>
      </c>
      <c r="AH286" s="12" t="s">
        <v>5322</v>
      </c>
      <c r="AI286" s="3" t="s">
        <v>5323</v>
      </c>
      <c r="AJ286" s="12" t="s">
        <v>5324</v>
      </c>
      <c r="AK286" s="3" t="s">
        <v>5325</v>
      </c>
      <c r="AL286" s="1698" t="s">
        <v>5326</v>
      </c>
      <c r="AM286" s="12" t="s">
        <v>5327</v>
      </c>
      <c r="AN286" s="12" t="s">
        <v>5328</v>
      </c>
      <c r="AO286" s="12" t="s">
        <v>5329</v>
      </c>
      <c r="AP286" s="12" t="s">
        <v>5330</v>
      </c>
      <c r="AQ286" t="str">
        <f t="shared" si="164"/>
        <v xml:space="preserve">  * La variable Pueblos originarios No puede ser mayor al Total.  * La variable Migrantes No puede ser mayor al Total.  * La variable Niños, Niñas, adolescentes y Jóvenes SENAME No puede ser mayor al Total.  * La variable Niños, Niñas, adolescentes y Jóvenes Mejor Niñez No puede ser mayor al Total.</v>
      </c>
      <c r="BR286" s="2465" t="str">
        <f t="shared" si="165"/>
        <v xml:space="preserve">  * La variable Pueblos originarios No puede ser mayor al Total.</v>
      </c>
      <c r="BS286" s="2465" t="str">
        <f t="shared" si="166"/>
        <v xml:space="preserve">  * La variable Migrantes No puede ser mayor al Total.</v>
      </c>
      <c r="BT286" s="2465" t="str">
        <f t="shared" si="167"/>
        <v xml:space="preserve">  * La variable Niños, Niñas, adolescentes y Jóvenes SENAME No puede ser mayor al Total.</v>
      </c>
      <c r="BU286" s="2465" t="str">
        <f t="shared" si="168"/>
        <v xml:space="preserve">  * La variable Niños, Niñas, adolescentes y Jóvenes Mejor Niñez No puede ser mayor al Total.</v>
      </c>
      <c r="BV286"/>
      <c r="BW286"/>
      <c r="BX286"/>
      <c r="BY286"/>
      <c r="CA286"/>
      <c r="CB286"/>
      <c r="CC286" s="1725">
        <f t="shared" si="169"/>
        <v>1</v>
      </c>
      <c r="CD286" s="1725">
        <f t="shared" si="170"/>
        <v>1</v>
      </c>
      <c r="CE286" s="1725">
        <f t="shared" si="171"/>
        <v>1</v>
      </c>
      <c r="CF286" s="1725">
        <f t="shared" si="172"/>
        <v>1</v>
      </c>
    </row>
    <row r="287" spans="1:88" s="17" customFormat="1" ht="18" customHeight="1" x14ac:dyDescent="0.25">
      <c r="B287" s="14" t="s">
        <v>2048</v>
      </c>
      <c r="C287" s="2646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2667"/>
    </row>
    <row r="288" spans="1:88" x14ac:dyDescent="0.3">
      <c r="B288" s="6921" t="s">
        <v>2049</v>
      </c>
      <c r="C288" s="6399"/>
      <c r="D288" s="6927" t="s">
        <v>47</v>
      </c>
      <c r="E288" s="6927"/>
      <c r="F288" s="6927"/>
      <c r="G288" s="6797" t="s">
        <v>30</v>
      </c>
      <c r="H288" s="6966"/>
      <c r="I288" s="6966"/>
      <c r="J288" s="6966"/>
      <c r="K288" s="6966"/>
      <c r="L288" s="6966"/>
      <c r="M288" s="6966"/>
      <c r="N288" s="6966"/>
      <c r="O288" s="6966"/>
      <c r="P288" s="6966"/>
      <c r="Q288" s="6966"/>
      <c r="R288" s="6966"/>
      <c r="S288" s="6966"/>
      <c r="T288" s="6966"/>
      <c r="U288" s="6966"/>
      <c r="V288" s="6966"/>
      <c r="W288" s="6966"/>
      <c r="X288" s="6966"/>
      <c r="Y288" s="6966"/>
      <c r="Z288" s="6966"/>
      <c r="AA288" s="6966"/>
      <c r="AB288" s="6966"/>
      <c r="AC288" s="6966"/>
      <c r="AD288" s="6966"/>
      <c r="AE288" s="6966"/>
      <c r="AF288" s="6966"/>
      <c r="AG288" s="6966"/>
      <c r="AH288" s="6966"/>
      <c r="AI288" s="6966"/>
      <c r="AJ288" s="6966"/>
      <c r="AK288" s="6966"/>
      <c r="AL288" s="6966"/>
      <c r="AM288" s="6966"/>
      <c r="AN288" s="6967"/>
      <c r="AO288" s="6922" t="s">
        <v>1468</v>
      </c>
      <c r="AP288" s="6922"/>
      <c r="AQ288" s="6915"/>
      <c r="AR288" s="6921" t="s">
        <v>48</v>
      </c>
      <c r="AS288" s="6399"/>
      <c r="AT288" s="6895" t="s">
        <v>2</v>
      </c>
      <c r="AU288" s="6895" t="s">
        <v>3</v>
      </c>
      <c r="AV288" s="6399" t="s">
        <v>49</v>
      </c>
      <c r="AW288" s="6399" t="s">
        <v>45</v>
      </c>
      <c r="BR288"/>
      <c r="BS288"/>
      <c r="BT288"/>
      <c r="BU288"/>
      <c r="BV288"/>
      <c r="BW288"/>
      <c r="BX288"/>
      <c r="BY288"/>
      <c r="CA288"/>
      <c r="CB288"/>
      <c r="CC288"/>
    </row>
    <row r="289" spans="1:87" x14ac:dyDescent="0.3">
      <c r="B289" s="6830"/>
      <c r="C289" s="6831"/>
      <c r="D289" s="6927"/>
      <c r="E289" s="6927"/>
      <c r="F289" s="6927"/>
      <c r="G289" s="6927" t="s">
        <v>36</v>
      </c>
      <c r="H289" s="6927"/>
      <c r="I289" s="6927" t="s">
        <v>37</v>
      </c>
      <c r="J289" s="6927"/>
      <c r="K289" s="6927" t="s">
        <v>38</v>
      </c>
      <c r="L289" s="6927"/>
      <c r="M289" s="6927" t="s">
        <v>4</v>
      </c>
      <c r="N289" s="6927"/>
      <c r="O289" s="6797" t="s">
        <v>5</v>
      </c>
      <c r="P289" s="6798"/>
      <c r="Q289" s="6799" t="s">
        <v>6</v>
      </c>
      <c r="R289" s="6799"/>
      <c r="S289" s="6799" t="s">
        <v>7</v>
      </c>
      <c r="T289" s="6799"/>
      <c r="U289" s="6799" t="s">
        <v>8</v>
      </c>
      <c r="V289" s="6799"/>
      <c r="W289" s="6799" t="s">
        <v>9</v>
      </c>
      <c r="X289" s="6799"/>
      <c r="Y289" s="6799" t="s">
        <v>10</v>
      </c>
      <c r="Z289" s="6799"/>
      <c r="AA289" s="6799" t="s">
        <v>11</v>
      </c>
      <c r="AB289" s="6799"/>
      <c r="AC289" s="6799" t="s">
        <v>18</v>
      </c>
      <c r="AD289" s="6799"/>
      <c r="AE289" s="6799" t="s">
        <v>19</v>
      </c>
      <c r="AF289" s="6799"/>
      <c r="AG289" s="6799" t="s">
        <v>20</v>
      </c>
      <c r="AH289" s="6799"/>
      <c r="AI289" s="6799" t="s">
        <v>70</v>
      </c>
      <c r="AJ289" s="6799"/>
      <c r="AK289" s="6799" t="s">
        <v>71</v>
      </c>
      <c r="AL289" s="6799"/>
      <c r="AM289" s="6799" t="s">
        <v>32</v>
      </c>
      <c r="AN289" s="6963"/>
      <c r="AO289" s="6968" t="s">
        <v>50</v>
      </c>
      <c r="AP289" s="6968" t="s">
        <v>2050</v>
      </c>
      <c r="AQ289" s="6399" t="s">
        <v>2051</v>
      </c>
      <c r="AR289" s="6909"/>
      <c r="AS289" s="6796"/>
      <c r="AT289" s="6900"/>
      <c r="AU289" s="6900"/>
      <c r="AV289" s="6831"/>
      <c r="AW289" s="6831"/>
      <c r="BR289"/>
      <c r="BS289"/>
      <c r="BT289"/>
      <c r="BU289"/>
      <c r="BV289"/>
      <c r="BW289"/>
      <c r="BX289"/>
      <c r="BY289"/>
      <c r="CA289"/>
      <c r="CB289"/>
      <c r="CC289"/>
    </row>
    <row r="290" spans="1:87" ht="21.75" customHeight="1" x14ac:dyDescent="0.3">
      <c r="B290" s="6909"/>
      <c r="C290" s="6796"/>
      <c r="D290" s="2665" t="s">
        <v>26</v>
      </c>
      <c r="E290" s="2666" t="s">
        <v>22</v>
      </c>
      <c r="F290" s="2689" t="s">
        <v>27</v>
      </c>
      <c r="G290" s="2665" t="s">
        <v>51</v>
      </c>
      <c r="H290" s="2710" t="s">
        <v>27</v>
      </c>
      <c r="I290" s="2665" t="s">
        <v>51</v>
      </c>
      <c r="J290" s="2710" t="s">
        <v>27</v>
      </c>
      <c r="K290" s="2665" t="s">
        <v>51</v>
      </c>
      <c r="L290" s="2710" t="s">
        <v>27</v>
      </c>
      <c r="M290" s="2665" t="s">
        <v>51</v>
      </c>
      <c r="N290" s="2710" t="s">
        <v>27</v>
      </c>
      <c r="O290" s="2665" t="s">
        <v>51</v>
      </c>
      <c r="P290" s="2710" t="s">
        <v>27</v>
      </c>
      <c r="Q290" s="2665" t="s">
        <v>51</v>
      </c>
      <c r="R290" s="2710" t="s">
        <v>27</v>
      </c>
      <c r="S290" s="2665" t="s">
        <v>51</v>
      </c>
      <c r="T290" s="2710" t="s">
        <v>27</v>
      </c>
      <c r="U290" s="2665" t="s">
        <v>51</v>
      </c>
      <c r="V290" s="2710" t="s">
        <v>27</v>
      </c>
      <c r="W290" s="2665" t="s">
        <v>51</v>
      </c>
      <c r="X290" s="2710" t="s">
        <v>27</v>
      </c>
      <c r="Y290" s="2665" t="s">
        <v>51</v>
      </c>
      <c r="Z290" s="2710" t="s">
        <v>27</v>
      </c>
      <c r="AA290" s="2665" t="s">
        <v>51</v>
      </c>
      <c r="AB290" s="2710" t="s">
        <v>27</v>
      </c>
      <c r="AC290" s="2665" t="s">
        <v>51</v>
      </c>
      <c r="AD290" s="2710" t="s">
        <v>27</v>
      </c>
      <c r="AE290" s="2665" t="s">
        <v>51</v>
      </c>
      <c r="AF290" s="2710" t="s">
        <v>27</v>
      </c>
      <c r="AG290" s="2665" t="s">
        <v>51</v>
      </c>
      <c r="AH290" s="2710" t="s">
        <v>27</v>
      </c>
      <c r="AI290" s="2665" t="s">
        <v>51</v>
      </c>
      <c r="AJ290" s="2710" t="s">
        <v>27</v>
      </c>
      <c r="AK290" s="2665" t="s">
        <v>51</v>
      </c>
      <c r="AL290" s="2710" t="s">
        <v>27</v>
      </c>
      <c r="AM290" s="2665" t="s">
        <v>51</v>
      </c>
      <c r="AN290" s="2686" t="s">
        <v>27</v>
      </c>
      <c r="AO290" s="6969"/>
      <c r="AP290" s="6969"/>
      <c r="AQ290" s="6796"/>
      <c r="AR290" s="2665" t="s">
        <v>41</v>
      </c>
      <c r="AS290" s="2638" t="s">
        <v>42</v>
      </c>
      <c r="AT290" s="6896"/>
      <c r="AU290" s="6896"/>
      <c r="AV290" s="6796"/>
      <c r="AW290" s="6796"/>
      <c r="BR290"/>
      <c r="BS290"/>
      <c r="BT290"/>
      <c r="BU290"/>
      <c r="BV290"/>
      <c r="BW290"/>
      <c r="BX290"/>
      <c r="BY290"/>
      <c r="CA290"/>
      <c r="CB290"/>
      <c r="CC290"/>
    </row>
    <row r="291" spans="1:87" s="17" customFormat="1" ht="18" customHeight="1" x14ac:dyDescent="0.25">
      <c r="A291" s="6256"/>
      <c r="B291" s="6970" t="s">
        <v>2052</v>
      </c>
      <c r="C291" s="6971"/>
      <c r="D291" s="4445">
        <f>SUM(E291+F291)</f>
        <v>0</v>
      </c>
      <c r="E291" s="4446">
        <f>SUM(G291+I291+K291+M291+O291+Q291+S291+U291+W291+Y291+AA291+AC291+AE291+AG291+AI291+AK291+AM291)</f>
        <v>0</v>
      </c>
      <c r="F291" s="4447">
        <f>SUM(H291+J291+L291+N291+P291+R291+T291+V291+X291+Z291+AB291+AD291+AF291+AH291+AJ291+AL291+AN291)</f>
        <v>0</v>
      </c>
      <c r="G291" s="4445">
        <f>SUM(G301:G309)</f>
        <v>0</v>
      </c>
      <c r="H291" s="4448">
        <f>SUM(H301:H309)</f>
        <v>0</v>
      </c>
      <c r="I291" s="4445">
        <f>SUM(I301:I309)</f>
        <v>0</v>
      </c>
      <c r="J291" s="4448">
        <f>SUM(J301:J309)</f>
        <v>0</v>
      </c>
      <c r="K291" s="4445">
        <f>SUM(K301:K309)</f>
        <v>0</v>
      </c>
      <c r="L291" s="4448">
        <f>SUM(L292:L309)</f>
        <v>0</v>
      </c>
      <c r="M291" s="4445">
        <f>SUM(M301:M309)</f>
        <v>0</v>
      </c>
      <c r="N291" s="4448">
        <f>SUM(N292:N309)</f>
        <v>0</v>
      </c>
      <c r="O291" s="4445">
        <f>SUM(O301:O309)</f>
        <v>0</v>
      </c>
      <c r="P291" s="4448">
        <f>SUM(P292:P309)</f>
        <v>0</v>
      </c>
      <c r="Q291" s="4445">
        <f>SUM(Q301:Q309)</f>
        <v>0</v>
      </c>
      <c r="R291" s="4448">
        <f>SUM(R292:R309)</f>
        <v>0</v>
      </c>
      <c r="S291" s="4445">
        <f>SUM(S301:S309)</f>
        <v>0</v>
      </c>
      <c r="T291" s="4448">
        <f>SUM(T292:T309)</f>
        <v>0</v>
      </c>
      <c r="U291" s="4445">
        <f>SUM(U301:U309)</f>
        <v>0</v>
      </c>
      <c r="V291" s="4448">
        <f>SUM(V292:V309)</f>
        <v>0</v>
      </c>
      <c r="W291" s="4445">
        <f>SUM(W301:W309)</f>
        <v>0</v>
      </c>
      <c r="X291" s="4448">
        <f>SUM(X292:X309)</f>
        <v>0</v>
      </c>
      <c r="Y291" s="4445">
        <f>SUM(Y301:Y309)</f>
        <v>0</v>
      </c>
      <c r="Z291" s="4448">
        <f>SUM(Z292:Z309)</f>
        <v>0</v>
      </c>
      <c r="AA291" s="4445">
        <f>SUM(AA301:AA309)</f>
        <v>0</v>
      </c>
      <c r="AB291" s="4448">
        <f>SUM(AB292:AB309)</f>
        <v>0</v>
      </c>
      <c r="AC291" s="4445">
        <f t="shared" ref="AC291:AN291" si="173">SUM(AC301:AC309)</f>
        <v>0</v>
      </c>
      <c r="AD291" s="4448">
        <f>SUM(AD292:AD309)</f>
        <v>0</v>
      </c>
      <c r="AE291" s="4445">
        <f t="shared" si="173"/>
        <v>0</v>
      </c>
      <c r="AF291" s="4448">
        <f t="shared" si="173"/>
        <v>0</v>
      </c>
      <c r="AG291" s="4445">
        <f t="shared" si="173"/>
        <v>0</v>
      </c>
      <c r="AH291" s="4448">
        <f t="shared" si="173"/>
        <v>0</v>
      </c>
      <c r="AI291" s="4445">
        <f t="shared" si="173"/>
        <v>0</v>
      </c>
      <c r="AJ291" s="4448">
        <f t="shared" si="173"/>
        <v>0</v>
      </c>
      <c r="AK291" s="4445">
        <f t="shared" si="173"/>
        <v>0</v>
      </c>
      <c r="AL291" s="4448">
        <f t="shared" si="173"/>
        <v>0</v>
      </c>
      <c r="AM291" s="4445">
        <f>SUM(AM301:AM309)</f>
        <v>0</v>
      </c>
      <c r="AN291" s="4449">
        <f t="shared" si="173"/>
        <v>0</v>
      </c>
      <c r="AO291" s="4450">
        <f t="shared" ref="AO291:AV291" si="174">SUM(AO292:AO309)</f>
        <v>0</v>
      </c>
      <c r="AP291" s="4450">
        <f t="shared" si="174"/>
        <v>0</v>
      </c>
      <c r="AQ291" s="4451">
        <f t="shared" si="174"/>
        <v>0</v>
      </c>
      <c r="AR291" s="4445">
        <f t="shared" si="174"/>
        <v>0</v>
      </c>
      <c r="AS291" s="4451">
        <f t="shared" si="174"/>
        <v>0</v>
      </c>
      <c r="AT291" s="4452">
        <f t="shared" si="174"/>
        <v>0</v>
      </c>
      <c r="AU291" s="4452">
        <f t="shared" si="174"/>
        <v>0</v>
      </c>
      <c r="AV291" s="4447">
        <f t="shared" si="174"/>
        <v>0</v>
      </c>
      <c r="AW291" s="4447">
        <f>SUM(AW292:AW309)</f>
        <v>0</v>
      </c>
    </row>
    <row r="292" spans="1:87" ht="15" customHeight="1" x14ac:dyDescent="0.3">
      <c r="A292" s="6248" t="s">
        <v>4482</v>
      </c>
      <c r="B292" s="6972" t="s">
        <v>39</v>
      </c>
      <c r="C292" s="1699" t="s">
        <v>2053</v>
      </c>
      <c r="D292" s="2189" t="s">
        <v>5292</v>
      </c>
      <c r="E292" s="4441" t="s">
        <v>5293</v>
      </c>
      <c r="F292" s="4442" t="s">
        <v>5294</v>
      </c>
      <c r="G292" s="2295" t="s">
        <v>5295</v>
      </c>
      <c r="H292" s="2296" t="s">
        <v>5296</v>
      </c>
      <c r="I292" s="2296" t="s">
        <v>5297</v>
      </c>
      <c r="J292" s="2296" t="s">
        <v>5298</v>
      </c>
      <c r="K292" s="4443" t="s">
        <v>5299</v>
      </c>
      <c r="L292" s="4407" t="s">
        <v>5300</v>
      </c>
      <c r="M292" s="4444" t="s">
        <v>5301</v>
      </c>
      <c r="N292" s="4407" t="s">
        <v>5302</v>
      </c>
      <c r="O292" s="4444" t="s">
        <v>5303</v>
      </c>
      <c r="P292" s="4407" t="s">
        <v>5304</v>
      </c>
      <c r="Q292" s="4444" t="s">
        <v>5305</v>
      </c>
      <c r="R292" s="4407" t="s">
        <v>5306</v>
      </c>
      <c r="S292" s="4444" t="s">
        <v>5307</v>
      </c>
      <c r="T292" s="4407" t="s">
        <v>5308</v>
      </c>
      <c r="U292" s="4444" t="s">
        <v>5309</v>
      </c>
      <c r="V292" s="4407" t="s">
        <v>5310</v>
      </c>
      <c r="W292" s="4444" t="s">
        <v>5311</v>
      </c>
      <c r="X292" s="4407" t="s">
        <v>5312</v>
      </c>
      <c r="Y292" s="4444" t="s">
        <v>5313</v>
      </c>
      <c r="Z292" s="4407" t="s">
        <v>5314</v>
      </c>
      <c r="AA292" s="4444" t="s">
        <v>5315</v>
      </c>
      <c r="AB292" s="4407" t="s">
        <v>5316</v>
      </c>
      <c r="AC292" s="4444" t="s">
        <v>5317</v>
      </c>
      <c r="AD292" s="4407" t="s">
        <v>5318</v>
      </c>
      <c r="AE292" s="2295" t="s">
        <v>5319</v>
      </c>
      <c r="AF292" s="2296" t="s">
        <v>5320</v>
      </c>
      <c r="AG292" s="2296" t="s">
        <v>5321</v>
      </c>
      <c r="AH292" s="2296" t="s">
        <v>5322</v>
      </c>
      <c r="AI292" s="2296" t="s">
        <v>5323</v>
      </c>
      <c r="AJ292" s="2296" t="s">
        <v>5324</v>
      </c>
      <c r="AK292" s="2296" t="s">
        <v>5325</v>
      </c>
      <c r="AL292" s="2296" t="s">
        <v>5326</v>
      </c>
      <c r="AM292" s="2296" t="s">
        <v>5327</v>
      </c>
      <c r="AN292" s="2297" t="s">
        <v>5328</v>
      </c>
      <c r="AO292" s="1102" t="s">
        <v>5329</v>
      </c>
      <c r="AP292" s="1102" t="s">
        <v>5330</v>
      </c>
      <c r="AQ292" s="4407" t="s">
        <v>5331</v>
      </c>
      <c r="AR292" s="2112" t="s">
        <v>5332</v>
      </c>
      <c r="AS292" s="2296" t="s">
        <v>5333</v>
      </c>
      <c r="AT292" s="1693" t="s">
        <v>5334</v>
      </c>
      <c r="AU292" s="1693" t="s">
        <v>5335</v>
      </c>
      <c r="AV292" s="4407" t="s">
        <v>5336</v>
      </c>
      <c r="AW292" s="4407" t="s">
        <v>5337</v>
      </c>
      <c r="AX292" t="e">
        <f>BR292&amp;BS292&amp;BT292&amp;BU292&amp;BV292&amp;BW292&amp;BX292</f>
        <v>#VALUE!</v>
      </c>
      <c r="BR292" s="2465" t="e">
        <f>IF((AP292+AQ292)&gt;AO292," * Los Egresos Por Alta + Egresos Por Abandono no pueden ser mayor que el Total de Egresos.","")</f>
        <v>#VALUE!</v>
      </c>
      <c r="BS292" s="1723" t="str">
        <f>IF(AND(F292&gt;0,OR(AR292=""))," * No olvide digitar la variable Trans (Masculino). Digite Cero si no tiene.",IF(AR292&gt;F292,"  * La variable Trans (Masculino) No puede ser mayor al Total Mujeres.",""))</f>
        <v xml:space="preserve">  * La variable Trans (Masculino) No puede ser mayor al Total Mujeres.</v>
      </c>
      <c r="BT292" s="1725"/>
      <c r="BU292" s="1723" t="str">
        <f>IF(AND(D292&gt;0,AT292=""), " * No olvide digitar la variable Pueblos originarios. Digite Cero si no tiene.",IF(AT292&gt;D292,"  * La variable Pueblos originarios No puede ser mayor al Total.",""))</f>
        <v xml:space="preserve">  * La variable Pueblos originarios No puede ser mayor al Total.</v>
      </c>
      <c r="BV292" s="1723" t="str">
        <f>IF(AND(D292&gt;0,AU292=""), " * No olvide digitar la variable Migrantes. Digite Cero si no tiene.",IF(AU292&gt;D292,"  * La variable Migrantes No puede ser mayor al Total.",""))</f>
        <v xml:space="preserve">  * La variable Migrantes No puede ser mayor al Total.</v>
      </c>
      <c r="BW292" s="1723" t="str">
        <f>IF(AND(D292&gt;0,AV292=""), " * No olvide digitar la variable Niños, Niñas, adolescentes y jóvenes SENAME. Digite Cero si no tiene.",IF(AV292&gt;D292,"  * La variable Niños, Niñas, adolescentes y jóvenes SENAME No puede ser mayor al Total.",""))</f>
        <v xml:space="preserve">  * La variable Niños, Niñas, adolescentes y jóvenes SENAME No puede ser mayor al Total.</v>
      </c>
      <c r="BX292" s="1723" t="str">
        <f>IF(AND(D292&gt;0,AW292=""), " * No olvide digitar la variable Niños, Niñas, adolescentes y jóvenes Mejor Niñez. Digite Cero si no tiene.",IF(AW292&gt;D292,"  * La variable Niños, Niñas, adolescentes y jóvenes Mejor Niñez No puede ser mayor al Total.",""))</f>
        <v xml:space="preserve">  * La variable Niños, Niñas, adolescentes y jóvenes Mejor Niñez No puede ser mayor al Total.</v>
      </c>
      <c r="BY292"/>
      <c r="CA292"/>
      <c r="CB292"/>
      <c r="CC292" s="1725" t="e">
        <f>IF((AP292+AQ292)&gt;AO292,1,0)</f>
        <v>#VALUE!</v>
      </c>
      <c r="CD292" s="1725">
        <f>IF(AND(F292&gt;0,OR(AR292="")),1,IF(AR292&gt;F292,1,0))</f>
        <v>1</v>
      </c>
      <c r="CE292" s="1723"/>
      <c r="CF292" s="1725">
        <f>IF(AND(D292&gt;0,AT292=""),1,IF(AT292&gt;D292,1,0))</f>
        <v>1</v>
      </c>
      <c r="CG292" s="1725">
        <f>IF(AND(D292&gt;0,AU292=""),1,IF(AU292&gt;D292,1,0))</f>
        <v>1</v>
      </c>
      <c r="CH292" s="1725">
        <f>IF(AND(D292&gt;0,AV292=""),1,IF(AV292&gt;D292,1,0))</f>
        <v>1</v>
      </c>
      <c r="CI292" s="1725">
        <f>IF(AND(D292&gt;0,AW292=""),1,IF(AW292&gt;D292,1,0))</f>
        <v>1</v>
      </c>
    </row>
    <row r="293" spans="1:87" ht="15" customHeight="1" x14ac:dyDescent="0.3">
      <c r="A293" s="6248" t="s">
        <v>4483</v>
      </c>
      <c r="B293" s="6972"/>
      <c r="C293" s="1521" t="s">
        <v>2054</v>
      </c>
      <c r="D293" s="2167" t="s">
        <v>5292</v>
      </c>
      <c r="E293" s="2337" t="s">
        <v>5293</v>
      </c>
      <c r="F293" s="1" t="s">
        <v>5294</v>
      </c>
      <c r="G293" s="2295" t="s">
        <v>5295</v>
      </c>
      <c r="H293" s="2296" t="s">
        <v>5296</v>
      </c>
      <c r="I293" s="2296" t="s">
        <v>5297</v>
      </c>
      <c r="J293" s="2296" t="s">
        <v>5298</v>
      </c>
      <c r="K293" s="2338" t="s">
        <v>5299</v>
      </c>
      <c r="L293" s="1089" t="s">
        <v>5300</v>
      </c>
      <c r="M293" s="2339" t="s">
        <v>5301</v>
      </c>
      <c r="N293" s="1089" t="s">
        <v>5302</v>
      </c>
      <c r="O293" s="2339" t="s">
        <v>5303</v>
      </c>
      <c r="P293" s="1089" t="s">
        <v>5304</v>
      </c>
      <c r="Q293" s="2339" t="s">
        <v>5305</v>
      </c>
      <c r="R293" s="1089" t="s">
        <v>5306</v>
      </c>
      <c r="S293" s="2339" t="s">
        <v>5307</v>
      </c>
      <c r="T293" s="1089" t="s">
        <v>5308</v>
      </c>
      <c r="U293" s="2339" t="s">
        <v>5309</v>
      </c>
      <c r="V293" s="1089" t="s">
        <v>5310</v>
      </c>
      <c r="W293" s="2339" t="s">
        <v>5311</v>
      </c>
      <c r="X293" s="1089" t="s">
        <v>5312</v>
      </c>
      <c r="Y293" s="2339" t="s">
        <v>5313</v>
      </c>
      <c r="Z293" s="1089" t="s">
        <v>5314</v>
      </c>
      <c r="AA293" s="2339" t="s">
        <v>5315</v>
      </c>
      <c r="AB293" s="1089" t="s">
        <v>5316</v>
      </c>
      <c r="AC293" s="2339" t="s">
        <v>5317</v>
      </c>
      <c r="AD293" s="1089" t="s">
        <v>5318</v>
      </c>
      <c r="AE293" s="2295" t="s">
        <v>5319</v>
      </c>
      <c r="AF293" s="2296" t="s">
        <v>5320</v>
      </c>
      <c r="AG293" s="2296" t="s">
        <v>5321</v>
      </c>
      <c r="AH293" s="2296" t="s">
        <v>5322</v>
      </c>
      <c r="AI293" s="2296" t="s">
        <v>5323</v>
      </c>
      <c r="AJ293" s="2296" t="s">
        <v>5324</v>
      </c>
      <c r="AK293" s="2296" t="s">
        <v>5325</v>
      </c>
      <c r="AL293" s="2296" t="s">
        <v>5326</v>
      </c>
      <c r="AM293" s="2296" t="s">
        <v>5327</v>
      </c>
      <c r="AN293" s="2297" t="s">
        <v>5328</v>
      </c>
      <c r="AO293" s="1102" t="s">
        <v>5329</v>
      </c>
      <c r="AP293" s="1102" t="s">
        <v>5330</v>
      </c>
      <c r="AQ293" s="1089" t="s">
        <v>5331</v>
      </c>
      <c r="AR293" s="2112" t="s">
        <v>5332</v>
      </c>
      <c r="AS293" s="2296" t="s">
        <v>5333</v>
      </c>
      <c r="AT293" s="1693" t="s">
        <v>5334</v>
      </c>
      <c r="AU293" s="1693" t="s">
        <v>5335</v>
      </c>
      <c r="AV293" s="1089" t="s">
        <v>5336</v>
      </c>
      <c r="AW293" s="1089" t="s">
        <v>5337</v>
      </c>
      <c r="AX293" t="e">
        <f t="shared" ref="AX293:AX309" si="175">BR293&amp;BS293&amp;BT293&amp;BU293&amp;BV293&amp;BW293&amp;BX293</f>
        <v>#VALUE!</v>
      </c>
      <c r="BR293" s="2465" t="e">
        <f t="shared" ref="BR293:BR309" si="176">IF((AP293+AQ293)&gt;AO293," * Los Egresos Por Alta + Egresos Por Abandono no pueden ser mayor que el Total de Egresos.","")</f>
        <v>#VALUE!</v>
      </c>
      <c r="BS293" s="1723" t="str">
        <f t="shared" ref="BS293:BS309" si="177">IF(AND(F293&gt;0,OR(AR293=""))," * No olvide digitar la variable Trans (Masculino). Digite Cero si no tiene.",IF(AR293&gt;F293,"  * La variable Trans (Masculino) No puede ser mayor al Total Mujeres.",""))</f>
        <v xml:space="preserve">  * La variable Trans (Masculino) No puede ser mayor al Total Mujeres.</v>
      </c>
      <c r="BT293" s="1725"/>
      <c r="BU293" s="1723" t="str">
        <f t="shared" ref="BU293:BU300" si="178">IF(AND(D293&gt;0,AT293=""), " * No olvide digitar la variable Pueblos originarios. Digite Cero si no tiene.",IF(AT293&gt;D293,"  * La variable Pueblos originarios No puede ser mayor al Total.",""))</f>
        <v xml:space="preserve">  * La variable Pueblos originarios No puede ser mayor al Total.</v>
      </c>
      <c r="BV293" s="1723" t="str">
        <f t="shared" ref="BV293:BV300" si="179">IF(AND(D293&gt;0,AU293=""), " * No olvide digitar la variable Migrantes. Digite Cero si no tiene.",IF(AU293&gt;D293,"  * La variable Migrantes No puede ser mayor al Total.",""))</f>
        <v xml:space="preserve">  * La variable Migrantes No puede ser mayor al Total.</v>
      </c>
      <c r="BW293" s="1723" t="str">
        <f t="shared" ref="BW293:BW300" si="180">IF(AND(D293&gt;0,AV293=""), " * No olvide digitar la variable Niños, Niñas, adolescentes y jóvenes SENAME. Digite Cero si no tiene.",IF(AV293&gt;D293,"  * La variable Niños, Niñas, adolescentes y jóvenes SENAME No puede ser mayor al Total.",""))</f>
        <v xml:space="preserve">  * La variable Niños, Niñas, adolescentes y jóvenes SENAME No puede ser mayor al Total.</v>
      </c>
      <c r="BX293" s="1723" t="str">
        <f t="shared" ref="BX293:BX300" si="181">IF(AND(D293&gt;0,AW293=""), " * No olvide digitar la variable Niños, Niñas, adolescentes y jóvenes Mejor Niñez. Digite Cero si no tiene.",IF(AW293&gt;D293,"  * La variable Niños, Niñas, adolescentes y jóvenes Mejor Niñez No puede ser mayor al Total.",""))</f>
        <v xml:space="preserve">  * La variable Niños, Niñas, adolescentes y jóvenes Mejor Niñez No puede ser mayor al Total.</v>
      </c>
      <c r="BY293"/>
      <c r="CA293"/>
      <c r="CB293"/>
      <c r="CC293" s="1725" t="e">
        <f t="shared" ref="CC293:CC309" si="182">IF((AP293+AQ293)&gt;AO293,1,0)</f>
        <v>#VALUE!</v>
      </c>
      <c r="CD293" s="1725">
        <f t="shared" ref="CD293:CD309" si="183">IF(AND(F293&gt;0,OR(AR293="")),1,IF(AR293&gt;F293,1,0))</f>
        <v>1</v>
      </c>
      <c r="CE293" s="1723"/>
      <c r="CF293" s="1725">
        <f t="shared" ref="CF293:CF309" si="184">IF(AND(D293&gt;0,AT293=""),1,IF(AT293&gt;D293,1,0))</f>
        <v>1</v>
      </c>
      <c r="CG293" s="1725">
        <f t="shared" ref="CG293:CG309" si="185">IF(AND(D293&gt;0,AU293=""),1,IF(AU293&gt;D293,1,0))</f>
        <v>1</v>
      </c>
      <c r="CH293" s="1725">
        <f t="shared" ref="CH293:CH309" si="186">IF(AND(D293&gt;0,AV293=""),1,IF(AV293&gt;D293,1,0))</f>
        <v>1</v>
      </c>
      <c r="CI293" s="1725">
        <f t="shared" ref="CI293:CI309" si="187">IF(AND(D293&gt;0,AW293=""),1,IF(AW293&gt;D293,1,0))</f>
        <v>1</v>
      </c>
    </row>
    <row r="294" spans="1:87" ht="15" customHeight="1" x14ac:dyDescent="0.3">
      <c r="A294" s="6248" t="s">
        <v>4484</v>
      </c>
      <c r="B294" s="6972"/>
      <c r="C294" s="2340" t="s">
        <v>2055</v>
      </c>
      <c r="D294" s="2167" t="s">
        <v>5292</v>
      </c>
      <c r="E294" s="2337" t="s">
        <v>5293</v>
      </c>
      <c r="F294" s="1" t="s">
        <v>5294</v>
      </c>
      <c r="G294" s="2295" t="s">
        <v>5295</v>
      </c>
      <c r="H294" s="2296" t="s">
        <v>5296</v>
      </c>
      <c r="I294" s="2296" t="s">
        <v>5297</v>
      </c>
      <c r="J294" s="2296" t="s">
        <v>5298</v>
      </c>
      <c r="K294" s="2338" t="s">
        <v>5299</v>
      </c>
      <c r="L294" s="8" t="s">
        <v>5300</v>
      </c>
      <c r="M294" s="2339" t="s">
        <v>5301</v>
      </c>
      <c r="N294" s="8" t="s">
        <v>5302</v>
      </c>
      <c r="O294" s="2339" t="s">
        <v>5303</v>
      </c>
      <c r="P294" s="8" t="s">
        <v>5304</v>
      </c>
      <c r="Q294" s="2339" t="s">
        <v>5305</v>
      </c>
      <c r="R294" s="8" t="s">
        <v>5306</v>
      </c>
      <c r="S294" s="2339" t="s">
        <v>5307</v>
      </c>
      <c r="T294" s="8" t="s">
        <v>5308</v>
      </c>
      <c r="U294" s="2339" t="s">
        <v>5309</v>
      </c>
      <c r="V294" s="8" t="s">
        <v>5310</v>
      </c>
      <c r="W294" s="2339" t="s">
        <v>5311</v>
      </c>
      <c r="X294" s="8" t="s">
        <v>5312</v>
      </c>
      <c r="Y294" s="2339" t="s">
        <v>5313</v>
      </c>
      <c r="Z294" s="8" t="s">
        <v>5314</v>
      </c>
      <c r="AA294" s="2339" t="s">
        <v>5315</v>
      </c>
      <c r="AB294" s="8" t="s">
        <v>5316</v>
      </c>
      <c r="AC294" s="2339" t="s">
        <v>5317</v>
      </c>
      <c r="AD294" s="8" t="s">
        <v>5318</v>
      </c>
      <c r="AE294" s="2295" t="s">
        <v>5319</v>
      </c>
      <c r="AF294" s="2296" t="s">
        <v>5320</v>
      </c>
      <c r="AG294" s="2296" t="s">
        <v>5321</v>
      </c>
      <c r="AH294" s="2296" t="s">
        <v>5322</v>
      </c>
      <c r="AI294" s="2296" t="s">
        <v>5323</v>
      </c>
      <c r="AJ294" s="2296" t="s">
        <v>5324</v>
      </c>
      <c r="AK294" s="2296" t="s">
        <v>5325</v>
      </c>
      <c r="AL294" s="2296" t="s">
        <v>5326</v>
      </c>
      <c r="AM294" s="2296" t="s">
        <v>5327</v>
      </c>
      <c r="AN294" s="2297" t="s">
        <v>5328</v>
      </c>
      <c r="AO294" s="2115" t="s">
        <v>5329</v>
      </c>
      <c r="AP294" s="2115" t="s">
        <v>5330</v>
      </c>
      <c r="AQ294" s="8" t="s">
        <v>5331</v>
      </c>
      <c r="AR294" s="1095" t="s">
        <v>5332</v>
      </c>
      <c r="AS294" s="2296" t="s">
        <v>5333</v>
      </c>
      <c r="AT294" s="1092" t="s">
        <v>5334</v>
      </c>
      <c r="AU294" s="1092" t="s">
        <v>5335</v>
      </c>
      <c r="AV294" s="8" t="s">
        <v>5336</v>
      </c>
      <c r="AW294" s="8" t="s">
        <v>5337</v>
      </c>
      <c r="AX294" t="e">
        <f t="shared" si="175"/>
        <v>#VALUE!</v>
      </c>
      <c r="BR294" s="2465" t="e">
        <f t="shared" si="176"/>
        <v>#VALUE!</v>
      </c>
      <c r="BS294" s="1723" t="str">
        <f t="shared" si="177"/>
        <v xml:space="preserve">  * La variable Trans (Masculino) No puede ser mayor al Total Mujeres.</v>
      </c>
      <c r="BT294" s="1725"/>
      <c r="BU294" s="1723" t="str">
        <f t="shared" si="178"/>
        <v xml:space="preserve">  * La variable Pueblos originarios No puede ser mayor al Total.</v>
      </c>
      <c r="BV294" s="1723" t="str">
        <f t="shared" si="179"/>
        <v xml:space="preserve">  * La variable Migrantes No puede ser mayor al Total.</v>
      </c>
      <c r="BW294" s="1723" t="str">
        <f t="shared" si="180"/>
        <v xml:space="preserve">  * La variable Niños, Niñas, adolescentes y jóvenes SENAME No puede ser mayor al Total.</v>
      </c>
      <c r="BX294" s="1723" t="str">
        <f t="shared" si="181"/>
        <v xml:space="preserve">  * La variable Niños, Niñas, adolescentes y jóvenes Mejor Niñez No puede ser mayor al Total.</v>
      </c>
      <c r="BY294"/>
      <c r="CA294"/>
      <c r="CB294"/>
      <c r="CC294" s="1725" t="e">
        <f t="shared" si="182"/>
        <v>#VALUE!</v>
      </c>
      <c r="CD294" s="1725">
        <f t="shared" si="183"/>
        <v>1</v>
      </c>
      <c r="CE294" s="1723"/>
      <c r="CF294" s="1725">
        <f t="shared" si="184"/>
        <v>1</v>
      </c>
      <c r="CG294" s="1725">
        <f t="shared" si="185"/>
        <v>1</v>
      </c>
      <c r="CH294" s="1725">
        <f t="shared" si="186"/>
        <v>1</v>
      </c>
      <c r="CI294" s="1725">
        <f t="shared" si="187"/>
        <v>1</v>
      </c>
    </row>
    <row r="295" spans="1:87" ht="15" customHeight="1" x14ac:dyDescent="0.3">
      <c r="A295" s="6248" t="s">
        <v>4485</v>
      </c>
      <c r="B295" s="6972"/>
      <c r="C295" s="2340" t="s">
        <v>2056</v>
      </c>
      <c r="D295" s="2167" t="s">
        <v>5292</v>
      </c>
      <c r="E295" s="2337" t="s">
        <v>5293</v>
      </c>
      <c r="F295" s="1" t="s">
        <v>5294</v>
      </c>
      <c r="G295" s="2295" t="s">
        <v>5295</v>
      </c>
      <c r="H295" s="2296" t="s">
        <v>5296</v>
      </c>
      <c r="I295" s="2296" t="s">
        <v>5297</v>
      </c>
      <c r="J295" s="2296" t="s">
        <v>5298</v>
      </c>
      <c r="K295" s="2338" t="s">
        <v>5299</v>
      </c>
      <c r="L295" s="8" t="s">
        <v>5300</v>
      </c>
      <c r="M295" s="2339" t="s">
        <v>5301</v>
      </c>
      <c r="N295" s="8" t="s">
        <v>5302</v>
      </c>
      <c r="O295" s="2339" t="s">
        <v>5303</v>
      </c>
      <c r="P295" s="8" t="s">
        <v>5304</v>
      </c>
      <c r="Q295" s="2339" t="s">
        <v>5305</v>
      </c>
      <c r="R295" s="8" t="s">
        <v>5306</v>
      </c>
      <c r="S295" s="2339" t="s">
        <v>5307</v>
      </c>
      <c r="T295" s="8" t="s">
        <v>5308</v>
      </c>
      <c r="U295" s="2339" t="s">
        <v>5309</v>
      </c>
      <c r="V295" s="8" t="s">
        <v>5310</v>
      </c>
      <c r="W295" s="2339" t="s">
        <v>5311</v>
      </c>
      <c r="X295" s="8" t="s">
        <v>5312</v>
      </c>
      <c r="Y295" s="2339" t="s">
        <v>5313</v>
      </c>
      <c r="Z295" s="8" t="s">
        <v>5314</v>
      </c>
      <c r="AA295" s="2339" t="s">
        <v>5315</v>
      </c>
      <c r="AB295" s="8" t="s">
        <v>5316</v>
      </c>
      <c r="AC295" s="2339" t="s">
        <v>5317</v>
      </c>
      <c r="AD295" s="8" t="s">
        <v>5318</v>
      </c>
      <c r="AE295" s="2295" t="s">
        <v>5319</v>
      </c>
      <c r="AF295" s="2296" t="s">
        <v>5320</v>
      </c>
      <c r="AG295" s="2296" t="s">
        <v>5321</v>
      </c>
      <c r="AH295" s="2296" t="s">
        <v>5322</v>
      </c>
      <c r="AI295" s="2296" t="s">
        <v>5323</v>
      </c>
      <c r="AJ295" s="2296" t="s">
        <v>5324</v>
      </c>
      <c r="AK295" s="2296" t="s">
        <v>5325</v>
      </c>
      <c r="AL295" s="2296" t="s">
        <v>5326</v>
      </c>
      <c r="AM295" s="2296" t="s">
        <v>5327</v>
      </c>
      <c r="AN295" s="2297" t="s">
        <v>5328</v>
      </c>
      <c r="AO295" s="2115" t="s">
        <v>5329</v>
      </c>
      <c r="AP295" s="2115" t="s">
        <v>5330</v>
      </c>
      <c r="AQ295" s="8" t="s">
        <v>5331</v>
      </c>
      <c r="AR295" s="1095" t="s">
        <v>5332</v>
      </c>
      <c r="AS295" s="2296" t="s">
        <v>5333</v>
      </c>
      <c r="AT295" s="1092" t="s">
        <v>5334</v>
      </c>
      <c r="AU295" s="1092" t="s">
        <v>5335</v>
      </c>
      <c r="AV295" s="8" t="s">
        <v>5336</v>
      </c>
      <c r="AW295" s="8" t="s">
        <v>5337</v>
      </c>
      <c r="AX295" t="e">
        <f t="shared" si="175"/>
        <v>#VALUE!</v>
      </c>
      <c r="BR295" s="2465" t="e">
        <f t="shared" si="176"/>
        <v>#VALUE!</v>
      </c>
      <c r="BS295" s="1723" t="str">
        <f t="shared" si="177"/>
        <v xml:space="preserve">  * La variable Trans (Masculino) No puede ser mayor al Total Mujeres.</v>
      </c>
      <c r="BT295" s="1725"/>
      <c r="BU295" s="1723" t="str">
        <f t="shared" si="178"/>
        <v xml:space="preserve">  * La variable Pueblos originarios No puede ser mayor al Total.</v>
      </c>
      <c r="BV295" s="1723" t="str">
        <f t="shared" si="179"/>
        <v xml:space="preserve">  * La variable Migrantes No puede ser mayor al Total.</v>
      </c>
      <c r="BW295" s="1723" t="str">
        <f t="shared" si="180"/>
        <v xml:space="preserve">  * La variable Niños, Niñas, adolescentes y jóvenes SENAME No puede ser mayor al Total.</v>
      </c>
      <c r="BX295" s="1723" t="str">
        <f t="shared" si="181"/>
        <v xml:space="preserve">  * La variable Niños, Niñas, adolescentes y jóvenes Mejor Niñez No puede ser mayor al Total.</v>
      </c>
      <c r="BY295"/>
      <c r="CA295"/>
      <c r="CB295"/>
      <c r="CC295" s="1725" t="e">
        <f t="shared" si="182"/>
        <v>#VALUE!</v>
      </c>
      <c r="CD295" s="1725">
        <f t="shared" si="183"/>
        <v>1</v>
      </c>
      <c r="CE295" s="1723"/>
      <c r="CF295" s="1725">
        <f t="shared" si="184"/>
        <v>1</v>
      </c>
      <c r="CG295" s="1725">
        <f t="shared" si="185"/>
        <v>1</v>
      </c>
      <c r="CH295" s="1725">
        <f t="shared" si="186"/>
        <v>1</v>
      </c>
      <c r="CI295" s="1725">
        <f t="shared" si="187"/>
        <v>1</v>
      </c>
    </row>
    <row r="296" spans="1:87" ht="15" customHeight="1" x14ac:dyDescent="0.3">
      <c r="A296" s="6248" t="s">
        <v>4486</v>
      </c>
      <c r="B296" s="6972"/>
      <c r="C296" s="2340" t="s">
        <v>2057</v>
      </c>
      <c r="D296" s="2167" t="s">
        <v>5292</v>
      </c>
      <c r="E296" s="2337" t="s">
        <v>5293</v>
      </c>
      <c r="F296" s="1" t="s">
        <v>5294</v>
      </c>
      <c r="G296" s="2295" t="s">
        <v>5295</v>
      </c>
      <c r="H296" s="2296" t="s">
        <v>5296</v>
      </c>
      <c r="I296" s="2296" t="s">
        <v>5297</v>
      </c>
      <c r="J296" s="2296" t="s">
        <v>5298</v>
      </c>
      <c r="K296" s="2338" t="s">
        <v>5299</v>
      </c>
      <c r="L296" s="8" t="s">
        <v>5300</v>
      </c>
      <c r="M296" s="2339" t="s">
        <v>5301</v>
      </c>
      <c r="N296" s="8" t="s">
        <v>5302</v>
      </c>
      <c r="O296" s="2339" t="s">
        <v>5303</v>
      </c>
      <c r="P296" s="8" t="s">
        <v>5304</v>
      </c>
      <c r="Q296" s="2339" t="s">
        <v>5305</v>
      </c>
      <c r="R296" s="8" t="s">
        <v>5306</v>
      </c>
      <c r="S296" s="2339" t="s">
        <v>5307</v>
      </c>
      <c r="T296" s="8" t="s">
        <v>5308</v>
      </c>
      <c r="U296" s="2339" t="s">
        <v>5309</v>
      </c>
      <c r="V296" s="8" t="s">
        <v>5310</v>
      </c>
      <c r="W296" s="2339" t="s">
        <v>5311</v>
      </c>
      <c r="X296" s="8" t="s">
        <v>5312</v>
      </c>
      <c r="Y296" s="2339" t="s">
        <v>5313</v>
      </c>
      <c r="Z296" s="8" t="s">
        <v>5314</v>
      </c>
      <c r="AA296" s="2339" t="s">
        <v>5315</v>
      </c>
      <c r="AB296" s="8" t="s">
        <v>5316</v>
      </c>
      <c r="AC296" s="2339" t="s">
        <v>5317</v>
      </c>
      <c r="AD296" s="8" t="s">
        <v>5318</v>
      </c>
      <c r="AE296" s="2295" t="s">
        <v>5319</v>
      </c>
      <c r="AF296" s="2296" t="s">
        <v>5320</v>
      </c>
      <c r="AG296" s="2296" t="s">
        <v>5321</v>
      </c>
      <c r="AH296" s="2296" t="s">
        <v>5322</v>
      </c>
      <c r="AI296" s="2296" t="s">
        <v>5323</v>
      </c>
      <c r="AJ296" s="2296" t="s">
        <v>5324</v>
      </c>
      <c r="AK296" s="2296" t="s">
        <v>5325</v>
      </c>
      <c r="AL296" s="2296" t="s">
        <v>5326</v>
      </c>
      <c r="AM296" s="2296" t="s">
        <v>5327</v>
      </c>
      <c r="AN296" s="2297" t="s">
        <v>5328</v>
      </c>
      <c r="AO296" s="2115" t="s">
        <v>5329</v>
      </c>
      <c r="AP296" s="2115" t="s">
        <v>5330</v>
      </c>
      <c r="AQ296" s="8" t="s">
        <v>5331</v>
      </c>
      <c r="AR296" s="1095" t="s">
        <v>5332</v>
      </c>
      <c r="AS296" s="2296" t="s">
        <v>5333</v>
      </c>
      <c r="AT296" s="1092" t="s">
        <v>5334</v>
      </c>
      <c r="AU296" s="1092" t="s">
        <v>5335</v>
      </c>
      <c r="AV296" s="8" t="s">
        <v>5336</v>
      </c>
      <c r="AW296" s="8" t="s">
        <v>5337</v>
      </c>
      <c r="AX296" t="e">
        <f t="shared" si="175"/>
        <v>#VALUE!</v>
      </c>
      <c r="BR296" s="2465" t="e">
        <f t="shared" si="176"/>
        <v>#VALUE!</v>
      </c>
      <c r="BS296" s="1723" t="str">
        <f t="shared" si="177"/>
        <v xml:space="preserve">  * La variable Trans (Masculino) No puede ser mayor al Total Mujeres.</v>
      </c>
      <c r="BT296" s="1725"/>
      <c r="BU296" s="1723" t="str">
        <f t="shared" si="178"/>
        <v xml:space="preserve">  * La variable Pueblos originarios No puede ser mayor al Total.</v>
      </c>
      <c r="BV296" s="1723" t="str">
        <f t="shared" si="179"/>
        <v xml:space="preserve">  * La variable Migrantes No puede ser mayor al Total.</v>
      </c>
      <c r="BW296" s="1723" t="str">
        <f t="shared" si="180"/>
        <v xml:space="preserve">  * La variable Niños, Niñas, adolescentes y jóvenes SENAME No puede ser mayor al Total.</v>
      </c>
      <c r="BX296" s="1723" t="str">
        <f t="shared" si="181"/>
        <v xml:space="preserve">  * La variable Niños, Niñas, adolescentes y jóvenes Mejor Niñez No puede ser mayor al Total.</v>
      </c>
      <c r="BY296"/>
      <c r="CA296"/>
      <c r="CB296"/>
      <c r="CC296" s="1725" t="e">
        <f t="shared" si="182"/>
        <v>#VALUE!</v>
      </c>
      <c r="CD296" s="1725">
        <f t="shared" si="183"/>
        <v>1</v>
      </c>
      <c r="CE296" s="1723"/>
      <c r="CF296" s="1725">
        <f t="shared" si="184"/>
        <v>1</v>
      </c>
      <c r="CG296" s="1725">
        <f t="shared" si="185"/>
        <v>1</v>
      </c>
      <c r="CH296" s="1725">
        <f t="shared" si="186"/>
        <v>1</v>
      </c>
      <c r="CI296" s="1725">
        <f t="shared" si="187"/>
        <v>1</v>
      </c>
    </row>
    <row r="297" spans="1:87" ht="15" customHeight="1" x14ac:dyDescent="0.3">
      <c r="A297" s="6248" t="s">
        <v>4487</v>
      </c>
      <c r="B297" s="6972"/>
      <c r="C297" s="2340" t="s">
        <v>2058</v>
      </c>
      <c r="D297" s="2167" t="s">
        <v>5292</v>
      </c>
      <c r="E297" s="2337" t="s">
        <v>5293</v>
      </c>
      <c r="F297" s="1" t="s">
        <v>5294</v>
      </c>
      <c r="G297" s="2295" t="s">
        <v>5295</v>
      </c>
      <c r="H297" s="2296" t="s">
        <v>5296</v>
      </c>
      <c r="I297" s="2296" t="s">
        <v>5297</v>
      </c>
      <c r="J297" s="2296" t="s">
        <v>5298</v>
      </c>
      <c r="K297" s="2338" t="s">
        <v>5299</v>
      </c>
      <c r="L297" s="8" t="s">
        <v>5300</v>
      </c>
      <c r="M297" s="2339" t="s">
        <v>5301</v>
      </c>
      <c r="N297" s="8" t="s">
        <v>5302</v>
      </c>
      <c r="O297" s="2339" t="s">
        <v>5303</v>
      </c>
      <c r="P297" s="8" t="s">
        <v>5304</v>
      </c>
      <c r="Q297" s="2339" t="s">
        <v>5305</v>
      </c>
      <c r="R297" s="8" t="s">
        <v>5306</v>
      </c>
      <c r="S297" s="2339" t="s">
        <v>5307</v>
      </c>
      <c r="T297" s="8" t="s">
        <v>5308</v>
      </c>
      <c r="U297" s="2339" t="s">
        <v>5309</v>
      </c>
      <c r="V297" s="8" t="s">
        <v>5310</v>
      </c>
      <c r="W297" s="2339" t="s">
        <v>5311</v>
      </c>
      <c r="X297" s="8" t="s">
        <v>5312</v>
      </c>
      <c r="Y297" s="2339" t="s">
        <v>5313</v>
      </c>
      <c r="Z297" s="8" t="s">
        <v>5314</v>
      </c>
      <c r="AA297" s="2339" t="s">
        <v>5315</v>
      </c>
      <c r="AB297" s="8" t="s">
        <v>5316</v>
      </c>
      <c r="AC297" s="2339" t="s">
        <v>5317</v>
      </c>
      <c r="AD297" s="8" t="s">
        <v>5318</v>
      </c>
      <c r="AE297" s="2295" t="s">
        <v>5319</v>
      </c>
      <c r="AF297" s="2296" t="s">
        <v>5320</v>
      </c>
      <c r="AG297" s="2296" t="s">
        <v>5321</v>
      </c>
      <c r="AH297" s="2296" t="s">
        <v>5322</v>
      </c>
      <c r="AI297" s="2296" t="s">
        <v>5323</v>
      </c>
      <c r="AJ297" s="2296" t="s">
        <v>5324</v>
      </c>
      <c r="AK297" s="2296" t="s">
        <v>5325</v>
      </c>
      <c r="AL297" s="2296" t="s">
        <v>5326</v>
      </c>
      <c r="AM297" s="2296" t="s">
        <v>5327</v>
      </c>
      <c r="AN297" s="2297" t="s">
        <v>5328</v>
      </c>
      <c r="AO297" s="2115" t="s">
        <v>5329</v>
      </c>
      <c r="AP297" s="2115" t="s">
        <v>5330</v>
      </c>
      <c r="AQ297" s="8" t="s">
        <v>5331</v>
      </c>
      <c r="AR297" s="1095" t="s">
        <v>5332</v>
      </c>
      <c r="AS297" s="2296" t="s">
        <v>5333</v>
      </c>
      <c r="AT297" s="1092" t="s">
        <v>5334</v>
      </c>
      <c r="AU297" s="1092" t="s">
        <v>5335</v>
      </c>
      <c r="AV297" s="8" t="s">
        <v>5336</v>
      </c>
      <c r="AW297" s="8" t="s">
        <v>5337</v>
      </c>
      <c r="AX297" t="e">
        <f t="shared" si="175"/>
        <v>#VALUE!</v>
      </c>
      <c r="BR297" s="2465" t="e">
        <f t="shared" si="176"/>
        <v>#VALUE!</v>
      </c>
      <c r="BS297" s="1723" t="str">
        <f t="shared" si="177"/>
        <v xml:space="preserve">  * La variable Trans (Masculino) No puede ser mayor al Total Mujeres.</v>
      </c>
      <c r="BT297" s="1725"/>
      <c r="BU297" s="1723" t="str">
        <f t="shared" si="178"/>
        <v xml:space="preserve">  * La variable Pueblos originarios No puede ser mayor al Total.</v>
      </c>
      <c r="BV297" s="1723" t="str">
        <f t="shared" si="179"/>
        <v xml:space="preserve">  * La variable Migrantes No puede ser mayor al Total.</v>
      </c>
      <c r="BW297" s="1723" t="str">
        <f t="shared" si="180"/>
        <v xml:space="preserve">  * La variable Niños, Niñas, adolescentes y jóvenes SENAME No puede ser mayor al Total.</v>
      </c>
      <c r="BX297" s="1723" t="str">
        <f t="shared" si="181"/>
        <v xml:space="preserve">  * La variable Niños, Niñas, adolescentes y jóvenes Mejor Niñez No puede ser mayor al Total.</v>
      </c>
      <c r="BY297"/>
      <c r="CA297"/>
      <c r="CB297"/>
      <c r="CC297" s="1725" t="e">
        <f t="shared" si="182"/>
        <v>#VALUE!</v>
      </c>
      <c r="CD297" s="1725">
        <f t="shared" si="183"/>
        <v>1</v>
      </c>
      <c r="CE297" s="1723"/>
      <c r="CF297" s="1725">
        <f t="shared" si="184"/>
        <v>1</v>
      </c>
      <c r="CG297" s="1725">
        <f t="shared" si="185"/>
        <v>1</v>
      </c>
      <c r="CH297" s="1725">
        <f t="shared" si="186"/>
        <v>1</v>
      </c>
      <c r="CI297" s="1725">
        <f t="shared" si="187"/>
        <v>1</v>
      </c>
    </row>
    <row r="298" spans="1:87" ht="15" customHeight="1" x14ac:dyDescent="0.3">
      <c r="A298" s="6248" t="s">
        <v>4488</v>
      </c>
      <c r="B298" s="6972"/>
      <c r="C298" s="2340" t="s">
        <v>2059</v>
      </c>
      <c r="D298" s="2167" t="s">
        <v>5292</v>
      </c>
      <c r="E298" s="2337" t="s">
        <v>5293</v>
      </c>
      <c r="F298" s="1" t="s">
        <v>5294</v>
      </c>
      <c r="G298" s="2295" t="s">
        <v>5295</v>
      </c>
      <c r="H298" s="2296" t="s">
        <v>5296</v>
      </c>
      <c r="I298" s="2296" t="s">
        <v>5297</v>
      </c>
      <c r="J298" s="2296" t="s">
        <v>5298</v>
      </c>
      <c r="K298" s="2338" t="s">
        <v>5299</v>
      </c>
      <c r="L298" s="8" t="s">
        <v>5300</v>
      </c>
      <c r="M298" s="2339" t="s">
        <v>5301</v>
      </c>
      <c r="N298" s="8" t="s">
        <v>5302</v>
      </c>
      <c r="O298" s="2339" t="s">
        <v>5303</v>
      </c>
      <c r="P298" s="8" t="s">
        <v>5304</v>
      </c>
      <c r="Q298" s="2339" t="s">
        <v>5305</v>
      </c>
      <c r="R298" s="8" t="s">
        <v>5306</v>
      </c>
      <c r="S298" s="2339" t="s">
        <v>5307</v>
      </c>
      <c r="T298" s="8" t="s">
        <v>5308</v>
      </c>
      <c r="U298" s="2339" t="s">
        <v>5309</v>
      </c>
      <c r="V298" s="8" t="s">
        <v>5310</v>
      </c>
      <c r="W298" s="2339" t="s">
        <v>5311</v>
      </c>
      <c r="X298" s="8" t="s">
        <v>5312</v>
      </c>
      <c r="Y298" s="2339" t="s">
        <v>5313</v>
      </c>
      <c r="Z298" s="8" t="s">
        <v>5314</v>
      </c>
      <c r="AA298" s="2339" t="s">
        <v>5315</v>
      </c>
      <c r="AB298" s="8" t="s">
        <v>5316</v>
      </c>
      <c r="AC298" s="2339" t="s">
        <v>5317</v>
      </c>
      <c r="AD298" s="8" t="s">
        <v>5318</v>
      </c>
      <c r="AE298" s="2295" t="s">
        <v>5319</v>
      </c>
      <c r="AF298" s="2296" t="s">
        <v>5320</v>
      </c>
      <c r="AG298" s="2296" t="s">
        <v>5321</v>
      </c>
      <c r="AH298" s="2296" t="s">
        <v>5322</v>
      </c>
      <c r="AI298" s="2296" t="s">
        <v>5323</v>
      </c>
      <c r="AJ298" s="2296" t="s">
        <v>5324</v>
      </c>
      <c r="AK298" s="2296" t="s">
        <v>5325</v>
      </c>
      <c r="AL298" s="2296" t="s">
        <v>5326</v>
      </c>
      <c r="AM298" s="2296" t="s">
        <v>5327</v>
      </c>
      <c r="AN298" s="2297" t="s">
        <v>5328</v>
      </c>
      <c r="AO298" s="2115" t="s">
        <v>5329</v>
      </c>
      <c r="AP298" s="2115" t="s">
        <v>5330</v>
      </c>
      <c r="AQ298" s="8" t="s">
        <v>5331</v>
      </c>
      <c r="AR298" s="1095" t="s">
        <v>5332</v>
      </c>
      <c r="AS298" s="2296" t="s">
        <v>5333</v>
      </c>
      <c r="AT298" s="1092" t="s">
        <v>5334</v>
      </c>
      <c r="AU298" s="1092" t="s">
        <v>5335</v>
      </c>
      <c r="AV298" s="8" t="s">
        <v>5336</v>
      </c>
      <c r="AW298" s="8" t="s">
        <v>5337</v>
      </c>
      <c r="AX298" t="e">
        <f t="shared" si="175"/>
        <v>#VALUE!</v>
      </c>
      <c r="BR298" s="2465" t="e">
        <f t="shared" si="176"/>
        <v>#VALUE!</v>
      </c>
      <c r="BS298" s="1723" t="str">
        <f t="shared" si="177"/>
        <v xml:space="preserve">  * La variable Trans (Masculino) No puede ser mayor al Total Mujeres.</v>
      </c>
      <c r="BT298" s="1725"/>
      <c r="BU298" s="1723" t="str">
        <f t="shared" si="178"/>
        <v xml:space="preserve">  * La variable Pueblos originarios No puede ser mayor al Total.</v>
      </c>
      <c r="BV298" s="1723" t="str">
        <f t="shared" si="179"/>
        <v xml:space="preserve">  * La variable Migrantes No puede ser mayor al Total.</v>
      </c>
      <c r="BW298" s="1723" t="str">
        <f t="shared" si="180"/>
        <v xml:space="preserve">  * La variable Niños, Niñas, adolescentes y jóvenes SENAME No puede ser mayor al Total.</v>
      </c>
      <c r="BX298" s="1723" t="str">
        <f t="shared" si="181"/>
        <v xml:space="preserve">  * La variable Niños, Niñas, adolescentes y jóvenes Mejor Niñez No puede ser mayor al Total.</v>
      </c>
      <c r="BY298"/>
      <c r="CA298"/>
      <c r="CB298"/>
      <c r="CC298" s="1725" t="e">
        <f t="shared" si="182"/>
        <v>#VALUE!</v>
      </c>
      <c r="CD298" s="1725">
        <f t="shared" si="183"/>
        <v>1</v>
      </c>
      <c r="CE298" s="1723"/>
      <c r="CF298" s="1725">
        <f t="shared" si="184"/>
        <v>1</v>
      </c>
      <c r="CG298" s="1725">
        <f t="shared" si="185"/>
        <v>1</v>
      </c>
      <c r="CH298" s="1725">
        <f t="shared" si="186"/>
        <v>1</v>
      </c>
      <c r="CI298" s="1725">
        <f t="shared" si="187"/>
        <v>1</v>
      </c>
    </row>
    <row r="299" spans="1:87" ht="15" customHeight="1" x14ac:dyDescent="0.3">
      <c r="A299" s="6248" t="s">
        <v>4489</v>
      </c>
      <c r="B299" s="6972"/>
      <c r="C299" s="2340" t="s">
        <v>2060</v>
      </c>
      <c r="D299" s="2167" t="s">
        <v>5292</v>
      </c>
      <c r="E299" s="2337" t="s">
        <v>5293</v>
      </c>
      <c r="F299" s="1" t="s">
        <v>5294</v>
      </c>
      <c r="G299" s="2295" t="s">
        <v>5295</v>
      </c>
      <c r="H299" s="2296" t="s">
        <v>5296</v>
      </c>
      <c r="I299" s="2296" t="s">
        <v>5297</v>
      </c>
      <c r="J299" s="2296" t="s">
        <v>5298</v>
      </c>
      <c r="K299" s="2338" t="s">
        <v>5299</v>
      </c>
      <c r="L299" s="8" t="s">
        <v>5300</v>
      </c>
      <c r="M299" s="2339" t="s">
        <v>5301</v>
      </c>
      <c r="N299" s="8" t="s">
        <v>5302</v>
      </c>
      <c r="O299" s="2339" t="s">
        <v>5303</v>
      </c>
      <c r="P299" s="8" t="s">
        <v>5304</v>
      </c>
      <c r="Q299" s="2339" t="s">
        <v>5305</v>
      </c>
      <c r="R299" s="8" t="s">
        <v>5306</v>
      </c>
      <c r="S299" s="2339" t="s">
        <v>5307</v>
      </c>
      <c r="T299" s="8" t="s">
        <v>5308</v>
      </c>
      <c r="U299" s="2339" t="s">
        <v>5309</v>
      </c>
      <c r="V299" s="8" t="s">
        <v>5310</v>
      </c>
      <c r="W299" s="2339" t="s">
        <v>5311</v>
      </c>
      <c r="X299" s="8" t="s">
        <v>5312</v>
      </c>
      <c r="Y299" s="2339" t="s">
        <v>5313</v>
      </c>
      <c r="Z299" s="8" t="s">
        <v>5314</v>
      </c>
      <c r="AA299" s="2339" t="s">
        <v>5315</v>
      </c>
      <c r="AB299" s="8" t="s">
        <v>5316</v>
      </c>
      <c r="AC299" s="2339" t="s">
        <v>5317</v>
      </c>
      <c r="AD299" s="8" t="s">
        <v>5318</v>
      </c>
      <c r="AE299" s="2295" t="s">
        <v>5319</v>
      </c>
      <c r="AF299" s="2296" t="s">
        <v>5320</v>
      </c>
      <c r="AG299" s="2296" t="s">
        <v>5321</v>
      </c>
      <c r="AH299" s="2296" t="s">
        <v>5322</v>
      </c>
      <c r="AI299" s="2296" t="s">
        <v>5323</v>
      </c>
      <c r="AJ299" s="2296" t="s">
        <v>5324</v>
      </c>
      <c r="AK299" s="2296" t="s">
        <v>5325</v>
      </c>
      <c r="AL299" s="2296" t="s">
        <v>5326</v>
      </c>
      <c r="AM299" s="2296" t="s">
        <v>5327</v>
      </c>
      <c r="AN299" s="2297" t="s">
        <v>5328</v>
      </c>
      <c r="AO299" s="2115" t="s">
        <v>5329</v>
      </c>
      <c r="AP299" s="2115" t="s">
        <v>5330</v>
      </c>
      <c r="AQ299" s="8" t="s">
        <v>5331</v>
      </c>
      <c r="AR299" s="1095" t="s">
        <v>5332</v>
      </c>
      <c r="AS299" s="2296" t="s">
        <v>5333</v>
      </c>
      <c r="AT299" s="1092" t="s">
        <v>5334</v>
      </c>
      <c r="AU299" s="1092" t="s">
        <v>5335</v>
      </c>
      <c r="AV299" s="8" t="s">
        <v>5336</v>
      </c>
      <c r="AW299" s="8" t="s">
        <v>5337</v>
      </c>
      <c r="AX299" t="e">
        <f t="shared" si="175"/>
        <v>#VALUE!</v>
      </c>
      <c r="BR299" s="2465" t="e">
        <f t="shared" si="176"/>
        <v>#VALUE!</v>
      </c>
      <c r="BS299" s="1723" t="str">
        <f t="shared" si="177"/>
        <v xml:space="preserve">  * La variable Trans (Masculino) No puede ser mayor al Total Mujeres.</v>
      </c>
      <c r="BT299" s="1725"/>
      <c r="BU299" s="1723" t="str">
        <f t="shared" si="178"/>
        <v xml:space="preserve">  * La variable Pueblos originarios No puede ser mayor al Total.</v>
      </c>
      <c r="BV299" s="1723" t="str">
        <f t="shared" si="179"/>
        <v xml:space="preserve">  * La variable Migrantes No puede ser mayor al Total.</v>
      </c>
      <c r="BW299" s="1723" t="str">
        <f t="shared" si="180"/>
        <v xml:space="preserve">  * La variable Niños, Niñas, adolescentes y jóvenes SENAME No puede ser mayor al Total.</v>
      </c>
      <c r="BX299" s="1723" t="str">
        <f t="shared" si="181"/>
        <v xml:space="preserve">  * La variable Niños, Niñas, adolescentes y jóvenes Mejor Niñez No puede ser mayor al Total.</v>
      </c>
      <c r="BY299"/>
      <c r="CA299"/>
      <c r="CB299"/>
      <c r="CC299" s="1725" t="e">
        <f t="shared" si="182"/>
        <v>#VALUE!</v>
      </c>
      <c r="CD299" s="1725">
        <f t="shared" si="183"/>
        <v>1</v>
      </c>
      <c r="CE299" s="1723"/>
      <c r="CF299" s="1725">
        <f t="shared" si="184"/>
        <v>1</v>
      </c>
      <c r="CG299" s="1725">
        <f t="shared" si="185"/>
        <v>1</v>
      </c>
      <c r="CH299" s="1725">
        <f t="shared" si="186"/>
        <v>1</v>
      </c>
      <c r="CI299" s="1725">
        <f t="shared" si="187"/>
        <v>1</v>
      </c>
    </row>
    <row r="300" spans="1:87" ht="15" customHeight="1" x14ac:dyDescent="0.3">
      <c r="A300" s="6248" t="s">
        <v>4490</v>
      </c>
      <c r="B300" s="6973"/>
      <c r="C300" s="1276" t="s">
        <v>2061</v>
      </c>
      <c r="D300" s="2205" t="s">
        <v>5292</v>
      </c>
      <c r="E300" s="2341" t="s">
        <v>5293</v>
      </c>
      <c r="F300" s="2" t="s">
        <v>5294</v>
      </c>
      <c r="G300" s="2299" t="s">
        <v>5295</v>
      </c>
      <c r="H300" s="2300" t="s">
        <v>5296</v>
      </c>
      <c r="I300" s="2300" t="s">
        <v>5297</v>
      </c>
      <c r="J300" s="2300" t="s">
        <v>5298</v>
      </c>
      <c r="K300" s="2342" t="s">
        <v>5299</v>
      </c>
      <c r="L300" s="12" t="s">
        <v>5300</v>
      </c>
      <c r="M300" s="2343" t="s">
        <v>5301</v>
      </c>
      <c r="N300" s="12" t="s">
        <v>5302</v>
      </c>
      <c r="O300" s="2343" t="s">
        <v>5303</v>
      </c>
      <c r="P300" s="12" t="s">
        <v>5304</v>
      </c>
      <c r="Q300" s="2343" t="s">
        <v>5305</v>
      </c>
      <c r="R300" s="12" t="s">
        <v>5306</v>
      </c>
      <c r="S300" s="2343" t="s">
        <v>5307</v>
      </c>
      <c r="T300" s="12" t="s">
        <v>5308</v>
      </c>
      <c r="U300" s="2343" t="s">
        <v>5309</v>
      </c>
      <c r="V300" s="12" t="s">
        <v>5310</v>
      </c>
      <c r="W300" s="2343" t="s">
        <v>5311</v>
      </c>
      <c r="X300" s="12" t="s">
        <v>5312</v>
      </c>
      <c r="Y300" s="2343" t="s">
        <v>5313</v>
      </c>
      <c r="Z300" s="12" t="s">
        <v>5314</v>
      </c>
      <c r="AA300" s="2343" t="s">
        <v>5315</v>
      </c>
      <c r="AB300" s="12" t="s">
        <v>5316</v>
      </c>
      <c r="AC300" s="2343" t="s">
        <v>5317</v>
      </c>
      <c r="AD300" s="12" t="s">
        <v>5318</v>
      </c>
      <c r="AE300" s="2299" t="s">
        <v>5319</v>
      </c>
      <c r="AF300" s="2300" t="s">
        <v>5320</v>
      </c>
      <c r="AG300" s="2300" t="s">
        <v>5321</v>
      </c>
      <c r="AH300" s="2300" t="s">
        <v>5322</v>
      </c>
      <c r="AI300" s="2300" t="s">
        <v>5323</v>
      </c>
      <c r="AJ300" s="2300" t="s">
        <v>5324</v>
      </c>
      <c r="AK300" s="2300" t="s">
        <v>5325</v>
      </c>
      <c r="AL300" s="2300" t="s">
        <v>5326</v>
      </c>
      <c r="AM300" s="2300" t="s">
        <v>5327</v>
      </c>
      <c r="AN300" s="2301" t="s">
        <v>5328</v>
      </c>
      <c r="AO300" s="21" t="s">
        <v>5329</v>
      </c>
      <c r="AP300" s="21" t="s">
        <v>5330</v>
      </c>
      <c r="AQ300" s="12" t="s">
        <v>5331</v>
      </c>
      <c r="AR300" s="3" t="s">
        <v>5332</v>
      </c>
      <c r="AS300" s="2300" t="s">
        <v>5333</v>
      </c>
      <c r="AT300" s="30" t="s">
        <v>5334</v>
      </c>
      <c r="AU300" s="30" t="s">
        <v>5335</v>
      </c>
      <c r="AV300" s="12" t="s">
        <v>5336</v>
      </c>
      <c r="AW300" s="12" t="s">
        <v>5337</v>
      </c>
      <c r="AX300" t="e">
        <f t="shared" si="175"/>
        <v>#VALUE!</v>
      </c>
      <c r="BR300" s="2465" t="e">
        <f t="shared" si="176"/>
        <v>#VALUE!</v>
      </c>
      <c r="BS300" s="1723" t="str">
        <f t="shared" si="177"/>
        <v xml:space="preserve">  * La variable Trans (Masculino) No puede ser mayor al Total Mujeres.</v>
      </c>
      <c r="BT300" s="1725"/>
      <c r="BU300" s="1723" t="str">
        <f t="shared" si="178"/>
        <v xml:space="preserve">  * La variable Pueblos originarios No puede ser mayor al Total.</v>
      </c>
      <c r="BV300" s="1723" t="str">
        <f t="shared" si="179"/>
        <v xml:space="preserve">  * La variable Migrantes No puede ser mayor al Total.</v>
      </c>
      <c r="BW300" s="1723" t="str">
        <f t="shared" si="180"/>
        <v xml:space="preserve">  * La variable Niños, Niñas, adolescentes y jóvenes SENAME No puede ser mayor al Total.</v>
      </c>
      <c r="BX300" s="1723" t="str">
        <f t="shared" si="181"/>
        <v xml:space="preserve">  * La variable Niños, Niñas, adolescentes y jóvenes Mejor Niñez No puede ser mayor al Total.</v>
      </c>
      <c r="BY300"/>
      <c r="CA300"/>
      <c r="CB300"/>
      <c r="CC300" s="1725" t="e">
        <f t="shared" si="182"/>
        <v>#VALUE!</v>
      </c>
      <c r="CD300" s="1725">
        <f t="shared" si="183"/>
        <v>1</v>
      </c>
      <c r="CE300" s="1723"/>
      <c r="CF300" s="1725">
        <f t="shared" si="184"/>
        <v>1</v>
      </c>
      <c r="CG300" s="1725">
        <f t="shared" si="185"/>
        <v>1</v>
      </c>
      <c r="CH300" s="1725">
        <f t="shared" si="186"/>
        <v>1</v>
      </c>
      <c r="CI300" s="1725">
        <f t="shared" si="187"/>
        <v>1</v>
      </c>
    </row>
    <row r="301" spans="1:87" ht="15" customHeight="1" x14ac:dyDescent="0.3">
      <c r="A301" s="6248" t="s">
        <v>4491</v>
      </c>
      <c r="B301" s="6974" t="s">
        <v>2062</v>
      </c>
      <c r="C301" s="2117" t="s">
        <v>2053</v>
      </c>
      <c r="D301" s="2275" t="s">
        <v>5292</v>
      </c>
      <c r="E301" s="2276" t="s">
        <v>5293</v>
      </c>
      <c r="F301" s="2274" t="s">
        <v>5294</v>
      </c>
      <c r="G301" s="2344" t="s">
        <v>5295</v>
      </c>
      <c r="H301" s="2345" t="s">
        <v>5296</v>
      </c>
      <c r="I301" s="2346" t="s">
        <v>5297</v>
      </c>
      <c r="J301" s="2345" t="s">
        <v>5298</v>
      </c>
      <c r="K301" s="2346" t="s">
        <v>5299</v>
      </c>
      <c r="L301" s="1273" t="s">
        <v>5300</v>
      </c>
      <c r="M301" s="2347" t="s">
        <v>5301</v>
      </c>
      <c r="N301" s="2345" t="s">
        <v>5302</v>
      </c>
      <c r="O301" s="2346" t="s">
        <v>5303</v>
      </c>
      <c r="P301" s="2348" t="s">
        <v>5304</v>
      </c>
      <c r="Q301" s="2344" t="s">
        <v>5305</v>
      </c>
      <c r="R301" s="2345" t="s">
        <v>5306</v>
      </c>
      <c r="S301" s="2346" t="s">
        <v>5307</v>
      </c>
      <c r="T301" s="2348" t="s">
        <v>5308</v>
      </c>
      <c r="U301" s="2344" t="s">
        <v>5309</v>
      </c>
      <c r="V301" s="2345" t="s">
        <v>5310</v>
      </c>
      <c r="W301" s="2346" t="s">
        <v>5311</v>
      </c>
      <c r="X301" s="2348" t="s">
        <v>5312</v>
      </c>
      <c r="Y301" s="2344" t="s">
        <v>5313</v>
      </c>
      <c r="Z301" s="2345" t="s">
        <v>5314</v>
      </c>
      <c r="AA301" s="2346" t="s">
        <v>5315</v>
      </c>
      <c r="AB301" s="2348" t="s">
        <v>5316</v>
      </c>
      <c r="AC301" s="2344" t="s">
        <v>5317</v>
      </c>
      <c r="AD301" s="2345" t="s">
        <v>5318</v>
      </c>
      <c r="AE301" s="2346" t="s">
        <v>5319</v>
      </c>
      <c r="AF301" s="2348" t="s">
        <v>5320</v>
      </c>
      <c r="AG301" s="2344" t="s">
        <v>5321</v>
      </c>
      <c r="AH301" s="2345" t="s">
        <v>5322</v>
      </c>
      <c r="AI301" s="2346" t="s">
        <v>5323</v>
      </c>
      <c r="AJ301" s="2348" t="s">
        <v>5324</v>
      </c>
      <c r="AK301" s="2344" t="s">
        <v>5325</v>
      </c>
      <c r="AL301" s="2345" t="s">
        <v>5326</v>
      </c>
      <c r="AM301" s="2346" t="s">
        <v>5327</v>
      </c>
      <c r="AN301" s="2349" t="s">
        <v>5328</v>
      </c>
      <c r="AO301" s="2304" t="s">
        <v>5329</v>
      </c>
      <c r="AP301" s="1102" t="s">
        <v>5330</v>
      </c>
      <c r="AQ301" s="1089" t="s">
        <v>5331</v>
      </c>
      <c r="AR301" s="2112" t="s">
        <v>5332</v>
      </c>
      <c r="AS301" s="1089" t="s">
        <v>5333</v>
      </c>
      <c r="AT301" s="1693" t="s">
        <v>5334</v>
      </c>
      <c r="AU301" s="1693" t="s">
        <v>5335</v>
      </c>
      <c r="AV301" s="1089" t="s">
        <v>5336</v>
      </c>
      <c r="AW301" s="1089" t="s">
        <v>5337</v>
      </c>
      <c r="AX301" t="e">
        <f t="shared" si="175"/>
        <v>#VALUE!</v>
      </c>
      <c r="BR301" s="2465" t="e">
        <f t="shared" si="176"/>
        <v>#VALUE!</v>
      </c>
      <c r="BS301" s="1723" t="str">
        <f>IF(AND(F301&gt;0,OR(AR301=""))," * No olvide digitar la variable Trans (Masculino). Digite Cero si no tiene.",IF(AR301&gt;F301,"  * La variable Trans (Masculino) No puede ser mayor al Total Mujeres.",""))</f>
        <v xml:space="preserve">  * La variable Trans (Masculino) No puede ser mayor al Total Mujeres.</v>
      </c>
      <c r="BT301" s="1723" t="str">
        <f>IF(AND(E301&gt;0,OR(AS301=""))," * No olvide digitar la variable Trans (Femenino). Digite Cero si no tiene.",IF(AS301&gt;E301,"  * La variable Trans (Femenino) No puede ser mayor al Total Hombres.",""))</f>
        <v xml:space="preserve">  * La variable Trans (Femenino) No puede ser mayor al Total Hombres.</v>
      </c>
      <c r="BU301" s="1723" t="str">
        <f t="shared" ref="BU301" si="188">IF(AND(D301&gt;0,AT301=""), " * No olvide digitar la variable Pueblos originarios. Digite Cero si no tiene.",IF(AT301&gt;D301,"  * La variable Pueblos originarios No puede ser mayor al Total.",""))</f>
        <v xml:space="preserve">  * La variable Pueblos originarios No puede ser mayor al Total.</v>
      </c>
      <c r="BV301" s="1723" t="str">
        <f t="shared" ref="BV301" si="189">IF(AND(D301&gt;0,AU301=""), " * No olvide digitar la variable Migrantes. Digite Cero si no tiene.",IF(AU301&gt;D301,"  * La variable Migrantes No puede ser mayor al Total.",""))</f>
        <v xml:space="preserve">  * La variable Migrantes No puede ser mayor al Total.</v>
      </c>
      <c r="BW301" s="1723" t="str">
        <f t="shared" ref="BW301" si="190">IF(AND(D301&gt;0,AV301=""), " * No olvide digitar la variable Niños, Niñas, adolescentes y jóvenes SENAME. Digite Cero si no tiene.",IF(AV301&gt;D301,"  * La variable Niños, Niñas, adolescentes y jóvenes SENAME No puede ser mayor al Total.",""))</f>
        <v xml:space="preserve">  * La variable Niños, Niñas, adolescentes y jóvenes SENAME No puede ser mayor al Total.</v>
      </c>
      <c r="BX301" s="1723" t="str">
        <f t="shared" ref="BX301" si="191">IF(AND(D301&gt;0,AW301=""), " * No olvide digitar la variable Niños, Niñas, adolescentes y jóvenes Mejor Niñez. Digite Cero si no tiene.",IF(AW301&gt;D301,"  * La variable Niños, Niñas, adolescentes y jóvenes Mejor Niñez No puede ser mayor al Total.",""))</f>
        <v xml:space="preserve">  * La variable Niños, Niñas, adolescentes y jóvenes Mejor Niñez No puede ser mayor al Total.</v>
      </c>
      <c r="BY301"/>
      <c r="CA301"/>
      <c r="CB301"/>
      <c r="CC301" s="1725" t="e">
        <f t="shared" si="182"/>
        <v>#VALUE!</v>
      </c>
      <c r="CD301" s="1725">
        <f t="shared" si="183"/>
        <v>1</v>
      </c>
      <c r="CE301" s="1725">
        <f>IF(AND(E301&gt;0,OR(AS301="")),1,IF(AS301&gt;E301,1,0))</f>
        <v>1</v>
      </c>
      <c r="CF301" s="1725">
        <f t="shared" si="184"/>
        <v>1</v>
      </c>
      <c r="CG301" s="1725">
        <f t="shared" si="185"/>
        <v>1</v>
      </c>
      <c r="CH301" s="1725">
        <f t="shared" si="186"/>
        <v>1</v>
      </c>
      <c r="CI301" s="1725">
        <f t="shared" si="187"/>
        <v>1</v>
      </c>
    </row>
    <row r="302" spans="1:87" ht="15" customHeight="1" x14ac:dyDescent="0.3">
      <c r="A302" s="6248" t="s">
        <v>4492</v>
      </c>
      <c r="B302" s="6972"/>
      <c r="C302" s="1521" t="s">
        <v>2054</v>
      </c>
      <c r="D302" s="2189" t="s">
        <v>5292</v>
      </c>
      <c r="E302" s="2190" t="s">
        <v>5293</v>
      </c>
      <c r="F302" s="2274" t="s">
        <v>5294</v>
      </c>
      <c r="G302" s="2112" t="s">
        <v>5295</v>
      </c>
      <c r="H302" s="1273" t="s">
        <v>5296</v>
      </c>
      <c r="I302" s="2112" t="s">
        <v>5297</v>
      </c>
      <c r="J302" s="1273" t="s">
        <v>5298</v>
      </c>
      <c r="K302" s="2112" t="s">
        <v>5299</v>
      </c>
      <c r="L302" s="1273" t="s">
        <v>5300</v>
      </c>
      <c r="M302" s="2112" t="s">
        <v>5301</v>
      </c>
      <c r="N302" s="1273" t="s">
        <v>5302</v>
      </c>
      <c r="O302" s="1102" t="s">
        <v>5303</v>
      </c>
      <c r="P302" s="1272" t="s">
        <v>5304</v>
      </c>
      <c r="Q302" s="2112" t="s">
        <v>5305</v>
      </c>
      <c r="R302" s="1273" t="s">
        <v>5306</v>
      </c>
      <c r="S302" s="1102" t="s">
        <v>5307</v>
      </c>
      <c r="T302" s="1272" t="s">
        <v>5308</v>
      </c>
      <c r="U302" s="2112" t="s">
        <v>5309</v>
      </c>
      <c r="V302" s="1273" t="s">
        <v>5310</v>
      </c>
      <c r="W302" s="1102" t="s">
        <v>5311</v>
      </c>
      <c r="X302" s="1272" t="s">
        <v>5312</v>
      </c>
      <c r="Y302" s="2112" t="s">
        <v>5313</v>
      </c>
      <c r="Z302" s="1273" t="s">
        <v>5314</v>
      </c>
      <c r="AA302" s="1102" t="s">
        <v>5315</v>
      </c>
      <c r="AB302" s="1272" t="s">
        <v>5316</v>
      </c>
      <c r="AC302" s="2112" t="s">
        <v>5317</v>
      </c>
      <c r="AD302" s="1273" t="s">
        <v>5318</v>
      </c>
      <c r="AE302" s="1102" t="s">
        <v>5319</v>
      </c>
      <c r="AF302" s="1272" t="s">
        <v>5320</v>
      </c>
      <c r="AG302" s="2112" t="s">
        <v>5321</v>
      </c>
      <c r="AH302" s="1273" t="s">
        <v>5322</v>
      </c>
      <c r="AI302" s="1102" t="s">
        <v>5323</v>
      </c>
      <c r="AJ302" s="1272" t="s">
        <v>5324</v>
      </c>
      <c r="AK302" s="2112" t="s">
        <v>5325</v>
      </c>
      <c r="AL302" s="1273" t="s">
        <v>5326</v>
      </c>
      <c r="AM302" s="1102" t="s">
        <v>5327</v>
      </c>
      <c r="AN302" s="1275" t="s">
        <v>5328</v>
      </c>
      <c r="AO302" s="1102" t="s">
        <v>5329</v>
      </c>
      <c r="AP302" s="1102" t="s">
        <v>5330</v>
      </c>
      <c r="AQ302" s="1089" t="s">
        <v>5331</v>
      </c>
      <c r="AR302" s="2112" t="s">
        <v>5332</v>
      </c>
      <c r="AS302" s="1089" t="s">
        <v>5333</v>
      </c>
      <c r="AT302" s="1693" t="s">
        <v>5334</v>
      </c>
      <c r="AU302" s="1693" t="s">
        <v>5335</v>
      </c>
      <c r="AV302" s="1089" t="s">
        <v>5336</v>
      </c>
      <c r="AW302" s="1089" t="s">
        <v>5337</v>
      </c>
      <c r="AX302" t="e">
        <f t="shared" si="175"/>
        <v>#VALUE!</v>
      </c>
      <c r="BR302" s="2465" t="e">
        <f t="shared" si="176"/>
        <v>#VALUE!</v>
      </c>
      <c r="BS302" s="1723" t="str">
        <f t="shared" si="177"/>
        <v xml:space="preserve">  * La variable Trans (Masculino) No puede ser mayor al Total Mujeres.</v>
      </c>
      <c r="BT302" s="1723" t="str">
        <f t="shared" ref="BT302:BT309" si="192">IF(AND(E302&gt;0,OR(AS302=""))," * No olvide digitar la variable Trans (Femenino). Digite Cero si no tiene.",IF(AS302&gt;E302,"  * La variable Trans (Femenino) No puede ser mayor al Total Hombres.",""))</f>
        <v xml:space="preserve">  * La variable Trans (Femenino) No puede ser mayor al Total Hombres.</v>
      </c>
      <c r="BU302" s="1723" t="str">
        <f t="shared" ref="BU302:BU309" si="193">IF(AND(D302&gt;0,AT302=""), " * No olvide digitar la variable Pueblos originarios. Digite Cero si no tiene.",IF(AT302&gt;D302,"  * La variable Pueblos originarios No puede ser mayor al Total.",""))</f>
        <v xml:space="preserve">  * La variable Pueblos originarios No puede ser mayor al Total.</v>
      </c>
      <c r="BV302" s="1723" t="str">
        <f t="shared" ref="BV302:BV309" si="194">IF(AND(D302&gt;0,AU302=""), " * No olvide digitar la variable Migrantes. Digite Cero si no tiene.",IF(AU302&gt;D302,"  * La variable Migrantes No puede ser mayor al Total.",""))</f>
        <v xml:space="preserve">  * La variable Migrantes No puede ser mayor al Total.</v>
      </c>
      <c r="BW302" s="1723" t="str">
        <f t="shared" ref="BW302:BW309" si="195">IF(AND(D302&gt;0,AV302=""), " * No olvide digitar la variable Niños, Niñas, adolescentes y jóvenes SENAME. Digite Cero si no tiene.",IF(AV302&gt;D302,"  * La variable Niños, Niñas, adolescentes y jóvenes SENAME No puede ser mayor al Total.",""))</f>
        <v xml:space="preserve">  * La variable Niños, Niñas, adolescentes y jóvenes SENAME No puede ser mayor al Total.</v>
      </c>
      <c r="BX302" s="1723" t="str">
        <f t="shared" ref="BX302:BX309" si="196">IF(AND(D302&gt;0,AW302=""), " * No olvide digitar la variable Niños, Niñas, adolescentes y jóvenes Mejor Niñez. Digite Cero si no tiene.",IF(AW302&gt;D302,"  * La variable Niños, Niñas, adolescentes y jóvenes Mejor Niñez No puede ser mayor al Total.",""))</f>
        <v xml:space="preserve">  * La variable Niños, Niñas, adolescentes y jóvenes Mejor Niñez No puede ser mayor al Total.</v>
      </c>
      <c r="BY302"/>
      <c r="CA302"/>
      <c r="CB302"/>
      <c r="CC302" s="1725" t="e">
        <f t="shared" si="182"/>
        <v>#VALUE!</v>
      </c>
      <c r="CD302" s="1725">
        <f t="shared" si="183"/>
        <v>1</v>
      </c>
      <c r="CE302" s="1725">
        <f t="shared" ref="CE302:CE308" si="197">IF(AND(E302&gt;0,OR(AS302="")),1,IF(AS302&gt;E302,1,0))</f>
        <v>1</v>
      </c>
      <c r="CF302" s="1725">
        <f t="shared" si="184"/>
        <v>1</v>
      </c>
      <c r="CG302" s="1725">
        <f t="shared" si="185"/>
        <v>1</v>
      </c>
      <c r="CH302" s="1725">
        <f t="shared" si="186"/>
        <v>1</v>
      </c>
      <c r="CI302" s="1725">
        <f t="shared" si="187"/>
        <v>1</v>
      </c>
    </row>
    <row r="303" spans="1:87" ht="15" customHeight="1" x14ac:dyDescent="0.3">
      <c r="A303" s="6248" t="s">
        <v>4493</v>
      </c>
      <c r="B303" s="6972"/>
      <c r="C303" s="2340" t="s">
        <v>2055</v>
      </c>
      <c r="D303" s="2167" t="s">
        <v>5292</v>
      </c>
      <c r="E303" s="2168" t="s">
        <v>5293</v>
      </c>
      <c r="F303" s="1" t="s">
        <v>5294</v>
      </c>
      <c r="G303" s="1095" t="s">
        <v>5295</v>
      </c>
      <c r="H303" s="1099" t="s">
        <v>5296</v>
      </c>
      <c r="I303" s="1095" t="s">
        <v>5297</v>
      </c>
      <c r="J303" s="1099" t="s">
        <v>5298</v>
      </c>
      <c r="K303" s="1095" t="s">
        <v>5299</v>
      </c>
      <c r="L303" s="1099" t="s">
        <v>5300</v>
      </c>
      <c r="M303" s="1095" t="s">
        <v>5301</v>
      </c>
      <c r="N303" s="1099" t="s">
        <v>5302</v>
      </c>
      <c r="O303" s="1095" t="s">
        <v>5303</v>
      </c>
      <c r="P303" s="1254" t="s">
        <v>5304</v>
      </c>
      <c r="Q303" s="1095" t="s">
        <v>5305</v>
      </c>
      <c r="R303" s="1099" t="s">
        <v>5306</v>
      </c>
      <c r="S303" s="2115" t="s">
        <v>5307</v>
      </c>
      <c r="T303" s="1254" t="s">
        <v>5308</v>
      </c>
      <c r="U303" s="1095" t="s">
        <v>5309</v>
      </c>
      <c r="V303" s="1099" t="s">
        <v>5310</v>
      </c>
      <c r="W303" s="2115" t="s">
        <v>5311</v>
      </c>
      <c r="X303" s="1254" t="s">
        <v>5312</v>
      </c>
      <c r="Y303" s="1095" t="s">
        <v>5313</v>
      </c>
      <c r="Z303" s="1099" t="s">
        <v>5314</v>
      </c>
      <c r="AA303" s="2115" t="s">
        <v>5315</v>
      </c>
      <c r="AB303" s="1254" t="s">
        <v>5316</v>
      </c>
      <c r="AC303" s="1095" t="s">
        <v>5317</v>
      </c>
      <c r="AD303" s="1099" t="s">
        <v>5318</v>
      </c>
      <c r="AE303" s="2115" t="s">
        <v>5319</v>
      </c>
      <c r="AF303" s="1254" t="s">
        <v>5320</v>
      </c>
      <c r="AG303" s="1095" t="s">
        <v>5321</v>
      </c>
      <c r="AH303" s="1099" t="s">
        <v>5322</v>
      </c>
      <c r="AI303" s="2115" t="s">
        <v>5323</v>
      </c>
      <c r="AJ303" s="1254" t="s">
        <v>5324</v>
      </c>
      <c r="AK303" s="1095" t="s">
        <v>5325</v>
      </c>
      <c r="AL303" s="1099" t="s">
        <v>5326</v>
      </c>
      <c r="AM303" s="2115" t="s">
        <v>5327</v>
      </c>
      <c r="AN303" s="1100" t="s">
        <v>5328</v>
      </c>
      <c r="AO303" s="2115" t="s">
        <v>5329</v>
      </c>
      <c r="AP303" s="2115" t="s">
        <v>5330</v>
      </c>
      <c r="AQ303" s="8" t="s">
        <v>5331</v>
      </c>
      <c r="AR303" s="1095" t="s">
        <v>5332</v>
      </c>
      <c r="AS303" s="8" t="s">
        <v>5333</v>
      </c>
      <c r="AT303" s="1092" t="s">
        <v>5334</v>
      </c>
      <c r="AU303" s="1092" t="s">
        <v>5335</v>
      </c>
      <c r="AV303" s="8" t="s">
        <v>5336</v>
      </c>
      <c r="AW303" s="8" t="s">
        <v>5337</v>
      </c>
      <c r="AX303" t="e">
        <f t="shared" si="175"/>
        <v>#VALUE!</v>
      </c>
      <c r="BR303" s="2465" t="e">
        <f t="shared" si="176"/>
        <v>#VALUE!</v>
      </c>
      <c r="BS303" s="1723" t="str">
        <f t="shared" si="177"/>
        <v xml:space="preserve">  * La variable Trans (Masculino) No puede ser mayor al Total Mujeres.</v>
      </c>
      <c r="BT303" s="1723" t="str">
        <f t="shared" si="192"/>
        <v xml:space="preserve">  * La variable Trans (Femenino) No puede ser mayor al Total Hombres.</v>
      </c>
      <c r="BU303" s="1723" t="str">
        <f t="shared" si="193"/>
        <v xml:space="preserve">  * La variable Pueblos originarios No puede ser mayor al Total.</v>
      </c>
      <c r="BV303" s="1723" t="str">
        <f t="shared" si="194"/>
        <v xml:space="preserve">  * La variable Migrantes No puede ser mayor al Total.</v>
      </c>
      <c r="BW303" s="1723" t="str">
        <f t="shared" si="195"/>
        <v xml:space="preserve">  * La variable Niños, Niñas, adolescentes y jóvenes SENAME No puede ser mayor al Total.</v>
      </c>
      <c r="BX303" s="1723" t="str">
        <f t="shared" si="196"/>
        <v xml:space="preserve">  * La variable Niños, Niñas, adolescentes y jóvenes Mejor Niñez No puede ser mayor al Total.</v>
      </c>
      <c r="BY303"/>
      <c r="CA303"/>
      <c r="CB303"/>
      <c r="CC303" s="1725" t="e">
        <f t="shared" si="182"/>
        <v>#VALUE!</v>
      </c>
      <c r="CD303" s="1725">
        <f t="shared" si="183"/>
        <v>1</v>
      </c>
      <c r="CE303" s="1725">
        <f t="shared" si="197"/>
        <v>1</v>
      </c>
      <c r="CF303" s="1725">
        <f t="shared" si="184"/>
        <v>1</v>
      </c>
      <c r="CG303" s="1725">
        <f t="shared" si="185"/>
        <v>1</v>
      </c>
      <c r="CH303" s="1725">
        <f t="shared" si="186"/>
        <v>1</v>
      </c>
      <c r="CI303" s="1725">
        <f t="shared" si="187"/>
        <v>1</v>
      </c>
    </row>
    <row r="304" spans="1:87" ht="15" customHeight="1" x14ac:dyDescent="0.3">
      <c r="A304" s="6248" t="s">
        <v>4494</v>
      </c>
      <c r="B304" s="6972"/>
      <c r="C304" s="2340" t="s">
        <v>2056</v>
      </c>
      <c r="D304" s="2167" t="s">
        <v>5292</v>
      </c>
      <c r="E304" s="2168" t="s">
        <v>5293</v>
      </c>
      <c r="F304" s="1" t="s">
        <v>5294</v>
      </c>
      <c r="G304" s="1095" t="s">
        <v>5295</v>
      </c>
      <c r="H304" s="1099" t="s">
        <v>5296</v>
      </c>
      <c r="I304" s="1095" t="s">
        <v>5297</v>
      </c>
      <c r="J304" s="1099" t="s">
        <v>5298</v>
      </c>
      <c r="K304" s="1095" t="s">
        <v>5299</v>
      </c>
      <c r="L304" s="1099" t="s">
        <v>5300</v>
      </c>
      <c r="M304" s="1095" t="s">
        <v>5301</v>
      </c>
      <c r="N304" s="1099" t="s">
        <v>5302</v>
      </c>
      <c r="O304" s="1095" t="s">
        <v>5303</v>
      </c>
      <c r="P304" s="1254" t="s">
        <v>5304</v>
      </c>
      <c r="Q304" s="1095" t="s">
        <v>5305</v>
      </c>
      <c r="R304" s="1099" t="s">
        <v>5306</v>
      </c>
      <c r="S304" s="2115" t="s">
        <v>5307</v>
      </c>
      <c r="T304" s="1254" t="s">
        <v>5308</v>
      </c>
      <c r="U304" s="1095" t="s">
        <v>5309</v>
      </c>
      <c r="V304" s="1099" t="s">
        <v>5310</v>
      </c>
      <c r="W304" s="2115" t="s">
        <v>5311</v>
      </c>
      <c r="X304" s="1254" t="s">
        <v>5312</v>
      </c>
      <c r="Y304" s="1095" t="s">
        <v>5313</v>
      </c>
      <c r="Z304" s="1099" t="s">
        <v>5314</v>
      </c>
      <c r="AA304" s="2115" t="s">
        <v>5315</v>
      </c>
      <c r="AB304" s="1254" t="s">
        <v>5316</v>
      </c>
      <c r="AC304" s="1095" t="s">
        <v>5317</v>
      </c>
      <c r="AD304" s="1099" t="s">
        <v>5318</v>
      </c>
      <c r="AE304" s="2115" t="s">
        <v>5319</v>
      </c>
      <c r="AF304" s="1254" t="s">
        <v>5320</v>
      </c>
      <c r="AG304" s="1095" t="s">
        <v>5321</v>
      </c>
      <c r="AH304" s="1099" t="s">
        <v>5322</v>
      </c>
      <c r="AI304" s="2115" t="s">
        <v>5323</v>
      </c>
      <c r="AJ304" s="1254" t="s">
        <v>5324</v>
      </c>
      <c r="AK304" s="1095" t="s">
        <v>5325</v>
      </c>
      <c r="AL304" s="1099" t="s">
        <v>5326</v>
      </c>
      <c r="AM304" s="2115" t="s">
        <v>5327</v>
      </c>
      <c r="AN304" s="1100" t="s">
        <v>5328</v>
      </c>
      <c r="AO304" s="2115" t="s">
        <v>5329</v>
      </c>
      <c r="AP304" s="2115" t="s">
        <v>5330</v>
      </c>
      <c r="AQ304" s="8" t="s">
        <v>5331</v>
      </c>
      <c r="AR304" s="1095" t="s">
        <v>5332</v>
      </c>
      <c r="AS304" s="8" t="s">
        <v>5333</v>
      </c>
      <c r="AT304" s="1092" t="s">
        <v>5334</v>
      </c>
      <c r="AU304" s="1092" t="s">
        <v>5335</v>
      </c>
      <c r="AV304" s="8" t="s">
        <v>5336</v>
      </c>
      <c r="AW304" s="8" t="s">
        <v>5337</v>
      </c>
      <c r="AX304" t="e">
        <f t="shared" si="175"/>
        <v>#VALUE!</v>
      </c>
      <c r="BR304" s="2465" t="e">
        <f t="shared" si="176"/>
        <v>#VALUE!</v>
      </c>
      <c r="BS304" s="1723" t="str">
        <f t="shared" si="177"/>
        <v xml:space="preserve">  * La variable Trans (Masculino) No puede ser mayor al Total Mujeres.</v>
      </c>
      <c r="BT304" s="1723" t="str">
        <f t="shared" si="192"/>
        <v xml:space="preserve">  * La variable Trans (Femenino) No puede ser mayor al Total Hombres.</v>
      </c>
      <c r="BU304" s="1723" t="str">
        <f t="shared" si="193"/>
        <v xml:space="preserve">  * La variable Pueblos originarios No puede ser mayor al Total.</v>
      </c>
      <c r="BV304" s="1723" t="str">
        <f t="shared" si="194"/>
        <v xml:space="preserve">  * La variable Migrantes No puede ser mayor al Total.</v>
      </c>
      <c r="BW304" s="1723" t="str">
        <f t="shared" si="195"/>
        <v xml:space="preserve">  * La variable Niños, Niñas, adolescentes y jóvenes SENAME No puede ser mayor al Total.</v>
      </c>
      <c r="BX304" s="1723" t="str">
        <f t="shared" si="196"/>
        <v xml:space="preserve">  * La variable Niños, Niñas, adolescentes y jóvenes Mejor Niñez No puede ser mayor al Total.</v>
      </c>
      <c r="BY304"/>
      <c r="CA304"/>
      <c r="CB304"/>
      <c r="CC304" s="1725" t="e">
        <f t="shared" si="182"/>
        <v>#VALUE!</v>
      </c>
      <c r="CD304" s="1725">
        <f t="shared" si="183"/>
        <v>1</v>
      </c>
      <c r="CE304" s="1725">
        <f t="shared" si="197"/>
        <v>1</v>
      </c>
      <c r="CF304" s="1725">
        <f t="shared" si="184"/>
        <v>1</v>
      </c>
      <c r="CG304" s="1725">
        <f t="shared" si="185"/>
        <v>1</v>
      </c>
      <c r="CH304" s="1725">
        <f t="shared" si="186"/>
        <v>1</v>
      </c>
      <c r="CI304" s="1725">
        <f t="shared" si="187"/>
        <v>1</v>
      </c>
    </row>
    <row r="305" spans="1:87" ht="15" customHeight="1" x14ac:dyDescent="0.3">
      <c r="A305" s="6248" t="s">
        <v>4495</v>
      </c>
      <c r="B305" s="6972"/>
      <c r="C305" s="2340" t="s">
        <v>2057</v>
      </c>
      <c r="D305" s="2167" t="s">
        <v>5292</v>
      </c>
      <c r="E305" s="2168" t="s">
        <v>5293</v>
      </c>
      <c r="F305" s="1" t="s">
        <v>5294</v>
      </c>
      <c r="G305" s="1095" t="s">
        <v>5295</v>
      </c>
      <c r="H305" s="1099" t="s">
        <v>5296</v>
      </c>
      <c r="I305" s="1095" t="s">
        <v>5297</v>
      </c>
      <c r="J305" s="1099" t="s">
        <v>5298</v>
      </c>
      <c r="K305" s="1095" t="s">
        <v>5299</v>
      </c>
      <c r="L305" s="1099" t="s">
        <v>5300</v>
      </c>
      <c r="M305" s="1095" t="s">
        <v>5301</v>
      </c>
      <c r="N305" s="1099" t="s">
        <v>5302</v>
      </c>
      <c r="O305" s="1095" t="s">
        <v>5303</v>
      </c>
      <c r="P305" s="1254" t="s">
        <v>5304</v>
      </c>
      <c r="Q305" s="1095" t="s">
        <v>5305</v>
      </c>
      <c r="R305" s="1099" t="s">
        <v>5306</v>
      </c>
      <c r="S305" s="2115" t="s">
        <v>5307</v>
      </c>
      <c r="T305" s="1254" t="s">
        <v>5308</v>
      </c>
      <c r="U305" s="1095" t="s">
        <v>5309</v>
      </c>
      <c r="V305" s="1099" t="s">
        <v>5310</v>
      </c>
      <c r="W305" s="2115" t="s">
        <v>5311</v>
      </c>
      <c r="X305" s="1254" t="s">
        <v>5312</v>
      </c>
      <c r="Y305" s="1095" t="s">
        <v>5313</v>
      </c>
      <c r="Z305" s="1099" t="s">
        <v>5314</v>
      </c>
      <c r="AA305" s="2115" t="s">
        <v>5315</v>
      </c>
      <c r="AB305" s="1254" t="s">
        <v>5316</v>
      </c>
      <c r="AC305" s="1095" t="s">
        <v>5317</v>
      </c>
      <c r="AD305" s="1099" t="s">
        <v>5318</v>
      </c>
      <c r="AE305" s="2115" t="s">
        <v>5319</v>
      </c>
      <c r="AF305" s="1254" t="s">
        <v>5320</v>
      </c>
      <c r="AG305" s="1095" t="s">
        <v>5321</v>
      </c>
      <c r="AH305" s="1099" t="s">
        <v>5322</v>
      </c>
      <c r="AI305" s="2115" t="s">
        <v>5323</v>
      </c>
      <c r="AJ305" s="1254" t="s">
        <v>5324</v>
      </c>
      <c r="AK305" s="1095" t="s">
        <v>5325</v>
      </c>
      <c r="AL305" s="1099" t="s">
        <v>5326</v>
      </c>
      <c r="AM305" s="2115" t="s">
        <v>5327</v>
      </c>
      <c r="AN305" s="1100" t="s">
        <v>5328</v>
      </c>
      <c r="AO305" s="2115" t="s">
        <v>5329</v>
      </c>
      <c r="AP305" s="2115" t="s">
        <v>5330</v>
      </c>
      <c r="AQ305" s="8" t="s">
        <v>5331</v>
      </c>
      <c r="AR305" s="1095" t="s">
        <v>5332</v>
      </c>
      <c r="AS305" s="8" t="s">
        <v>5333</v>
      </c>
      <c r="AT305" s="1092" t="s">
        <v>5334</v>
      </c>
      <c r="AU305" s="1092" t="s">
        <v>5335</v>
      </c>
      <c r="AV305" s="8" t="s">
        <v>5336</v>
      </c>
      <c r="AW305" s="8" t="s">
        <v>5337</v>
      </c>
      <c r="AX305" t="e">
        <f t="shared" si="175"/>
        <v>#VALUE!</v>
      </c>
      <c r="BR305" s="2465" t="e">
        <f t="shared" si="176"/>
        <v>#VALUE!</v>
      </c>
      <c r="BS305" s="1723" t="str">
        <f t="shared" si="177"/>
        <v xml:space="preserve">  * La variable Trans (Masculino) No puede ser mayor al Total Mujeres.</v>
      </c>
      <c r="BT305" s="1723" t="str">
        <f t="shared" si="192"/>
        <v xml:space="preserve">  * La variable Trans (Femenino) No puede ser mayor al Total Hombres.</v>
      </c>
      <c r="BU305" s="1723" t="str">
        <f t="shared" si="193"/>
        <v xml:space="preserve">  * La variable Pueblos originarios No puede ser mayor al Total.</v>
      </c>
      <c r="BV305" s="1723" t="str">
        <f t="shared" si="194"/>
        <v xml:space="preserve">  * La variable Migrantes No puede ser mayor al Total.</v>
      </c>
      <c r="BW305" s="1723" t="str">
        <f t="shared" si="195"/>
        <v xml:space="preserve">  * La variable Niños, Niñas, adolescentes y jóvenes SENAME No puede ser mayor al Total.</v>
      </c>
      <c r="BX305" s="1723" t="str">
        <f t="shared" si="196"/>
        <v xml:space="preserve">  * La variable Niños, Niñas, adolescentes y jóvenes Mejor Niñez No puede ser mayor al Total.</v>
      </c>
      <c r="BY305"/>
      <c r="CA305"/>
      <c r="CB305"/>
      <c r="CC305" s="1725" t="e">
        <f t="shared" si="182"/>
        <v>#VALUE!</v>
      </c>
      <c r="CD305" s="1725">
        <f t="shared" si="183"/>
        <v>1</v>
      </c>
      <c r="CE305" s="1725">
        <f t="shared" si="197"/>
        <v>1</v>
      </c>
      <c r="CF305" s="1725">
        <f t="shared" si="184"/>
        <v>1</v>
      </c>
      <c r="CG305" s="1725">
        <f t="shared" si="185"/>
        <v>1</v>
      </c>
      <c r="CH305" s="1725">
        <f t="shared" si="186"/>
        <v>1</v>
      </c>
      <c r="CI305" s="1725">
        <f t="shared" si="187"/>
        <v>1</v>
      </c>
    </row>
    <row r="306" spans="1:87" ht="15" customHeight="1" x14ac:dyDescent="0.3">
      <c r="A306" s="6248" t="s">
        <v>4496</v>
      </c>
      <c r="B306" s="6972"/>
      <c r="C306" s="2340" t="s">
        <v>2058</v>
      </c>
      <c r="D306" s="2167" t="s">
        <v>5292</v>
      </c>
      <c r="E306" s="2168" t="s">
        <v>5293</v>
      </c>
      <c r="F306" s="1" t="s">
        <v>5294</v>
      </c>
      <c r="G306" s="1095" t="s">
        <v>5295</v>
      </c>
      <c r="H306" s="1099" t="s">
        <v>5296</v>
      </c>
      <c r="I306" s="1095" t="s">
        <v>5297</v>
      </c>
      <c r="J306" s="1099" t="s">
        <v>5298</v>
      </c>
      <c r="K306" s="1095" t="s">
        <v>5299</v>
      </c>
      <c r="L306" s="1099" t="s">
        <v>5300</v>
      </c>
      <c r="M306" s="1095" t="s">
        <v>5301</v>
      </c>
      <c r="N306" s="1099" t="s">
        <v>5302</v>
      </c>
      <c r="O306" s="1095" t="s">
        <v>5303</v>
      </c>
      <c r="P306" s="1254" t="s">
        <v>5304</v>
      </c>
      <c r="Q306" s="1095" t="s">
        <v>5305</v>
      </c>
      <c r="R306" s="1099" t="s">
        <v>5306</v>
      </c>
      <c r="S306" s="2115" t="s">
        <v>5307</v>
      </c>
      <c r="T306" s="1254" t="s">
        <v>5308</v>
      </c>
      <c r="U306" s="1095" t="s">
        <v>5309</v>
      </c>
      <c r="V306" s="1099" t="s">
        <v>5310</v>
      </c>
      <c r="W306" s="2115" t="s">
        <v>5311</v>
      </c>
      <c r="X306" s="1254" t="s">
        <v>5312</v>
      </c>
      <c r="Y306" s="1095" t="s">
        <v>5313</v>
      </c>
      <c r="Z306" s="1099" t="s">
        <v>5314</v>
      </c>
      <c r="AA306" s="2115" t="s">
        <v>5315</v>
      </c>
      <c r="AB306" s="1254" t="s">
        <v>5316</v>
      </c>
      <c r="AC306" s="1095" t="s">
        <v>5317</v>
      </c>
      <c r="AD306" s="1099" t="s">
        <v>5318</v>
      </c>
      <c r="AE306" s="2115" t="s">
        <v>5319</v>
      </c>
      <c r="AF306" s="1254" t="s">
        <v>5320</v>
      </c>
      <c r="AG306" s="1095" t="s">
        <v>5321</v>
      </c>
      <c r="AH306" s="1099" t="s">
        <v>5322</v>
      </c>
      <c r="AI306" s="2115" t="s">
        <v>5323</v>
      </c>
      <c r="AJ306" s="1254" t="s">
        <v>5324</v>
      </c>
      <c r="AK306" s="1095" t="s">
        <v>5325</v>
      </c>
      <c r="AL306" s="1099" t="s">
        <v>5326</v>
      </c>
      <c r="AM306" s="2115" t="s">
        <v>5327</v>
      </c>
      <c r="AN306" s="1100" t="s">
        <v>5328</v>
      </c>
      <c r="AO306" s="2115" t="s">
        <v>5329</v>
      </c>
      <c r="AP306" s="2115" t="s">
        <v>5330</v>
      </c>
      <c r="AQ306" s="8" t="s">
        <v>5331</v>
      </c>
      <c r="AR306" s="1095" t="s">
        <v>5332</v>
      </c>
      <c r="AS306" s="8" t="s">
        <v>5333</v>
      </c>
      <c r="AT306" s="1092" t="s">
        <v>5334</v>
      </c>
      <c r="AU306" s="1092" t="s">
        <v>5335</v>
      </c>
      <c r="AV306" s="8" t="s">
        <v>5336</v>
      </c>
      <c r="AW306" s="8" t="s">
        <v>5337</v>
      </c>
      <c r="AX306" t="e">
        <f>BR306&amp;BS306&amp;BT306&amp;BU306&amp;BV306&amp;BW306&amp;BX306</f>
        <v>#VALUE!</v>
      </c>
      <c r="BR306" s="2465" t="e">
        <f t="shared" si="176"/>
        <v>#VALUE!</v>
      </c>
      <c r="BS306" s="1723" t="str">
        <f t="shared" si="177"/>
        <v xml:space="preserve">  * La variable Trans (Masculino) No puede ser mayor al Total Mujeres.</v>
      </c>
      <c r="BT306" s="1723" t="str">
        <f t="shared" si="192"/>
        <v xml:space="preserve">  * La variable Trans (Femenino) No puede ser mayor al Total Hombres.</v>
      </c>
      <c r="BU306" s="1723" t="str">
        <f t="shared" si="193"/>
        <v xml:space="preserve">  * La variable Pueblos originarios No puede ser mayor al Total.</v>
      </c>
      <c r="BV306" s="1723" t="str">
        <f t="shared" si="194"/>
        <v xml:space="preserve">  * La variable Migrantes No puede ser mayor al Total.</v>
      </c>
      <c r="BW306" s="1723" t="str">
        <f t="shared" si="195"/>
        <v xml:space="preserve">  * La variable Niños, Niñas, adolescentes y jóvenes SENAME No puede ser mayor al Total.</v>
      </c>
      <c r="BX306" s="1723" t="str">
        <f t="shared" si="196"/>
        <v xml:space="preserve">  * La variable Niños, Niñas, adolescentes y jóvenes Mejor Niñez No puede ser mayor al Total.</v>
      </c>
      <c r="BY306"/>
      <c r="CA306"/>
      <c r="CB306"/>
      <c r="CC306" s="1725" t="e">
        <f t="shared" si="182"/>
        <v>#VALUE!</v>
      </c>
      <c r="CD306" s="1725">
        <f t="shared" si="183"/>
        <v>1</v>
      </c>
      <c r="CE306" s="1725">
        <f t="shared" si="197"/>
        <v>1</v>
      </c>
      <c r="CF306" s="1725">
        <f t="shared" si="184"/>
        <v>1</v>
      </c>
      <c r="CG306" s="1725">
        <f t="shared" si="185"/>
        <v>1</v>
      </c>
      <c r="CH306" s="1725">
        <f t="shared" si="186"/>
        <v>1</v>
      </c>
      <c r="CI306" s="1725">
        <f t="shared" si="187"/>
        <v>1</v>
      </c>
    </row>
    <row r="307" spans="1:87" ht="15" customHeight="1" x14ac:dyDescent="0.3">
      <c r="A307" s="6248" t="s">
        <v>4497</v>
      </c>
      <c r="B307" s="6972"/>
      <c r="C307" s="2340" t="s">
        <v>2059</v>
      </c>
      <c r="D307" s="2167" t="s">
        <v>5292</v>
      </c>
      <c r="E307" s="2168" t="s">
        <v>5293</v>
      </c>
      <c r="F307" s="1" t="s">
        <v>5294</v>
      </c>
      <c r="G307" s="1095" t="s">
        <v>5295</v>
      </c>
      <c r="H307" s="1099" t="s">
        <v>5296</v>
      </c>
      <c r="I307" s="1095" t="s">
        <v>5297</v>
      </c>
      <c r="J307" s="1099" t="s">
        <v>5298</v>
      </c>
      <c r="K307" s="1095" t="s">
        <v>5299</v>
      </c>
      <c r="L307" s="1099" t="s">
        <v>5300</v>
      </c>
      <c r="M307" s="1095" t="s">
        <v>5301</v>
      </c>
      <c r="N307" s="1099" t="s">
        <v>5302</v>
      </c>
      <c r="O307" s="1095" t="s">
        <v>5303</v>
      </c>
      <c r="P307" s="1254" t="s">
        <v>5304</v>
      </c>
      <c r="Q307" s="1095" t="s">
        <v>5305</v>
      </c>
      <c r="R307" s="1099" t="s">
        <v>5306</v>
      </c>
      <c r="S307" s="2115" t="s">
        <v>5307</v>
      </c>
      <c r="T307" s="1254" t="s">
        <v>5308</v>
      </c>
      <c r="U307" s="1095" t="s">
        <v>5309</v>
      </c>
      <c r="V307" s="1099" t="s">
        <v>5310</v>
      </c>
      <c r="W307" s="2115" t="s">
        <v>5311</v>
      </c>
      <c r="X307" s="1254" t="s">
        <v>5312</v>
      </c>
      <c r="Y307" s="1095" t="s">
        <v>5313</v>
      </c>
      <c r="Z307" s="1099" t="s">
        <v>5314</v>
      </c>
      <c r="AA307" s="2115" t="s">
        <v>5315</v>
      </c>
      <c r="AB307" s="1254" t="s">
        <v>5316</v>
      </c>
      <c r="AC307" s="1095" t="s">
        <v>5317</v>
      </c>
      <c r="AD307" s="1099" t="s">
        <v>5318</v>
      </c>
      <c r="AE307" s="2115" t="s">
        <v>5319</v>
      </c>
      <c r="AF307" s="1254" t="s">
        <v>5320</v>
      </c>
      <c r="AG307" s="1095" t="s">
        <v>5321</v>
      </c>
      <c r="AH307" s="1099" t="s">
        <v>5322</v>
      </c>
      <c r="AI307" s="2115" t="s">
        <v>5323</v>
      </c>
      <c r="AJ307" s="1254" t="s">
        <v>5324</v>
      </c>
      <c r="AK307" s="1095" t="s">
        <v>5325</v>
      </c>
      <c r="AL307" s="1099" t="s">
        <v>5326</v>
      </c>
      <c r="AM307" s="2115" t="s">
        <v>5327</v>
      </c>
      <c r="AN307" s="1100" t="s">
        <v>5328</v>
      </c>
      <c r="AO307" s="2115" t="s">
        <v>5329</v>
      </c>
      <c r="AP307" s="2115" t="s">
        <v>5330</v>
      </c>
      <c r="AQ307" s="8" t="s">
        <v>5331</v>
      </c>
      <c r="AR307" s="1095" t="s">
        <v>5332</v>
      </c>
      <c r="AS307" s="8" t="s">
        <v>5333</v>
      </c>
      <c r="AT307" s="1092" t="s">
        <v>5334</v>
      </c>
      <c r="AU307" s="1092" t="s">
        <v>5335</v>
      </c>
      <c r="AV307" s="8" t="s">
        <v>5336</v>
      </c>
      <c r="AW307" s="8" t="s">
        <v>5337</v>
      </c>
      <c r="AX307" t="e">
        <f t="shared" si="175"/>
        <v>#VALUE!</v>
      </c>
      <c r="BR307" s="2465" t="e">
        <f t="shared" si="176"/>
        <v>#VALUE!</v>
      </c>
      <c r="BS307" s="1723" t="str">
        <f t="shared" si="177"/>
        <v xml:space="preserve">  * La variable Trans (Masculino) No puede ser mayor al Total Mujeres.</v>
      </c>
      <c r="BT307" s="1723" t="str">
        <f t="shared" si="192"/>
        <v xml:space="preserve">  * La variable Trans (Femenino) No puede ser mayor al Total Hombres.</v>
      </c>
      <c r="BU307" s="1723" t="str">
        <f t="shared" si="193"/>
        <v xml:space="preserve">  * La variable Pueblos originarios No puede ser mayor al Total.</v>
      </c>
      <c r="BV307" s="1723" t="str">
        <f t="shared" si="194"/>
        <v xml:space="preserve">  * La variable Migrantes No puede ser mayor al Total.</v>
      </c>
      <c r="BW307" s="1723" t="str">
        <f t="shared" si="195"/>
        <v xml:space="preserve">  * La variable Niños, Niñas, adolescentes y jóvenes SENAME No puede ser mayor al Total.</v>
      </c>
      <c r="BX307" s="1723" t="str">
        <f t="shared" si="196"/>
        <v xml:space="preserve">  * La variable Niños, Niñas, adolescentes y jóvenes Mejor Niñez No puede ser mayor al Total.</v>
      </c>
      <c r="BY307"/>
      <c r="CA307"/>
      <c r="CB307"/>
      <c r="CC307" s="1725" t="e">
        <f t="shared" si="182"/>
        <v>#VALUE!</v>
      </c>
      <c r="CD307" s="1725">
        <f t="shared" si="183"/>
        <v>1</v>
      </c>
      <c r="CE307" s="1725">
        <f t="shared" si="197"/>
        <v>1</v>
      </c>
      <c r="CF307" s="1725">
        <f t="shared" si="184"/>
        <v>1</v>
      </c>
      <c r="CG307" s="1725">
        <f t="shared" si="185"/>
        <v>1</v>
      </c>
      <c r="CH307" s="1725">
        <f t="shared" si="186"/>
        <v>1</v>
      </c>
      <c r="CI307" s="1725">
        <f t="shared" si="187"/>
        <v>1</v>
      </c>
    </row>
    <row r="308" spans="1:87" ht="15" customHeight="1" x14ac:dyDescent="0.3">
      <c r="A308" s="6248" t="s">
        <v>4498</v>
      </c>
      <c r="B308" s="6972"/>
      <c r="C308" s="2340" t="s">
        <v>2060</v>
      </c>
      <c r="D308" s="2167" t="s">
        <v>5292</v>
      </c>
      <c r="E308" s="2168" t="s">
        <v>5293</v>
      </c>
      <c r="F308" s="1" t="s">
        <v>5294</v>
      </c>
      <c r="G308" s="1095" t="s">
        <v>5295</v>
      </c>
      <c r="H308" s="1099" t="s">
        <v>5296</v>
      </c>
      <c r="I308" s="1095" t="s">
        <v>5297</v>
      </c>
      <c r="J308" s="1099" t="s">
        <v>5298</v>
      </c>
      <c r="K308" s="1095" t="s">
        <v>5299</v>
      </c>
      <c r="L308" s="1099" t="s">
        <v>5300</v>
      </c>
      <c r="M308" s="1095" t="s">
        <v>5301</v>
      </c>
      <c r="N308" s="1099" t="s">
        <v>5302</v>
      </c>
      <c r="O308" s="1095" t="s">
        <v>5303</v>
      </c>
      <c r="P308" s="1254" t="s">
        <v>5304</v>
      </c>
      <c r="Q308" s="1095" t="s">
        <v>5305</v>
      </c>
      <c r="R308" s="1099" t="s">
        <v>5306</v>
      </c>
      <c r="S308" s="2115" t="s">
        <v>5307</v>
      </c>
      <c r="T308" s="1254" t="s">
        <v>5308</v>
      </c>
      <c r="U308" s="1095" t="s">
        <v>5309</v>
      </c>
      <c r="V308" s="1099" t="s">
        <v>5310</v>
      </c>
      <c r="W308" s="2115" t="s">
        <v>5311</v>
      </c>
      <c r="X308" s="1254" t="s">
        <v>5312</v>
      </c>
      <c r="Y308" s="1095" t="s">
        <v>5313</v>
      </c>
      <c r="Z308" s="1099" t="s">
        <v>5314</v>
      </c>
      <c r="AA308" s="2115" t="s">
        <v>5315</v>
      </c>
      <c r="AB308" s="1254" t="s">
        <v>5316</v>
      </c>
      <c r="AC308" s="1095" t="s">
        <v>5317</v>
      </c>
      <c r="AD308" s="1099" t="s">
        <v>5318</v>
      </c>
      <c r="AE308" s="2115" t="s">
        <v>5319</v>
      </c>
      <c r="AF308" s="1254" t="s">
        <v>5320</v>
      </c>
      <c r="AG308" s="1095" t="s">
        <v>5321</v>
      </c>
      <c r="AH308" s="1099" t="s">
        <v>5322</v>
      </c>
      <c r="AI308" s="2115" t="s">
        <v>5323</v>
      </c>
      <c r="AJ308" s="1254" t="s">
        <v>5324</v>
      </c>
      <c r="AK308" s="1095" t="s">
        <v>5325</v>
      </c>
      <c r="AL308" s="1099" t="s">
        <v>5326</v>
      </c>
      <c r="AM308" s="2115" t="s">
        <v>5327</v>
      </c>
      <c r="AN308" s="1100" t="s">
        <v>5328</v>
      </c>
      <c r="AO308" s="2115" t="s">
        <v>5329</v>
      </c>
      <c r="AP308" s="2115" t="s">
        <v>5330</v>
      </c>
      <c r="AQ308" s="8" t="s">
        <v>5331</v>
      </c>
      <c r="AR308" s="1095" t="s">
        <v>5332</v>
      </c>
      <c r="AS308" s="8" t="s">
        <v>5333</v>
      </c>
      <c r="AT308" s="1092" t="s">
        <v>5334</v>
      </c>
      <c r="AU308" s="1092" t="s">
        <v>5335</v>
      </c>
      <c r="AV308" s="8" t="s">
        <v>5336</v>
      </c>
      <c r="AW308" s="8" t="s">
        <v>5337</v>
      </c>
      <c r="AX308" t="e">
        <f t="shared" si="175"/>
        <v>#VALUE!</v>
      </c>
      <c r="BR308" s="2465" t="e">
        <f t="shared" si="176"/>
        <v>#VALUE!</v>
      </c>
      <c r="BS308" s="1723" t="str">
        <f t="shared" si="177"/>
        <v xml:space="preserve">  * La variable Trans (Masculino) No puede ser mayor al Total Mujeres.</v>
      </c>
      <c r="BT308" s="1723" t="str">
        <f t="shared" si="192"/>
        <v xml:space="preserve">  * La variable Trans (Femenino) No puede ser mayor al Total Hombres.</v>
      </c>
      <c r="BU308" s="1723" t="str">
        <f t="shared" si="193"/>
        <v xml:space="preserve">  * La variable Pueblos originarios No puede ser mayor al Total.</v>
      </c>
      <c r="BV308" s="1723" t="str">
        <f t="shared" si="194"/>
        <v xml:space="preserve">  * La variable Migrantes No puede ser mayor al Total.</v>
      </c>
      <c r="BW308" s="1723" t="str">
        <f t="shared" si="195"/>
        <v xml:space="preserve">  * La variable Niños, Niñas, adolescentes y jóvenes SENAME No puede ser mayor al Total.</v>
      </c>
      <c r="BX308" s="1723" t="str">
        <f t="shared" si="196"/>
        <v xml:space="preserve">  * La variable Niños, Niñas, adolescentes y jóvenes Mejor Niñez No puede ser mayor al Total.</v>
      </c>
      <c r="BY308"/>
      <c r="CA308"/>
      <c r="CB308"/>
      <c r="CC308" s="1725" t="e">
        <f t="shared" si="182"/>
        <v>#VALUE!</v>
      </c>
      <c r="CD308" s="1725">
        <f t="shared" si="183"/>
        <v>1</v>
      </c>
      <c r="CE308" s="1725">
        <f t="shared" si="197"/>
        <v>1</v>
      </c>
      <c r="CF308" s="1725">
        <f t="shared" si="184"/>
        <v>1</v>
      </c>
      <c r="CG308" s="1725">
        <f t="shared" si="185"/>
        <v>1</v>
      </c>
      <c r="CH308" s="1725">
        <f t="shared" si="186"/>
        <v>1</v>
      </c>
      <c r="CI308" s="1725">
        <f t="shared" si="187"/>
        <v>1</v>
      </c>
    </row>
    <row r="309" spans="1:87" ht="15" customHeight="1" x14ac:dyDescent="0.3">
      <c r="A309" s="6248" t="s">
        <v>4499</v>
      </c>
      <c r="B309" s="6975"/>
      <c r="C309" s="1276" t="s">
        <v>2061</v>
      </c>
      <c r="D309" s="2205" t="s">
        <v>5292</v>
      </c>
      <c r="E309" s="28" t="s">
        <v>5293</v>
      </c>
      <c r="F309" s="2" t="s">
        <v>5294</v>
      </c>
      <c r="G309" s="3" t="s">
        <v>5295</v>
      </c>
      <c r="H309" s="6" t="s">
        <v>5296</v>
      </c>
      <c r="I309" s="3" t="s">
        <v>5297</v>
      </c>
      <c r="J309" s="6" t="s">
        <v>5298</v>
      </c>
      <c r="K309" s="3" t="s">
        <v>5299</v>
      </c>
      <c r="L309" s="6" t="s">
        <v>5300</v>
      </c>
      <c r="M309" s="3" t="s">
        <v>5301</v>
      </c>
      <c r="N309" s="6" t="s">
        <v>5302</v>
      </c>
      <c r="O309" s="3" t="s">
        <v>5303</v>
      </c>
      <c r="P309" s="1291" t="s">
        <v>5304</v>
      </c>
      <c r="Q309" s="3" t="s">
        <v>5305</v>
      </c>
      <c r="R309" s="6" t="s">
        <v>5306</v>
      </c>
      <c r="S309" s="21" t="s">
        <v>5307</v>
      </c>
      <c r="T309" s="1291" t="s">
        <v>5308</v>
      </c>
      <c r="U309" s="3" t="s">
        <v>5309</v>
      </c>
      <c r="V309" s="6" t="s">
        <v>5310</v>
      </c>
      <c r="W309" s="21" t="s">
        <v>5311</v>
      </c>
      <c r="X309" s="1291" t="s">
        <v>5312</v>
      </c>
      <c r="Y309" s="3" t="s">
        <v>5313</v>
      </c>
      <c r="Z309" s="6" t="s">
        <v>5314</v>
      </c>
      <c r="AA309" s="21" t="s">
        <v>5315</v>
      </c>
      <c r="AB309" s="1291" t="s">
        <v>5316</v>
      </c>
      <c r="AC309" s="3" t="s">
        <v>5317</v>
      </c>
      <c r="AD309" s="6" t="s">
        <v>5318</v>
      </c>
      <c r="AE309" s="21" t="s">
        <v>5319</v>
      </c>
      <c r="AF309" s="1291" t="s">
        <v>5320</v>
      </c>
      <c r="AG309" s="3" t="s">
        <v>5321</v>
      </c>
      <c r="AH309" s="6" t="s">
        <v>5322</v>
      </c>
      <c r="AI309" s="21" t="s">
        <v>5323</v>
      </c>
      <c r="AJ309" s="1291" t="s">
        <v>5324</v>
      </c>
      <c r="AK309" s="3" t="s">
        <v>5325</v>
      </c>
      <c r="AL309" s="6" t="s">
        <v>5326</v>
      </c>
      <c r="AM309" s="21" t="s">
        <v>5327</v>
      </c>
      <c r="AN309" s="5" t="s">
        <v>5328</v>
      </c>
      <c r="AO309" s="21" t="s">
        <v>5329</v>
      </c>
      <c r="AP309" s="21" t="s">
        <v>5330</v>
      </c>
      <c r="AQ309" s="12" t="s">
        <v>5331</v>
      </c>
      <c r="AR309" s="3" t="s">
        <v>5332</v>
      </c>
      <c r="AS309" s="12" t="s">
        <v>5333</v>
      </c>
      <c r="AT309" s="30" t="s">
        <v>5334</v>
      </c>
      <c r="AU309" s="12" t="s">
        <v>5335</v>
      </c>
      <c r="AV309" s="12" t="s">
        <v>5336</v>
      </c>
      <c r="AW309" s="12" t="s">
        <v>5337</v>
      </c>
      <c r="AX309" t="e">
        <f t="shared" si="175"/>
        <v>#VALUE!</v>
      </c>
      <c r="BR309" s="2465" t="e">
        <f t="shared" si="176"/>
        <v>#VALUE!</v>
      </c>
      <c r="BS309" s="1723" t="str">
        <f t="shared" si="177"/>
        <v xml:space="preserve">  * La variable Trans (Masculino) No puede ser mayor al Total Mujeres.</v>
      </c>
      <c r="BT309" s="1723" t="str">
        <f t="shared" si="192"/>
        <v xml:space="preserve">  * La variable Trans (Femenino) No puede ser mayor al Total Hombres.</v>
      </c>
      <c r="BU309" s="1723" t="str">
        <f t="shared" si="193"/>
        <v xml:space="preserve">  * La variable Pueblos originarios No puede ser mayor al Total.</v>
      </c>
      <c r="BV309" s="1723" t="str">
        <f t="shared" si="194"/>
        <v xml:space="preserve">  * La variable Migrantes No puede ser mayor al Total.</v>
      </c>
      <c r="BW309" s="1723" t="str">
        <f t="shared" si="195"/>
        <v xml:space="preserve">  * La variable Niños, Niñas, adolescentes y jóvenes SENAME No puede ser mayor al Total.</v>
      </c>
      <c r="BX309" s="1723" t="str">
        <f t="shared" si="196"/>
        <v xml:space="preserve">  * La variable Niños, Niñas, adolescentes y jóvenes Mejor Niñez No puede ser mayor al Total.</v>
      </c>
      <c r="BY309"/>
      <c r="CA309"/>
      <c r="CB309"/>
      <c r="CC309" s="1725" t="e">
        <f t="shared" si="182"/>
        <v>#VALUE!</v>
      </c>
      <c r="CD309" s="1725">
        <f t="shared" si="183"/>
        <v>1</v>
      </c>
      <c r="CE309" s="1725">
        <f>IF(AND(E309&gt;0,OR(AS309="")),1,IF(AS309&gt;E309,1,0))</f>
        <v>1</v>
      </c>
      <c r="CF309" s="1725">
        <f t="shared" si="184"/>
        <v>1</v>
      </c>
      <c r="CG309" s="1725">
        <f t="shared" si="185"/>
        <v>1</v>
      </c>
      <c r="CH309" s="1725">
        <f t="shared" si="186"/>
        <v>1</v>
      </c>
      <c r="CI309" s="1725">
        <f t="shared" si="187"/>
        <v>1</v>
      </c>
    </row>
    <row r="310" spans="1:87" s="17" customFormat="1" ht="18" customHeight="1" x14ac:dyDescent="0.25">
      <c r="B310" s="14" t="s">
        <v>2063</v>
      </c>
      <c r="C310" s="2647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2711"/>
    </row>
    <row r="311" spans="1:87" x14ac:dyDescent="0.3">
      <c r="B311" s="6921" t="s">
        <v>23</v>
      </c>
      <c r="C311" s="6399"/>
      <c r="D311" s="6982" t="s">
        <v>47</v>
      </c>
      <c r="E311" s="6983"/>
      <c r="F311" s="6984"/>
      <c r="G311" s="6976" t="s">
        <v>30</v>
      </c>
      <c r="H311" s="6977"/>
      <c r="I311" s="6977"/>
      <c r="J311" s="6977"/>
      <c r="K311" s="6977"/>
      <c r="L311" s="6977"/>
      <c r="M311" s="6977"/>
      <c r="N311" s="6977"/>
      <c r="O311" s="6977"/>
      <c r="P311" s="6977"/>
      <c r="Q311" s="6977"/>
      <c r="R311" s="6977"/>
      <c r="S311" s="6977"/>
      <c r="T311" s="6977"/>
      <c r="U311" s="6977"/>
      <c r="V311" s="6977"/>
      <c r="W311" s="6977"/>
      <c r="X311" s="6977"/>
      <c r="Y311" s="6977"/>
      <c r="Z311" s="6977"/>
      <c r="AA311" s="6977"/>
      <c r="AB311" s="6977"/>
      <c r="AC311" s="6977"/>
      <c r="AD311" s="6977"/>
      <c r="AE311" s="6977"/>
      <c r="AF311" s="6977"/>
      <c r="AG311" s="6977"/>
      <c r="AH311" s="6977"/>
      <c r="AI311" s="6977"/>
      <c r="AJ311" s="6977"/>
      <c r="AK311" s="6977"/>
      <c r="AL311" s="6977"/>
      <c r="AM311" s="6977"/>
      <c r="AN311" s="6977"/>
      <c r="AO311" s="6977"/>
      <c r="AP311" s="6977"/>
      <c r="AQ311" s="6977"/>
      <c r="AR311" s="6978"/>
      <c r="AS311" s="6891" t="s">
        <v>48</v>
      </c>
      <c r="AT311" s="6399"/>
      <c r="AU311" s="6895" t="s">
        <v>2</v>
      </c>
      <c r="AV311" s="6895" t="s">
        <v>3</v>
      </c>
      <c r="AW311" s="6895" t="s">
        <v>49</v>
      </c>
      <c r="AX311" s="6895" t="s">
        <v>45</v>
      </c>
      <c r="BR311"/>
      <c r="BS311"/>
      <c r="BT311"/>
      <c r="BU311"/>
      <c r="BV311"/>
      <c r="BW311"/>
      <c r="BX311"/>
      <c r="BY311"/>
      <c r="CA311"/>
      <c r="CB311"/>
      <c r="CC311"/>
    </row>
    <row r="312" spans="1:87" x14ac:dyDescent="0.3">
      <c r="B312" s="6830"/>
      <c r="C312" s="6831"/>
      <c r="D312" s="6985"/>
      <c r="E312" s="6986"/>
      <c r="F312" s="6987"/>
      <c r="G312" s="6800" t="s">
        <v>52</v>
      </c>
      <c r="H312" s="6922"/>
      <c r="I312" s="6800" t="s">
        <v>3706</v>
      </c>
      <c r="J312" s="6922"/>
      <c r="K312" s="6800" t="s">
        <v>3707</v>
      </c>
      <c r="L312" s="6922"/>
      <c r="M312" s="6800" t="s">
        <v>3705</v>
      </c>
      <c r="N312" s="6922"/>
      <c r="O312" s="6800" t="s">
        <v>37</v>
      </c>
      <c r="P312" s="6922"/>
      <c r="Q312" s="6800" t="s">
        <v>38</v>
      </c>
      <c r="R312" s="6922"/>
      <c r="S312" s="6800" t="s">
        <v>4</v>
      </c>
      <c r="T312" s="6922"/>
      <c r="U312" s="6800" t="s">
        <v>5</v>
      </c>
      <c r="V312" s="6922"/>
      <c r="W312" s="6800" t="s">
        <v>6</v>
      </c>
      <c r="X312" s="6915"/>
      <c r="Y312" s="6800" t="s">
        <v>7</v>
      </c>
      <c r="Z312" s="6915"/>
      <c r="AA312" s="6800" t="s">
        <v>8</v>
      </c>
      <c r="AB312" s="6915"/>
      <c r="AC312" s="6800" t="s">
        <v>9</v>
      </c>
      <c r="AD312" s="6915"/>
      <c r="AE312" s="6800" t="s">
        <v>10</v>
      </c>
      <c r="AF312" s="6915"/>
      <c r="AG312" s="6800" t="s">
        <v>11</v>
      </c>
      <c r="AH312" s="6915"/>
      <c r="AI312" s="6800" t="s">
        <v>18</v>
      </c>
      <c r="AJ312" s="6915"/>
      <c r="AK312" s="6800" t="s">
        <v>19</v>
      </c>
      <c r="AL312" s="6915"/>
      <c r="AM312" s="6800" t="s">
        <v>20</v>
      </c>
      <c r="AN312" s="6915"/>
      <c r="AO312" s="6800" t="s">
        <v>70</v>
      </c>
      <c r="AP312" s="6915"/>
      <c r="AQ312" s="6800" t="s">
        <v>57</v>
      </c>
      <c r="AR312" s="6801"/>
      <c r="AS312" s="6959"/>
      <c r="AT312" s="6400"/>
      <c r="AU312" s="6900"/>
      <c r="AV312" s="6900"/>
      <c r="AW312" s="6900"/>
      <c r="AX312" s="6900"/>
      <c r="BR312"/>
      <c r="BS312"/>
      <c r="BT312"/>
      <c r="BU312"/>
      <c r="BV312"/>
      <c r="BW312"/>
      <c r="BX312"/>
      <c r="BY312"/>
      <c r="CA312"/>
      <c r="CB312"/>
      <c r="CC312"/>
    </row>
    <row r="313" spans="1:87" ht="25.5" customHeight="1" x14ac:dyDescent="0.3">
      <c r="B313" s="6828"/>
      <c r="C313" s="6400"/>
      <c r="D313" s="2665" t="s">
        <v>26</v>
      </c>
      <c r="E313" s="2714" t="s">
        <v>22</v>
      </c>
      <c r="F313" s="2712" t="s">
        <v>27</v>
      </c>
      <c r="G313" s="2665" t="s">
        <v>51</v>
      </c>
      <c r="H313" s="2710" t="s">
        <v>27</v>
      </c>
      <c r="I313" s="2665" t="s">
        <v>51</v>
      </c>
      <c r="J313" s="2710" t="s">
        <v>27</v>
      </c>
      <c r="K313" s="2665" t="s">
        <v>51</v>
      </c>
      <c r="L313" s="2710" t="s">
        <v>27</v>
      </c>
      <c r="M313" s="2665" t="s">
        <v>51</v>
      </c>
      <c r="N313" s="2710" t="s">
        <v>27</v>
      </c>
      <c r="O313" s="2665" t="s">
        <v>51</v>
      </c>
      <c r="P313" s="2710" t="s">
        <v>27</v>
      </c>
      <c r="Q313" s="2665" t="s">
        <v>51</v>
      </c>
      <c r="R313" s="2710" t="s">
        <v>27</v>
      </c>
      <c r="S313" s="2665" t="s">
        <v>51</v>
      </c>
      <c r="T313" s="2710" t="s">
        <v>27</v>
      </c>
      <c r="U313" s="2665" t="s">
        <v>51</v>
      </c>
      <c r="V313" s="2710" t="s">
        <v>27</v>
      </c>
      <c r="W313" s="2665" t="s">
        <v>51</v>
      </c>
      <c r="X313" s="2710" t="s">
        <v>27</v>
      </c>
      <c r="Y313" s="2665" t="s">
        <v>51</v>
      </c>
      <c r="Z313" s="2710" t="s">
        <v>27</v>
      </c>
      <c r="AA313" s="2665" t="s">
        <v>51</v>
      </c>
      <c r="AB313" s="2710" t="s">
        <v>27</v>
      </c>
      <c r="AC313" s="2665" t="s">
        <v>51</v>
      </c>
      <c r="AD313" s="2710" t="s">
        <v>27</v>
      </c>
      <c r="AE313" s="2665" t="s">
        <v>51</v>
      </c>
      <c r="AF313" s="2710" t="s">
        <v>27</v>
      </c>
      <c r="AG313" s="2665" t="s">
        <v>51</v>
      </c>
      <c r="AH313" s="2710" t="s">
        <v>27</v>
      </c>
      <c r="AI313" s="2665" t="s">
        <v>51</v>
      </c>
      <c r="AJ313" s="2710" t="s">
        <v>27</v>
      </c>
      <c r="AK313" s="2665" t="s">
        <v>51</v>
      </c>
      <c r="AL313" s="2710" t="s">
        <v>27</v>
      </c>
      <c r="AM313" s="2665" t="s">
        <v>51</v>
      </c>
      <c r="AN313" s="2710" t="s">
        <v>27</v>
      </c>
      <c r="AO313" s="2665" t="s">
        <v>51</v>
      </c>
      <c r="AP313" s="2710" t="s">
        <v>27</v>
      </c>
      <c r="AQ313" s="2665" t="s">
        <v>51</v>
      </c>
      <c r="AR313" s="2686" t="s">
        <v>27</v>
      </c>
      <c r="AS313" s="2669" t="s">
        <v>41</v>
      </c>
      <c r="AT313" s="2710" t="s">
        <v>42</v>
      </c>
      <c r="AU313" s="6896"/>
      <c r="AV313" s="6896"/>
      <c r="AW313" s="6896"/>
      <c r="AX313" s="6896"/>
      <c r="BR313"/>
      <c r="BS313"/>
      <c r="BT313"/>
      <c r="BU313"/>
      <c r="BV313"/>
      <c r="BW313"/>
      <c r="BX313"/>
      <c r="BY313"/>
      <c r="CA313"/>
      <c r="CB313"/>
      <c r="CC313"/>
    </row>
    <row r="314" spans="1:87" x14ac:dyDescent="0.3">
      <c r="A314" s="6233" t="s">
        <v>4500</v>
      </c>
      <c r="B314" s="6917" t="s">
        <v>2064</v>
      </c>
      <c r="C314" s="2249" t="s">
        <v>39</v>
      </c>
      <c r="D314" s="2189" t="s">
        <v>5292</v>
      </c>
      <c r="E314" s="2350" t="s">
        <v>5293</v>
      </c>
      <c r="F314" s="2220" t="s">
        <v>5294</v>
      </c>
      <c r="G314" s="2351" t="s">
        <v>5295</v>
      </c>
      <c r="H314" s="2352" t="s">
        <v>5296</v>
      </c>
      <c r="I314" s="2352" t="s">
        <v>5297</v>
      </c>
      <c r="J314" s="2352" t="s">
        <v>5298</v>
      </c>
      <c r="K314" s="2352" t="s">
        <v>5299</v>
      </c>
      <c r="L314" s="2352" t="s">
        <v>5300</v>
      </c>
      <c r="M314" s="2352" t="s">
        <v>5301</v>
      </c>
      <c r="N314" s="2352" t="s">
        <v>5302</v>
      </c>
      <c r="O314" s="2352" t="s">
        <v>5303</v>
      </c>
      <c r="P314" s="2352" t="s">
        <v>5304</v>
      </c>
      <c r="Q314" s="2353" t="s">
        <v>5305</v>
      </c>
      <c r="R314" s="2304" t="s">
        <v>5306</v>
      </c>
      <c r="S314" s="2265" t="s">
        <v>5307</v>
      </c>
      <c r="T314" s="2304" t="s">
        <v>5308</v>
      </c>
      <c r="U314" s="2265" t="s">
        <v>5309</v>
      </c>
      <c r="V314" s="2304" t="s">
        <v>5310</v>
      </c>
      <c r="W314" s="2265" t="s">
        <v>5311</v>
      </c>
      <c r="X314" s="2304" t="s">
        <v>5312</v>
      </c>
      <c r="Y314" s="2265" t="s">
        <v>5313</v>
      </c>
      <c r="Z314" s="2304" t="s">
        <v>5314</v>
      </c>
      <c r="AA314" s="2265" t="s">
        <v>5315</v>
      </c>
      <c r="AB314" s="2304" t="s">
        <v>5316</v>
      </c>
      <c r="AC314" s="2265" t="s">
        <v>5317</v>
      </c>
      <c r="AD314" s="2304" t="s">
        <v>5318</v>
      </c>
      <c r="AE314" s="2265" t="s">
        <v>5319</v>
      </c>
      <c r="AF314" s="2304" t="s">
        <v>5320</v>
      </c>
      <c r="AG314" s="2265" t="s">
        <v>5321</v>
      </c>
      <c r="AH314" s="2304" t="s">
        <v>5322</v>
      </c>
      <c r="AI314" s="2265" t="s">
        <v>5323</v>
      </c>
      <c r="AJ314" s="2304" t="s">
        <v>5324</v>
      </c>
      <c r="AK314" s="2265" t="s">
        <v>5325</v>
      </c>
      <c r="AL314" s="2353" t="s">
        <v>5326</v>
      </c>
      <c r="AM314" s="2265" t="s">
        <v>5327</v>
      </c>
      <c r="AN314" s="2353" t="s">
        <v>5328</v>
      </c>
      <c r="AO314" s="2265" t="s">
        <v>5329</v>
      </c>
      <c r="AP314" s="2353" t="s">
        <v>5330</v>
      </c>
      <c r="AQ314" s="2265" t="s">
        <v>5331</v>
      </c>
      <c r="AR314" s="2354" t="s">
        <v>5332</v>
      </c>
      <c r="AS314" s="2304" t="s">
        <v>5333</v>
      </c>
      <c r="AT314" s="6188" t="s">
        <v>5334</v>
      </c>
      <c r="AU314" s="6189" t="s">
        <v>5335</v>
      </c>
      <c r="AV314" s="2229" t="s">
        <v>5336</v>
      </c>
      <c r="AW314" s="2166" t="s">
        <v>5337</v>
      </c>
      <c r="AX314" s="2229" t="s">
        <v>5338</v>
      </c>
      <c r="AY314" t="str">
        <f>BR314&amp;BS314&amp;BT314&amp;BU314&amp;BV314&amp;BW314</f>
        <v xml:space="preserve"> * La variable Trans (masculino) No puede ser mayor al Total.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4" s="2465" t="str">
        <f>IF(AND(F314&gt;0,OR(AS314="")),"* No olvide digitar la variable Trans (masculino). Digite Cero si no tiene.",IF(AS314&gt;F314," * La variable Trans (masculino) No puede ser mayor al Total.",""))</f>
        <v xml:space="preserve"> * La variable Trans (masculino) No puede ser mayor al Total.</v>
      </c>
      <c r="BS314" s="170"/>
      <c r="BT314" s="2465" t="str">
        <f>IF(AND(D314&gt;0,AU314="")," * No olvide digitar la variable Pueblos originarios. Digite Cero si no tiene.",IF(AU314&gt;D314," * La variable Pueblos originarios No puede ser mayor al Total.",""))</f>
        <v xml:space="preserve"> * La variable Pueblos originarios No puede ser mayor al Total.</v>
      </c>
      <c r="BU314" s="2465" t="str">
        <f>IF(AND(D314&gt;0,AV314="")," * No olvide digitar la variable Migrantes. Digite Cero si no tiene.",IF(AV314&gt;D314," * La variable Migrantes No puede ser mayor al Total.",""))</f>
        <v xml:space="preserve"> * La variable Migrantes No puede ser mayor al Total.</v>
      </c>
      <c r="BV314" s="2465" t="str">
        <f>IF(AND(D314&gt;0,AW314="")," * No olvide digitar la variable Niños, niñas adolescentes y Jóvenes SENAME. Digite Cero si no tiene.",IF(AW314&gt;D314," * La variable Niños, niñas adolescentes y Jóvenes SENAME No puede ser mayor al Total.",""))</f>
        <v xml:space="preserve"> * La variable Niños, niñas adolescentes y Jóvenes SENAME No puede ser mayor al Total.</v>
      </c>
      <c r="BW314" s="2465" t="str">
        <f>IF(AND(D314&gt;0,AX314="")," * No olvide digitar la variable Niños, niñas adolescentes y Jóvenes Mejor Niñez. Digite Cero si no tiene.",IF(AX314&gt;D314," * La variable Niños, niñas adolescentes y Jóvenes Mejor Niñez No puede ser mayor al Total.",""))</f>
        <v xml:space="preserve"> * La variable Niños, niñas adolescentes y Jóvenes Mejor Niñez No puede ser mayor al Total.</v>
      </c>
      <c r="BX314"/>
      <c r="BY314"/>
      <c r="CA314"/>
      <c r="CB314"/>
      <c r="CC314" s="1725">
        <f>IF(AND(F314&gt;0,OR(AS314="")),1,IF(AS314&gt;F314,1,0))</f>
        <v>1</v>
      </c>
      <c r="CE314" s="1725">
        <f>IF(AND(D314&gt;0,AU314=""),1,IF(AU314&gt;D314,1,0))</f>
        <v>1</v>
      </c>
      <c r="CF314" s="1725">
        <f>IF(AND(D314&gt;0,AV314=""),1,IF(AV314&gt;D314,1,0))</f>
        <v>1</v>
      </c>
      <c r="CG314" s="1725">
        <f>IF(AND(D314&gt;0,AW314=""),1,IF(AW314&gt;D314,1,0))</f>
        <v>1</v>
      </c>
      <c r="CH314" s="1725">
        <f>IF(AND(D314&gt;0,AX314=""),1,IF(AX314&gt;D314,1,0))</f>
        <v>1</v>
      </c>
    </row>
    <row r="315" spans="1:87" x14ac:dyDescent="0.3">
      <c r="A315" s="6233" t="s">
        <v>4501</v>
      </c>
      <c r="B315" s="6908"/>
      <c r="C315" s="2355" t="s">
        <v>2062</v>
      </c>
      <c r="D315" s="2193" t="s">
        <v>5292</v>
      </c>
      <c r="E315" s="2194" t="s">
        <v>5293</v>
      </c>
      <c r="F315" s="2125" t="s">
        <v>5294</v>
      </c>
      <c r="G315" s="2272" t="s">
        <v>5295</v>
      </c>
      <c r="H315" s="2328" t="s">
        <v>5296</v>
      </c>
      <c r="I315" s="2272" t="s">
        <v>5297</v>
      </c>
      <c r="J315" s="2328" t="s">
        <v>5298</v>
      </c>
      <c r="K315" s="2272" t="s">
        <v>5299</v>
      </c>
      <c r="L315" s="1258" t="s">
        <v>5300</v>
      </c>
      <c r="M315" s="2272" t="s">
        <v>5301</v>
      </c>
      <c r="N315" s="2241" t="s">
        <v>5302</v>
      </c>
      <c r="O315" s="2272" t="s">
        <v>5303</v>
      </c>
      <c r="P315" s="1258" t="s">
        <v>5304</v>
      </c>
      <c r="Q315" s="2272" t="s">
        <v>5305</v>
      </c>
      <c r="R315" s="2328" t="s">
        <v>5306</v>
      </c>
      <c r="S315" s="2272" t="s">
        <v>5307</v>
      </c>
      <c r="T315" s="2328" t="s">
        <v>5308</v>
      </c>
      <c r="U315" s="2272" t="s">
        <v>5309</v>
      </c>
      <c r="V315" s="2328" t="s">
        <v>5310</v>
      </c>
      <c r="W315" s="2272" t="s">
        <v>5311</v>
      </c>
      <c r="X315" s="2328" t="s">
        <v>5312</v>
      </c>
      <c r="Y315" s="2272" t="s">
        <v>5313</v>
      </c>
      <c r="Z315" s="2328" t="s">
        <v>5314</v>
      </c>
      <c r="AA315" s="2272" t="s">
        <v>5315</v>
      </c>
      <c r="AB315" s="2328" t="s">
        <v>5316</v>
      </c>
      <c r="AC315" s="2272" t="s">
        <v>5317</v>
      </c>
      <c r="AD315" s="2328" t="s">
        <v>5318</v>
      </c>
      <c r="AE315" s="2272" t="s">
        <v>5319</v>
      </c>
      <c r="AF315" s="2328" t="s">
        <v>5320</v>
      </c>
      <c r="AG315" s="2272" t="s">
        <v>5321</v>
      </c>
      <c r="AH315" s="2328" t="s">
        <v>5322</v>
      </c>
      <c r="AI315" s="2272" t="s">
        <v>5323</v>
      </c>
      <c r="AJ315" s="2328" t="s">
        <v>5324</v>
      </c>
      <c r="AK315" s="2272" t="s">
        <v>5325</v>
      </c>
      <c r="AL315" s="2328" t="s">
        <v>5326</v>
      </c>
      <c r="AM315" s="2272" t="s">
        <v>5327</v>
      </c>
      <c r="AN315" s="2328" t="s">
        <v>5328</v>
      </c>
      <c r="AO315" s="2272" t="s">
        <v>5329</v>
      </c>
      <c r="AP315" s="2328" t="s">
        <v>5330</v>
      </c>
      <c r="AQ315" s="2272" t="s">
        <v>5331</v>
      </c>
      <c r="AR315" s="2356" t="s">
        <v>5332</v>
      </c>
      <c r="AS315" s="2328" t="s">
        <v>5333</v>
      </c>
      <c r="AT315" s="1258" t="s">
        <v>5334</v>
      </c>
      <c r="AU315" s="2316" t="s">
        <v>5335</v>
      </c>
      <c r="AV315" s="1258" t="s">
        <v>5336</v>
      </c>
      <c r="AW315" s="2316" t="s">
        <v>5337</v>
      </c>
      <c r="AX315" s="1258" t="s">
        <v>5338</v>
      </c>
      <c r="AY315" t="str">
        <f t="shared" ref="AY315:AY324" si="198">BR315&amp;BS315&amp;BT315&amp;BU315&amp;BV315&amp;BW315</f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5" s="2465" t="str">
        <f t="shared" ref="BR315:BR324" si="199">IF(AND(F315&gt;0,OR(AS315="")),"* No olvide digitar la variable Trans (masculino). Digite Cero si no tiene.",IF(AS315&gt;F315," * La variable Trans (masculino) No puede ser mayor al Total.",""))</f>
        <v xml:space="preserve"> * La variable Trans (masculino) No puede ser mayor al Total.</v>
      </c>
      <c r="BS315" s="2465" t="str">
        <f>IF(AND(E315&gt;0,OR(AT315="")),"* No olvide digitar la variable Trans (Femenino). Digite Cero si no tiene.",IF(AT315&gt;E315," * La variable Trans (Femenino) No puede ser mayor al Total Hombres.",""))</f>
        <v xml:space="preserve"> * La variable Trans (Femenino) No puede ser mayor al Total Hombres.</v>
      </c>
      <c r="BT315" s="2465" t="str">
        <f t="shared" ref="BT315:BT324" si="200">IF(AND(D315&gt;0,AU315="")," * No olvide digitar la variable Pueblos originarios. Digite Cero si no tiene.",IF(AU315&gt;D315," * La variable Pueblos originarios No puede ser mayor al Total.",""))</f>
        <v xml:space="preserve"> * La variable Pueblos originarios No puede ser mayor al Total.</v>
      </c>
      <c r="BU315" s="2465" t="str">
        <f t="shared" ref="BU315:BU324" si="201">IF(AND(D315&gt;0,AV315="")," * No olvide digitar la variable Migrantes. Digite Cero si no tiene.",IF(AV315&gt;D315," * La variable Migrantes No puede ser mayor al Total.",""))</f>
        <v xml:space="preserve"> * La variable Migrantes No puede ser mayor al Total.</v>
      </c>
      <c r="BV315" s="2465" t="str">
        <f t="shared" ref="BV315:BV324" si="202">IF(AND(D315&gt;0,AW315="")," * No olvide digitar la variable Niños, niñas adolescentes y Jóvenes SENAME. Digite Cero si no tiene.",IF(AW315&gt;D315," * La variable Niños, niñas adolescentes y Jóvenes SENAME No puede ser mayor al Total.",""))</f>
        <v xml:space="preserve"> * La variable Niños, niñas adolescentes y Jóvenes SENAME No puede ser mayor al Total.</v>
      </c>
      <c r="BW315" s="2465" t="str">
        <f t="shared" ref="BW315:BW324" si="203">IF(AND(D315&gt;0,AX315="")," * No olvide digitar la variable Niños, niñas adolescentes y Jóvenes Mejor Niñez. Digite Cero si no tiene.",IF(AX315&gt;D315," * La variable Niños, niñas adolescentes y Jóvenes Mejor Niñez No puede ser mayor al Total.",""))</f>
        <v xml:space="preserve"> * La variable Niños, niñas adolescentes y Jóvenes Mejor Niñez No puede ser mayor al Total.</v>
      </c>
      <c r="BX315"/>
      <c r="BY315"/>
      <c r="CA315"/>
      <c r="CB315"/>
      <c r="CC315" s="1725">
        <f>IF(AND(F315&gt;0,OR(AS315="")),1,IF(AS315&gt;F315,1,0))</f>
        <v>1</v>
      </c>
      <c r="CD315" s="1725">
        <f>IF(AND(E315&gt;0,OR(AT315="")),1,IF(AT315&gt;E315,1,0))</f>
        <v>1</v>
      </c>
      <c r="CE315" s="1725">
        <f t="shared" ref="CE315:CE324" si="204">IF(AND(D315&gt;0,AU315=""),1,IF(AU315&gt;D315,1,0))</f>
        <v>1</v>
      </c>
      <c r="CF315" s="1725">
        <f t="shared" ref="CF315:CF324" si="205">IF(AND(D315&gt;0,AV315=""),1,IF(AV315&gt;D315,1,0))</f>
        <v>1</v>
      </c>
      <c r="CG315" s="1725">
        <f t="shared" ref="CG315:CG324" si="206">IF(AND(D315&gt;0,AW315=""),1,IF(AW315&gt;D315,1,0))</f>
        <v>1</v>
      </c>
      <c r="CH315" s="1725">
        <f t="shared" ref="CH315:CH324" si="207">IF(AND(D315&gt;0,AX315=""),1,IF(AX315&gt;D315,1,0))</f>
        <v>1</v>
      </c>
    </row>
    <row r="316" spans="1:87" x14ac:dyDescent="0.3">
      <c r="A316" s="6248" t="s">
        <v>4502</v>
      </c>
      <c r="B316" s="6979" t="s">
        <v>2065</v>
      </c>
      <c r="C316" s="6980"/>
      <c r="D316" s="2222" t="s">
        <v>5292</v>
      </c>
      <c r="E316" s="2223" t="s">
        <v>5293</v>
      </c>
      <c r="F316" s="2224" t="s">
        <v>5294</v>
      </c>
      <c r="G316" s="2260" t="s">
        <v>5295</v>
      </c>
      <c r="H316" s="2326" t="s">
        <v>5296</v>
      </c>
      <c r="I316" s="2260" t="s">
        <v>5297</v>
      </c>
      <c r="J316" s="2326" t="s">
        <v>5298</v>
      </c>
      <c r="K316" s="2260" t="s">
        <v>5299</v>
      </c>
      <c r="L316" s="2261" t="s">
        <v>5300</v>
      </c>
      <c r="M316" s="2260" t="s">
        <v>5301</v>
      </c>
      <c r="N316" s="2262" t="s">
        <v>5302</v>
      </c>
      <c r="O316" s="2260" t="s">
        <v>5303</v>
      </c>
      <c r="P316" s="2261" t="s">
        <v>5304</v>
      </c>
      <c r="Q316" s="2260" t="s">
        <v>5305</v>
      </c>
      <c r="R316" s="2326" t="s">
        <v>5306</v>
      </c>
      <c r="S316" s="2260" t="s">
        <v>5307</v>
      </c>
      <c r="T316" s="2326" t="s">
        <v>5308</v>
      </c>
      <c r="U316" s="2260" t="s">
        <v>5309</v>
      </c>
      <c r="V316" s="2326" t="s">
        <v>5310</v>
      </c>
      <c r="W316" s="2260" t="s">
        <v>5311</v>
      </c>
      <c r="X316" s="2326" t="s">
        <v>5312</v>
      </c>
      <c r="Y316" s="2260" t="s">
        <v>5313</v>
      </c>
      <c r="Z316" s="2326" t="s">
        <v>5314</v>
      </c>
      <c r="AA316" s="2260" t="s">
        <v>5315</v>
      </c>
      <c r="AB316" s="2326" t="s">
        <v>5316</v>
      </c>
      <c r="AC316" s="2260" t="s">
        <v>5317</v>
      </c>
      <c r="AD316" s="2326" t="s">
        <v>5318</v>
      </c>
      <c r="AE316" s="2260" t="s">
        <v>5319</v>
      </c>
      <c r="AF316" s="2326" t="s">
        <v>5320</v>
      </c>
      <c r="AG316" s="2260" t="s">
        <v>5321</v>
      </c>
      <c r="AH316" s="2326" t="s">
        <v>5322</v>
      </c>
      <c r="AI316" s="2260" t="s">
        <v>5323</v>
      </c>
      <c r="AJ316" s="2326" t="s">
        <v>5324</v>
      </c>
      <c r="AK316" s="2260" t="s">
        <v>5325</v>
      </c>
      <c r="AL316" s="2326" t="s">
        <v>5326</v>
      </c>
      <c r="AM316" s="2260" t="s">
        <v>5327</v>
      </c>
      <c r="AN316" s="2326" t="s">
        <v>5328</v>
      </c>
      <c r="AO316" s="2260" t="s">
        <v>5329</v>
      </c>
      <c r="AP316" s="2326" t="s">
        <v>5330</v>
      </c>
      <c r="AQ316" s="2260" t="s">
        <v>5331</v>
      </c>
      <c r="AR316" s="2357" t="s">
        <v>5332</v>
      </c>
      <c r="AS316" s="2326" t="s">
        <v>5333</v>
      </c>
      <c r="AT316" s="2261" t="s">
        <v>5334</v>
      </c>
      <c r="AU316" s="2264" t="s">
        <v>5335</v>
      </c>
      <c r="AV316" s="2261" t="s">
        <v>5336</v>
      </c>
      <c r="AW316" s="2264" t="s">
        <v>5337</v>
      </c>
      <c r="AX316" s="2261" t="s">
        <v>5338</v>
      </c>
      <c r="AY316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6" s="2465" t="str">
        <f t="shared" si="199"/>
        <v xml:space="preserve"> * La variable Trans (masculino) No puede ser mayor al Total.</v>
      </c>
      <c r="BS316" s="2465" t="str">
        <f t="shared" ref="BS316:BS324" si="208">IF(AND(E316&gt;0,OR(AT316="")),"* No olvide digitar la variable Trans (Femenino). Digite Cero si no tiene.",IF(AT316&gt;E316," * La variable Trans (Femenino) No puede ser mayor al Total Hombres.",""))</f>
        <v xml:space="preserve"> * La variable Trans (Femenino) No puede ser mayor al Total Hombres.</v>
      </c>
      <c r="BT316" s="2465" t="str">
        <f t="shared" si="200"/>
        <v xml:space="preserve"> * La variable Pueblos originarios No puede ser mayor al Total.</v>
      </c>
      <c r="BU316" s="2465" t="str">
        <f t="shared" si="201"/>
        <v xml:space="preserve"> * La variable Migrantes No puede ser mayor al Total.</v>
      </c>
      <c r="BV316" s="2465" t="str">
        <f t="shared" si="202"/>
        <v xml:space="preserve"> * La variable Niños, niñas adolescentes y Jóvenes SENAME No puede ser mayor al Total.</v>
      </c>
      <c r="BW316" s="2465" t="str">
        <f t="shared" si="203"/>
        <v xml:space="preserve"> * La variable Niños, niñas adolescentes y Jóvenes Mejor Niñez No puede ser mayor al Total.</v>
      </c>
      <c r="BX316"/>
      <c r="BY316"/>
      <c r="CA316"/>
      <c r="CB316"/>
      <c r="CC316" s="1725">
        <f t="shared" ref="CC316:CC324" si="209">IF(AND(F316&gt;0,OR(AS316="")),1,IF(AS316&gt;F316,1,0))</f>
        <v>1</v>
      </c>
      <c r="CD316" s="1725">
        <f t="shared" ref="CD316:CD324" si="210">IF(AND(E316&gt;0,OR(AT316="")),1,IF(AT316&gt;E316,1,0))</f>
        <v>1</v>
      </c>
      <c r="CE316" s="1725">
        <f t="shared" si="204"/>
        <v>1</v>
      </c>
      <c r="CF316" s="1725">
        <f t="shared" si="205"/>
        <v>1</v>
      </c>
      <c r="CG316" s="1725">
        <f t="shared" si="206"/>
        <v>1</v>
      </c>
      <c r="CH316" s="1725">
        <f t="shared" si="207"/>
        <v>1</v>
      </c>
    </row>
    <row r="317" spans="1:87" x14ac:dyDescent="0.3">
      <c r="A317" s="6233" t="s">
        <v>4503</v>
      </c>
      <c r="B317" s="6981" t="s">
        <v>2066</v>
      </c>
      <c r="C317" s="6981"/>
      <c r="D317" s="2222" t="s">
        <v>5292</v>
      </c>
      <c r="E317" s="2223" t="s">
        <v>5293</v>
      </c>
      <c r="F317" s="2224" t="s">
        <v>5294</v>
      </c>
      <c r="G317" s="2260" t="s">
        <v>5295</v>
      </c>
      <c r="H317" s="2326" t="s">
        <v>5296</v>
      </c>
      <c r="I317" s="2260" t="s">
        <v>5297</v>
      </c>
      <c r="J317" s="2326" t="s">
        <v>5298</v>
      </c>
      <c r="K317" s="2260" t="s">
        <v>5299</v>
      </c>
      <c r="L317" s="2261" t="s">
        <v>5300</v>
      </c>
      <c r="M317" s="2260" t="s">
        <v>5301</v>
      </c>
      <c r="N317" s="2262" t="s">
        <v>5302</v>
      </c>
      <c r="O317" s="2260" t="s">
        <v>5303</v>
      </c>
      <c r="P317" s="2261" t="s">
        <v>5304</v>
      </c>
      <c r="Q317" s="2260" t="s">
        <v>5305</v>
      </c>
      <c r="R317" s="2326" t="s">
        <v>5306</v>
      </c>
      <c r="S317" s="2260" t="s">
        <v>5307</v>
      </c>
      <c r="T317" s="2326" t="s">
        <v>5308</v>
      </c>
      <c r="U317" s="2260" t="s">
        <v>5309</v>
      </c>
      <c r="V317" s="2326" t="s">
        <v>5310</v>
      </c>
      <c r="W317" s="2260" t="s">
        <v>5311</v>
      </c>
      <c r="X317" s="2326" t="s">
        <v>5312</v>
      </c>
      <c r="Y317" s="2260" t="s">
        <v>5313</v>
      </c>
      <c r="Z317" s="2326" t="s">
        <v>5314</v>
      </c>
      <c r="AA317" s="2260" t="s">
        <v>5315</v>
      </c>
      <c r="AB317" s="2326" t="s">
        <v>5316</v>
      </c>
      <c r="AC317" s="2260" t="s">
        <v>5317</v>
      </c>
      <c r="AD317" s="2326" t="s">
        <v>5318</v>
      </c>
      <c r="AE317" s="2260" t="s">
        <v>5319</v>
      </c>
      <c r="AF317" s="2326" t="s">
        <v>5320</v>
      </c>
      <c r="AG317" s="2260" t="s">
        <v>5321</v>
      </c>
      <c r="AH317" s="2326" t="s">
        <v>5322</v>
      </c>
      <c r="AI317" s="2260" t="s">
        <v>5323</v>
      </c>
      <c r="AJ317" s="2326" t="s">
        <v>5324</v>
      </c>
      <c r="AK317" s="2260" t="s">
        <v>5325</v>
      </c>
      <c r="AL317" s="2326" t="s">
        <v>5326</v>
      </c>
      <c r="AM317" s="2260" t="s">
        <v>5327</v>
      </c>
      <c r="AN317" s="2326" t="s">
        <v>5328</v>
      </c>
      <c r="AO317" s="2260" t="s">
        <v>5329</v>
      </c>
      <c r="AP317" s="2326" t="s">
        <v>5330</v>
      </c>
      <c r="AQ317" s="2260" t="s">
        <v>5331</v>
      </c>
      <c r="AR317" s="2357" t="s">
        <v>5332</v>
      </c>
      <c r="AS317" s="2326" t="s">
        <v>5333</v>
      </c>
      <c r="AT317" s="2261" t="s">
        <v>5334</v>
      </c>
      <c r="AU317" s="2264" t="s">
        <v>5335</v>
      </c>
      <c r="AV317" s="2261" t="s">
        <v>5336</v>
      </c>
      <c r="AW317" s="2264" t="s">
        <v>5337</v>
      </c>
      <c r="AX317" s="2261" t="s">
        <v>5338</v>
      </c>
      <c r="AY317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7" s="2465" t="str">
        <f t="shared" si="199"/>
        <v xml:space="preserve"> * La variable Trans (masculino) No puede ser mayor al Total.</v>
      </c>
      <c r="BS317" s="2465" t="str">
        <f t="shared" si="208"/>
        <v xml:space="preserve"> * La variable Trans (Femenino) No puede ser mayor al Total Hombres.</v>
      </c>
      <c r="BT317" s="2465" t="str">
        <f t="shared" si="200"/>
        <v xml:space="preserve"> * La variable Pueblos originarios No puede ser mayor al Total.</v>
      </c>
      <c r="BU317" s="2465" t="str">
        <f t="shared" si="201"/>
        <v xml:space="preserve"> * La variable Migrantes No puede ser mayor al Total.</v>
      </c>
      <c r="BV317" s="2465" t="str">
        <f t="shared" si="202"/>
        <v xml:space="preserve"> * La variable Niños, niñas adolescentes y Jóvenes SENAME No puede ser mayor al Total.</v>
      </c>
      <c r="BW317" s="2465" t="str">
        <f t="shared" si="203"/>
        <v xml:space="preserve"> * La variable Niños, niñas adolescentes y Jóvenes Mejor Niñez No puede ser mayor al Total.</v>
      </c>
      <c r="BX317"/>
      <c r="BY317"/>
      <c r="CA317"/>
      <c r="CB317"/>
      <c r="CC317" s="1725">
        <f t="shared" si="209"/>
        <v>1</v>
      </c>
      <c r="CD317" s="1725">
        <f t="shared" si="210"/>
        <v>1</v>
      </c>
      <c r="CE317" s="1725">
        <f t="shared" si="204"/>
        <v>1</v>
      </c>
      <c r="CF317" s="1725">
        <f t="shared" si="205"/>
        <v>1</v>
      </c>
      <c r="CG317" s="1725">
        <f t="shared" si="206"/>
        <v>1</v>
      </c>
      <c r="CH317" s="1725">
        <f t="shared" si="207"/>
        <v>1</v>
      </c>
    </row>
    <row r="318" spans="1:87" x14ac:dyDescent="0.3">
      <c r="A318" s="6233" t="s">
        <v>4504</v>
      </c>
      <c r="B318" s="6941" t="s">
        <v>2067</v>
      </c>
      <c r="C318" s="6942"/>
      <c r="D318" s="2189" t="s">
        <v>5292</v>
      </c>
      <c r="E318" s="2190" t="s">
        <v>5293</v>
      </c>
      <c r="F318" s="2225" t="s">
        <v>5294</v>
      </c>
      <c r="G318" s="2112" t="s">
        <v>5295</v>
      </c>
      <c r="H318" s="1102" t="s">
        <v>5296</v>
      </c>
      <c r="I318" s="2112" t="s">
        <v>5297</v>
      </c>
      <c r="J318" s="1102" t="s">
        <v>5298</v>
      </c>
      <c r="K318" s="2112" t="s">
        <v>5299</v>
      </c>
      <c r="L318" s="1089" t="s">
        <v>5300</v>
      </c>
      <c r="M318" s="2112" t="s">
        <v>5301</v>
      </c>
      <c r="N318" s="2239" t="s">
        <v>5302</v>
      </c>
      <c r="O318" s="2112" t="s">
        <v>5303</v>
      </c>
      <c r="P318" s="1089" t="s">
        <v>5304</v>
      </c>
      <c r="Q318" s="2112" t="s">
        <v>5305</v>
      </c>
      <c r="R318" s="1102" t="s">
        <v>5306</v>
      </c>
      <c r="S318" s="2112" t="s">
        <v>5307</v>
      </c>
      <c r="T318" s="1102" t="s">
        <v>5308</v>
      </c>
      <c r="U318" s="2112" t="s">
        <v>5309</v>
      </c>
      <c r="V318" s="1102" t="s">
        <v>5310</v>
      </c>
      <c r="W318" s="2112" t="s">
        <v>5311</v>
      </c>
      <c r="X318" s="1102" t="s">
        <v>5312</v>
      </c>
      <c r="Y318" s="2112" t="s">
        <v>5313</v>
      </c>
      <c r="Z318" s="1102" t="s">
        <v>5314</v>
      </c>
      <c r="AA318" s="2112" t="s">
        <v>5315</v>
      </c>
      <c r="AB318" s="1102" t="s">
        <v>5316</v>
      </c>
      <c r="AC318" s="2112" t="s">
        <v>5317</v>
      </c>
      <c r="AD318" s="1102" t="s">
        <v>5318</v>
      </c>
      <c r="AE318" s="2112" t="s">
        <v>5319</v>
      </c>
      <c r="AF318" s="1102" t="s">
        <v>5320</v>
      </c>
      <c r="AG318" s="2112" t="s">
        <v>5321</v>
      </c>
      <c r="AH318" s="1102" t="s">
        <v>5322</v>
      </c>
      <c r="AI318" s="2112" t="s">
        <v>5323</v>
      </c>
      <c r="AJ318" s="1102" t="s">
        <v>5324</v>
      </c>
      <c r="AK318" s="2112" t="s">
        <v>5325</v>
      </c>
      <c r="AL318" s="1102" t="s">
        <v>5326</v>
      </c>
      <c r="AM318" s="2112" t="s">
        <v>5327</v>
      </c>
      <c r="AN318" s="1102" t="s">
        <v>5328</v>
      </c>
      <c r="AO318" s="2112" t="s">
        <v>5329</v>
      </c>
      <c r="AP318" s="1102" t="s">
        <v>5330</v>
      </c>
      <c r="AQ318" s="2112" t="s">
        <v>5331</v>
      </c>
      <c r="AR318" s="2113" t="s">
        <v>5332</v>
      </c>
      <c r="AS318" s="1102" t="s">
        <v>5333</v>
      </c>
      <c r="AT318" s="1089" t="s">
        <v>5334</v>
      </c>
      <c r="AU318" s="1693" t="s">
        <v>5335</v>
      </c>
      <c r="AV318" s="1089" t="s">
        <v>5336</v>
      </c>
      <c r="AW318" s="1693" t="s">
        <v>5337</v>
      </c>
      <c r="AX318" s="1089" t="s">
        <v>5338</v>
      </c>
      <c r="AY318" t="str">
        <f>BR318&amp;BS318&amp;BT318&amp;BU318&amp;BV318&amp;BW318</f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8" s="2465" t="str">
        <f t="shared" si="199"/>
        <v xml:space="preserve"> * La variable Trans (masculino) No puede ser mayor al Total.</v>
      </c>
      <c r="BS318" s="2465" t="str">
        <f t="shared" si="208"/>
        <v xml:space="preserve"> * La variable Trans (Femenino) No puede ser mayor al Total Hombres.</v>
      </c>
      <c r="BT318" s="2465" t="str">
        <f t="shared" si="200"/>
        <v xml:space="preserve"> * La variable Pueblos originarios No puede ser mayor al Total.</v>
      </c>
      <c r="BU318" s="2465" t="str">
        <f t="shared" si="201"/>
        <v xml:space="preserve"> * La variable Migrantes No puede ser mayor al Total.</v>
      </c>
      <c r="BV318" s="2465" t="str">
        <f t="shared" si="202"/>
        <v xml:space="preserve"> * La variable Niños, niñas adolescentes y Jóvenes SENAME No puede ser mayor al Total.</v>
      </c>
      <c r="BW318" s="2465" t="str">
        <f t="shared" si="203"/>
        <v xml:space="preserve"> * La variable Niños, niñas adolescentes y Jóvenes Mejor Niñez No puede ser mayor al Total.</v>
      </c>
      <c r="BX318"/>
      <c r="BY318"/>
      <c r="CA318"/>
      <c r="CB318"/>
      <c r="CC318" s="1725">
        <f t="shared" si="209"/>
        <v>1</v>
      </c>
      <c r="CD318" s="1725">
        <f t="shared" si="210"/>
        <v>1</v>
      </c>
      <c r="CE318" s="1725">
        <f t="shared" si="204"/>
        <v>1</v>
      </c>
      <c r="CF318" s="1725">
        <f t="shared" si="205"/>
        <v>1</v>
      </c>
      <c r="CG318" s="1725">
        <f t="shared" si="206"/>
        <v>1</v>
      </c>
      <c r="CH318" s="1725">
        <f t="shared" si="207"/>
        <v>1</v>
      </c>
    </row>
    <row r="319" spans="1:87" x14ac:dyDescent="0.3">
      <c r="A319" s="6233" t="s">
        <v>4505</v>
      </c>
      <c r="B319" s="6988" t="s">
        <v>2068</v>
      </c>
      <c r="C319" s="6989"/>
      <c r="D319" s="2205" t="s">
        <v>5292</v>
      </c>
      <c r="E319" s="28" t="s">
        <v>5293</v>
      </c>
      <c r="F319" s="13" t="s">
        <v>5294</v>
      </c>
      <c r="G319" s="3" t="s">
        <v>5295</v>
      </c>
      <c r="H319" s="21" t="s">
        <v>5296</v>
      </c>
      <c r="I319" s="3" t="s">
        <v>5297</v>
      </c>
      <c r="J319" s="21" t="s">
        <v>5298</v>
      </c>
      <c r="K319" s="3" t="s">
        <v>5299</v>
      </c>
      <c r="L319" s="12" t="s">
        <v>5300</v>
      </c>
      <c r="M319" s="3" t="s">
        <v>5301</v>
      </c>
      <c r="N319" s="2290" t="s">
        <v>5302</v>
      </c>
      <c r="O319" s="41" t="s">
        <v>5303</v>
      </c>
      <c r="P319" s="2358" t="s">
        <v>5304</v>
      </c>
      <c r="Q319" s="2358" t="s">
        <v>5305</v>
      </c>
      <c r="R319" s="2358" t="s">
        <v>5306</v>
      </c>
      <c r="S319" s="2358" t="s">
        <v>5307</v>
      </c>
      <c r="T319" s="2358" t="s">
        <v>5308</v>
      </c>
      <c r="U319" s="2358" t="s">
        <v>5309</v>
      </c>
      <c r="V319" s="2358" t="s">
        <v>5310</v>
      </c>
      <c r="W319" s="2358" t="s">
        <v>5311</v>
      </c>
      <c r="X319" s="2358" t="s">
        <v>5312</v>
      </c>
      <c r="Y319" s="2358" t="s">
        <v>5313</v>
      </c>
      <c r="Z319" s="2358" t="s">
        <v>5314</v>
      </c>
      <c r="AA319" s="2358" t="s">
        <v>5315</v>
      </c>
      <c r="AB319" s="2358" t="s">
        <v>5316</v>
      </c>
      <c r="AC319" s="2358" t="s">
        <v>5317</v>
      </c>
      <c r="AD319" s="2358" t="s">
        <v>5318</v>
      </c>
      <c r="AE319" s="2358" t="s">
        <v>5319</v>
      </c>
      <c r="AF319" s="2358" t="s">
        <v>5320</v>
      </c>
      <c r="AG319" s="2358" t="s">
        <v>5321</v>
      </c>
      <c r="AH319" s="2358" t="s">
        <v>5322</v>
      </c>
      <c r="AI319" s="2358" t="s">
        <v>5323</v>
      </c>
      <c r="AJ319" s="2358" t="s">
        <v>5324</v>
      </c>
      <c r="AK319" s="2358" t="s">
        <v>5325</v>
      </c>
      <c r="AL319" s="2358" t="s">
        <v>5326</v>
      </c>
      <c r="AM319" s="2358" t="s">
        <v>5327</v>
      </c>
      <c r="AN319" s="2358" t="s">
        <v>5328</v>
      </c>
      <c r="AO319" s="2358" t="s">
        <v>5329</v>
      </c>
      <c r="AP319" s="2358" t="s">
        <v>5330</v>
      </c>
      <c r="AQ319" s="2358" t="s">
        <v>5331</v>
      </c>
      <c r="AR319" s="2358" t="s">
        <v>5332</v>
      </c>
      <c r="AS319" s="2715" t="s">
        <v>5333</v>
      </c>
      <c r="AT319" s="36" t="s">
        <v>5334</v>
      </c>
      <c r="AU319" s="30" t="s">
        <v>5335</v>
      </c>
      <c r="AV319" s="12" t="s">
        <v>5336</v>
      </c>
      <c r="AW319" s="30" t="s">
        <v>5337</v>
      </c>
      <c r="AX319" s="12" t="s">
        <v>5338</v>
      </c>
      <c r="AY319" t="str">
        <f t="shared" si="198"/>
        <v xml:space="preserve">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19" s="170"/>
      <c r="BS319" s="2466"/>
      <c r="BT319" s="2465" t="str">
        <f t="shared" si="200"/>
        <v xml:space="preserve"> * La variable Pueblos originarios No puede ser mayor al Total.</v>
      </c>
      <c r="BU319" s="2465" t="str">
        <f t="shared" si="201"/>
        <v xml:space="preserve"> * La variable Migrantes No puede ser mayor al Total.</v>
      </c>
      <c r="BV319" s="2465" t="str">
        <f t="shared" si="202"/>
        <v xml:space="preserve"> * La variable Niños, niñas adolescentes y Jóvenes SENAME No puede ser mayor al Total.</v>
      </c>
      <c r="BW319" s="2465" t="str">
        <f t="shared" si="203"/>
        <v xml:space="preserve"> * La variable Niños, niñas adolescentes y Jóvenes Mejor Niñez No puede ser mayor al Total.</v>
      </c>
      <c r="BX319"/>
      <c r="BY319"/>
      <c r="CA319"/>
      <c r="CB319"/>
      <c r="CC319"/>
      <c r="CD319" s="1725">
        <f t="shared" si="210"/>
        <v>1</v>
      </c>
      <c r="CE319" s="1725">
        <f t="shared" si="204"/>
        <v>1</v>
      </c>
      <c r="CF319" s="1725">
        <f t="shared" si="205"/>
        <v>1</v>
      </c>
      <c r="CG319" s="1725">
        <f t="shared" si="206"/>
        <v>1</v>
      </c>
      <c r="CH319" s="1725">
        <f t="shared" si="207"/>
        <v>1</v>
      </c>
    </row>
    <row r="320" spans="1:87" x14ac:dyDescent="0.3">
      <c r="A320" s="6233" t="s">
        <v>4506</v>
      </c>
      <c r="B320" s="6899" t="s">
        <v>2069</v>
      </c>
      <c r="C320" s="2305" t="s">
        <v>2070</v>
      </c>
      <c r="D320" s="2189" t="s">
        <v>5292</v>
      </c>
      <c r="E320" s="2190" t="s">
        <v>5293</v>
      </c>
      <c r="F320" s="2225" t="s">
        <v>5294</v>
      </c>
      <c r="G320" s="2112" t="s">
        <v>5295</v>
      </c>
      <c r="H320" s="1102" t="s">
        <v>5296</v>
      </c>
      <c r="I320" s="2112" t="s">
        <v>5297</v>
      </c>
      <c r="J320" s="1102" t="s">
        <v>5298</v>
      </c>
      <c r="K320" s="2112" t="s">
        <v>5299</v>
      </c>
      <c r="L320" s="1089" t="s">
        <v>5300</v>
      </c>
      <c r="M320" s="2112" t="s">
        <v>5301</v>
      </c>
      <c r="N320" s="2239" t="s">
        <v>5302</v>
      </c>
      <c r="O320" s="2112" t="s">
        <v>5303</v>
      </c>
      <c r="P320" s="1089" t="s">
        <v>5304</v>
      </c>
      <c r="Q320" s="2112" t="s">
        <v>5305</v>
      </c>
      <c r="R320" s="1102" t="s">
        <v>5306</v>
      </c>
      <c r="S320" s="2112" t="s">
        <v>5307</v>
      </c>
      <c r="T320" s="1102" t="s">
        <v>5308</v>
      </c>
      <c r="U320" s="2112" t="s">
        <v>5309</v>
      </c>
      <c r="V320" s="1102" t="s">
        <v>5310</v>
      </c>
      <c r="W320" s="2112" t="s">
        <v>5311</v>
      </c>
      <c r="X320" s="1102" t="s">
        <v>5312</v>
      </c>
      <c r="Y320" s="2112" t="s">
        <v>5313</v>
      </c>
      <c r="Z320" s="1102" t="s">
        <v>5314</v>
      </c>
      <c r="AA320" s="2112" t="s">
        <v>5315</v>
      </c>
      <c r="AB320" s="1102" t="s">
        <v>5316</v>
      </c>
      <c r="AC320" s="2112" t="s">
        <v>5317</v>
      </c>
      <c r="AD320" s="1102" t="s">
        <v>5318</v>
      </c>
      <c r="AE320" s="2112" t="s">
        <v>5319</v>
      </c>
      <c r="AF320" s="1102" t="s">
        <v>5320</v>
      </c>
      <c r="AG320" s="2112" t="s">
        <v>5321</v>
      </c>
      <c r="AH320" s="1102" t="s">
        <v>5322</v>
      </c>
      <c r="AI320" s="2112" t="s">
        <v>5323</v>
      </c>
      <c r="AJ320" s="1102" t="s">
        <v>5324</v>
      </c>
      <c r="AK320" s="2112" t="s">
        <v>5325</v>
      </c>
      <c r="AL320" s="1102" t="s">
        <v>5326</v>
      </c>
      <c r="AM320" s="2112" t="s">
        <v>5327</v>
      </c>
      <c r="AN320" s="1102" t="s">
        <v>5328</v>
      </c>
      <c r="AO320" s="2112" t="s">
        <v>5329</v>
      </c>
      <c r="AP320" s="1102" t="s">
        <v>5330</v>
      </c>
      <c r="AQ320" s="2112" t="s">
        <v>5331</v>
      </c>
      <c r="AR320" s="2113" t="s">
        <v>5332</v>
      </c>
      <c r="AS320" s="1102" t="s">
        <v>5333</v>
      </c>
      <c r="AT320" s="1089" t="s">
        <v>5334</v>
      </c>
      <c r="AU320" s="1693" t="s">
        <v>5335</v>
      </c>
      <c r="AV320" s="1089" t="s">
        <v>5336</v>
      </c>
      <c r="AW320" s="1693" t="s">
        <v>5337</v>
      </c>
      <c r="AX320" s="1089" t="s">
        <v>5338</v>
      </c>
      <c r="AY320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20" s="2465" t="str">
        <f t="shared" si="199"/>
        <v xml:space="preserve"> * La variable Trans (masculino) No puede ser mayor al Total.</v>
      </c>
      <c r="BS320" s="2465" t="str">
        <f t="shared" si="208"/>
        <v xml:space="preserve"> * La variable Trans (Femenino) No puede ser mayor al Total Hombres.</v>
      </c>
      <c r="BT320" s="2465" t="str">
        <f t="shared" si="200"/>
        <v xml:space="preserve"> * La variable Pueblos originarios No puede ser mayor al Total.</v>
      </c>
      <c r="BU320" s="2465" t="str">
        <f t="shared" si="201"/>
        <v xml:space="preserve"> * La variable Migrantes No puede ser mayor al Total.</v>
      </c>
      <c r="BV320" s="2465" t="str">
        <f t="shared" si="202"/>
        <v xml:space="preserve"> * La variable Niños, niñas adolescentes y Jóvenes SENAME No puede ser mayor al Total.</v>
      </c>
      <c r="BW320" s="2465" t="str">
        <f t="shared" si="203"/>
        <v xml:space="preserve"> * La variable Niños, niñas adolescentes y Jóvenes Mejor Niñez No puede ser mayor al Total.</v>
      </c>
      <c r="BX320"/>
      <c r="BY320"/>
      <c r="CA320"/>
      <c r="CB320"/>
      <c r="CC320" s="1725">
        <f t="shared" si="209"/>
        <v>1</v>
      </c>
      <c r="CD320" s="1725">
        <f t="shared" si="210"/>
        <v>1</v>
      </c>
      <c r="CE320" s="1725">
        <f t="shared" si="204"/>
        <v>1</v>
      </c>
      <c r="CF320" s="1725">
        <f t="shared" si="205"/>
        <v>1</v>
      </c>
      <c r="CG320" s="1725">
        <f t="shared" si="206"/>
        <v>1</v>
      </c>
      <c r="CH320" s="1725">
        <f t="shared" si="207"/>
        <v>1</v>
      </c>
    </row>
    <row r="321" spans="1:86" x14ac:dyDescent="0.3">
      <c r="A321" s="6233" t="s">
        <v>4507</v>
      </c>
      <c r="B321" s="6899"/>
      <c r="C321" s="2133" t="s">
        <v>2071</v>
      </c>
      <c r="D321" s="2189" t="s">
        <v>5292</v>
      </c>
      <c r="E321" s="2190" t="s">
        <v>5293</v>
      </c>
      <c r="F321" s="2225" t="s">
        <v>5294</v>
      </c>
      <c r="G321" s="1095" t="s">
        <v>5295</v>
      </c>
      <c r="H321" s="2115" t="s">
        <v>5296</v>
      </c>
      <c r="I321" s="1095" t="s">
        <v>5297</v>
      </c>
      <c r="J321" s="2115" t="s">
        <v>5298</v>
      </c>
      <c r="K321" s="1095" t="s">
        <v>5299</v>
      </c>
      <c r="L321" s="8" t="s">
        <v>5300</v>
      </c>
      <c r="M321" s="1095" t="s">
        <v>5301</v>
      </c>
      <c r="N321" s="1697" t="s">
        <v>5302</v>
      </c>
      <c r="O321" s="1095" t="s">
        <v>5303</v>
      </c>
      <c r="P321" s="8" t="s">
        <v>5304</v>
      </c>
      <c r="Q321" s="1095" t="s">
        <v>5305</v>
      </c>
      <c r="R321" s="2115" t="s">
        <v>5306</v>
      </c>
      <c r="S321" s="1095" t="s">
        <v>5307</v>
      </c>
      <c r="T321" s="2115" t="s">
        <v>5308</v>
      </c>
      <c r="U321" s="1095" t="s">
        <v>5309</v>
      </c>
      <c r="V321" s="2115" t="s">
        <v>5310</v>
      </c>
      <c r="W321" s="1095" t="s">
        <v>5311</v>
      </c>
      <c r="X321" s="2115" t="s">
        <v>5312</v>
      </c>
      <c r="Y321" s="1095" t="s">
        <v>5313</v>
      </c>
      <c r="Z321" s="2115" t="s">
        <v>5314</v>
      </c>
      <c r="AA321" s="1095" t="s">
        <v>5315</v>
      </c>
      <c r="AB321" s="2115" t="s">
        <v>5316</v>
      </c>
      <c r="AC321" s="1095" t="s">
        <v>5317</v>
      </c>
      <c r="AD321" s="2115" t="s">
        <v>5318</v>
      </c>
      <c r="AE321" s="1095" t="s">
        <v>5319</v>
      </c>
      <c r="AF321" s="2115" t="s">
        <v>5320</v>
      </c>
      <c r="AG321" s="1095" t="s">
        <v>5321</v>
      </c>
      <c r="AH321" s="2115" t="s">
        <v>5322</v>
      </c>
      <c r="AI321" s="1095" t="s">
        <v>5323</v>
      </c>
      <c r="AJ321" s="2115" t="s">
        <v>5324</v>
      </c>
      <c r="AK321" s="1095" t="s">
        <v>5325</v>
      </c>
      <c r="AL321" s="2115" t="s">
        <v>5326</v>
      </c>
      <c r="AM321" s="1095" t="s">
        <v>5327</v>
      </c>
      <c r="AN321" s="2115" t="s">
        <v>5328</v>
      </c>
      <c r="AO321" s="1095" t="s">
        <v>5329</v>
      </c>
      <c r="AP321" s="2115" t="s">
        <v>5330</v>
      </c>
      <c r="AQ321" s="1095" t="s">
        <v>5331</v>
      </c>
      <c r="AR321" s="2114" t="s">
        <v>5332</v>
      </c>
      <c r="AS321" s="2115" t="s">
        <v>5333</v>
      </c>
      <c r="AT321" s="8" t="s">
        <v>5334</v>
      </c>
      <c r="AU321" s="1092" t="s">
        <v>5335</v>
      </c>
      <c r="AV321" s="8" t="s">
        <v>5336</v>
      </c>
      <c r="AW321" s="1092" t="s">
        <v>5337</v>
      </c>
      <c r="AX321" s="8" t="s">
        <v>5338</v>
      </c>
      <c r="AY321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21" s="2465" t="str">
        <f t="shared" si="199"/>
        <v xml:space="preserve"> * La variable Trans (masculino) No puede ser mayor al Total.</v>
      </c>
      <c r="BS321" s="2465" t="str">
        <f t="shared" si="208"/>
        <v xml:space="preserve"> * La variable Trans (Femenino) No puede ser mayor al Total Hombres.</v>
      </c>
      <c r="BT321" s="2465" t="str">
        <f t="shared" si="200"/>
        <v xml:space="preserve"> * La variable Pueblos originarios No puede ser mayor al Total.</v>
      </c>
      <c r="BU321" s="2465" t="str">
        <f t="shared" si="201"/>
        <v xml:space="preserve"> * La variable Migrantes No puede ser mayor al Total.</v>
      </c>
      <c r="BV321" s="2465" t="str">
        <f t="shared" si="202"/>
        <v xml:space="preserve"> * La variable Niños, niñas adolescentes y Jóvenes SENAME No puede ser mayor al Total.</v>
      </c>
      <c r="BW321" s="2465" t="str">
        <f t="shared" si="203"/>
        <v xml:space="preserve"> * La variable Niños, niñas adolescentes y Jóvenes Mejor Niñez No puede ser mayor al Total.</v>
      </c>
      <c r="BX321"/>
      <c r="BY321"/>
      <c r="CA321"/>
      <c r="CB321"/>
      <c r="CC321" s="1725">
        <f t="shared" si="209"/>
        <v>1</v>
      </c>
      <c r="CD321" s="1725">
        <f t="shared" si="210"/>
        <v>1</v>
      </c>
      <c r="CE321" s="1725">
        <f t="shared" si="204"/>
        <v>1</v>
      </c>
      <c r="CF321" s="1725">
        <f t="shared" si="205"/>
        <v>1</v>
      </c>
      <c r="CG321" s="1725">
        <f t="shared" si="206"/>
        <v>1</v>
      </c>
      <c r="CH321" s="1725">
        <f t="shared" si="207"/>
        <v>1</v>
      </c>
    </row>
    <row r="322" spans="1:86" x14ac:dyDescent="0.3">
      <c r="A322" s="6233" t="s">
        <v>4508</v>
      </c>
      <c r="B322" s="6899"/>
      <c r="C322" s="2133" t="s">
        <v>2072</v>
      </c>
      <c r="D322" s="2189" t="s">
        <v>5292</v>
      </c>
      <c r="E322" s="2190" t="s">
        <v>5293</v>
      </c>
      <c r="F322" s="2225" t="s">
        <v>5294</v>
      </c>
      <c r="G322" s="1095" t="s">
        <v>5295</v>
      </c>
      <c r="H322" s="2115" t="s">
        <v>5296</v>
      </c>
      <c r="I322" s="1095" t="s">
        <v>5297</v>
      </c>
      <c r="J322" s="2115" t="s">
        <v>5298</v>
      </c>
      <c r="K322" s="1095" t="s">
        <v>5299</v>
      </c>
      <c r="L322" s="8" t="s">
        <v>5300</v>
      </c>
      <c r="M322" s="1095" t="s">
        <v>5301</v>
      </c>
      <c r="N322" s="1697" t="s">
        <v>5302</v>
      </c>
      <c r="O322" s="1095" t="s">
        <v>5303</v>
      </c>
      <c r="P322" s="8" t="s">
        <v>5304</v>
      </c>
      <c r="Q322" s="1095" t="s">
        <v>5305</v>
      </c>
      <c r="R322" s="2115" t="s">
        <v>5306</v>
      </c>
      <c r="S322" s="1095" t="s">
        <v>5307</v>
      </c>
      <c r="T322" s="2115" t="s">
        <v>5308</v>
      </c>
      <c r="U322" s="1095" t="s">
        <v>5309</v>
      </c>
      <c r="V322" s="2115" t="s">
        <v>5310</v>
      </c>
      <c r="W322" s="1095" t="s">
        <v>5311</v>
      </c>
      <c r="X322" s="2115" t="s">
        <v>5312</v>
      </c>
      <c r="Y322" s="1095" t="s">
        <v>5313</v>
      </c>
      <c r="Z322" s="2115" t="s">
        <v>5314</v>
      </c>
      <c r="AA322" s="1095" t="s">
        <v>5315</v>
      </c>
      <c r="AB322" s="2115" t="s">
        <v>5316</v>
      </c>
      <c r="AC322" s="1095" t="s">
        <v>5317</v>
      </c>
      <c r="AD322" s="2115" t="s">
        <v>5318</v>
      </c>
      <c r="AE322" s="1095" t="s">
        <v>5319</v>
      </c>
      <c r="AF322" s="2115" t="s">
        <v>5320</v>
      </c>
      <c r="AG322" s="1095" t="s">
        <v>5321</v>
      </c>
      <c r="AH322" s="2115" t="s">
        <v>5322</v>
      </c>
      <c r="AI322" s="1095" t="s">
        <v>5323</v>
      </c>
      <c r="AJ322" s="2115" t="s">
        <v>5324</v>
      </c>
      <c r="AK322" s="1095" t="s">
        <v>5325</v>
      </c>
      <c r="AL322" s="2115" t="s">
        <v>5326</v>
      </c>
      <c r="AM322" s="1095" t="s">
        <v>5327</v>
      </c>
      <c r="AN322" s="2115" t="s">
        <v>5328</v>
      </c>
      <c r="AO322" s="1095" t="s">
        <v>5329</v>
      </c>
      <c r="AP322" s="2115" t="s">
        <v>5330</v>
      </c>
      <c r="AQ322" s="1095" t="s">
        <v>5331</v>
      </c>
      <c r="AR322" s="2114" t="s">
        <v>5332</v>
      </c>
      <c r="AS322" s="2115" t="s">
        <v>5333</v>
      </c>
      <c r="AT322" s="8" t="s">
        <v>5334</v>
      </c>
      <c r="AU322" s="1092" t="s">
        <v>5335</v>
      </c>
      <c r="AV322" s="8" t="s">
        <v>5336</v>
      </c>
      <c r="AW322" s="1092" t="s">
        <v>5337</v>
      </c>
      <c r="AX322" s="8" t="s">
        <v>5338</v>
      </c>
      <c r="AY322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22" s="2465" t="str">
        <f t="shared" si="199"/>
        <v xml:space="preserve"> * La variable Trans (masculino) No puede ser mayor al Total.</v>
      </c>
      <c r="BS322" s="2465" t="str">
        <f t="shared" si="208"/>
        <v xml:space="preserve"> * La variable Trans (Femenino) No puede ser mayor al Total Hombres.</v>
      </c>
      <c r="BT322" s="2465" t="str">
        <f t="shared" si="200"/>
        <v xml:space="preserve"> * La variable Pueblos originarios No puede ser mayor al Total.</v>
      </c>
      <c r="BU322" s="2465" t="str">
        <f t="shared" si="201"/>
        <v xml:space="preserve"> * La variable Migrantes No puede ser mayor al Total.</v>
      </c>
      <c r="BV322" s="2465" t="str">
        <f t="shared" si="202"/>
        <v xml:space="preserve"> * La variable Niños, niñas adolescentes y Jóvenes SENAME No puede ser mayor al Total.</v>
      </c>
      <c r="BW322" s="2465" t="str">
        <f t="shared" si="203"/>
        <v xml:space="preserve"> * La variable Niños, niñas adolescentes y Jóvenes Mejor Niñez No puede ser mayor al Total.</v>
      </c>
      <c r="BX322"/>
      <c r="BY322"/>
      <c r="CA322"/>
      <c r="CB322"/>
      <c r="CC322" s="1725">
        <f t="shared" si="209"/>
        <v>1</v>
      </c>
      <c r="CD322" s="1725">
        <f t="shared" si="210"/>
        <v>1</v>
      </c>
      <c r="CE322" s="1725">
        <f t="shared" si="204"/>
        <v>1</v>
      </c>
      <c r="CF322" s="1725">
        <f t="shared" si="205"/>
        <v>1</v>
      </c>
      <c r="CG322" s="1725">
        <f t="shared" si="206"/>
        <v>1</v>
      </c>
      <c r="CH322" s="1725">
        <f t="shared" si="207"/>
        <v>1</v>
      </c>
    </row>
    <row r="323" spans="1:86" x14ac:dyDescent="0.3">
      <c r="A323" s="6233" t="s">
        <v>4509</v>
      </c>
      <c r="B323" s="6899"/>
      <c r="C323" s="1094" t="s">
        <v>1883</v>
      </c>
      <c r="D323" s="2189" t="s">
        <v>5292</v>
      </c>
      <c r="E323" s="2190" t="s">
        <v>5293</v>
      </c>
      <c r="F323" s="2225" t="s">
        <v>5294</v>
      </c>
      <c r="G323" s="1095" t="s">
        <v>5295</v>
      </c>
      <c r="H323" s="2115" t="s">
        <v>5296</v>
      </c>
      <c r="I323" s="1095" t="s">
        <v>5297</v>
      </c>
      <c r="J323" s="2115" t="s">
        <v>5298</v>
      </c>
      <c r="K323" s="1095" t="s">
        <v>5299</v>
      </c>
      <c r="L323" s="8" t="s">
        <v>5300</v>
      </c>
      <c r="M323" s="1095" t="s">
        <v>5301</v>
      </c>
      <c r="N323" s="1697" t="s">
        <v>5302</v>
      </c>
      <c r="O323" s="1095" t="s">
        <v>5303</v>
      </c>
      <c r="P323" s="8" t="s">
        <v>5304</v>
      </c>
      <c r="Q323" s="1095" t="s">
        <v>5305</v>
      </c>
      <c r="R323" s="2115" t="s">
        <v>5306</v>
      </c>
      <c r="S323" s="1095" t="s">
        <v>5307</v>
      </c>
      <c r="T323" s="2115" t="s">
        <v>5308</v>
      </c>
      <c r="U323" s="1095" t="s">
        <v>5309</v>
      </c>
      <c r="V323" s="2115" t="s">
        <v>5310</v>
      </c>
      <c r="W323" s="1095" t="s">
        <v>5311</v>
      </c>
      <c r="X323" s="2115" t="s">
        <v>5312</v>
      </c>
      <c r="Y323" s="1095" t="s">
        <v>5313</v>
      </c>
      <c r="Z323" s="2115" t="s">
        <v>5314</v>
      </c>
      <c r="AA323" s="1095" t="s">
        <v>5315</v>
      </c>
      <c r="AB323" s="2115" t="s">
        <v>5316</v>
      </c>
      <c r="AC323" s="1095" t="s">
        <v>5317</v>
      </c>
      <c r="AD323" s="2115" t="s">
        <v>5318</v>
      </c>
      <c r="AE323" s="1095" t="s">
        <v>5319</v>
      </c>
      <c r="AF323" s="2115" t="s">
        <v>5320</v>
      </c>
      <c r="AG323" s="1095" t="s">
        <v>5321</v>
      </c>
      <c r="AH323" s="2115" t="s">
        <v>5322</v>
      </c>
      <c r="AI323" s="1095" t="s">
        <v>5323</v>
      </c>
      <c r="AJ323" s="2115" t="s">
        <v>5324</v>
      </c>
      <c r="AK323" s="1095" t="s">
        <v>5325</v>
      </c>
      <c r="AL323" s="2115" t="s">
        <v>5326</v>
      </c>
      <c r="AM323" s="1095" t="s">
        <v>5327</v>
      </c>
      <c r="AN323" s="2115" t="s">
        <v>5328</v>
      </c>
      <c r="AO323" s="1095" t="s">
        <v>5329</v>
      </c>
      <c r="AP323" s="2115" t="s">
        <v>5330</v>
      </c>
      <c r="AQ323" s="1095" t="s">
        <v>5331</v>
      </c>
      <c r="AR323" s="2114" t="s">
        <v>5332</v>
      </c>
      <c r="AS323" s="2115" t="s">
        <v>5333</v>
      </c>
      <c r="AT323" s="8" t="s">
        <v>5334</v>
      </c>
      <c r="AU323" s="1092" t="s">
        <v>5335</v>
      </c>
      <c r="AV323" s="8" t="s">
        <v>5336</v>
      </c>
      <c r="AW323" s="1092" t="s">
        <v>5337</v>
      </c>
      <c r="AX323" s="8" t="s">
        <v>5338</v>
      </c>
      <c r="AY323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23" s="2465" t="str">
        <f t="shared" si="199"/>
        <v xml:space="preserve"> * La variable Trans (masculino) No puede ser mayor al Total.</v>
      </c>
      <c r="BS323" s="2465" t="str">
        <f t="shared" si="208"/>
        <v xml:space="preserve"> * La variable Trans (Femenino) No puede ser mayor al Total Hombres.</v>
      </c>
      <c r="BT323" s="2465" t="str">
        <f t="shared" si="200"/>
        <v xml:space="preserve"> * La variable Pueblos originarios No puede ser mayor al Total.</v>
      </c>
      <c r="BU323" s="2465" t="str">
        <f t="shared" si="201"/>
        <v xml:space="preserve"> * La variable Migrantes No puede ser mayor al Total.</v>
      </c>
      <c r="BV323" s="2465" t="str">
        <f t="shared" si="202"/>
        <v xml:space="preserve"> * La variable Niños, niñas adolescentes y Jóvenes SENAME No puede ser mayor al Total.</v>
      </c>
      <c r="BW323" s="2465" t="str">
        <f t="shared" si="203"/>
        <v xml:space="preserve"> * La variable Niños, niñas adolescentes y Jóvenes Mejor Niñez No puede ser mayor al Total.</v>
      </c>
      <c r="BX323"/>
      <c r="BY323"/>
      <c r="CA323"/>
      <c r="CB323"/>
      <c r="CC323" s="1725">
        <f t="shared" si="209"/>
        <v>1</v>
      </c>
      <c r="CD323" s="1725">
        <f t="shared" si="210"/>
        <v>1</v>
      </c>
      <c r="CE323" s="1725">
        <f t="shared" si="204"/>
        <v>1</v>
      </c>
      <c r="CF323" s="1725">
        <f t="shared" si="205"/>
        <v>1</v>
      </c>
      <c r="CG323" s="1725">
        <f t="shared" si="206"/>
        <v>1</v>
      </c>
      <c r="CH323" s="1725">
        <f t="shared" si="207"/>
        <v>1</v>
      </c>
    </row>
    <row r="324" spans="1:86" x14ac:dyDescent="0.3">
      <c r="A324" s="6233" t="s">
        <v>4510</v>
      </c>
      <c r="B324" s="6908"/>
      <c r="C324" s="2359" t="s">
        <v>2073</v>
      </c>
      <c r="D324" s="2205" t="s">
        <v>5292</v>
      </c>
      <c r="E324" s="28" t="s">
        <v>5293</v>
      </c>
      <c r="F324" s="13" t="s">
        <v>5294</v>
      </c>
      <c r="G324" s="2152" t="s">
        <v>5295</v>
      </c>
      <c r="H324" s="2360" t="s">
        <v>5296</v>
      </c>
      <c r="I324" s="2152" t="s">
        <v>5297</v>
      </c>
      <c r="J324" s="2360" t="s">
        <v>5298</v>
      </c>
      <c r="K324" s="2152" t="s">
        <v>5299</v>
      </c>
      <c r="L324" s="2361" t="s">
        <v>5300</v>
      </c>
      <c r="M324" s="2152" t="s">
        <v>5301</v>
      </c>
      <c r="N324" s="2256" t="s">
        <v>5302</v>
      </c>
      <c r="O324" s="2152" t="s">
        <v>5303</v>
      </c>
      <c r="P324" s="2361" t="s">
        <v>5304</v>
      </c>
      <c r="Q324" s="2152" t="s">
        <v>5305</v>
      </c>
      <c r="R324" s="2360" t="s">
        <v>5306</v>
      </c>
      <c r="S324" s="2152" t="s">
        <v>5307</v>
      </c>
      <c r="T324" s="2360" t="s">
        <v>5308</v>
      </c>
      <c r="U324" s="2152" t="s">
        <v>5309</v>
      </c>
      <c r="V324" s="2360" t="s">
        <v>5310</v>
      </c>
      <c r="W324" s="2152" t="s">
        <v>5311</v>
      </c>
      <c r="X324" s="2360" t="s">
        <v>5312</v>
      </c>
      <c r="Y324" s="2152" t="s">
        <v>5313</v>
      </c>
      <c r="Z324" s="2360" t="s">
        <v>5314</v>
      </c>
      <c r="AA324" s="2152" t="s">
        <v>5315</v>
      </c>
      <c r="AB324" s="2360" t="s">
        <v>5316</v>
      </c>
      <c r="AC324" s="2152" t="s">
        <v>5317</v>
      </c>
      <c r="AD324" s="2360" t="s">
        <v>5318</v>
      </c>
      <c r="AE324" s="2152" t="s">
        <v>5319</v>
      </c>
      <c r="AF324" s="2360" t="s">
        <v>5320</v>
      </c>
      <c r="AG324" s="2152" t="s">
        <v>5321</v>
      </c>
      <c r="AH324" s="2360" t="s">
        <v>5322</v>
      </c>
      <c r="AI324" s="2152" t="s">
        <v>5323</v>
      </c>
      <c r="AJ324" s="2360" t="s">
        <v>5324</v>
      </c>
      <c r="AK324" s="2152" t="s">
        <v>5325</v>
      </c>
      <c r="AL324" s="2360" t="s">
        <v>5326</v>
      </c>
      <c r="AM324" s="2152" t="s">
        <v>5327</v>
      </c>
      <c r="AN324" s="2360" t="s">
        <v>5328</v>
      </c>
      <c r="AO324" s="2152" t="s">
        <v>5329</v>
      </c>
      <c r="AP324" s="2360" t="s">
        <v>5330</v>
      </c>
      <c r="AQ324" s="2152" t="s">
        <v>5331</v>
      </c>
      <c r="AR324" s="2362" t="s">
        <v>5332</v>
      </c>
      <c r="AS324" s="2360" t="s">
        <v>5333</v>
      </c>
      <c r="AT324" s="2361" t="s">
        <v>5334</v>
      </c>
      <c r="AU324" s="2215" t="s">
        <v>5335</v>
      </c>
      <c r="AV324" s="2361" t="s">
        <v>5336</v>
      </c>
      <c r="AW324" s="2215" t="s">
        <v>5337</v>
      </c>
      <c r="AX324" s="2361" t="s">
        <v>5338</v>
      </c>
      <c r="AY324" t="str">
        <f t="shared" si="198"/>
        <v xml:space="preserve"> * La variable Trans (masculino) No puede ser mayor al Total. * La variable Trans (Femenino) No puede ser mayor al Total Hombres. * La variable Pueblos originarios No puede ser mayor al Total. * La variable Migrantes No puede ser mayor al Total. * La variable Niños, niñas adolescentes y Jóvenes SENAME No puede ser mayor al Total. * La variable Niños, niñas adolescentes y Jóvenes Mejor Niñez No puede ser mayor al Total.</v>
      </c>
      <c r="BR324" s="2465" t="str">
        <f t="shared" si="199"/>
        <v xml:space="preserve"> * La variable Trans (masculino) No puede ser mayor al Total.</v>
      </c>
      <c r="BS324" s="2465" t="str">
        <f t="shared" si="208"/>
        <v xml:space="preserve"> * La variable Trans (Femenino) No puede ser mayor al Total Hombres.</v>
      </c>
      <c r="BT324" s="2465" t="str">
        <f t="shared" si="200"/>
        <v xml:space="preserve"> * La variable Pueblos originarios No puede ser mayor al Total.</v>
      </c>
      <c r="BU324" s="2465" t="str">
        <f t="shared" si="201"/>
        <v xml:space="preserve"> * La variable Migrantes No puede ser mayor al Total.</v>
      </c>
      <c r="BV324" s="2465" t="str">
        <f t="shared" si="202"/>
        <v xml:space="preserve"> * La variable Niños, niñas adolescentes y Jóvenes SENAME No puede ser mayor al Total.</v>
      </c>
      <c r="BW324" s="2465" t="str">
        <f t="shared" si="203"/>
        <v xml:space="preserve"> * La variable Niños, niñas adolescentes y Jóvenes Mejor Niñez No puede ser mayor al Total.</v>
      </c>
      <c r="BX324"/>
      <c r="BY324"/>
      <c r="CA324"/>
      <c r="CB324"/>
      <c r="CC324" s="1725">
        <f t="shared" si="209"/>
        <v>1</v>
      </c>
      <c r="CD324" s="1725">
        <f t="shared" si="210"/>
        <v>1</v>
      </c>
      <c r="CE324" s="1725">
        <f t="shared" si="204"/>
        <v>1</v>
      </c>
      <c r="CF324" s="1725">
        <f t="shared" si="205"/>
        <v>1</v>
      </c>
      <c r="CG324" s="1725">
        <f t="shared" si="206"/>
        <v>1</v>
      </c>
      <c r="CH324" s="1725">
        <f t="shared" si="207"/>
        <v>1</v>
      </c>
    </row>
    <row r="325" spans="1:86" s="17" customFormat="1" ht="18" customHeight="1" x14ac:dyDescent="0.25">
      <c r="B325" s="14" t="s">
        <v>2074</v>
      </c>
      <c r="C325" s="2647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</row>
    <row r="326" spans="1:86" x14ac:dyDescent="0.3">
      <c r="B326" s="6921" t="s">
        <v>23</v>
      </c>
      <c r="C326" s="6399"/>
      <c r="D326" s="6927" t="s">
        <v>47</v>
      </c>
      <c r="E326" s="6927"/>
      <c r="F326" s="6927"/>
      <c r="G326" s="6797" t="s">
        <v>30</v>
      </c>
      <c r="H326" s="6966"/>
      <c r="I326" s="6966"/>
      <c r="J326" s="6966"/>
      <c r="K326" s="6966"/>
      <c r="L326" s="6966"/>
      <c r="M326" s="6966"/>
      <c r="N326" s="6966"/>
      <c r="O326" s="6966"/>
      <c r="P326" s="6966"/>
      <c r="Q326" s="6966"/>
      <c r="R326" s="6966"/>
      <c r="S326" s="6966"/>
      <c r="T326" s="6966"/>
      <c r="U326" s="6966"/>
      <c r="V326" s="6966"/>
      <c r="W326" s="6966"/>
      <c r="X326" s="6966"/>
      <c r="Y326" s="6966"/>
      <c r="Z326" s="6966"/>
      <c r="AA326" s="6966"/>
      <c r="AB326" s="6966"/>
      <c r="AC326" s="6966"/>
      <c r="AD326" s="6966"/>
      <c r="AE326" s="6966"/>
      <c r="AF326" s="6966"/>
      <c r="AG326" s="6966"/>
      <c r="AH326" s="6967"/>
      <c r="AI326" s="6891" t="s">
        <v>48</v>
      </c>
      <c r="AJ326" s="6399"/>
      <c r="AK326" s="6990" t="s">
        <v>2</v>
      </c>
      <c r="AL326" s="6399" t="s">
        <v>3</v>
      </c>
      <c r="BR326"/>
      <c r="BS326"/>
      <c r="BT326"/>
      <c r="BU326"/>
      <c r="BV326"/>
      <c r="BW326"/>
      <c r="BX326"/>
      <c r="BY326"/>
      <c r="CA326"/>
      <c r="CB326"/>
      <c r="CC326"/>
    </row>
    <row r="327" spans="1:86" x14ac:dyDescent="0.3">
      <c r="B327" s="6830"/>
      <c r="C327" s="6831"/>
      <c r="D327" s="6927"/>
      <c r="E327" s="6927"/>
      <c r="F327" s="6927"/>
      <c r="G327" s="6927" t="s">
        <v>4</v>
      </c>
      <c r="H327" s="6927"/>
      <c r="I327" s="6797" t="s">
        <v>5</v>
      </c>
      <c r="J327" s="6798"/>
      <c r="K327" s="6799" t="s">
        <v>6</v>
      </c>
      <c r="L327" s="6799"/>
      <c r="M327" s="6799" t="s">
        <v>7</v>
      </c>
      <c r="N327" s="6799"/>
      <c r="O327" s="6799" t="s">
        <v>8</v>
      </c>
      <c r="P327" s="6799"/>
      <c r="Q327" s="6799" t="s">
        <v>9</v>
      </c>
      <c r="R327" s="6799"/>
      <c r="S327" s="6799" t="s">
        <v>10</v>
      </c>
      <c r="T327" s="6799"/>
      <c r="U327" s="6799" t="s">
        <v>11</v>
      </c>
      <c r="V327" s="6799"/>
      <c r="W327" s="6799" t="s">
        <v>18</v>
      </c>
      <c r="X327" s="6799"/>
      <c r="Y327" s="6799" t="s">
        <v>19</v>
      </c>
      <c r="Z327" s="6799"/>
      <c r="AA327" s="6799" t="s">
        <v>20</v>
      </c>
      <c r="AB327" s="6799"/>
      <c r="AC327" s="6799" t="s">
        <v>70</v>
      </c>
      <c r="AD327" s="6799"/>
      <c r="AE327" s="6799" t="s">
        <v>71</v>
      </c>
      <c r="AF327" s="6799"/>
      <c r="AG327" s="6799" t="s">
        <v>32</v>
      </c>
      <c r="AH327" s="6963"/>
      <c r="AI327" s="6959"/>
      <c r="AJ327" s="6400"/>
      <c r="AK327" s="6991"/>
      <c r="AL327" s="6831"/>
      <c r="BR327"/>
      <c r="BS327"/>
      <c r="BT327"/>
      <c r="BU327"/>
      <c r="BV327"/>
      <c r="BW327"/>
      <c r="BX327"/>
      <c r="BY327"/>
      <c r="CA327"/>
      <c r="CB327"/>
      <c r="CC327"/>
    </row>
    <row r="328" spans="1:86" x14ac:dyDescent="0.3">
      <c r="B328" s="6828"/>
      <c r="C328" s="6400"/>
      <c r="D328" s="2665" t="s">
        <v>26</v>
      </c>
      <c r="E328" s="2666" t="s">
        <v>22</v>
      </c>
      <c r="F328" s="2689" t="s">
        <v>27</v>
      </c>
      <c r="G328" s="2665" t="s">
        <v>51</v>
      </c>
      <c r="H328" s="2710" t="s">
        <v>27</v>
      </c>
      <c r="I328" s="2665" t="s">
        <v>51</v>
      </c>
      <c r="J328" s="2710" t="s">
        <v>27</v>
      </c>
      <c r="K328" s="2665" t="s">
        <v>51</v>
      </c>
      <c r="L328" s="2710" t="s">
        <v>27</v>
      </c>
      <c r="M328" s="2665" t="s">
        <v>51</v>
      </c>
      <c r="N328" s="2710" t="s">
        <v>27</v>
      </c>
      <c r="O328" s="2665" t="s">
        <v>51</v>
      </c>
      <c r="P328" s="2710" t="s">
        <v>27</v>
      </c>
      <c r="Q328" s="2665" t="s">
        <v>51</v>
      </c>
      <c r="R328" s="2710" t="s">
        <v>27</v>
      </c>
      <c r="S328" s="2665" t="s">
        <v>51</v>
      </c>
      <c r="T328" s="2710" t="s">
        <v>27</v>
      </c>
      <c r="U328" s="2665" t="s">
        <v>51</v>
      </c>
      <c r="V328" s="2710" t="s">
        <v>27</v>
      </c>
      <c r="W328" s="2665" t="s">
        <v>51</v>
      </c>
      <c r="X328" s="2710" t="s">
        <v>27</v>
      </c>
      <c r="Y328" s="2665" t="s">
        <v>51</v>
      </c>
      <c r="Z328" s="2710" t="s">
        <v>27</v>
      </c>
      <c r="AA328" s="2665" t="s">
        <v>51</v>
      </c>
      <c r="AB328" s="2710" t="s">
        <v>27</v>
      </c>
      <c r="AC328" s="2665" t="s">
        <v>51</v>
      </c>
      <c r="AD328" s="2710" t="s">
        <v>27</v>
      </c>
      <c r="AE328" s="2665" t="s">
        <v>51</v>
      </c>
      <c r="AF328" s="2710" t="s">
        <v>27</v>
      </c>
      <c r="AG328" s="2665" t="s">
        <v>51</v>
      </c>
      <c r="AH328" s="2686" t="s">
        <v>27</v>
      </c>
      <c r="AI328" s="2697" t="s">
        <v>41</v>
      </c>
      <c r="AJ328" s="2713" t="s">
        <v>42</v>
      </c>
      <c r="AK328" s="6842"/>
      <c r="AL328" s="6400"/>
      <c r="BR328"/>
      <c r="BS328"/>
      <c r="BT328"/>
      <c r="BU328"/>
      <c r="BV328"/>
      <c r="BW328"/>
      <c r="BX328"/>
      <c r="BY328"/>
      <c r="CA328"/>
      <c r="CB328"/>
      <c r="CC328"/>
    </row>
    <row r="329" spans="1:86" x14ac:dyDescent="0.3">
      <c r="A329" s="6233" t="s">
        <v>4511</v>
      </c>
      <c r="B329" s="6995" t="s">
        <v>2064</v>
      </c>
      <c r="C329" s="6995"/>
      <c r="D329" s="2222" t="s">
        <v>5292</v>
      </c>
      <c r="E329" s="2223" t="s">
        <v>5293</v>
      </c>
      <c r="F329" s="2257" t="s">
        <v>5294</v>
      </c>
      <c r="G329" s="2260" t="s">
        <v>5295</v>
      </c>
      <c r="H329" s="2326" t="s">
        <v>5296</v>
      </c>
      <c r="I329" s="2260" t="s">
        <v>5297</v>
      </c>
      <c r="J329" s="2326" t="s">
        <v>5298</v>
      </c>
      <c r="K329" s="2260" t="s">
        <v>5299</v>
      </c>
      <c r="L329" s="2326" t="s">
        <v>5300</v>
      </c>
      <c r="M329" s="2260" t="s">
        <v>5301</v>
      </c>
      <c r="N329" s="2326" t="s">
        <v>5302</v>
      </c>
      <c r="O329" s="2260" t="s">
        <v>5303</v>
      </c>
      <c r="P329" s="2326" t="s">
        <v>5304</v>
      </c>
      <c r="Q329" s="2260" t="s">
        <v>5305</v>
      </c>
      <c r="R329" s="2326" t="s">
        <v>5306</v>
      </c>
      <c r="S329" s="2260" t="s">
        <v>5307</v>
      </c>
      <c r="T329" s="2326" t="s">
        <v>5308</v>
      </c>
      <c r="U329" s="2260" t="s">
        <v>5309</v>
      </c>
      <c r="V329" s="2326" t="s">
        <v>5310</v>
      </c>
      <c r="W329" s="2260" t="s">
        <v>5311</v>
      </c>
      <c r="X329" s="2326" t="s">
        <v>5312</v>
      </c>
      <c r="Y329" s="2260" t="s">
        <v>5313</v>
      </c>
      <c r="Z329" s="2326" t="s">
        <v>5314</v>
      </c>
      <c r="AA329" s="2260" t="s">
        <v>5315</v>
      </c>
      <c r="AB329" s="2326" t="s">
        <v>5316</v>
      </c>
      <c r="AC329" s="2260" t="s">
        <v>5317</v>
      </c>
      <c r="AD329" s="2326" t="s">
        <v>5318</v>
      </c>
      <c r="AE329" s="2260" t="s">
        <v>5319</v>
      </c>
      <c r="AF329" s="2326" t="s">
        <v>5320</v>
      </c>
      <c r="AG329" s="2260" t="s">
        <v>5321</v>
      </c>
      <c r="AH329" s="2357" t="s">
        <v>5322</v>
      </c>
      <c r="AI329" s="2326" t="s">
        <v>5323</v>
      </c>
      <c r="AJ329" s="2261" t="s">
        <v>5324</v>
      </c>
      <c r="AK329" s="2260" t="s">
        <v>5325</v>
      </c>
      <c r="AL329" s="2261" t="s">
        <v>5326</v>
      </c>
      <c r="AM329" t="str">
        <f>BR329&amp;BS329&amp;BT329&amp;BU329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BR329" s="2465" t="str">
        <f>IF(AND(F329&gt;0,OR(AI329=""))," * No olvide digitar la variable Trans (Masculino). Digite Cero si no tiene.",IF((AI329)&gt;F329,"*  La variable Trans (Masculino) No puede ser mayor al Total Mujeres.",""))</f>
        <v>*  La variable Trans (Masculino) No puede ser mayor al Total Mujeres.</v>
      </c>
      <c r="BS329" s="2465" t="str">
        <f>IF(AND(E329&gt;0,OR(AJ329=""))," * No olvide digitar la variable Trans (Femenino). Digite Cero si no tiene.",IF((AJ329)&gt;E329,"*  La variable Trans (Femenino) No puede ser mayor al Total Hombres.",""))</f>
        <v>*  La variable Trans (Femenino) No puede ser mayor al Total Hombres.</v>
      </c>
      <c r="BT329" s="2465" t="str">
        <f>IF(AND(D329&gt;0,AK329="")," * No olvide digitar la variable Pueblos originarios. Digite Cero si no tiene.",IF(AK329&gt;D329," * La variable Pueblos originarios No puede ser mayor al Total.",""))</f>
        <v xml:space="preserve"> * La variable Pueblos originarios No puede ser mayor al Total.</v>
      </c>
      <c r="BU329" s="2465" t="str">
        <f>IF(AND(D329&gt;0,AL329="")," * No olvide digitar la variable Migrantes. Digite Cero si no tiene.",IF(AL329&gt;D329," * La variable Migrantes No puede ser mayor al Total.",""))</f>
        <v xml:space="preserve"> * La variable Migrantes No puede ser mayor al Total.</v>
      </c>
      <c r="BV329"/>
      <c r="BW329"/>
      <c r="BX329"/>
      <c r="BY329"/>
      <c r="CA329"/>
      <c r="CB329"/>
      <c r="CC329" s="1725">
        <f>IF(AND(F329&gt;0,OR(AI329="")),1,IF((AI329)&gt;F329,1,0))</f>
        <v>1</v>
      </c>
      <c r="CD329" s="1725">
        <f>IF(AND(E329&gt;0,OR(AJ329="")),1,IF((AJ329)&gt;E329,1,0))</f>
        <v>1</v>
      </c>
      <c r="CE329" s="1725">
        <f>IF(AND(D329&gt;0,AK329=""),1,IF(AK329&gt;D329,1,0))</f>
        <v>1</v>
      </c>
      <c r="CF329" s="1725">
        <f>IF(AND(D329&gt;0,AL329=""),1,IF(AL329&gt;D329,1,0))</f>
        <v>1</v>
      </c>
    </row>
    <row r="330" spans="1:86" x14ac:dyDescent="0.3">
      <c r="A330" s="6233" t="s">
        <v>4512</v>
      </c>
      <c r="B330" s="6995" t="s">
        <v>2066</v>
      </c>
      <c r="C330" s="6995"/>
      <c r="D330" s="2222" t="s">
        <v>5292</v>
      </c>
      <c r="E330" s="2223" t="s">
        <v>5293</v>
      </c>
      <c r="F330" s="2257" t="s">
        <v>5294</v>
      </c>
      <c r="G330" s="2260" t="s">
        <v>5295</v>
      </c>
      <c r="H330" s="2326" t="s">
        <v>5296</v>
      </c>
      <c r="I330" s="2260" t="s">
        <v>5297</v>
      </c>
      <c r="J330" s="2326" t="s">
        <v>5298</v>
      </c>
      <c r="K330" s="2260" t="s">
        <v>5299</v>
      </c>
      <c r="L330" s="2326" t="s">
        <v>5300</v>
      </c>
      <c r="M330" s="2260" t="s">
        <v>5301</v>
      </c>
      <c r="N330" s="2326" t="s">
        <v>5302</v>
      </c>
      <c r="O330" s="2260" t="s">
        <v>5303</v>
      </c>
      <c r="P330" s="2326" t="s">
        <v>5304</v>
      </c>
      <c r="Q330" s="2260" t="s">
        <v>5305</v>
      </c>
      <c r="R330" s="2326" t="s">
        <v>5306</v>
      </c>
      <c r="S330" s="2260" t="s">
        <v>5307</v>
      </c>
      <c r="T330" s="2326" t="s">
        <v>5308</v>
      </c>
      <c r="U330" s="2260" t="s">
        <v>5309</v>
      </c>
      <c r="V330" s="2326" t="s">
        <v>5310</v>
      </c>
      <c r="W330" s="2260" t="s">
        <v>5311</v>
      </c>
      <c r="X330" s="2326" t="s">
        <v>5312</v>
      </c>
      <c r="Y330" s="2260" t="s">
        <v>5313</v>
      </c>
      <c r="Z330" s="2326" t="s">
        <v>5314</v>
      </c>
      <c r="AA330" s="2260" t="s">
        <v>5315</v>
      </c>
      <c r="AB330" s="2326" t="s">
        <v>5316</v>
      </c>
      <c r="AC330" s="2260" t="s">
        <v>5317</v>
      </c>
      <c r="AD330" s="2326" t="s">
        <v>5318</v>
      </c>
      <c r="AE330" s="2260" t="s">
        <v>5319</v>
      </c>
      <c r="AF330" s="2326" t="s">
        <v>5320</v>
      </c>
      <c r="AG330" s="2260" t="s">
        <v>5321</v>
      </c>
      <c r="AH330" s="2357" t="s">
        <v>5322</v>
      </c>
      <c r="AI330" s="2326" t="s">
        <v>5323</v>
      </c>
      <c r="AJ330" s="2261" t="s">
        <v>5324</v>
      </c>
      <c r="AK330" s="2260" t="s">
        <v>5325</v>
      </c>
      <c r="AL330" s="2261" t="s">
        <v>5326</v>
      </c>
      <c r="AM330" t="str">
        <f t="shared" ref="AM330:AM331" si="211">BR330&amp;BS330&amp;BT330&amp;BU330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BR330" s="2465" t="str">
        <f>IF(AND(F330&gt;0,OR(AI330=""))," * No olvide digitar la variable Trans (Masculino). Digite Cero si no tiene.",IF((AI330)&gt;F330,"*  La variable Trans (Masculino) No puede ser mayor al Total Mujeres.",""))</f>
        <v>*  La variable Trans (Masculino) No puede ser mayor al Total Mujeres.</v>
      </c>
      <c r="BS330" s="2465" t="str">
        <f>IF(AND(E330&gt;0,OR(AJ330=""))," * No olvide digitar la variable Trans (Femenino). Digite Cero si no tiene.",IF((AJ330)&gt;E330,"*  La variable Trans (Femenino) No puede ser mayor al Total Hombres.",""))</f>
        <v>*  La variable Trans (Femenino) No puede ser mayor al Total Hombres.</v>
      </c>
      <c r="BT330" s="2465" t="str">
        <f>IF(AND(D330&gt;0,AK330="")," * No olvide digitar la variable Pueblos originarios. Digite Cero si no tiene.",IF(AK330&gt;D330," * La variable Pueblos originarios No puede ser mayor al Total.",""))</f>
        <v xml:space="preserve"> * La variable Pueblos originarios No puede ser mayor al Total.</v>
      </c>
      <c r="BU330" s="2465" t="str">
        <f>IF(AND(D330&gt;0,AL330="")," * No olvide digitar la variable Migrantes. Digite Cero si no tiene.",IF(AL330&gt;D330," * La variable Migrantes No puede ser mayor al Total.",""))</f>
        <v xml:space="preserve"> * La variable Migrantes No puede ser mayor al Total.</v>
      </c>
      <c r="BV330"/>
      <c r="BW330"/>
      <c r="BX330"/>
      <c r="BY330"/>
      <c r="CA330"/>
      <c r="CB330"/>
      <c r="CC330" s="1725">
        <f>IF(AND(F330&gt;0,OR(AI330="")),1,IF((AI330)&gt;F330,1,0))</f>
        <v>1</v>
      </c>
      <c r="CD330" s="1725">
        <f>IF(AND(E330&gt;0,OR(AJ330="")),1,IF((AJ330)&gt;E330,1,0))</f>
        <v>1</v>
      </c>
      <c r="CE330" s="1725">
        <f>IF(AND(D330&gt;0,AK330=""),1,IF(AK330&gt;D330,1,0))</f>
        <v>1</v>
      </c>
      <c r="CF330" s="1725">
        <f>IF(AND(D330&gt;0,AL330=""),1,IF(AL330&gt;D330,1,0))</f>
        <v>1</v>
      </c>
    </row>
    <row r="331" spans="1:86" x14ac:dyDescent="0.3">
      <c r="A331" s="6233" t="s">
        <v>4513</v>
      </c>
      <c r="B331" s="6995" t="s">
        <v>2075</v>
      </c>
      <c r="C331" s="6995"/>
      <c r="D331" s="2222" t="s">
        <v>5292</v>
      </c>
      <c r="E331" s="2223" t="s">
        <v>5293</v>
      </c>
      <c r="F331" s="2257" t="s">
        <v>5294</v>
      </c>
      <c r="G331" s="2260" t="s">
        <v>5295</v>
      </c>
      <c r="H331" s="2326" t="s">
        <v>5296</v>
      </c>
      <c r="I331" s="2260" t="s">
        <v>5297</v>
      </c>
      <c r="J331" s="2326" t="s">
        <v>5298</v>
      </c>
      <c r="K331" s="2260" t="s">
        <v>5299</v>
      </c>
      <c r="L331" s="2326" t="s">
        <v>5300</v>
      </c>
      <c r="M331" s="2260" t="s">
        <v>5301</v>
      </c>
      <c r="N331" s="2326" t="s">
        <v>5302</v>
      </c>
      <c r="O331" s="2260" t="s">
        <v>5303</v>
      </c>
      <c r="P331" s="2326" t="s">
        <v>5304</v>
      </c>
      <c r="Q331" s="2260" t="s">
        <v>5305</v>
      </c>
      <c r="R331" s="2326" t="s">
        <v>5306</v>
      </c>
      <c r="S331" s="2260" t="s">
        <v>5307</v>
      </c>
      <c r="T331" s="2326" t="s">
        <v>5308</v>
      </c>
      <c r="U331" s="2260" t="s">
        <v>5309</v>
      </c>
      <c r="V331" s="2326" t="s">
        <v>5310</v>
      </c>
      <c r="W331" s="2260" t="s">
        <v>5311</v>
      </c>
      <c r="X331" s="2326" t="s">
        <v>5312</v>
      </c>
      <c r="Y331" s="2260" t="s">
        <v>5313</v>
      </c>
      <c r="Z331" s="2326" t="s">
        <v>5314</v>
      </c>
      <c r="AA331" s="2260" t="s">
        <v>5315</v>
      </c>
      <c r="AB331" s="2326" t="s">
        <v>5316</v>
      </c>
      <c r="AC331" s="2260" t="s">
        <v>5317</v>
      </c>
      <c r="AD331" s="2326" t="s">
        <v>5318</v>
      </c>
      <c r="AE331" s="2260" t="s">
        <v>5319</v>
      </c>
      <c r="AF331" s="2326" t="s">
        <v>5320</v>
      </c>
      <c r="AG331" s="2260" t="s">
        <v>5321</v>
      </c>
      <c r="AH331" s="2357" t="s">
        <v>5322</v>
      </c>
      <c r="AI331" s="2326" t="s">
        <v>5323</v>
      </c>
      <c r="AJ331" s="2261" t="s">
        <v>5324</v>
      </c>
      <c r="AK331" s="2260" t="s">
        <v>5325</v>
      </c>
      <c r="AL331" s="2261" t="s">
        <v>5326</v>
      </c>
      <c r="AM331" t="str">
        <f t="shared" si="211"/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BR331" s="2465" t="str">
        <f>IF(AND(F331&gt;0,OR(AI331=""))," * No olvide digitar la variable Trans (Masculino). Digite Cero si no tiene.",IF((AI331)&gt;F331,"*  La variable Trans (Masculino) No puede ser mayor al Total Mujeres.",""))</f>
        <v>*  La variable Trans (Masculino) No puede ser mayor al Total Mujeres.</v>
      </c>
      <c r="BS331" s="2465" t="str">
        <f>IF(AND(E331&gt;0,OR(AJ331=""))," * No olvide digitar la variable Trans (Femenino). Digite Cero si no tiene.",IF((AJ331)&gt;E331,"*  La variable Trans (Femenino) No puede ser mayor al Total Hombres.",""))</f>
        <v>*  La variable Trans (Femenino) No puede ser mayor al Total Hombres.</v>
      </c>
      <c r="BT331" s="2465" t="str">
        <f>IF(AND(D331&gt;0,AK331="")," * No olvide digitar la variable Pueblos originarios. Digite Cero si no tiene.",IF(AK331&gt;D331," * La variable Pueblos originarios No puede ser mayor al Total.",""))</f>
        <v xml:space="preserve"> * La variable Pueblos originarios No puede ser mayor al Total.</v>
      </c>
      <c r="BU331" s="2465" t="str">
        <f>IF(AND(D331&gt;0,AL331="")," * No olvide digitar la variable Migrantes. Digite Cero si no tiene.",IF(AL331&gt;D331," * La variable Migrantes No puede ser mayor al Total.",""))</f>
        <v xml:space="preserve"> * La variable Migrantes No puede ser mayor al Total.</v>
      </c>
      <c r="BV331"/>
      <c r="BW331"/>
      <c r="BX331"/>
      <c r="BY331"/>
      <c r="CA331"/>
      <c r="CB331"/>
      <c r="CC331" s="1725">
        <f>IF(AND(F331&gt;0,OR(AI331="")),1,IF((AI331)&gt;F331,1,0))</f>
        <v>1</v>
      </c>
      <c r="CD331" s="1725">
        <f>IF(AND(E331&gt;0,OR(AJ331="")),1,IF((AJ331)&gt;E331,1,0))</f>
        <v>1</v>
      </c>
      <c r="CE331" s="1725">
        <f>IF(AND(D331&gt;0,AK331=""),1,IF(AK331&gt;D331,1,0))</f>
        <v>1</v>
      </c>
      <c r="CF331" s="1725">
        <f>IF(AND(D331&gt;0,AL331=""),1,IF(AL331&gt;D331,1,0))</f>
        <v>1</v>
      </c>
    </row>
    <row r="332" spans="1:86" s="17" customFormat="1" ht="18" customHeight="1" x14ac:dyDescent="0.25">
      <c r="A332" s="6249"/>
      <c r="B332" s="9046" t="s">
        <v>3717</v>
      </c>
      <c r="C332" s="2717"/>
      <c r="D332" s="2717"/>
      <c r="E332" s="2717"/>
      <c r="F332" s="2717"/>
      <c r="G332" s="2717"/>
      <c r="H332" s="2717"/>
      <c r="I332" s="2717"/>
      <c r="J332" s="2717"/>
      <c r="K332" s="2717"/>
      <c r="L332" s="2717"/>
      <c r="M332" s="2717"/>
      <c r="N332" s="2717"/>
      <c r="O332" s="2717"/>
      <c r="P332" s="15"/>
      <c r="Q332" s="15"/>
      <c r="R332" s="15"/>
      <c r="S332" s="15"/>
    </row>
    <row r="333" spans="1:86" ht="15" customHeight="1" x14ac:dyDescent="0.3">
      <c r="A333" s="6249"/>
      <c r="B333" s="6895" t="s">
        <v>58</v>
      </c>
      <c r="C333" s="6999" t="s">
        <v>59</v>
      </c>
      <c r="D333" s="7000"/>
      <c r="E333" s="7001"/>
      <c r="F333" s="7002" t="s">
        <v>30</v>
      </c>
      <c r="G333" s="7003"/>
      <c r="H333" s="7003"/>
      <c r="I333" s="7003"/>
      <c r="J333" s="7003"/>
      <c r="K333" s="7003"/>
      <c r="L333" s="7003"/>
      <c r="M333" s="7003"/>
      <c r="N333" s="7003"/>
      <c r="O333" s="6205"/>
      <c r="P333" s="7007" t="s">
        <v>3931</v>
      </c>
      <c r="Q333" s="6996" t="s">
        <v>3933</v>
      </c>
      <c r="R333" s="6996" t="s">
        <v>3934</v>
      </c>
      <c r="S333" s="7010" t="s">
        <v>2</v>
      </c>
      <c r="T333" s="7004" t="s">
        <v>3</v>
      </c>
      <c r="U333" s="6792" t="s">
        <v>48</v>
      </c>
      <c r="V333" s="6793"/>
      <c r="BR333"/>
      <c r="BS333"/>
      <c r="BT333"/>
      <c r="BU333"/>
      <c r="BV333"/>
      <c r="BW333"/>
      <c r="BX333"/>
      <c r="BY333"/>
      <c r="CA333"/>
      <c r="CB333"/>
      <c r="CC333"/>
    </row>
    <row r="334" spans="1:86" x14ac:dyDescent="0.3">
      <c r="A334" s="6249"/>
      <c r="B334" s="6900"/>
      <c r="C334" s="6828"/>
      <c r="D334" s="6959"/>
      <c r="E334" s="6400"/>
      <c r="F334" s="6800" t="s">
        <v>36</v>
      </c>
      <c r="G334" s="6915"/>
      <c r="H334" s="6800" t="s">
        <v>37</v>
      </c>
      <c r="I334" s="6915"/>
      <c r="J334" s="6800" t="s">
        <v>38</v>
      </c>
      <c r="K334" s="6915"/>
      <c r="L334" s="6800" t="s">
        <v>4</v>
      </c>
      <c r="M334" s="6915"/>
      <c r="N334" s="6800" t="s">
        <v>5</v>
      </c>
      <c r="O334" s="6949"/>
      <c r="P334" s="7008"/>
      <c r="Q334" s="6997"/>
      <c r="R334" s="6997"/>
      <c r="S334" s="6468"/>
      <c r="T334" s="7005"/>
      <c r="U334" s="6794"/>
      <c r="V334" s="6795"/>
      <c r="BR334"/>
      <c r="BS334"/>
      <c r="BT334"/>
      <c r="BU334"/>
      <c r="BV334"/>
      <c r="BW334"/>
      <c r="BX334"/>
      <c r="BY334"/>
      <c r="CA334"/>
      <c r="CB334"/>
      <c r="CC334"/>
    </row>
    <row r="335" spans="1:86" x14ac:dyDescent="0.3">
      <c r="A335" s="6249"/>
      <c r="B335" s="6896"/>
      <c r="C335" s="2718" t="s">
        <v>26</v>
      </c>
      <c r="D335" s="2719" t="s">
        <v>22</v>
      </c>
      <c r="E335" s="2713" t="s">
        <v>27</v>
      </c>
      <c r="F335" s="2665" t="s">
        <v>22</v>
      </c>
      <c r="G335" s="2663" t="s">
        <v>27</v>
      </c>
      <c r="H335" s="2665" t="s">
        <v>22</v>
      </c>
      <c r="I335" s="2663" t="s">
        <v>27</v>
      </c>
      <c r="J335" s="2665" t="s">
        <v>22</v>
      </c>
      <c r="K335" s="2663" t="s">
        <v>27</v>
      </c>
      <c r="L335" s="2665" t="s">
        <v>22</v>
      </c>
      <c r="M335" s="2663" t="s">
        <v>27</v>
      </c>
      <c r="N335" s="2665" t="s">
        <v>22</v>
      </c>
      <c r="O335" s="6193" t="s">
        <v>27</v>
      </c>
      <c r="P335" s="7009"/>
      <c r="Q335" s="6998"/>
      <c r="R335" s="6998"/>
      <c r="S335" s="6469"/>
      <c r="T335" s="7006"/>
      <c r="U335" s="2688" t="s">
        <v>41</v>
      </c>
      <c r="V335" s="2688" t="s">
        <v>42</v>
      </c>
      <c r="BR335"/>
      <c r="BS335"/>
      <c r="BT335"/>
      <c r="BU335"/>
      <c r="BV335"/>
      <c r="BW335"/>
      <c r="BX335"/>
      <c r="BY335"/>
      <c r="CA335"/>
      <c r="CB335"/>
      <c r="CC335"/>
    </row>
    <row r="336" spans="1:86" x14ac:dyDescent="0.3">
      <c r="A336" s="6233" t="s">
        <v>4514</v>
      </c>
      <c r="B336" s="2303" t="s">
        <v>25</v>
      </c>
      <c r="C336" s="2303" t="s">
        <v>5292</v>
      </c>
      <c r="D336" s="2363" t="s">
        <v>5293</v>
      </c>
      <c r="E336" s="2228" t="s">
        <v>5294</v>
      </c>
      <c r="F336" s="2120" t="s">
        <v>5295</v>
      </c>
      <c r="G336" s="2229" t="s">
        <v>5296</v>
      </c>
      <c r="H336" s="2120" t="s">
        <v>5297</v>
      </c>
      <c r="I336" s="2229" t="s">
        <v>5298</v>
      </c>
      <c r="J336" s="2120" t="s">
        <v>5299</v>
      </c>
      <c r="K336" s="2331" t="s">
        <v>5300</v>
      </c>
      <c r="L336" s="2120" t="s">
        <v>5301</v>
      </c>
      <c r="M336" s="2331" t="s">
        <v>5302</v>
      </c>
      <c r="N336" s="2364" t="s">
        <v>5303</v>
      </c>
      <c r="O336" s="2232" t="s">
        <v>5304</v>
      </c>
      <c r="P336" s="6212" t="s">
        <v>5305</v>
      </c>
      <c r="Q336" s="6204" t="s">
        <v>5306</v>
      </c>
      <c r="R336" s="6204" t="s">
        <v>5307</v>
      </c>
      <c r="S336" s="6210" t="s">
        <v>5308</v>
      </c>
      <c r="T336" s="2229" t="s">
        <v>5309</v>
      </c>
      <c r="U336" s="2229" t="s">
        <v>5310</v>
      </c>
      <c r="V336" s="2229" t="s">
        <v>5311</v>
      </c>
      <c r="X336" t="str">
        <f>BT336&amp;BU336&amp;BV336&amp;BW336</f>
        <v xml:space="preserve"> * La variable Pueblos originarios No puede ser mayor al Total. * La variable Migrantes No puede ser mayor al Total. * La variable Trans Masculino No puede ser mayor al Total Mujeres. * La variable Trans Femenino No puede ser mayor al Total Hombres.</v>
      </c>
      <c r="BR336"/>
      <c r="BS336"/>
      <c r="BT336" s="2465" t="str">
        <f>IF(AND(C336&gt;0,S336="")," * No olvide digitar la variable Pueblos originarios. Digite Cero si no tiene.",IF(S336&gt;C336," * La variable Pueblos originarios No puede ser mayor al Total.",""))</f>
        <v xml:space="preserve"> * La variable Pueblos originarios No puede ser mayor al Total.</v>
      </c>
      <c r="BU336" s="2465" t="str">
        <f>IF(AND(C336&gt;0,T336="")," * No olvide digitar la variable Migrantes. Digite Cero si no tiene.",IF(T336&gt;C336," * La variable Migrantes No puede ser mayor al Total.",""))</f>
        <v xml:space="preserve"> * La variable Migrantes No puede ser mayor al Total.</v>
      </c>
      <c r="BV336" s="1723" t="str">
        <f>IF(AND(E336&gt;0,OR(U336=""))," * No olvide digitar la variable Trans (Masculino). Digite Cero si no tiene.",IF((U336)&gt;E336," * La variable Trans Masculino No puede ser mayor al Total Mujeres.",""))</f>
        <v xml:space="preserve"> * La variable Trans Masculino No puede ser mayor al Total Mujeres.</v>
      </c>
      <c r="BW336" s="1723" t="str">
        <f>IF(AND(D336&gt;0,OR(V336=""))," * No olvide digitar la variable Trans (Femenino). Digite Cero si no tiene.",IF((V336)&gt;D336," * La variable Trans Femenino No puede ser mayor al Total Hombres.",""))</f>
        <v xml:space="preserve"> * La variable Trans Femenino No puede ser mayor al Total Hombres.</v>
      </c>
      <c r="BZ336" s="1723"/>
      <c r="CA336" s="1723"/>
      <c r="CB336"/>
      <c r="CC336"/>
      <c r="CE336" s="1725">
        <f>IF(AND(C336&gt;0,S336=""),1,IF(S336&gt;C336,1,0))</f>
        <v>1</v>
      </c>
      <c r="CF336" s="1725">
        <f>IF(AND(C336&gt;0,T336=""),1,IF(T336&gt;C336,1,0))</f>
        <v>1</v>
      </c>
      <c r="CG336" s="1725">
        <f>IF(AND(E336&gt;0,OR(U336="")),1,IF((U336)&gt;E336,1,0))</f>
        <v>1</v>
      </c>
      <c r="CH336" s="1725">
        <f>IF(AND(D336&gt;0,OR(V336="")),1,IF((V336)&gt;D336,1,0))</f>
        <v>1</v>
      </c>
    </row>
    <row r="337" spans="1:86" x14ac:dyDescent="0.3">
      <c r="A337" s="6233" t="s">
        <v>4515</v>
      </c>
      <c r="B337" s="2359" t="s">
        <v>31</v>
      </c>
      <c r="C337" s="2359" t="s">
        <v>5292</v>
      </c>
      <c r="D337" s="2365" t="s">
        <v>5293</v>
      </c>
      <c r="E337" s="2366" t="s">
        <v>5294</v>
      </c>
      <c r="F337" s="2152" t="s">
        <v>5295</v>
      </c>
      <c r="G337" s="2361" t="s">
        <v>5296</v>
      </c>
      <c r="H337" s="2152" t="s">
        <v>5297</v>
      </c>
      <c r="I337" s="2367" t="s">
        <v>5298</v>
      </c>
      <c r="J337" s="2152" t="s">
        <v>5299</v>
      </c>
      <c r="K337" s="2361" t="s">
        <v>5300</v>
      </c>
      <c r="L337" s="2152" t="s">
        <v>5301</v>
      </c>
      <c r="M337" s="2361" t="s">
        <v>5302</v>
      </c>
      <c r="N337" s="2256" t="s">
        <v>5303</v>
      </c>
      <c r="O337" s="6206" t="s">
        <v>5304</v>
      </c>
      <c r="P337" s="6211" t="s">
        <v>5305</v>
      </c>
      <c r="Q337" s="2361" t="s">
        <v>5306</v>
      </c>
      <c r="R337" s="2361" t="s">
        <v>5307</v>
      </c>
      <c r="S337" s="6211" t="s">
        <v>5308</v>
      </c>
      <c r="T337" s="2361" t="s">
        <v>5309</v>
      </c>
      <c r="U337" s="2361" t="s">
        <v>5310</v>
      </c>
      <c r="V337" s="2361" t="s">
        <v>5311</v>
      </c>
      <c r="X337" t="str">
        <f>BT337&amp;BU337&amp;BV337&amp;BW337</f>
        <v xml:space="preserve"> * La variable Pueblos originarios No puede ser mayor al Total. * La variable Migrantes No puede ser mayor al Total. * La variable Trans Masculino No puede ser mayor al Total Mujeres. * La variable Trans Femenino No puede ser mayor al Total Hombres.</v>
      </c>
      <c r="BR337"/>
      <c r="BS337"/>
      <c r="BT337" s="2465" t="str">
        <f>IF(AND(C337&gt;0,S337="")," * No olvide digitar la variable Pueblos originarios. Digite Cero si no tiene.",IF(S337&gt;C337," * La variable Pueblos originarios No puede ser mayor al Total.",""))</f>
        <v xml:space="preserve"> * La variable Pueblos originarios No puede ser mayor al Total.</v>
      </c>
      <c r="BU337" s="2465" t="str">
        <f>IF(AND(C337&gt;0,T337="")," * No olvide digitar la variable Migrantes. Digite Cero si no tiene.",IF(T337&gt;C337," * La variable Migrantes No puede ser mayor al Total.",""))</f>
        <v xml:space="preserve"> * La variable Migrantes No puede ser mayor al Total.</v>
      </c>
      <c r="BV337" s="1723" t="str">
        <f>IF(AND(E337&gt;0,OR(U337=""))," * No olvide digitar la variable Trans (Masculino). Digite Cero si no tiene.",IF((U337)&gt;E337," * La variable Trans Masculino No puede ser mayor al Total Mujeres.",""))</f>
        <v xml:space="preserve"> * La variable Trans Masculino No puede ser mayor al Total Mujeres.</v>
      </c>
      <c r="BW337" s="1723" t="str">
        <f>IF(AND(D337&gt;0,OR(V337=""))," * No olvide digitar la variable Trans (Femenino). Digite Cero si no tiene.",IF((V337)&gt;D337," * La variable Trans Femenino No puede ser mayor al Total Hombres.",""))</f>
        <v xml:space="preserve"> * La variable Trans Femenino No puede ser mayor al Total Hombres.</v>
      </c>
      <c r="BZ337" s="1723"/>
      <c r="CA337" s="1723"/>
      <c r="CB337"/>
      <c r="CC337"/>
      <c r="CE337" s="1725">
        <f>IF(AND(C337&gt;0,S337=""),1,IF(S337&gt;C337,1,0))</f>
        <v>1</v>
      </c>
      <c r="CF337" s="1725">
        <f>IF(AND(C337&gt;0,T337=""),1,IF(T337&gt;C337,1,0))</f>
        <v>1</v>
      </c>
      <c r="CG337" s="1725">
        <f>IF(AND(E337&gt;0,OR(U337="")),1,IF((U337)&gt;E337,1,0))</f>
        <v>1</v>
      </c>
      <c r="CH337" s="1725">
        <f>IF(AND(D337&gt;0,OR(V337="")),1,IF((V337)&gt;D337,1,0))</f>
        <v>1</v>
      </c>
    </row>
    <row r="338" spans="1:86" s="17" customFormat="1" ht="18" customHeight="1" x14ac:dyDescent="0.25">
      <c r="B338" s="14" t="s">
        <v>3718</v>
      </c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</row>
    <row r="339" spans="1:86" x14ac:dyDescent="0.3">
      <c r="B339" s="6895" t="s">
        <v>58</v>
      </c>
      <c r="C339" s="6895" t="s">
        <v>2076</v>
      </c>
      <c r="D339" s="6799" t="s">
        <v>59</v>
      </c>
      <c r="E339" s="6799"/>
      <c r="F339" s="6799"/>
      <c r="G339" s="6992" t="s">
        <v>30</v>
      </c>
      <c r="H339" s="6807"/>
      <c r="I339" s="6807"/>
      <c r="J339" s="6807"/>
      <c r="K339" s="6807"/>
      <c r="L339" s="6807"/>
      <c r="M339" s="6807"/>
      <c r="N339" s="6807"/>
      <c r="O339" s="6807"/>
      <c r="P339" s="6807"/>
      <c r="Q339" s="6807"/>
      <c r="R339" s="6807"/>
      <c r="S339" s="6807"/>
      <c r="T339" s="6807"/>
      <c r="U339" s="6807"/>
      <c r="V339" s="6807"/>
      <c r="W339" s="6807"/>
      <c r="X339" s="6807"/>
      <c r="Y339" s="6807"/>
      <c r="Z339" s="6807"/>
      <c r="AA339" s="6807"/>
      <c r="AB339" s="6807"/>
      <c r="AC339" s="6807"/>
      <c r="AD339" s="6807"/>
      <c r="AE339" s="6807"/>
      <c r="AF339" s="6807"/>
      <c r="AG339" s="6807"/>
      <c r="AH339" s="6847"/>
      <c r="AI339" s="6968" t="s">
        <v>2</v>
      </c>
      <c r="AJ339" s="6399" t="s">
        <v>3</v>
      </c>
      <c r="AK339" s="6800" t="s">
        <v>2077</v>
      </c>
      <c r="AL339" s="6922"/>
      <c r="AM339" s="6915"/>
      <c r="AN339" s="6895" t="s">
        <v>2078</v>
      </c>
      <c r="BR339"/>
      <c r="BS339"/>
      <c r="BT339"/>
      <c r="BU339"/>
      <c r="BV339"/>
      <c r="BW339"/>
      <c r="BX339"/>
      <c r="BY339"/>
      <c r="CA339"/>
      <c r="CB339"/>
      <c r="CC339"/>
    </row>
    <row r="340" spans="1:86" x14ac:dyDescent="0.3">
      <c r="B340" s="6900"/>
      <c r="C340" s="6900"/>
      <c r="D340" s="6799"/>
      <c r="E340" s="6799"/>
      <c r="F340" s="6799"/>
      <c r="G340" s="6800" t="s">
        <v>4</v>
      </c>
      <c r="H340" s="6915"/>
      <c r="I340" s="6800" t="s">
        <v>5</v>
      </c>
      <c r="J340" s="6915"/>
      <c r="K340" s="6800" t="s">
        <v>6</v>
      </c>
      <c r="L340" s="6915"/>
      <c r="M340" s="6800" t="s">
        <v>7</v>
      </c>
      <c r="N340" s="6915"/>
      <c r="O340" s="6800" t="s">
        <v>8</v>
      </c>
      <c r="P340" s="6915"/>
      <c r="Q340" s="6800" t="s">
        <v>9</v>
      </c>
      <c r="R340" s="6915"/>
      <c r="S340" s="6800" t="s">
        <v>10</v>
      </c>
      <c r="T340" s="6915"/>
      <c r="U340" s="6800" t="s">
        <v>11</v>
      </c>
      <c r="V340" s="6915"/>
      <c r="W340" s="6800" t="s">
        <v>18</v>
      </c>
      <c r="X340" s="6915"/>
      <c r="Y340" s="6800" t="s">
        <v>19</v>
      </c>
      <c r="Z340" s="6915"/>
      <c r="AA340" s="6800" t="s">
        <v>20</v>
      </c>
      <c r="AB340" s="6915"/>
      <c r="AC340" s="6800" t="s">
        <v>70</v>
      </c>
      <c r="AD340" s="6915"/>
      <c r="AE340" s="6800" t="s">
        <v>71</v>
      </c>
      <c r="AF340" s="6915"/>
      <c r="AG340" s="6800" t="s">
        <v>32</v>
      </c>
      <c r="AH340" s="6801"/>
      <c r="AI340" s="6993"/>
      <c r="AJ340" s="6831"/>
      <c r="AK340" s="6990" t="s">
        <v>2079</v>
      </c>
      <c r="AL340" s="7020" t="s">
        <v>60</v>
      </c>
      <c r="AM340" s="7021" t="s">
        <v>2080</v>
      </c>
      <c r="AN340" s="6900"/>
      <c r="BR340"/>
      <c r="BS340"/>
      <c r="BT340"/>
      <c r="BU340"/>
      <c r="BV340"/>
      <c r="BW340"/>
      <c r="BX340"/>
      <c r="BY340"/>
      <c r="CA340"/>
      <c r="CB340"/>
      <c r="CC340"/>
    </row>
    <row r="341" spans="1:86" ht="27" customHeight="1" x14ac:dyDescent="0.3">
      <c r="B341" s="6896"/>
      <c r="C341" s="6896"/>
      <c r="D341" s="2688" t="s">
        <v>26</v>
      </c>
      <c r="E341" s="2691" t="s">
        <v>22</v>
      </c>
      <c r="F341" s="2663" t="s">
        <v>27</v>
      </c>
      <c r="G341" s="2665" t="s">
        <v>22</v>
      </c>
      <c r="H341" s="2663" t="s">
        <v>27</v>
      </c>
      <c r="I341" s="2665" t="s">
        <v>22</v>
      </c>
      <c r="J341" s="2663" t="s">
        <v>27</v>
      </c>
      <c r="K341" s="2665" t="s">
        <v>51</v>
      </c>
      <c r="L341" s="2663" t="s">
        <v>27</v>
      </c>
      <c r="M341" s="2665" t="s">
        <v>51</v>
      </c>
      <c r="N341" s="2663" t="s">
        <v>27</v>
      </c>
      <c r="O341" s="2665" t="s">
        <v>51</v>
      </c>
      <c r="P341" s="2663" t="s">
        <v>27</v>
      </c>
      <c r="Q341" s="2665" t="s">
        <v>51</v>
      </c>
      <c r="R341" s="2663" t="s">
        <v>27</v>
      </c>
      <c r="S341" s="2665" t="s">
        <v>51</v>
      </c>
      <c r="T341" s="2663" t="s">
        <v>27</v>
      </c>
      <c r="U341" s="2665" t="s">
        <v>51</v>
      </c>
      <c r="V341" s="2663" t="s">
        <v>27</v>
      </c>
      <c r="W341" s="2665" t="s">
        <v>51</v>
      </c>
      <c r="X341" s="2663" t="s">
        <v>27</v>
      </c>
      <c r="Y341" s="2665" t="s">
        <v>51</v>
      </c>
      <c r="Z341" s="2663" t="s">
        <v>27</v>
      </c>
      <c r="AA341" s="2665" t="s">
        <v>51</v>
      </c>
      <c r="AB341" s="2663" t="s">
        <v>27</v>
      </c>
      <c r="AC341" s="2665" t="s">
        <v>51</v>
      </c>
      <c r="AD341" s="2663" t="s">
        <v>27</v>
      </c>
      <c r="AE341" s="2665" t="s">
        <v>51</v>
      </c>
      <c r="AF341" s="2663" t="s">
        <v>27</v>
      </c>
      <c r="AG341" s="2665" t="s">
        <v>51</v>
      </c>
      <c r="AH341" s="2664" t="s">
        <v>27</v>
      </c>
      <c r="AI341" s="6994"/>
      <c r="AJ341" s="6400"/>
      <c r="AK341" s="6842"/>
      <c r="AL341" s="6994"/>
      <c r="AM341" s="7022"/>
      <c r="AN341" s="6896"/>
      <c r="BR341"/>
      <c r="BS341"/>
      <c r="BT341"/>
      <c r="BU341"/>
      <c r="BV341"/>
      <c r="BW341"/>
      <c r="BX341"/>
      <c r="BY341"/>
      <c r="CA341"/>
      <c r="CB341"/>
      <c r="CC341"/>
    </row>
    <row r="342" spans="1:86" x14ac:dyDescent="0.3">
      <c r="A342" s="6233" t="s">
        <v>4516</v>
      </c>
      <c r="B342" s="6917" t="s">
        <v>2081</v>
      </c>
      <c r="C342" s="2117" t="s">
        <v>2082</v>
      </c>
      <c r="D342" s="2368" t="s">
        <v>5292</v>
      </c>
      <c r="E342" s="2368" t="s">
        <v>5293</v>
      </c>
      <c r="F342" s="2368" t="s">
        <v>5294</v>
      </c>
      <c r="G342" s="2120" t="s">
        <v>5295</v>
      </c>
      <c r="H342" s="2229" t="s">
        <v>5296</v>
      </c>
      <c r="I342" s="2120" t="s">
        <v>5297</v>
      </c>
      <c r="J342" s="2229" t="s">
        <v>5298</v>
      </c>
      <c r="K342" s="2120" t="s">
        <v>5299</v>
      </c>
      <c r="L342" s="2229" t="s">
        <v>5300</v>
      </c>
      <c r="M342" s="2120" t="s">
        <v>5301</v>
      </c>
      <c r="N342" s="2229" t="s">
        <v>5302</v>
      </c>
      <c r="O342" s="2120" t="s">
        <v>5303</v>
      </c>
      <c r="P342" s="2229" t="s">
        <v>5304</v>
      </c>
      <c r="Q342" s="2120" t="s">
        <v>5305</v>
      </c>
      <c r="R342" s="2229" t="s">
        <v>5306</v>
      </c>
      <c r="S342" s="2120" t="s">
        <v>5307</v>
      </c>
      <c r="T342" s="2229" t="s">
        <v>5308</v>
      </c>
      <c r="U342" s="2120" t="s">
        <v>5309</v>
      </c>
      <c r="V342" s="2229" t="s">
        <v>5310</v>
      </c>
      <c r="W342" s="2120" t="s">
        <v>5311</v>
      </c>
      <c r="X342" s="2229" t="s">
        <v>5312</v>
      </c>
      <c r="Y342" s="2120" t="s">
        <v>5313</v>
      </c>
      <c r="Z342" s="2229" t="s">
        <v>5314</v>
      </c>
      <c r="AA342" s="2120" t="s">
        <v>5315</v>
      </c>
      <c r="AB342" s="2229" t="s">
        <v>5316</v>
      </c>
      <c r="AC342" s="2120" t="s">
        <v>5317</v>
      </c>
      <c r="AD342" s="2229" t="s">
        <v>5318</v>
      </c>
      <c r="AE342" s="2120" t="s">
        <v>5319</v>
      </c>
      <c r="AF342" s="2229" t="s">
        <v>5320</v>
      </c>
      <c r="AG342" s="2120" t="s">
        <v>5321</v>
      </c>
      <c r="AH342" s="2200" t="s">
        <v>5322</v>
      </c>
      <c r="AI342" s="2232" t="s">
        <v>5323</v>
      </c>
      <c r="AJ342" s="2331" t="s">
        <v>5324</v>
      </c>
      <c r="AK342" s="2304" t="s">
        <v>5325</v>
      </c>
      <c r="AL342" s="2232" t="s">
        <v>5326</v>
      </c>
      <c r="AM342" s="2331" t="s">
        <v>5327</v>
      </c>
      <c r="AN342" s="2331" t="s">
        <v>5328</v>
      </c>
      <c r="AO342" t="str">
        <f>BR342&amp;BS342</f>
        <v xml:space="preserve"> * La variable Pueblos originarios No puede ser mayor al Total. * La variable Migrantes No puede ser mayor al Total.</v>
      </c>
      <c r="BR342" s="2465" t="str">
        <f>IF(AND(D342&gt;0,AI342="")," * No olvide digitar la variable Pueblos originarios. Digite Cero si no tiene.",IF(AI342&gt;D342," * La variable Pueblos originarios No puede ser mayor al Total.",""))</f>
        <v xml:space="preserve"> * La variable Pueblos originarios No puede ser mayor al Total.</v>
      </c>
      <c r="BS342" s="2465" t="str">
        <f>IF(AND(D342&gt;0,AJ342="")," * No olvide digitar la variable Migrantes. Digite Cero si no tiene.",IF(AJ342&gt;D342," * La variable Migrantes No puede ser mayor al Total.",""))</f>
        <v xml:space="preserve"> * La variable Migrantes No puede ser mayor al Total.</v>
      </c>
      <c r="CA342"/>
      <c r="CB342"/>
      <c r="CC342" s="1725">
        <f>IF(AND(D342&gt;0,AI342=""),1,IF(AI342&gt;D342,1,0))</f>
        <v>1</v>
      </c>
      <c r="CD342" s="1725">
        <f>IF(AND(D342&gt;0,AJ342=""),1,IF(AJ342&gt;D342,1,0))</f>
        <v>1</v>
      </c>
      <c r="CE342" s="1725"/>
    </row>
    <row r="343" spans="1:86" x14ac:dyDescent="0.3">
      <c r="A343" s="6233" t="s">
        <v>4517</v>
      </c>
      <c r="B343" s="6899"/>
      <c r="C343" s="1699" t="s">
        <v>2083</v>
      </c>
      <c r="D343" s="2369" t="s">
        <v>5292</v>
      </c>
      <c r="E343" s="2369" t="s">
        <v>5293</v>
      </c>
      <c r="F343" s="2369" t="s">
        <v>5294</v>
      </c>
      <c r="G343" s="1095" t="s">
        <v>5295</v>
      </c>
      <c r="H343" s="8" t="s">
        <v>5296</v>
      </c>
      <c r="I343" s="1095" t="s">
        <v>5297</v>
      </c>
      <c r="J343" s="8" t="s">
        <v>5298</v>
      </c>
      <c r="K343" s="1095" t="s">
        <v>5299</v>
      </c>
      <c r="L343" s="8" t="s">
        <v>5300</v>
      </c>
      <c r="M343" s="1095" t="s">
        <v>5301</v>
      </c>
      <c r="N343" s="8" t="s">
        <v>5302</v>
      </c>
      <c r="O343" s="1095" t="s">
        <v>5303</v>
      </c>
      <c r="P343" s="8" t="s">
        <v>5304</v>
      </c>
      <c r="Q343" s="1095" t="s">
        <v>5305</v>
      </c>
      <c r="R343" s="8" t="s">
        <v>5306</v>
      </c>
      <c r="S343" s="1095" t="s">
        <v>5307</v>
      </c>
      <c r="T343" s="8" t="s">
        <v>5308</v>
      </c>
      <c r="U343" s="1095" t="s">
        <v>5309</v>
      </c>
      <c r="V343" s="8" t="s">
        <v>5310</v>
      </c>
      <c r="W343" s="1095" t="s">
        <v>5311</v>
      </c>
      <c r="X343" s="8" t="s">
        <v>5312</v>
      </c>
      <c r="Y343" s="1095" t="s">
        <v>5313</v>
      </c>
      <c r="Z343" s="8" t="s">
        <v>5314</v>
      </c>
      <c r="AA343" s="1095" t="s">
        <v>5315</v>
      </c>
      <c r="AB343" s="8" t="s">
        <v>5316</v>
      </c>
      <c r="AC343" s="1095" t="s">
        <v>5317</v>
      </c>
      <c r="AD343" s="8" t="s">
        <v>5318</v>
      </c>
      <c r="AE343" s="1095" t="s">
        <v>5319</v>
      </c>
      <c r="AF343" s="8" t="s">
        <v>5320</v>
      </c>
      <c r="AG343" s="1095" t="s">
        <v>5321</v>
      </c>
      <c r="AH343" s="2114" t="s">
        <v>5322</v>
      </c>
      <c r="AI343" s="1426" t="s">
        <v>5323</v>
      </c>
      <c r="AJ343" s="1099" t="s">
        <v>5324</v>
      </c>
      <c r="AK343" s="2115" t="s">
        <v>5325</v>
      </c>
      <c r="AL343" s="1426" t="s">
        <v>5326</v>
      </c>
      <c r="AM343" s="1099" t="s">
        <v>5327</v>
      </c>
      <c r="AN343" s="1099" t="s">
        <v>5328</v>
      </c>
      <c r="AO343" t="str">
        <f t="shared" ref="AO343:AO351" si="212">BR343&amp;BS343</f>
        <v xml:space="preserve"> * La variable Pueblos originarios No puede ser mayor al Total. * La variable Migrantes No puede ser mayor al Total.</v>
      </c>
      <c r="BR343" s="2465" t="str">
        <f t="shared" ref="BR343:BR351" si="213">IF(AND(D343&gt;0,AI343="")," * No olvide digitar la variable Pueblos originarios. Digite Cero si no tiene.",IF(AI343&gt;D343," * La variable Pueblos originarios No puede ser mayor al Total.",""))</f>
        <v xml:space="preserve"> * La variable Pueblos originarios No puede ser mayor al Total.</v>
      </c>
      <c r="BS343" s="2465" t="str">
        <f t="shared" ref="BS343:BS351" si="214">IF(AND(D343&gt;0,AJ343="")," * No olvide digitar la variable Migrantes. Digite Cero si no tiene.",IF(AJ343&gt;D343," * La variable Migrantes No puede ser mayor al Total.",""))</f>
        <v xml:space="preserve"> * La variable Migrantes No puede ser mayor al Total.</v>
      </c>
      <c r="CA343"/>
      <c r="CB343"/>
      <c r="CC343" s="1725">
        <f t="shared" ref="CC343:CC351" si="215">IF(AND(D343&gt;0,AI343=""),1,IF(AI343&gt;D343,1,0))</f>
        <v>1</v>
      </c>
      <c r="CD343" s="1725">
        <f t="shared" ref="CD343:CD351" si="216">IF(AND(D343&gt;0,AJ343=""),1,IF(AJ343&gt;D343,1,0))</f>
        <v>1</v>
      </c>
      <c r="CE343" s="1725"/>
    </row>
    <row r="344" spans="1:86" x14ac:dyDescent="0.3">
      <c r="A344" s="6233" t="s">
        <v>4518</v>
      </c>
      <c r="B344" s="6908"/>
      <c r="C344" s="2370" t="s">
        <v>2084</v>
      </c>
      <c r="D344" s="2371" t="s">
        <v>5292</v>
      </c>
      <c r="E344" s="2371" t="s">
        <v>5293</v>
      </c>
      <c r="F344" s="2371" t="s">
        <v>5294</v>
      </c>
      <c r="G344" s="3" t="s">
        <v>5295</v>
      </c>
      <c r="H344" s="12" t="s">
        <v>5296</v>
      </c>
      <c r="I344" s="3" t="s">
        <v>5297</v>
      </c>
      <c r="J344" s="12" t="s">
        <v>5298</v>
      </c>
      <c r="K344" s="3" t="s">
        <v>5299</v>
      </c>
      <c r="L344" s="12" t="s">
        <v>5300</v>
      </c>
      <c r="M344" s="3" t="s">
        <v>5301</v>
      </c>
      <c r="N344" s="12" t="s">
        <v>5302</v>
      </c>
      <c r="O344" s="3" t="s">
        <v>5303</v>
      </c>
      <c r="P344" s="12" t="s">
        <v>5304</v>
      </c>
      <c r="Q344" s="3" t="s">
        <v>5305</v>
      </c>
      <c r="R344" s="12" t="s">
        <v>5306</v>
      </c>
      <c r="S344" s="3" t="s">
        <v>5307</v>
      </c>
      <c r="T344" s="12" t="s">
        <v>5308</v>
      </c>
      <c r="U344" s="3" t="s">
        <v>5309</v>
      </c>
      <c r="V344" s="12" t="s">
        <v>5310</v>
      </c>
      <c r="W344" s="3" t="s">
        <v>5311</v>
      </c>
      <c r="X344" s="12" t="s">
        <v>5312</v>
      </c>
      <c r="Y344" s="3" t="s">
        <v>5313</v>
      </c>
      <c r="Z344" s="12" t="s">
        <v>5314</v>
      </c>
      <c r="AA344" s="3" t="s">
        <v>5315</v>
      </c>
      <c r="AB344" s="12" t="s">
        <v>5316</v>
      </c>
      <c r="AC344" s="3" t="s">
        <v>5317</v>
      </c>
      <c r="AD344" s="12" t="s">
        <v>5318</v>
      </c>
      <c r="AE344" s="3" t="s">
        <v>5319</v>
      </c>
      <c r="AF344" s="12" t="s">
        <v>5320</v>
      </c>
      <c r="AG344" s="3" t="s">
        <v>5321</v>
      </c>
      <c r="AH344" s="1698" t="s">
        <v>5322</v>
      </c>
      <c r="AI344" s="4" t="s">
        <v>5323</v>
      </c>
      <c r="AJ344" s="6" t="s">
        <v>5324</v>
      </c>
      <c r="AK344" s="21" t="s">
        <v>5325</v>
      </c>
      <c r="AL344" s="4" t="s">
        <v>5326</v>
      </c>
      <c r="AM344" s="6" t="s">
        <v>5327</v>
      </c>
      <c r="AN344" s="6" t="s">
        <v>5328</v>
      </c>
      <c r="AO344" t="str">
        <f t="shared" si="212"/>
        <v xml:space="preserve"> * La variable Pueblos originarios No puede ser mayor al Total. * La variable Migrantes No puede ser mayor al Total.</v>
      </c>
      <c r="BR344" s="2465" t="str">
        <f t="shared" si="213"/>
        <v xml:space="preserve"> * La variable Pueblos originarios No puede ser mayor al Total.</v>
      </c>
      <c r="BS344" s="2465" t="str">
        <f t="shared" si="214"/>
        <v xml:space="preserve"> * La variable Migrantes No puede ser mayor al Total.</v>
      </c>
      <c r="CA344"/>
      <c r="CB344"/>
      <c r="CC344" s="1725">
        <f t="shared" si="215"/>
        <v>1</v>
      </c>
      <c r="CD344" s="1725">
        <f t="shared" si="216"/>
        <v>1</v>
      </c>
      <c r="CE344" s="1725"/>
    </row>
    <row r="345" spans="1:86" x14ac:dyDescent="0.3">
      <c r="A345" s="6233" t="s">
        <v>4519</v>
      </c>
      <c r="B345" s="6917" t="s">
        <v>2085</v>
      </c>
      <c r="C345" s="2117" t="s">
        <v>2082</v>
      </c>
      <c r="D345" s="2368" t="s">
        <v>5292</v>
      </c>
      <c r="E345" s="2368" t="s">
        <v>5293</v>
      </c>
      <c r="F345" s="2368" t="s">
        <v>5294</v>
      </c>
      <c r="G345" s="2112" t="s">
        <v>5295</v>
      </c>
      <c r="H345" s="1089" t="s">
        <v>5296</v>
      </c>
      <c r="I345" s="2112" t="s">
        <v>5297</v>
      </c>
      <c r="J345" s="1089" t="s">
        <v>5298</v>
      </c>
      <c r="K345" s="2112" t="s">
        <v>5299</v>
      </c>
      <c r="L345" s="1089" t="s">
        <v>5300</v>
      </c>
      <c r="M345" s="2112" t="s">
        <v>5301</v>
      </c>
      <c r="N345" s="1089" t="s">
        <v>5302</v>
      </c>
      <c r="O345" s="2112" t="s">
        <v>5303</v>
      </c>
      <c r="P345" s="1089" t="s">
        <v>5304</v>
      </c>
      <c r="Q345" s="2112" t="s">
        <v>5305</v>
      </c>
      <c r="R345" s="1089" t="s">
        <v>5306</v>
      </c>
      <c r="S345" s="2112" t="s">
        <v>5307</v>
      </c>
      <c r="T345" s="1089" t="s">
        <v>5308</v>
      </c>
      <c r="U345" s="2112" t="s">
        <v>5309</v>
      </c>
      <c r="V345" s="1089" t="s">
        <v>5310</v>
      </c>
      <c r="W345" s="2112" t="s">
        <v>5311</v>
      </c>
      <c r="X345" s="1089" t="s">
        <v>5312</v>
      </c>
      <c r="Y345" s="2112" t="s">
        <v>5313</v>
      </c>
      <c r="Z345" s="1089" t="s">
        <v>5314</v>
      </c>
      <c r="AA345" s="2112" t="s">
        <v>5315</v>
      </c>
      <c r="AB345" s="1089" t="s">
        <v>5316</v>
      </c>
      <c r="AC345" s="2112" t="s">
        <v>5317</v>
      </c>
      <c r="AD345" s="1089" t="s">
        <v>5318</v>
      </c>
      <c r="AE345" s="2112" t="s">
        <v>5319</v>
      </c>
      <c r="AF345" s="1089" t="s">
        <v>5320</v>
      </c>
      <c r="AG345" s="2112" t="s">
        <v>5321</v>
      </c>
      <c r="AH345" s="2113" t="s">
        <v>5322</v>
      </c>
      <c r="AI345" s="1437" t="s">
        <v>5323</v>
      </c>
      <c r="AJ345" s="1273" t="s">
        <v>5324</v>
      </c>
      <c r="AK345" s="1102" t="s">
        <v>5325</v>
      </c>
      <c r="AL345" s="1437" t="s">
        <v>5326</v>
      </c>
      <c r="AM345" s="1273" t="s">
        <v>5327</v>
      </c>
      <c r="AN345" s="1273" t="s">
        <v>5328</v>
      </c>
      <c r="AO345" t="str">
        <f t="shared" si="212"/>
        <v xml:space="preserve"> * La variable Pueblos originarios No puede ser mayor al Total. * La variable Migrantes No puede ser mayor al Total.</v>
      </c>
      <c r="BR345" s="2465" t="str">
        <f t="shared" si="213"/>
        <v xml:space="preserve"> * La variable Pueblos originarios No puede ser mayor al Total.</v>
      </c>
      <c r="BS345" s="2465" t="str">
        <f t="shared" si="214"/>
        <v xml:space="preserve"> * La variable Migrantes No puede ser mayor al Total.</v>
      </c>
      <c r="CA345"/>
      <c r="CB345"/>
      <c r="CC345" s="1725">
        <f t="shared" si="215"/>
        <v>1</v>
      </c>
      <c r="CD345" s="1725">
        <f t="shared" si="216"/>
        <v>1</v>
      </c>
      <c r="CE345" s="1725"/>
    </row>
    <row r="346" spans="1:86" x14ac:dyDescent="0.3">
      <c r="A346" s="6233" t="s">
        <v>4520</v>
      </c>
      <c r="B346" s="6899"/>
      <c r="C346" s="1699" t="s">
        <v>2083</v>
      </c>
      <c r="D346" s="2369" t="s">
        <v>5292</v>
      </c>
      <c r="E346" s="2369" t="s">
        <v>5293</v>
      </c>
      <c r="F346" s="2369" t="s">
        <v>5294</v>
      </c>
      <c r="G346" s="1095" t="s">
        <v>5295</v>
      </c>
      <c r="H346" s="8" t="s">
        <v>5296</v>
      </c>
      <c r="I346" s="1095" t="s">
        <v>5297</v>
      </c>
      <c r="J346" s="8" t="s">
        <v>5298</v>
      </c>
      <c r="K346" s="1095" t="s">
        <v>5299</v>
      </c>
      <c r="L346" s="8" t="s">
        <v>5300</v>
      </c>
      <c r="M346" s="1095" t="s">
        <v>5301</v>
      </c>
      <c r="N346" s="8" t="s">
        <v>5302</v>
      </c>
      <c r="O346" s="1095" t="s">
        <v>5303</v>
      </c>
      <c r="P346" s="8" t="s">
        <v>5304</v>
      </c>
      <c r="Q346" s="1095" t="s">
        <v>5305</v>
      </c>
      <c r="R346" s="8" t="s">
        <v>5306</v>
      </c>
      <c r="S346" s="1095" t="s">
        <v>5307</v>
      </c>
      <c r="T346" s="8" t="s">
        <v>5308</v>
      </c>
      <c r="U346" s="1095" t="s">
        <v>5309</v>
      </c>
      <c r="V346" s="8" t="s">
        <v>5310</v>
      </c>
      <c r="W346" s="1095" t="s">
        <v>5311</v>
      </c>
      <c r="X346" s="8" t="s">
        <v>5312</v>
      </c>
      <c r="Y346" s="1095" t="s">
        <v>5313</v>
      </c>
      <c r="Z346" s="8" t="s">
        <v>5314</v>
      </c>
      <c r="AA346" s="1095" t="s">
        <v>5315</v>
      </c>
      <c r="AB346" s="8" t="s">
        <v>5316</v>
      </c>
      <c r="AC346" s="1095" t="s">
        <v>5317</v>
      </c>
      <c r="AD346" s="8" t="s">
        <v>5318</v>
      </c>
      <c r="AE346" s="1095" t="s">
        <v>5319</v>
      </c>
      <c r="AF346" s="8" t="s">
        <v>5320</v>
      </c>
      <c r="AG346" s="1095" t="s">
        <v>5321</v>
      </c>
      <c r="AH346" s="2114" t="s">
        <v>5322</v>
      </c>
      <c r="AI346" s="1426" t="s">
        <v>5323</v>
      </c>
      <c r="AJ346" s="1099" t="s">
        <v>5324</v>
      </c>
      <c r="AK346" s="2115" t="s">
        <v>5325</v>
      </c>
      <c r="AL346" s="1426" t="s">
        <v>5326</v>
      </c>
      <c r="AM346" s="1099" t="s">
        <v>5327</v>
      </c>
      <c r="AN346" s="1099" t="s">
        <v>5328</v>
      </c>
      <c r="AO346" t="str">
        <f t="shared" si="212"/>
        <v xml:space="preserve"> * La variable Pueblos originarios No puede ser mayor al Total. * La variable Migrantes No puede ser mayor al Total.</v>
      </c>
      <c r="BR346" s="2465" t="str">
        <f t="shared" si="213"/>
        <v xml:space="preserve"> * La variable Pueblos originarios No puede ser mayor al Total.</v>
      </c>
      <c r="BS346" s="2465" t="str">
        <f t="shared" si="214"/>
        <v xml:space="preserve"> * La variable Migrantes No puede ser mayor al Total.</v>
      </c>
      <c r="CA346"/>
      <c r="CB346"/>
      <c r="CC346" s="1725">
        <f t="shared" si="215"/>
        <v>1</v>
      </c>
      <c r="CD346" s="1725">
        <f t="shared" si="216"/>
        <v>1</v>
      </c>
      <c r="CE346" s="1725"/>
    </row>
    <row r="347" spans="1:86" x14ac:dyDescent="0.3">
      <c r="A347" s="6233" t="s">
        <v>4521</v>
      </c>
      <c r="B347" s="6908"/>
      <c r="C347" s="2370" t="s">
        <v>2084</v>
      </c>
      <c r="D347" s="2372" t="s">
        <v>5292</v>
      </c>
      <c r="E347" s="2372" t="s">
        <v>5293</v>
      </c>
      <c r="F347" s="2372" t="s">
        <v>5294</v>
      </c>
      <c r="G347" s="2152" t="s">
        <v>5295</v>
      </c>
      <c r="H347" s="2361" t="s">
        <v>5296</v>
      </c>
      <c r="I347" s="2152" t="s">
        <v>5297</v>
      </c>
      <c r="J347" s="2361" t="s">
        <v>5298</v>
      </c>
      <c r="K347" s="2152" t="s">
        <v>5299</v>
      </c>
      <c r="L347" s="2361" t="s">
        <v>5300</v>
      </c>
      <c r="M347" s="2152" t="s">
        <v>5301</v>
      </c>
      <c r="N347" s="2361" t="s">
        <v>5302</v>
      </c>
      <c r="O347" s="2152" t="s">
        <v>5303</v>
      </c>
      <c r="P347" s="2361" t="s">
        <v>5304</v>
      </c>
      <c r="Q347" s="2152" t="s">
        <v>5305</v>
      </c>
      <c r="R347" s="2361" t="s">
        <v>5306</v>
      </c>
      <c r="S347" s="2152" t="s">
        <v>5307</v>
      </c>
      <c r="T347" s="2361" t="s">
        <v>5308</v>
      </c>
      <c r="U347" s="2152" t="s">
        <v>5309</v>
      </c>
      <c r="V347" s="2361" t="s">
        <v>5310</v>
      </c>
      <c r="W347" s="2152" t="s">
        <v>5311</v>
      </c>
      <c r="X347" s="2361" t="s">
        <v>5312</v>
      </c>
      <c r="Y347" s="2152" t="s">
        <v>5313</v>
      </c>
      <c r="Z347" s="2361" t="s">
        <v>5314</v>
      </c>
      <c r="AA347" s="2152" t="s">
        <v>5315</v>
      </c>
      <c r="AB347" s="2361" t="s">
        <v>5316</v>
      </c>
      <c r="AC347" s="2152" t="s">
        <v>5317</v>
      </c>
      <c r="AD347" s="2361" t="s">
        <v>5318</v>
      </c>
      <c r="AE347" s="2152" t="s">
        <v>5319</v>
      </c>
      <c r="AF347" s="2361" t="s">
        <v>5320</v>
      </c>
      <c r="AG347" s="2152" t="s">
        <v>5321</v>
      </c>
      <c r="AH347" s="2362" t="s">
        <v>5322</v>
      </c>
      <c r="AI347" s="4" t="s">
        <v>5323</v>
      </c>
      <c r="AJ347" s="6" t="s">
        <v>5324</v>
      </c>
      <c r="AK347" s="21" t="s">
        <v>5325</v>
      </c>
      <c r="AL347" s="4" t="s">
        <v>5326</v>
      </c>
      <c r="AM347" s="6" t="s">
        <v>5327</v>
      </c>
      <c r="AN347" s="6" t="s">
        <v>5328</v>
      </c>
      <c r="AO347" t="str">
        <f t="shared" si="212"/>
        <v xml:space="preserve"> * La variable Pueblos originarios No puede ser mayor al Total. * La variable Migrantes No puede ser mayor al Total.</v>
      </c>
      <c r="BR347" s="2465" t="str">
        <f t="shared" si="213"/>
        <v xml:space="preserve"> * La variable Pueblos originarios No puede ser mayor al Total.</v>
      </c>
      <c r="BS347" s="2465" t="str">
        <f t="shared" si="214"/>
        <v xml:space="preserve"> * La variable Migrantes No puede ser mayor al Total.</v>
      </c>
      <c r="CA347"/>
      <c r="CB347"/>
      <c r="CC347" s="1725">
        <f t="shared" si="215"/>
        <v>1</v>
      </c>
      <c r="CD347" s="1725">
        <f t="shared" si="216"/>
        <v>1</v>
      </c>
      <c r="CE347" s="1725"/>
    </row>
    <row r="348" spans="1:86" x14ac:dyDescent="0.3">
      <c r="A348" s="6248" t="s">
        <v>4522</v>
      </c>
      <c r="B348" s="7011" t="s">
        <v>2086</v>
      </c>
      <c r="C348" s="2117" t="s">
        <v>2087</v>
      </c>
      <c r="D348" s="43" t="s">
        <v>5292</v>
      </c>
      <c r="E348" s="43" t="s">
        <v>5293</v>
      </c>
      <c r="F348" s="43" t="s">
        <v>5294</v>
      </c>
      <c r="G348" s="2112" t="s">
        <v>5295</v>
      </c>
      <c r="H348" s="1089" t="s">
        <v>5296</v>
      </c>
      <c r="I348" s="2112" t="s">
        <v>5297</v>
      </c>
      <c r="J348" s="1089" t="s">
        <v>5298</v>
      </c>
      <c r="K348" s="2112" t="s">
        <v>5299</v>
      </c>
      <c r="L348" s="1089" t="s">
        <v>5300</v>
      </c>
      <c r="M348" s="2112" t="s">
        <v>5301</v>
      </c>
      <c r="N348" s="1089" t="s">
        <v>5302</v>
      </c>
      <c r="O348" s="2112" t="s">
        <v>5303</v>
      </c>
      <c r="P348" s="1089" t="s">
        <v>5304</v>
      </c>
      <c r="Q348" s="2112" t="s">
        <v>5305</v>
      </c>
      <c r="R348" s="1089" t="s">
        <v>5306</v>
      </c>
      <c r="S348" s="2112" t="s">
        <v>5307</v>
      </c>
      <c r="T348" s="1089" t="s">
        <v>5308</v>
      </c>
      <c r="U348" s="2112" t="s">
        <v>5309</v>
      </c>
      <c r="V348" s="1089" t="s">
        <v>5310</v>
      </c>
      <c r="W348" s="2112" t="s">
        <v>5311</v>
      </c>
      <c r="X348" s="1089" t="s">
        <v>5312</v>
      </c>
      <c r="Y348" s="2112" t="s">
        <v>5313</v>
      </c>
      <c r="Z348" s="1089" t="s">
        <v>5314</v>
      </c>
      <c r="AA348" s="2112" t="s">
        <v>5315</v>
      </c>
      <c r="AB348" s="1089" t="s">
        <v>5316</v>
      </c>
      <c r="AC348" s="2112" t="s">
        <v>5317</v>
      </c>
      <c r="AD348" s="1089" t="s">
        <v>5318</v>
      </c>
      <c r="AE348" s="2112" t="s">
        <v>5319</v>
      </c>
      <c r="AF348" s="1089" t="s">
        <v>5320</v>
      </c>
      <c r="AG348" s="2112" t="s">
        <v>5321</v>
      </c>
      <c r="AH348" s="2113" t="s">
        <v>5322</v>
      </c>
      <c r="AI348" s="1437" t="s">
        <v>5323</v>
      </c>
      <c r="AJ348" s="1273" t="s">
        <v>5324</v>
      </c>
      <c r="AK348" s="1102" t="s">
        <v>5325</v>
      </c>
      <c r="AL348" s="1437" t="s">
        <v>5326</v>
      </c>
      <c r="AM348" s="1273" t="s">
        <v>5327</v>
      </c>
      <c r="AN348" s="1273" t="s">
        <v>5328</v>
      </c>
      <c r="AO348" t="str">
        <f t="shared" si="212"/>
        <v xml:space="preserve"> * La variable Pueblos originarios No puede ser mayor al Total. * La variable Migrantes No puede ser mayor al Total.</v>
      </c>
      <c r="BR348" s="2465" t="str">
        <f t="shared" si="213"/>
        <v xml:space="preserve"> * La variable Pueblos originarios No puede ser mayor al Total.</v>
      </c>
      <c r="BS348" s="2465" t="str">
        <f t="shared" si="214"/>
        <v xml:space="preserve"> * La variable Migrantes No puede ser mayor al Total.</v>
      </c>
      <c r="CA348"/>
      <c r="CB348"/>
      <c r="CC348" s="1725">
        <f t="shared" si="215"/>
        <v>1</v>
      </c>
      <c r="CD348" s="1725">
        <f t="shared" si="216"/>
        <v>1</v>
      </c>
      <c r="CE348" s="1725"/>
    </row>
    <row r="349" spans="1:86" x14ac:dyDescent="0.3">
      <c r="A349" s="6248" t="s">
        <v>4523</v>
      </c>
      <c r="B349" s="7012"/>
      <c r="C349" s="1105" t="s">
        <v>2088</v>
      </c>
      <c r="D349" s="2369" t="s">
        <v>5292</v>
      </c>
      <c r="E349" s="2369" t="s">
        <v>5293</v>
      </c>
      <c r="F349" s="2369" t="s">
        <v>5294</v>
      </c>
      <c r="G349" s="1095" t="s">
        <v>5295</v>
      </c>
      <c r="H349" s="8" t="s">
        <v>5296</v>
      </c>
      <c r="I349" s="1095" t="s">
        <v>5297</v>
      </c>
      <c r="J349" s="8" t="s">
        <v>5298</v>
      </c>
      <c r="K349" s="1095" t="s">
        <v>5299</v>
      </c>
      <c r="L349" s="8" t="s">
        <v>5300</v>
      </c>
      <c r="M349" s="1095" t="s">
        <v>5301</v>
      </c>
      <c r="N349" s="8" t="s">
        <v>5302</v>
      </c>
      <c r="O349" s="1095" t="s">
        <v>5303</v>
      </c>
      <c r="P349" s="8" t="s">
        <v>5304</v>
      </c>
      <c r="Q349" s="1095" t="s">
        <v>5305</v>
      </c>
      <c r="R349" s="8" t="s">
        <v>5306</v>
      </c>
      <c r="S349" s="1095" t="s">
        <v>5307</v>
      </c>
      <c r="T349" s="8" t="s">
        <v>5308</v>
      </c>
      <c r="U349" s="1095" t="s">
        <v>5309</v>
      </c>
      <c r="V349" s="8" t="s">
        <v>5310</v>
      </c>
      <c r="W349" s="1095" t="s">
        <v>5311</v>
      </c>
      <c r="X349" s="8" t="s">
        <v>5312</v>
      </c>
      <c r="Y349" s="1095" t="s">
        <v>5313</v>
      </c>
      <c r="Z349" s="8" t="s">
        <v>5314</v>
      </c>
      <c r="AA349" s="1095" t="s">
        <v>5315</v>
      </c>
      <c r="AB349" s="8" t="s">
        <v>5316</v>
      </c>
      <c r="AC349" s="1095" t="s">
        <v>5317</v>
      </c>
      <c r="AD349" s="8" t="s">
        <v>5318</v>
      </c>
      <c r="AE349" s="1095" t="s">
        <v>5319</v>
      </c>
      <c r="AF349" s="8" t="s">
        <v>5320</v>
      </c>
      <c r="AG349" s="1095" t="s">
        <v>5321</v>
      </c>
      <c r="AH349" s="2114" t="s">
        <v>5322</v>
      </c>
      <c r="AI349" s="1426" t="s">
        <v>5323</v>
      </c>
      <c r="AJ349" s="1099" t="s">
        <v>5324</v>
      </c>
      <c r="AK349" s="2115" t="s">
        <v>5325</v>
      </c>
      <c r="AL349" s="1426" t="s">
        <v>5326</v>
      </c>
      <c r="AM349" s="1099" t="s">
        <v>5327</v>
      </c>
      <c r="AN349" s="1099" t="s">
        <v>5328</v>
      </c>
      <c r="AO349" t="str">
        <f t="shared" si="212"/>
        <v xml:space="preserve"> * La variable Pueblos originarios No puede ser mayor al Total. * La variable Migrantes No puede ser mayor al Total.</v>
      </c>
      <c r="BR349" s="2465" t="str">
        <f t="shared" si="213"/>
        <v xml:space="preserve"> * La variable Pueblos originarios No puede ser mayor al Total.</v>
      </c>
      <c r="BS349" s="2465" t="str">
        <f t="shared" si="214"/>
        <v xml:space="preserve"> * La variable Migrantes No puede ser mayor al Total.</v>
      </c>
      <c r="CA349"/>
      <c r="CB349"/>
      <c r="CC349" s="1725">
        <f t="shared" si="215"/>
        <v>1</v>
      </c>
      <c r="CD349" s="1725">
        <f t="shared" si="216"/>
        <v>1</v>
      </c>
      <c r="CE349" s="1725"/>
    </row>
    <row r="350" spans="1:86" x14ac:dyDescent="0.3">
      <c r="A350" s="6248" t="s">
        <v>4524</v>
      </c>
      <c r="B350" s="7012"/>
      <c r="C350" s="1105" t="s">
        <v>2089</v>
      </c>
      <c r="D350" s="2369" t="s">
        <v>5292</v>
      </c>
      <c r="E350" s="2369" t="s">
        <v>5293</v>
      </c>
      <c r="F350" s="2369" t="s">
        <v>5294</v>
      </c>
      <c r="G350" s="1095" t="s">
        <v>5295</v>
      </c>
      <c r="H350" s="8" t="s">
        <v>5296</v>
      </c>
      <c r="I350" s="1095" t="s">
        <v>5297</v>
      </c>
      <c r="J350" s="8" t="s">
        <v>5298</v>
      </c>
      <c r="K350" s="1095" t="s">
        <v>5299</v>
      </c>
      <c r="L350" s="8" t="s">
        <v>5300</v>
      </c>
      <c r="M350" s="1095" t="s">
        <v>5301</v>
      </c>
      <c r="N350" s="8" t="s">
        <v>5302</v>
      </c>
      <c r="O350" s="1095" t="s">
        <v>5303</v>
      </c>
      <c r="P350" s="8" t="s">
        <v>5304</v>
      </c>
      <c r="Q350" s="1095" t="s">
        <v>5305</v>
      </c>
      <c r="R350" s="8" t="s">
        <v>5306</v>
      </c>
      <c r="S350" s="1095" t="s">
        <v>5307</v>
      </c>
      <c r="T350" s="8" t="s">
        <v>5308</v>
      </c>
      <c r="U350" s="1095" t="s">
        <v>5309</v>
      </c>
      <c r="V350" s="8" t="s">
        <v>5310</v>
      </c>
      <c r="W350" s="1095" t="s">
        <v>5311</v>
      </c>
      <c r="X350" s="8" t="s">
        <v>5312</v>
      </c>
      <c r="Y350" s="1095" t="s">
        <v>5313</v>
      </c>
      <c r="Z350" s="8" t="s">
        <v>5314</v>
      </c>
      <c r="AA350" s="1095" t="s">
        <v>5315</v>
      </c>
      <c r="AB350" s="8" t="s">
        <v>5316</v>
      </c>
      <c r="AC350" s="1095" t="s">
        <v>5317</v>
      </c>
      <c r="AD350" s="8" t="s">
        <v>5318</v>
      </c>
      <c r="AE350" s="1095" t="s">
        <v>5319</v>
      </c>
      <c r="AF350" s="8" t="s">
        <v>5320</v>
      </c>
      <c r="AG350" s="1095" t="s">
        <v>5321</v>
      </c>
      <c r="AH350" s="2114" t="s">
        <v>5322</v>
      </c>
      <c r="AI350" s="1426" t="s">
        <v>5323</v>
      </c>
      <c r="AJ350" s="1099" t="s">
        <v>5324</v>
      </c>
      <c r="AK350" s="2115" t="s">
        <v>5325</v>
      </c>
      <c r="AL350" s="1426" t="s">
        <v>5326</v>
      </c>
      <c r="AM350" s="1099" t="s">
        <v>5327</v>
      </c>
      <c r="AN350" s="1099" t="s">
        <v>5328</v>
      </c>
      <c r="AO350" t="str">
        <f t="shared" si="212"/>
        <v xml:space="preserve"> * La variable Pueblos originarios No puede ser mayor al Total. * La variable Migrantes No puede ser mayor al Total.</v>
      </c>
      <c r="BR350" s="2465" t="str">
        <f t="shared" si="213"/>
        <v xml:space="preserve"> * La variable Pueblos originarios No puede ser mayor al Total.</v>
      </c>
      <c r="BS350" s="2465" t="str">
        <f t="shared" si="214"/>
        <v xml:space="preserve"> * La variable Migrantes No puede ser mayor al Total.</v>
      </c>
      <c r="CA350"/>
      <c r="CB350"/>
      <c r="CC350" s="1725">
        <f t="shared" si="215"/>
        <v>1</v>
      </c>
      <c r="CD350" s="1725">
        <f t="shared" si="216"/>
        <v>1</v>
      </c>
      <c r="CE350" s="1725"/>
    </row>
    <row r="351" spans="1:86" x14ac:dyDescent="0.3">
      <c r="A351" s="6248" t="s">
        <v>4525</v>
      </c>
      <c r="B351" s="7013"/>
      <c r="C351" s="2370" t="s">
        <v>2090</v>
      </c>
      <c r="D351" s="2372" t="s">
        <v>5292</v>
      </c>
      <c r="E351" s="2372" t="s">
        <v>5293</v>
      </c>
      <c r="F351" s="2372" t="s">
        <v>5294</v>
      </c>
      <c r="G351" s="2152" t="s">
        <v>5295</v>
      </c>
      <c r="H351" s="2361" t="s">
        <v>5296</v>
      </c>
      <c r="I351" s="2152" t="s">
        <v>5297</v>
      </c>
      <c r="J351" s="2361" t="s">
        <v>5298</v>
      </c>
      <c r="K351" s="2152" t="s">
        <v>5299</v>
      </c>
      <c r="L351" s="2361" t="s">
        <v>5300</v>
      </c>
      <c r="M351" s="2152" t="s">
        <v>5301</v>
      </c>
      <c r="N351" s="2361" t="s">
        <v>5302</v>
      </c>
      <c r="O351" s="2152" t="s">
        <v>5303</v>
      </c>
      <c r="P351" s="2361" t="s">
        <v>5304</v>
      </c>
      <c r="Q351" s="2152" t="s">
        <v>5305</v>
      </c>
      <c r="R351" s="2361" t="s">
        <v>5306</v>
      </c>
      <c r="S351" s="2152" t="s">
        <v>5307</v>
      </c>
      <c r="T351" s="2361" t="s">
        <v>5308</v>
      </c>
      <c r="U351" s="2152" t="s">
        <v>5309</v>
      </c>
      <c r="V351" s="2361" t="s">
        <v>5310</v>
      </c>
      <c r="W351" s="2152" t="s">
        <v>5311</v>
      </c>
      <c r="X351" s="2361" t="s">
        <v>5312</v>
      </c>
      <c r="Y351" s="2152" t="s">
        <v>5313</v>
      </c>
      <c r="Z351" s="2361" t="s">
        <v>5314</v>
      </c>
      <c r="AA351" s="2152" t="s">
        <v>5315</v>
      </c>
      <c r="AB351" s="2361" t="s">
        <v>5316</v>
      </c>
      <c r="AC351" s="2152" t="s">
        <v>5317</v>
      </c>
      <c r="AD351" s="2361" t="s">
        <v>5318</v>
      </c>
      <c r="AE351" s="2152" t="s">
        <v>5319</v>
      </c>
      <c r="AF351" s="2361" t="s">
        <v>5320</v>
      </c>
      <c r="AG351" s="2152" t="s">
        <v>5321</v>
      </c>
      <c r="AH351" s="2362" t="s">
        <v>5322</v>
      </c>
      <c r="AI351" s="2153" t="s">
        <v>5323</v>
      </c>
      <c r="AJ351" s="2367" t="s">
        <v>5324</v>
      </c>
      <c r="AK351" s="2360" t="s">
        <v>5325</v>
      </c>
      <c r="AL351" s="2153" t="s">
        <v>5326</v>
      </c>
      <c r="AM351" s="2367" t="s">
        <v>5327</v>
      </c>
      <c r="AN351" s="2367" t="s">
        <v>5328</v>
      </c>
      <c r="AO351" t="str">
        <f t="shared" si="212"/>
        <v xml:space="preserve"> * La variable Pueblos originarios No puede ser mayor al Total. * La variable Migrantes No puede ser mayor al Total.</v>
      </c>
      <c r="BR351" s="2465" t="str">
        <f t="shared" si="213"/>
        <v xml:space="preserve"> * La variable Pueblos originarios No puede ser mayor al Total.</v>
      </c>
      <c r="BS351" s="2465" t="str">
        <f t="shared" si="214"/>
        <v xml:space="preserve"> * La variable Migrantes No puede ser mayor al Total.</v>
      </c>
      <c r="CA351"/>
      <c r="CB351"/>
      <c r="CC351" s="1725">
        <f t="shared" si="215"/>
        <v>1</v>
      </c>
      <c r="CD351" s="1725">
        <f t="shared" si="216"/>
        <v>1</v>
      </c>
      <c r="CE351" s="1725"/>
    </row>
    <row r="352" spans="1:86" s="2720" customFormat="1" ht="18" customHeight="1" x14ac:dyDescent="0.25">
      <c r="B352" s="1626" t="s">
        <v>2091</v>
      </c>
    </row>
    <row r="353" spans="1:83" s="17" customFormat="1" ht="18" customHeight="1" x14ac:dyDescent="0.25">
      <c r="B353" s="14" t="s">
        <v>2092</v>
      </c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</row>
    <row r="354" spans="1:83" ht="15" customHeight="1" x14ac:dyDescent="0.3">
      <c r="B354" s="7014" t="s">
        <v>58</v>
      </c>
      <c r="C354" s="7014" t="s">
        <v>61</v>
      </c>
      <c r="D354" s="6921" t="s">
        <v>59</v>
      </c>
      <c r="E354" s="6891"/>
      <c r="F354" s="6399"/>
      <c r="G354" s="7017" t="s">
        <v>30</v>
      </c>
      <c r="H354" s="7018"/>
      <c r="I354" s="7018"/>
      <c r="J354" s="7018"/>
      <c r="K354" s="7018"/>
      <c r="L354" s="7018"/>
      <c r="M354" s="7018"/>
      <c r="N354" s="7018"/>
      <c r="O354" s="7018"/>
      <c r="P354" s="7018"/>
      <c r="Q354" s="7018"/>
      <c r="R354" s="7018"/>
      <c r="S354" s="7018"/>
      <c r="T354" s="7018"/>
      <c r="U354" s="7018"/>
      <c r="V354" s="7018"/>
      <c r="W354" s="7018"/>
      <c r="X354" s="7018"/>
      <c r="Y354" s="7018"/>
      <c r="Z354" s="7018"/>
      <c r="AA354" s="7018"/>
      <c r="AB354" s="7018"/>
      <c r="AC354" s="7018"/>
      <c r="AD354" s="7018"/>
      <c r="AE354" s="7018"/>
      <c r="AF354" s="7018"/>
      <c r="AG354" s="7018"/>
      <c r="AH354" s="7018"/>
      <c r="AI354" s="7018"/>
      <c r="AJ354" s="7018"/>
      <c r="AK354" s="7018"/>
      <c r="AL354" s="7018"/>
      <c r="AM354" s="7018"/>
      <c r="AN354" s="7019"/>
      <c r="AO354" s="6399" t="s">
        <v>1389</v>
      </c>
      <c r="AP354" s="6895" t="s">
        <v>2</v>
      </c>
      <c r="BR354"/>
      <c r="BS354"/>
      <c r="BT354"/>
      <c r="BU354"/>
      <c r="BV354"/>
      <c r="BW354"/>
      <c r="BX354"/>
      <c r="BY354"/>
      <c r="CA354"/>
      <c r="CB354"/>
      <c r="CC354"/>
    </row>
    <row r="355" spans="1:83" ht="15" customHeight="1" x14ac:dyDescent="0.3">
      <c r="B355" s="7015"/>
      <c r="C355" s="7015"/>
      <c r="D355" s="6828"/>
      <c r="E355" s="6959"/>
      <c r="F355" s="6400"/>
      <c r="G355" s="6800" t="s">
        <v>36</v>
      </c>
      <c r="H355" s="6915"/>
      <c r="I355" s="6800" t="s">
        <v>37</v>
      </c>
      <c r="J355" s="6915"/>
      <c r="K355" s="6800" t="s">
        <v>38</v>
      </c>
      <c r="L355" s="6915"/>
      <c r="M355" s="6800" t="s">
        <v>4</v>
      </c>
      <c r="N355" s="6915"/>
      <c r="O355" s="6800" t="s">
        <v>5</v>
      </c>
      <c r="P355" s="6915"/>
      <c r="Q355" s="6922" t="s">
        <v>6</v>
      </c>
      <c r="R355" s="6915"/>
      <c r="S355" s="6800" t="s">
        <v>7</v>
      </c>
      <c r="T355" s="6915"/>
      <c r="U355" s="6800" t="s">
        <v>8</v>
      </c>
      <c r="V355" s="6915"/>
      <c r="W355" s="6800" t="s">
        <v>9</v>
      </c>
      <c r="X355" s="6915"/>
      <c r="Y355" s="6800" t="s">
        <v>10</v>
      </c>
      <c r="Z355" s="6915"/>
      <c r="AA355" s="6800" t="s">
        <v>11</v>
      </c>
      <c r="AB355" s="6915"/>
      <c r="AC355" s="6800" t="s">
        <v>18</v>
      </c>
      <c r="AD355" s="6915"/>
      <c r="AE355" s="6800" t="s">
        <v>19</v>
      </c>
      <c r="AF355" s="6915"/>
      <c r="AG355" s="6800" t="s">
        <v>20</v>
      </c>
      <c r="AH355" s="6915"/>
      <c r="AI355" s="6800" t="s">
        <v>70</v>
      </c>
      <c r="AJ355" s="6915"/>
      <c r="AK355" s="6800" t="s">
        <v>71</v>
      </c>
      <c r="AL355" s="6915"/>
      <c r="AM355" s="6800" t="s">
        <v>32</v>
      </c>
      <c r="AN355" s="6801"/>
      <c r="AO355" s="6831"/>
      <c r="AP355" s="6900"/>
      <c r="BR355"/>
      <c r="BS355"/>
      <c r="BT355"/>
      <c r="BU355"/>
      <c r="BV355"/>
      <c r="BW355"/>
      <c r="BX355"/>
      <c r="BY355"/>
      <c r="CA355"/>
      <c r="CB355"/>
      <c r="CC355"/>
    </row>
    <row r="356" spans="1:83" ht="33.75" customHeight="1" x14ac:dyDescent="0.3">
      <c r="B356" s="7016"/>
      <c r="C356" s="7016"/>
      <c r="D356" s="2716" t="s">
        <v>26</v>
      </c>
      <c r="E356" s="2714" t="s">
        <v>22</v>
      </c>
      <c r="F356" s="2560" t="s">
        <v>27</v>
      </c>
      <c r="G356" s="2665" t="s">
        <v>22</v>
      </c>
      <c r="H356" s="2560" t="s">
        <v>27</v>
      </c>
      <c r="I356" s="2665" t="s">
        <v>22</v>
      </c>
      <c r="J356" s="2560" t="s">
        <v>27</v>
      </c>
      <c r="K356" s="2665" t="s">
        <v>22</v>
      </c>
      <c r="L356" s="2560" t="s">
        <v>27</v>
      </c>
      <c r="M356" s="2665" t="s">
        <v>22</v>
      </c>
      <c r="N356" s="2560" t="s">
        <v>27</v>
      </c>
      <c r="O356" s="2665" t="s">
        <v>22</v>
      </c>
      <c r="P356" s="2560" t="s">
        <v>27</v>
      </c>
      <c r="Q356" s="2665" t="s">
        <v>22</v>
      </c>
      <c r="R356" s="2560" t="s">
        <v>27</v>
      </c>
      <c r="S356" s="2665" t="s">
        <v>22</v>
      </c>
      <c r="T356" s="2560" t="s">
        <v>27</v>
      </c>
      <c r="U356" s="2665" t="s">
        <v>22</v>
      </c>
      <c r="V356" s="2560" t="s">
        <v>27</v>
      </c>
      <c r="W356" s="2665" t="s">
        <v>22</v>
      </c>
      <c r="X356" s="2560" t="s">
        <v>27</v>
      </c>
      <c r="Y356" s="2665" t="s">
        <v>22</v>
      </c>
      <c r="Z356" s="2560" t="s">
        <v>27</v>
      </c>
      <c r="AA356" s="2665" t="s">
        <v>22</v>
      </c>
      <c r="AB356" s="2560" t="s">
        <v>27</v>
      </c>
      <c r="AC356" s="2665" t="s">
        <v>22</v>
      </c>
      <c r="AD356" s="2560" t="s">
        <v>27</v>
      </c>
      <c r="AE356" s="2665" t="s">
        <v>22</v>
      </c>
      <c r="AF356" s="2560" t="s">
        <v>27</v>
      </c>
      <c r="AG356" s="2665" t="s">
        <v>22</v>
      </c>
      <c r="AH356" s="2560" t="s">
        <v>27</v>
      </c>
      <c r="AI356" s="2665" t="s">
        <v>22</v>
      </c>
      <c r="AJ356" s="2560" t="s">
        <v>27</v>
      </c>
      <c r="AK356" s="2665" t="s">
        <v>22</v>
      </c>
      <c r="AL356" s="2560" t="s">
        <v>27</v>
      </c>
      <c r="AM356" s="2665" t="s">
        <v>22</v>
      </c>
      <c r="AN356" s="44" t="s">
        <v>27</v>
      </c>
      <c r="AO356" s="6400"/>
      <c r="AP356" s="6896"/>
      <c r="BR356"/>
      <c r="BS356"/>
      <c r="BT356"/>
      <c r="BU356"/>
      <c r="BV356"/>
      <c r="BW356"/>
      <c r="BX356"/>
      <c r="BY356"/>
      <c r="CA356"/>
      <c r="CB356"/>
      <c r="CC356"/>
    </row>
    <row r="357" spans="1:83" ht="15" customHeight="1" x14ac:dyDescent="0.3">
      <c r="A357" s="6233" t="s">
        <v>4526</v>
      </c>
      <c r="B357" s="7023" t="s">
        <v>3766</v>
      </c>
      <c r="C357" s="2373" t="s">
        <v>62</v>
      </c>
      <c r="D357" s="2374" t="s">
        <v>5292</v>
      </c>
      <c r="E357" s="2375" t="s">
        <v>5293</v>
      </c>
      <c r="F357" s="2376" t="s">
        <v>5294</v>
      </c>
      <c r="G357" s="2120" t="s">
        <v>5295</v>
      </c>
      <c r="H357" s="2331" t="s">
        <v>5296</v>
      </c>
      <c r="I357" s="2120" t="s">
        <v>5297</v>
      </c>
      <c r="J357" s="2331" t="s">
        <v>5298</v>
      </c>
      <c r="K357" s="2120" t="s">
        <v>5299</v>
      </c>
      <c r="L357" s="2331" t="s">
        <v>5300</v>
      </c>
      <c r="M357" s="2120" t="s">
        <v>5301</v>
      </c>
      <c r="N357" s="2331" t="s">
        <v>5302</v>
      </c>
      <c r="O357" s="2120" t="s">
        <v>5303</v>
      </c>
      <c r="P357" s="2331" t="s">
        <v>5304</v>
      </c>
      <c r="Q357" s="2120" t="s">
        <v>5305</v>
      </c>
      <c r="R357" s="2331" t="s">
        <v>5306</v>
      </c>
      <c r="S357" s="2120" t="s">
        <v>5307</v>
      </c>
      <c r="T357" s="2331" t="s">
        <v>5308</v>
      </c>
      <c r="U357" s="2120" t="s">
        <v>5309</v>
      </c>
      <c r="V357" s="2331" t="s">
        <v>5310</v>
      </c>
      <c r="W357" s="2120" t="s">
        <v>5311</v>
      </c>
      <c r="X357" s="2331" t="s">
        <v>5312</v>
      </c>
      <c r="Y357" s="2120" t="s">
        <v>5313</v>
      </c>
      <c r="Z357" s="2331" t="s">
        <v>5314</v>
      </c>
      <c r="AA357" s="2120" t="s">
        <v>5315</v>
      </c>
      <c r="AB357" s="2331" t="s">
        <v>5316</v>
      </c>
      <c r="AC357" s="2120" t="s">
        <v>5317</v>
      </c>
      <c r="AD357" s="2331" t="s">
        <v>5318</v>
      </c>
      <c r="AE357" s="2120" t="s">
        <v>5319</v>
      </c>
      <c r="AF357" s="2331" t="s">
        <v>5320</v>
      </c>
      <c r="AG357" s="2120" t="s">
        <v>5321</v>
      </c>
      <c r="AH357" s="2331" t="s">
        <v>5322</v>
      </c>
      <c r="AI357" s="2120" t="s">
        <v>5323</v>
      </c>
      <c r="AJ357" s="2331" t="s">
        <v>5324</v>
      </c>
      <c r="AK357" s="2120" t="s">
        <v>5325</v>
      </c>
      <c r="AL357" s="2331" t="s">
        <v>5326</v>
      </c>
      <c r="AM357" s="2120" t="s">
        <v>5327</v>
      </c>
      <c r="AN357" s="2240" t="s">
        <v>5328</v>
      </c>
      <c r="AO357" s="2229" t="s">
        <v>5329</v>
      </c>
      <c r="AP357" s="2166" t="s">
        <v>5330</v>
      </c>
      <c r="AQ357" t="str">
        <f>BR357&amp;BS357</f>
        <v xml:space="preserve"> * La variable Niños, niñas, adolescentes y jóvenes SENAME No puede ser mayor al Total. * La variable Pueblos originarios No puede ser mayor al Total.</v>
      </c>
      <c r="BR357" s="2465" t="str">
        <f>IF(AND(D357&gt;0,AO357="")," * No olvide digitar la variable Niños, niñas, adolescentes y jóvenes SENAME. Digite Cero si no tiene.",IF(AO357&gt;D357," * La variable Niños, niñas, adolescentes y jóvenes SENAME No puede ser mayor al Total.",""))</f>
        <v xml:space="preserve"> * La variable Niños, niñas, adolescentes y jóvenes SENAME No puede ser mayor al Total.</v>
      </c>
      <c r="BS357" s="2465" t="str">
        <f>IF(AND(D357&gt;0,AP357="")," * No olvide digitar la variable Pueblos originarios. Digite Cero si no tiene.",IF(AP357&gt;D357," * La variable Pueblos originarios No puede ser mayor al Total.",""))</f>
        <v xml:space="preserve"> * La variable Pueblos originarios No puede ser mayor al Total.</v>
      </c>
      <c r="CA357"/>
      <c r="CB357"/>
      <c r="CC357" s="1725">
        <f>IF(AND(D357&gt;0,AO357=""),1,IF(AO357&gt;D357,1,0))</f>
        <v>1</v>
      </c>
      <c r="CD357" s="1725">
        <f>IF(AND(D357&gt;0,AP357=""),1,IF(AP357&gt;D357,1,0))</f>
        <v>1</v>
      </c>
      <c r="CE357" s="1725"/>
    </row>
    <row r="358" spans="1:83" ht="15" customHeight="1" x14ac:dyDescent="0.3">
      <c r="A358" s="6233" t="s">
        <v>4527</v>
      </c>
      <c r="B358" s="7024"/>
      <c r="C358" s="2377" t="s">
        <v>2093</v>
      </c>
      <c r="D358" s="2378" t="s">
        <v>5292</v>
      </c>
      <c r="E358" s="2379" t="s">
        <v>5293</v>
      </c>
      <c r="F358" s="1370" t="s">
        <v>5294</v>
      </c>
      <c r="G358" s="2112" t="s">
        <v>5295</v>
      </c>
      <c r="H358" s="1273" t="s">
        <v>5296</v>
      </c>
      <c r="I358" s="2112" t="s">
        <v>5297</v>
      </c>
      <c r="J358" s="1273" t="s">
        <v>5298</v>
      </c>
      <c r="K358" s="2112" t="s">
        <v>5299</v>
      </c>
      <c r="L358" s="1273" t="s">
        <v>5300</v>
      </c>
      <c r="M358" s="2112" t="s">
        <v>5301</v>
      </c>
      <c r="N358" s="1273" t="s">
        <v>5302</v>
      </c>
      <c r="O358" s="2112" t="s">
        <v>5303</v>
      </c>
      <c r="P358" s="1273" t="s">
        <v>5304</v>
      </c>
      <c r="Q358" s="2112" t="s">
        <v>5305</v>
      </c>
      <c r="R358" s="1273" t="s">
        <v>5306</v>
      </c>
      <c r="S358" s="2112" t="s">
        <v>5307</v>
      </c>
      <c r="T358" s="1273" t="s">
        <v>5308</v>
      </c>
      <c r="U358" s="2112" t="s">
        <v>5309</v>
      </c>
      <c r="V358" s="1273" t="s">
        <v>5310</v>
      </c>
      <c r="W358" s="2112" t="s">
        <v>5311</v>
      </c>
      <c r="X358" s="1273" t="s">
        <v>5312</v>
      </c>
      <c r="Y358" s="2112" t="s">
        <v>5313</v>
      </c>
      <c r="Z358" s="1273" t="s">
        <v>5314</v>
      </c>
      <c r="AA358" s="2112" t="s">
        <v>5315</v>
      </c>
      <c r="AB358" s="1273" t="s">
        <v>5316</v>
      </c>
      <c r="AC358" s="2112" t="s">
        <v>5317</v>
      </c>
      <c r="AD358" s="1273" t="s">
        <v>5318</v>
      </c>
      <c r="AE358" s="2112" t="s">
        <v>5319</v>
      </c>
      <c r="AF358" s="1273" t="s">
        <v>5320</v>
      </c>
      <c r="AG358" s="2112" t="s">
        <v>5321</v>
      </c>
      <c r="AH358" s="1273" t="s">
        <v>5322</v>
      </c>
      <c r="AI358" s="2112" t="s">
        <v>5323</v>
      </c>
      <c r="AJ358" s="1273" t="s">
        <v>5324</v>
      </c>
      <c r="AK358" s="2112" t="s">
        <v>5325</v>
      </c>
      <c r="AL358" s="1273" t="s">
        <v>5326</v>
      </c>
      <c r="AM358" s="2112" t="s">
        <v>5327</v>
      </c>
      <c r="AN358" s="1275" t="s">
        <v>5328</v>
      </c>
      <c r="AO358" s="1089" t="s">
        <v>5329</v>
      </c>
      <c r="AP358" s="1693" t="s">
        <v>5330</v>
      </c>
      <c r="AQ358" t="str">
        <f t="shared" ref="AQ358:AQ359" si="217">BR358&amp;BS358</f>
        <v xml:space="preserve"> * La variable Niños, niñas, adolescentes y jóvenes SENAME No puede ser mayor al Total. * La variable Pueblos originarios No puede ser mayor al Total.</v>
      </c>
      <c r="BR358" s="2465" t="str">
        <f t="shared" ref="BR358:BR359" si="218">IF(AND(D358&gt;0,AO358="")," * No olvide digitar la variable Niños, niñas, adolescentes y jóvenes SENAME. Digite Cero si no tiene.",IF(AO358&gt;D358," * La variable Niños, niñas, adolescentes y jóvenes SENAME No puede ser mayor al Total.",""))</f>
        <v xml:space="preserve"> * La variable Niños, niñas, adolescentes y jóvenes SENAME No puede ser mayor al Total.</v>
      </c>
      <c r="BS358" s="2465" t="str">
        <f t="shared" ref="BS358:BS359" si="219">IF(AND(D358&gt;0,AP358="")," * No olvide digitar la variable Pueblos originarios. Digite Cero si no tiene.",IF(AP358&gt;D358," * La variable Pueblos originarios No puede ser mayor al Total.",""))</f>
        <v xml:space="preserve"> * La variable Pueblos originarios No puede ser mayor al Total.</v>
      </c>
      <c r="CA358"/>
      <c r="CB358"/>
      <c r="CC358" s="1725">
        <f t="shared" ref="CC358:CC359" si="220">IF(AND(D358&gt;0,AO358=""),1,IF(AO358&gt;D358,1,0))</f>
        <v>1</v>
      </c>
      <c r="CD358" s="1725">
        <f t="shared" ref="CD358:CD359" si="221">IF(AND(D358&gt;0,AP358=""),1,IF(AP358&gt;D358,1,0))</f>
        <v>1</v>
      </c>
      <c r="CE358" s="1725"/>
    </row>
    <row r="359" spans="1:83" ht="15" customHeight="1" x14ac:dyDescent="0.3">
      <c r="A359" s="6233" t="s">
        <v>4528</v>
      </c>
      <c r="B359" s="7025"/>
      <c r="C359" s="2380" t="s">
        <v>2094</v>
      </c>
      <c r="D359" s="2381" t="s">
        <v>5292</v>
      </c>
      <c r="E359" s="2382" t="s">
        <v>5293</v>
      </c>
      <c r="F359" s="45" t="s">
        <v>5294</v>
      </c>
      <c r="G359" s="1095" t="s">
        <v>5295</v>
      </c>
      <c r="H359" s="1099" t="s">
        <v>5296</v>
      </c>
      <c r="I359" s="1095" t="s">
        <v>5297</v>
      </c>
      <c r="J359" s="1099" t="s">
        <v>5298</v>
      </c>
      <c r="K359" s="1095" t="s">
        <v>5299</v>
      </c>
      <c r="L359" s="1099" t="s">
        <v>5300</v>
      </c>
      <c r="M359" s="1095" t="s">
        <v>5301</v>
      </c>
      <c r="N359" s="1099" t="s">
        <v>5302</v>
      </c>
      <c r="O359" s="1095" t="s">
        <v>5303</v>
      </c>
      <c r="P359" s="1099" t="s">
        <v>5304</v>
      </c>
      <c r="Q359" s="1095" t="s">
        <v>5305</v>
      </c>
      <c r="R359" s="1099" t="s">
        <v>5306</v>
      </c>
      <c r="S359" s="1095" t="s">
        <v>5307</v>
      </c>
      <c r="T359" s="1099" t="s">
        <v>5308</v>
      </c>
      <c r="U359" s="1095" t="s">
        <v>5309</v>
      </c>
      <c r="V359" s="1099" t="s">
        <v>5310</v>
      </c>
      <c r="W359" s="1095" t="s">
        <v>5311</v>
      </c>
      <c r="X359" s="1099" t="s">
        <v>5312</v>
      </c>
      <c r="Y359" s="1095" t="s">
        <v>5313</v>
      </c>
      <c r="Z359" s="1099" t="s">
        <v>5314</v>
      </c>
      <c r="AA359" s="1095" t="s">
        <v>5315</v>
      </c>
      <c r="AB359" s="1099" t="s">
        <v>5316</v>
      </c>
      <c r="AC359" s="1095" t="s">
        <v>5317</v>
      </c>
      <c r="AD359" s="1099" t="s">
        <v>5318</v>
      </c>
      <c r="AE359" s="1095" t="s">
        <v>5319</v>
      </c>
      <c r="AF359" s="1099" t="s">
        <v>5320</v>
      </c>
      <c r="AG359" s="1095" t="s">
        <v>5321</v>
      </c>
      <c r="AH359" s="1099" t="s">
        <v>5322</v>
      </c>
      <c r="AI359" s="1095" t="s">
        <v>5323</v>
      </c>
      <c r="AJ359" s="1099" t="s">
        <v>5324</v>
      </c>
      <c r="AK359" s="1095" t="s">
        <v>5325</v>
      </c>
      <c r="AL359" s="1099" t="s">
        <v>5326</v>
      </c>
      <c r="AM359" s="1095" t="s">
        <v>5327</v>
      </c>
      <c r="AN359" s="1100" t="s">
        <v>5328</v>
      </c>
      <c r="AO359" s="8" t="s">
        <v>5329</v>
      </c>
      <c r="AP359" s="1092" t="s">
        <v>5330</v>
      </c>
      <c r="AQ359" t="str">
        <f t="shared" si="217"/>
        <v xml:space="preserve"> * La variable Niños, niñas, adolescentes y jóvenes SENAME No puede ser mayor al Total. * La variable Pueblos originarios No puede ser mayor al Total.</v>
      </c>
      <c r="BR359" s="2465" t="str">
        <f t="shared" si="218"/>
        <v xml:space="preserve"> * La variable Niños, niñas, adolescentes y jóvenes SENAME No puede ser mayor al Total.</v>
      </c>
      <c r="BS359" s="2465" t="str">
        <f t="shared" si="219"/>
        <v xml:space="preserve"> * La variable Pueblos originarios No puede ser mayor al Total.</v>
      </c>
      <c r="CA359"/>
      <c r="CB359"/>
      <c r="CC359" s="1725">
        <f t="shared" si="220"/>
        <v>1</v>
      </c>
      <c r="CD359" s="1725">
        <f t="shared" si="221"/>
        <v>1</v>
      </c>
      <c r="CE359" s="1725"/>
    </row>
    <row r="360" spans="1:83" ht="15" customHeight="1" x14ac:dyDescent="0.3">
      <c r="A360" s="6255"/>
      <c r="B360" s="7026" t="s">
        <v>24</v>
      </c>
      <c r="C360" s="7027"/>
      <c r="D360" s="2674">
        <f>SUM(E360,F360)</f>
        <v>0</v>
      </c>
      <c r="E360" s="2675">
        <f t="shared" ref="E357:F360" si="222">SUM(G360,I360,K360,M360,O360,Q360,S360,U360,W360,Y360,AA360,AC360,AE360,AG360,AI360,AK360,AM360)</f>
        <v>0</v>
      </c>
      <c r="F360" s="2676">
        <f t="shared" si="222"/>
        <v>0</v>
      </c>
      <c r="G360" s="2222">
        <f t="shared" ref="G360:AP360" si="223">SUM(G357:G359)</f>
        <v>0</v>
      </c>
      <c r="H360" s="2224">
        <f t="shared" si="223"/>
        <v>0</v>
      </c>
      <c r="I360" s="2222">
        <f t="shared" si="223"/>
        <v>0</v>
      </c>
      <c r="J360" s="2224">
        <f t="shared" si="223"/>
        <v>0</v>
      </c>
      <c r="K360" s="2222">
        <f t="shared" si="223"/>
        <v>0</v>
      </c>
      <c r="L360" s="2721">
        <f t="shared" si="223"/>
        <v>0</v>
      </c>
      <c r="M360" s="2222">
        <f t="shared" si="223"/>
        <v>0</v>
      </c>
      <c r="N360" s="2721">
        <f t="shared" si="223"/>
        <v>0</v>
      </c>
      <c r="O360" s="2222">
        <f t="shared" si="223"/>
        <v>0</v>
      </c>
      <c r="P360" s="2721">
        <f t="shared" si="223"/>
        <v>0</v>
      </c>
      <c r="Q360" s="2222">
        <f t="shared" si="223"/>
        <v>0</v>
      </c>
      <c r="R360" s="2721">
        <f t="shared" si="223"/>
        <v>0</v>
      </c>
      <c r="S360" s="2222">
        <f t="shared" si="223"/>
        <v>0</v>
      </c>
      <c r="T360" s="2721">
        <f t="shared" si="223"/>
        <v>0</v>
      </c>
      <c r="U360" s="2222">
        <f t="shared" si="223"/>
        <v>0</v>
      </c>
      <c r="V360" s="2721">
        <f t="shared" si="223"/>
        <v>0</v>
      </c>
      <c r="W360" s="2222">
        <f t="shared" si="223"/>
        <v>0</v>
      </c>
      <c r="X360" s="2721">
        <f t="shared" si="223"/>
        <v>0</v>
      </c>
      <c r="Y360" s="2222">
        <f t="shared" si="223"/>
        <v>0</v>
      </c>
      <c r="Z360" s="2721">
        <f t="shared" si="223"/>
        <v>0</v>
      </c>
      <c r="AA360" s="2222">
        <f t="shared" si="223"/>
        <v>0</v>
      </c>
      <c r="AB360" s="2721">
        <f t="shared" si="223"/>
        <v>0</v>
      </c>
      <c r="AC360" s="2222">
        <f t="shared" si="223"/>
        <v>0</v>
      </c>
      <c r="AD360" s="2721">
        <f t="shared" si="223"/>
        <v>0</v>
      </c>
      <c r="AE360" s="2222">
        <f t="shared" si="223"/>
        <v>0</v>
      </c>
      <c r="AF360" s="2721">
        <f t="shared" si="223"/>
        <v>0</v>
      </c>
      <c r="AG360" s="2222">
        <f t="shared" si="223"/>
        <v>0</v>
      </c>
      <c r="AH360" s="2721">
        <f t="shared" si="223"/>
        <v>0</v>
      </c>
      <c r="AI360" s="2222">
        <f t="shared" si="223"/>
        <v>0</v>
      </c>
      <c r="AJ360" s="2721">
        <f t="shared" si="223"/>
        <v>0</v>
      </c>
      <c r="AK360" s="2222">
        <f t="shared" si="223"/>
        <v>0</v>
      </c>
      <c r="AL360" s="2721">
        <f t="shared" si="223"/>
        <v>0</v>
      </c>
      <c r="AM360" s="2722">
        <f t="shared" si="223"/>
        <v>0</v>
      </c>
      <c r="AN360" s="2723">
        <f t="shared" si="223"/>
        <v>0</v>
      </c>
      <c r="AO360" s="2224">
        <f t="shared" si="223"/>
        <v>0</v>
      </c>
      <c r="AP360" s="2561">
        <f t="shared" si="223"/>
        <v>0</v>
      </c>
      <c r="BR360"/>
      <c r="BS360"/>
      <c r="BT360"/>
      <c r="BU360"/>
      <c r="BV360"/>
      <c r="BW360"/>
      <c r="BX360"/>
      <c r="BY360"/>
      <c r="CA360"/>
      <c r="CB360"/>
      <c r="CC360"/>
    </row>
    <row r="361" spans="1:83" s="17" customFormat="1" ht="18" customHeight="1" x14ac:dyDescent="0.25">
      <c r="B361" s="14" t="s">
        <v>2095</v>
      </c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spans="1:83" ht="15" customHeight="1" x14ac:dyDescent="0.3">
      <c r="B362" s="6799" t="s">
        <v>2096</v>
      </c>
      <c r="C362" s="6799" t="s">
        <v>63</v>
      </c>
      <c r="D362" s="6799" t="s">
        <v>2097</v>
      </c>
      <c r="E362" s="6799"/>
      <c r="F362" s="6799"/>
      <c r="G362" s="6799"/>
      <c r="H362" s="6799"/>
      <c r="I362" s="6799"/>
      <c r="J362" s="6799"/>
      <c r="K362" s="6799"/>
      <c r="L362" s="6927" t="s">
        <v>2098</v>
      </c>
      <c r="M362" s="6927"/>
      <c r="N362" s="6927"/>
      <c r="O362" s="6927"/>
      <c r="P362" s="6927"/>
      <c r="Q362" s="6799" t="s">
        <v>2099</v>
      </c>
      <c r="BR362"/>
      <c r="BS362"/>
      <c r="BT362"/>
      <c r="BU362"/>
      <c r="BV362"/>
      <c r="BW362"/>
      <c r="BX362"/>
      <c r="BY362"/>
      <c r="CA362"/>
      <c r="CB362"/>
      <c r="CC362"/>
    </row>
    <row r="363" spans="1:83" x14ac:dyDescent="0.3">
      <c r="B363" s="6799"/>
      <c r="C363" s="6799"/>
      <c r="D363" s="6799" t="s">
        <v>2100</v>
      </c>
      <c r="E363" s="6799" t="s">
        <v>2101</v>
      </c>
      <c r="F363" s="6799" t="s">
        <v>2102</v>
      </c>
      <c r="G363" s="6799" t="s">
        <v>2103</v>
      </c>
      <c r="H363" s="6799" t="s">
        <v>2104</v>
      </c>
      <c r="I363" s="6799"/>
      <c r="J363" s="6799"/>
      <c r="K363" s="6799"/>
      <c r="L363" s="6799" t="s">
        <v>2105</v>
      </c>
      <c r="M363" s="6799" t="s">
        <v>2106</v>
      </c>
      <c r="N363" s="6799" t="s">
        <v>2107</v>
      </c>
      <c r="O363" s="6799" t="s">
        <v>2108</v>
      </c>
      <c r="P363" s="6799" t="s">
        <v>2109</v>
      </c>
      <c r="Q363" s="6799"/>
      <c r="BR363"/>
      <c r="BS363"/>
      <c r="BT363"/>
      <c r="BU363"/>
      <c r="BV363"/>
      <c r="BW363"/>
      <c r="BX363"/>
      <c r="BY363"/>
      <c r="CA363"/>
      <c r="CB363"/>
      <c r="CC363"/>
    </row>
    <row r="364" spans="1:83" ht="39.75" customHeight="1" x14ac:dyDescent="0.3">
      <c r="B364" s="6799"/>
      <c r="C364" s="6799"/>
      <c r="D364" s="6799"/>
      <c r="E364" s="6799"/>
      <c r="F364" s="6799"/>
      <c r="G364" s="6799"/>
      <c r="H364" s="2690" t="s">
        <v>2106</v>
      </c>
      <c r="I364" s="2690" t="s">
        <v>2109</v>
      </c>
      <c r="J364" s="2690" t="s">
        <v>2110</v>
      </c>
      <c r="K364" s="2690" t="s">
        <v>28</v>
      </c>
      <c r="L364" s="6799"/>
      <c r="M364" s="6799"/>
      <c r="N364" s="6799"/>
      <c r="O364" s="6799"/>
      <c r="P364" s="6799"/>
      <c r="Q364" s="6799"/>
      <c r="BR364"/>
      <c r="BS364"/>
      <c r="BT364"/>
      <c r="BU364"/>
      <c r="BV364"/>
      <c r="BW364"/>
      <c r="BX364"/>
      <c r="BY364"/>
      <c r="CA364"/>
      <c r="CB364"/>
      <c r="CC364"/>
    </row>
    <row r="365" spans="1:83" ht="15" customHeight="1" x14ac:dyDescent="0.3">
      <c r="A365" s="6233" t="s">
        <v>4529</v>
      </c>
      <c r="B365" s="2383" t="s">
        <v>2111</v>
      </c>
      <c r="C365" s="2129" t="s">
        <v>5292</v>
      </c>
      <c r="D365" s="9045" t="s">
        <v>5293</v>
      </c>
      <c r="E365" s="2166" t="s">
        <v>5294</v>
      </c>
      <c r="F365" s="2166" t="s">
        <v>5295</v>
      </c>
      <c r="G365" s="2166" t="s">
        <v>5296</v>
      </c>
      <c r="H365" s="2166" t="s">
        <v>5297</v>
      </c>
      <c r="I365" s="2166" t="s">
        <v>5298</v>
      </c>
      <c r="J365" s="2166" t="s">
        <v>5299</v>
      </c>
      <c r="K365" s="2166" t="s">
        <v>5300</v>
      </c>
      <c r="L365" s="2166" t="s">
        <v>5301</v>
      </c>
      <c r="M365" s="2166" t="s">
        <v>5302</v>
      </c>
      <c r="N365" s="2166" t="s">
        <v>5303</v>
      </c>
      <c r="O365" s="2166" t="s">
        <v>5304</v>
      </c>
      <c r="P365" s="2166" t="s">
        <v>5305</v>
      </c>
      <c r="Q365" s="2384" t="s">
        <v>5306</v>
      </c>
      <c r="BR365"/>
      <c r="BS365"/>
      <c r="BT365"/>
      <c r="BU365"/>
      <c r="BV365"/>
      <c r="BW365"/>
      <c r="BX365"/>
      <c r="BY365"/>
      <c r="CA365"/>
      <c r="CB365"/>
      <c r="CC365"/>
    </row>
    <row r="366" spans="1:83" ht="15" customHeight="1" x14ac:dyDescent="0.3">
      <c r="A366" s="6233" t="s">
        <v>4530</v>
      </c>
      <c r="B366" s="2385" t="s">
        <v>2112</v>
      </c>
      <c r="C366" s="1438" t="s">
        <v>5292</v>
      </c>
      <c r="D366" s="1092" t="s">
        <v>5293</v>
      </c>
      <c r="E366" s="1092" t="s">
        <v>5294</v>
      </c>
      <c r="F366" s="1092" t="s">
        <v>5295</v>
      </c>
      <c r="G366" s="1092" t="s">
        <v>5296</v>
      </c>
      <c r="H366" s="1092" t="s">
        <v>5297</v>
      </c>
      <c r="I366" s="1092" t="s">
        <v>5298</v>
      </c>
      <c r="J366" s="1092" t="s">
        <v>5299</v>
      </c>
      <c r="K366" s="1092" t="s">
        <v>5300</v>
      </c>
      <c r="L366" s="1092" t="s">
        <v>5301</v>
      </c>
      <c r="M366" s="1092" t="s">
        <v>5302</v>
      </c>
      <c r="N366" s="1092" t="s">
        <v>5303</v>
      </c>
      <c r="O366" s="1092" t="s">
        <v>5304</v>
      </c>
      <c r="P366" s="1092" t="s">
        <v>5305</v>
      </c>
      <c r="Q366" s="2386" t="s">
        <v>5306</v>
      </c>
      <c r="BR366"/>
      <c r="BS366"/>
      <c r="BT366"/>
      <c r="BU366"/>
      <c r="BV366"/>
      <c r="BW366"/>
      <c r="BX366"/>
      <c r="BY366"/>
      <c r="CA366"/>
      <c r="CB366"/>
      <c r="CC366"/>
    </row>
    <row r="367" spans="1:83" ht="15" customHeight="1" x14ac:dyDescent="0.3">
      <c r="A367" s="6233" t="s">
        <v>4531</v>
      </c>
      <c r="B367" s="2385" t="s">
        <v>2113</v>
      </c>
      <c r="C367" s="1438" t="s">
        <v>5292</v>
      </c>
      <c r="D367" s="3926" t="s">
        <v>5293</v>
      </c>
      <c r="E367" s="3930" t="s">
        <v>5294</v>
      </c>
      <c r="F367" s="1092" t="s">
        <v>5295</v>
      </c>
      <c r="G367" s="1092" t="s">
        <v>5296</v>
      </c>
      <c r="H367" s="1092" t="s">
        <v>5297</v>
      </c>
      <c r="I367" s="1092" t="s">
        <v>5298</v>
      </c>
      <c r="J367" s="1092" t="s">
        <v>5299</v>
      </c>
      <c r="K367" s="1092" t="s">
        <v>5300</v>
      </c>
      <c r="L367" s="1092" t="s">
        <v>5301</v>
      </c>
      <c r="M367" s="1092" t="s">
        <v>5302</v>
      </c>
      <c r="N367" s="1092" t="s">
        <v>5303</v>
      </c>
      <c r="O367" s="1092" t="s">
        <v>5304</v>
      </c>
      <c r="P367" s="1092" t="s">
        <v>5305</v>
      </c>
      <c r="Q367" s="2386" t="s">
        <v>5306</v>
      </c>
      <c r="BR367"/>
      <c r="BS367"/>
      <c r="BT367"/>
      <c r="BU367"/>
      <c r="BV367"/>
      <c r="BW367"/>
      <c r="BX367"/>
      <c r="BY367"/>
      <c r="CA367"/>
      <c r="CB367"/>
      <c r="CC367"/>
    </row>
    <row r="368" spans="1:83" ht="20.399999999999999" x14ac:dyDescent="0.3">
      <c r="A368" s="6235"/>
      <c r="B368" s="2385" t="s">
        <v>2114</v>
      </c>
      <c r="C368" s="1438"/>
      <c r="D368" s="6060"/>
      <c r="E368" s="6062"/>
      <c r="F368" s="6061"/>
      <c r="G368" s="6061"/>
      <c r="H368" s="6061"/>
      <c r="I368" s="6061"/>
      <c r="J368" s="6061"/>
      <c r="K368" s="6061"/>
      <c r="L368" s="6061"/>
      <c r="M368" s="6061"/>
      <c r="N368" s="6061"/>
      <c r="O368" s="6061"/>
      <c r="P368" s="6061"/>
      <c r="Q368" s="6064"/>
      <c r="BR368"/>
      <c r="BS368"/>
      <c r="BT368"/>
      <c r="BU368"/>
      <c r="BV368"/>
      <c r="BW368"/>
      <c r="BX368"/>
      <c r="BY368"/>
      <c r="CA368"/>
      <c r="CB368"/>
      <c r="CC368"/>
    </row>
    <row r="369" spans="1:81" ht="15" customHeight="1" x14ac:dyDescent="0.3">
      <c r="A369" s="6235"/>
      <c r="B369" s="2385" t="s">
        <v>2115</v>
      </c>
      <c r="C369" s="1438"/>
      <c r="D369" s="6063"/>
      <c r="E369" s="2387"/>
      <c r="F369" s="2387"/>
      <c r="G369" s="2387"/>
      <c r="H369" s="2387"/>
      <c r="I369" s="2387"/>
      <c r="J369" s="2387"/>
      <c r="K369" s="2387"/>
      <c r="L369" s="2387"/>
      <c r="M369" s="2387"/>
      <c r="N369" s="2387"/>
      <c r="O369" s="2387"/>
      <c r="P369" s="6066"/>
      <c r="Q369" s="6065"/>
      <c r="BR369"/>
      <c r="BS369"/>
      <c r="BT369"/>
      <c r="BU369"/>
      <c r="BV369"/>
      <c r="BW369"/>
      <c r="BX369"/>
      <c r="BY369"/>
      <c r="CA369"/>
      <c r="CB369"/>
      <c r="CC369"/>
    </row>
    <row r="370" spans="1:81" ht="15" customHeight="1" x14ac:dyDescent="0.3">
      <c r="A370" s="6255"/>
      <c r="B370" s="2661" t="s">
        <v>24</v>
      </c>
      <c r="C370" s="2561">
        <f>SUM(C365:C369)</f>
        <v>0</v>
      </c>
      <c r="D370" s="2561">
        <f>SUM(D366:D367)</f>
        <v>0</v>
      </c>
      <c r="E370" s="2561">
        <f>SUM(E365:E367)</f>
        <v>0</v>
      </c>
      <c r="F370" s="2561">
        <f t="shared" ref="F370:O370" si="224">SUM(F365:F367)</f>
        <v>0</v>
      </c>
      <c r="G370" s="2561">
        <f t="shared" si="224"/>
        <v>0</v>
      </c>
      <c r="H370" s="2561">
        <f t="shared" si="224"/>
        <v>0</v>
      </c>
      <c r="I370" s="2561">
        <f t="shared" si="224"/>
        <v>0</v>
      </c>
      <c r="J370" s="2561">
        <f t="shared" si="224"/>
        <v>0</v>
      </c>
      <c r="K370" s="2561">
        <f t="shared" si="224"/>
        <v>0</v>
      </c>
      <c r="L370" s="2561">
        <f t="shared" si="224"/>
        <v>0</v>
      </c>
      <c r="M370" s="2561">
        <f t="shared" si="224"/>
        <v>0</v>
      </c>
      <c r="N370" s="2561">
        <f t="shared" si="224"/>
        <v>0</v>
      </c>
      <c r="O370" s="2561">
        <f t="shared" si="224"/>
        <v>0</v>
      </c>
      <c r="P370" s="2561">
        <f>SUM(P365:P367)</f>
        <v>0</v>
      </c>
      <c r="Q370" s="2561"/>
      <c r="BR370"/>
      <c r="BS370"/>
      <c r="BT370"/>
      <c r="BU370"/>
      <c r="BV370"/>
      <c r="BW370"/>
      <c r="BX370"/>
      <c r="BY370"/>
      <c r="CA370"/>
      <c r="CB370"/>
      <c r="CC370"/>
    </row>
    <row r="371" spans="1:81" x14ac:dyDescent="0.3">
      <c r="BR371"/>
      <c r="BS371"/>
      <c r="BT371"/>
      <c r="BU371"/>
      <c r="BV371"/>
      <c r="BW371"/>
      <c r="BX371"/>
      <c r="BY371"/>
      <c r="CA371"/>
      <c r="CB371"/>
      <c r="CC371"/>
    </row>
    <row r="372" spans="1:81" x14ac:dyDescent="0.3">
      <c r="BR372"/>
      <c r="BS372"/>
      <c r="BT372"/>
      <c r="BU372"/>
      <c r="BV372"/>
      <c r="BW372"/>
      <c r="BX372"/>
      <c r="BY372"/>
      <c r="CA372"/>
      <c r="CB372"/>
      <c r="CC372"/>
    </row>
    <row r="373" spans="1:81" x14ac:dyDescent="0.3">
      <c r="BR373"/>
      <c r="BS373"/>
      <c r="BT373"/>
      <c r="BU373"/>
      <c r="BV373"/>
      <c r="BW373"/>
      <c r="BX373"/>
      <c r="BY373"/>
      <c r="CA373"/>
      <c r="CB373"/>
      <c r="CC373"/>
    </row>
    <row r="374" spans="1:81" x14ac:dyDescent="0.3">
      <c r="A374" t="s">
        <v>4625</v>
      </c>
      <c r="BR374"/>
      <c r="BS374"/>
      <c r="BT374"/>
      <c r="BU374"/>
      <c r="BV374"/>
      <c r="BW374"/>
      <c r="BX374"/>
      <c r="BY374"/>
      <c r="CA374"/>
      <c r="CB374"/>
      <c r="CC374"/>
    </row>
    <row r="375" spans="1:81" x14ac:dyDescent="0.3">
      <c r="A375" s="6233" t="s">
        <v>5287</v>
      </c>
      <c r="BR375"/>
      <c r="BS375"/>
      <c r="BT375"/>
      <c r="BU375"/>
      <c r="BV375"/>
      <c r="BW375"/>
      <c r="BX375"/>
      <c r="BY375"/>
      <c r="CA375"/>
      <c r="CB375"/>
      <c r="CC375"/>
    </row>
    <row r="376" spans="1:81" x14ac:dyDescent="0.3">
      <c r="A376" s="6233" t="s">
        <v>5288</v>
      </c>
      <c r="BR376"/>
      <c r="BS376"/>
      <c r="BT376"/>
      <c r="BU376"/>
      <c r="BV376"/>
      <c r="BW376"/>
      <c r="BX376"/>
      <c r="BY376"/>
      <c r="CA376"/>
      <c r="CB376"/>
      <c r="CC376"/>
    </row>
    <row r="377" spans="1:81" x14ac:dyDescent="0.3">
      <c r="A377" s="6233" t="s">
        <v>5289</v>
      </c>
      <c r="BR377"/>
      <c r="BS377"/>
      <c r="BT377"/>
      <c r="BU377"/>
      <c r="BV377"/>
      <c r="BW377"/>
      <c r="BX377"/>
      <c r="BY377"/>
      <c r="CA377"/>
      <c r="CB377"/>
      <c r="CC377"/>
    </row>
    <row r="378" spans="1:81" x14ac:dyDescent="0.3">
      <c r="A378" s="6233" t="s">
        <v>5290</v>
      </c>
      <c r="BR378"/>
      <c r="BS378"/>
      <c r="BT378"/>
      <c r="BU378"/>
      <c r="BV378"/>
      <c r="BW378"/>
      <c r="BX378"/>
      <c r="BY378"/>
      <c r="CA378"/>
      <c r="CB378"/>
      <c r="CC378"/>
    </row>
    <row r="379" spans="1:81" x14ac:dyDescent="0.3">
      <c r="A379" s="6233" t="s">
        <v>5291</v>
      </c>
      <c r="BR379"/>
      <c r="BS379"/>
      <c r="BT379"/>
      <c r="BU379"/>
      <c r="BV379"/>
      <c r="BW379"/>
      <c r="BX379"/>
      <c r="BY379"/>
      <c r="CA379"/>
      <c r="CB379"/>
      <c r="CC379"/>
    </row>
    <row r="380" spans="1:81" x14ac:dyDescent="0.3">
      <c r="A380" s="6233" t="s">
        <v>4637</v>
      </c>
      <c r="BR380"/>
      <c r="BS380"/>
      <c r="BT380"/>
      <c r="BU380"/>
      <c r="BV380"/>
      <c r="BW380"/>
      <c r="BX380"/>
      <c r="BY380"/>
      <c r="CA380"/>
      <c r="CB380"/>
      <c r="CC380"/>
    </row>
    <row r="381" spans="1:81" x14ac:dyDescent="0.3">
      <c r="A381" s="6247" t="s">
        <v>4339</v>
      </c>
      <c r="BR381"/>
      <c r="BS381"/>
      <c r="BT381"/>
      <c r="BU381"/>
      <c r="BV381"/>
      <c r="BW381"/>
      <c r="BX381"/>
      <c r="BY381"/>
      <c r="CA381"/>
      <c r="CB381"/>
      <c r="CC381"/>
    </row>
    <row r="382" spans="1:81" x14ac:dyDescent="0.3">
      <c r="A382" s="6247" t="s">
        <v>4343</v>
      </c>
      <c r="BR382"/>
      <c r="BS382"/>
      <c r="BT382"/>
      <c r="BU382"/>
      <c r="BV382"/>
      <c r="BW382"/>
      <c r="BX382"/>
      <c r="BY382"/>
      <c r="CA382"/>
      <c r="CB382"/>
      <c r="CC382"/>
    </row>
    <row r="383" spans="1:81" x14ac:dyDescent="0.3">
      <c r="A383" s="6247" t="s">
        <v>4344</v>
      </c>
      <c r="BR383"/>
      <c r="BS383"/>
      <c r="BT383"/>
      <c r="BU383"/>
      <c r="BV383"/>
      <c r="BW383"/>
      <c r="BX383"/>
      <c r="BY383"/>
      <c r="CA383"/>
      <c r="CB383"/>
      <c r="CC383"/>
    </row>
    <row r="384" spans="1:81" x14ac:dyDescent="0.3">
      <c r="A384" s="6247" t="s">
        <v>4345</v>
      </c>
      <c r="BR384"/>
      <c r="BS384"/>
      <c r="BT384"/>
      <c r="BU384"/>
      <c r="BV384"/>
      <c r="BW384"/>
      <c r="BX384"/>
      <c r="BY384"/>
      <c r="CA384"/>
      <c r="CB384"/>
      <c r="CC384"/>
    </row>
    <row r="385" spans="1:81" x14ac:dyDescent="0.3">
      <c r="A385" s="6247" t="s">
        <v>4346</v>
      </c>
      <c r="BR385"/>
      <c r="BS385"/>
      <c r="BT385"/>
      <c r="BU385"/>
      <c r="BV385"/>
      <c r="BW385"/>
      <c r="BX385"/>
      <c r="BY385"/>
      <c r="CA385"/>
      <c r="CB385"/>
      <c r="CC385"/>
    </row>
    <row r="386" spans="1:81" x14ac:dyDescent="0.3">
      <c r="BR386"/>
      <c r="BS386"/>
      <c r="BT386"/>
      <c r="BU386"/>
      <c r="BV386"/>
      <c r="BW386"/>
      <c r="BX386"/>
      <c r="BY386"/>
      <c r="CA386"/>
      <c r="CB386"/>
      <c r="CC386"/>
    </row>
    <row r="387" spans="1:81" x14ac:dyDescent="0.3">
      <c r="BR387"/>
      <c r="BS387"/>
      <c r="BT387"/>
      <c r="BU387"/>
      <c r="BV387"/>
      <c r="BW387"/>
      <c r="BX387"/>
      <c r="BY387"/>
      <c r="CA387"/>
      <c r="CB387"/>
      <c r="CC387"/>
    </row>
    <row r="388" spans="1:81" x14ac:dyDescent="0.3">
      <c r="BR388"/>
      <c r="BS388"/>
      <c r="BT388"/>
      <c r="BU388"/>
      <c r="BV388"/>
      <c r="BW388"/>
      <c r="BX388"/>
      <c r="BY388"/>
      <c r="CA388"/>
      <c r="CB388"/>
      <c r="CC388"/>
    </row>
    <row r="389" spans="1:81" x14ac:dyDescent="0.3">
      <c r="BR389"/>
      <c r="BS389"/>
      <c r="BT389"/>
      <c r="BU389"/>
      <c r="BV389"/>
      <c r="BW389"/>
      <c r="BX389"/>
      <c r="BY389"/>
      <c r="CA389"/>
      <c r="CB389"/>
      <c r="CC389"/>
    </row>
    <row r="390" spans="1:81" x14ac:dyDescent="0.3">
      <c r="BR390"/>
      <c r="BS390"/>
      <c r="BT390"/>
      <c r="BU390"/>
      <c r="BV390"/>
      <c r="BW390"/>
      <c r="BX390"/>
      <c r="BY390"/>
      <c r="CA390"/>
      <c r="CB390"/>
      <c r="CC390"/>
    </row>
    <row r="391" spans="1:81" x14ac:dyDescent="0.3">
      <c r="BR391"/>
      <c r="BS391"/>
      <c r="BT391"/>
      <c r="BU391"/>
      <c r="BV391"/>
      <c r="BW391"/>
      <c r="BX391"/>
      <c r="BY391"/>
      <c r="CA391"/>
      <c r="CB391"/>
      <c r="CC391"/>
    </row>
    <row r="392" spans="1:81" x14ac:dyDescent="0.3">
      <c r="BR392"/>
      <c r="BS392"/>
      <c r="BT392"/>
      <c r="BU392"/>
      <c r="BV392"/>
      <c r="BW392"/>
      <c r="BX392"/>
      <c r="BY392"/>
      <c r="CA392"/>
      <c r="CB392"/>
      <c r="CC392"/>
    </row>
    <row r="393" spans="1:81" x14ac:dyDescent="0.3">
      <c r="BR393"/>
      <c r="BS393"/>
      <c r="BT393"/>
      <c r="BU393"/>
      <c r="BV393"/>
      <c r="BW393"/>
      <c r="BX393"/>
      <c r="BY393"/>
      <c r="CA393"/>
      <c r="CB393"/>
      <c r="CC393"/>
    </row>
    <row r="394" spans="1:81" x14ac:dyDescent="0.3">
      <c r="BR394"/>
      <c r="BS394"/>
      <c r="BT394"/>
      <c r="BU394"/>
      <c r="BV394"/>
      <c r="BW394"/>
      <c r="BX394"/>
      <c r="BY394"/>
      <c r="CA394"/>
      <c r="CB394"/>
      <c r="CC394"/>
    </row>
    <row r="395" spans="1:81" x14ac:dyDescent="0.3">
      <c r="BR395"/>
      <c r="BS395"/>
      <c r="BT395"/>
      <c r="BU395"/>
      <c r="BV395"/>
      <c r="BW395"/>
      <c r="BX395"/>
      <c r="BY395"/>
      <c r="CA395"/>
      <c r="CB395"/>
      <c r="CC395"/>
    </row>
    <row r="396" spans="1:81" x14ac:dyDescent="0.3">
      <c r="BR396"/>
      <c r="BS396"/>
      <c r="BT396"/>
      <c r="BU396"/>
      <c r="BV396"/>
      <c r="BW396"/>
      <c r="BX396"/>
      <c r="BY396"/>
      <c r="CA396"/>
      <c r="CB396"/>
      <c r="CC396"/>
    </row>
    <row r="397" spans="1:81" x14ac:dyDescent="0.3">
      <c r="BR397"/>
      <c r="BS397"/>
      <c r="BT397"/>
      <c r="BU397"/>
      <c r="BV397"/>
      <c r="BW397"/>
      <c r="BX397"/>
      <c r="BY397"/>
      <c r="CA397"/>
      <c r="CB397"/>
      <c r="CC397"/>
    </row>
    <row r="398" spans="1:81" ht="19.5" customHeight="1" x14ac:dyDescent="0.3">
      <c r="BR398"/>
      <c r="BS398"/>
      <c r="BT398"/>
      <c r="BU398"/>
      <c r="BV398"/>
      <c r="BW398"/>
      <c r="BX398"/>
      <c r="BY398"/>
      <c r="CA398"/>
      <c r="CB398"/>
      <c r="CC398"/>
    </row>
    <row r="399" spans="1:81" hidden="1" x14ac:dyDescent="0.3">
      <c r="BR399"/>
      <c r="BS399"/>
      <c r="BT399"/>
      <c r="BU399"/>
      <c r="BV399"/>
      <c r="BW399"/>
      <c r="BX399"/>
      <c r="BY399"/>
      <c r="CA399"/>
      <c r="CB399"/>
      <c r="CC399"/>
    </row>
    <row r="400" spans="1:81" hidden="1" x14ac:dyDescent="0.3">
      <c r="B400" s="4462">
        <f>SUM(D11:D14,D18:G31,D35:D55,D59:D79,C82,D85,D90:D93,D98:D101,D98:D101,D106:D109,D114:D122,D127:D134,D139:D143,D147:D156,D160:D169,D173:D180,D186,D188:D230,D234,D236:D278,D283:D286,D291:D309,D314:D324,D329:D331,C336:C337,D342:D351,D357:D360,C365:C370)</f>
        <v>0</v>
      </c>
      <c r="C400" s="4461" t="e">
        <f>SUM(CC11:CL359)</f>
        <v>#VALUE!</v>
      </c>
      <c r="BR400"/>
      <c r="BS400"/>
      <c r="BT400"/>
      <c r="BU400"/>
      <c r="BV400"/>
      <c r="BW400"/>
      <c r="BX400"/>
      <c r="BY400"/>
      <c r="CA400"/>
      <c r="CB400"/>
      <c r="CC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</sheetData>
  <protectedRanges>
    <protectedRange sqref="G357:AP359" name="Rango1_2_3"/>
  </protectedRanges>
  <mergeCells count="527">
    <mergeCell ref="B357:B359"/>
    <mergeCell ref="B360:C360"/>
    <mergeCell ref="U355:V355"/>
    <mergeCell ref="W355:X355"/>
    <mergeCell ref="Y355:Z355"/>
    <mergeCell ref="AA355:AB355"/>
    <mergeCell ref="AC355:AD355"/>
    <mergeCell ref="AE355:AF355"/>
    <mergeCell ref="Q362:Q364"/>
    <mergeCell ref="D363:D364"/>
    <mergeCell ref="E363:E364"/>
    <mergeCell ref="F363:F364"/>
    <mergeCell ref="G363:G364"/>
    <mergeCell ref="H363:K363"/>
    <mergeCell ref="L363:L364"/>
    <mergeCell ref="M363:M364"/>
    <mergeCell ref="N363:N364"/>
    <mergeCell ref="O363:O364"/>
    <mergeCell ref="P363:P364"/>
    <mergeCell ref="B362:B364"/>
    <mergeCell ref="C362:C364"/>
    <mergeCell ref="D362:K362"/>
    <mergeCell ref="L362:P362"/>
    <mergeCell ref="AO354:AO356"/>
    <mergeCell ref="AP354:AP356"/>
    <mergeCell ref="G355:H355"/>
    <mergeCell ref="I355:J355"/>
    <mergeCell ref="K355:L355"/>
    <mergeCell ref="M355:N355"/>
    <mergeCell ref="O355:P355"/>
    <mergeCell ref="Q355:R355"/>
    <mergeCell ref="S355:T355"/>
    <mergeCell ref="AM355:AN355"/>
    <mergeCell ref="AG355:AH355"/>
    <mergeCell ref="AI355:AJ355"/>
    <mergeCell ref="AK355:AL355"/>
    <mergeCell ref="B342:B344"/>
    <mergeCell ref="B345:B347"/>
    <mergeCell ref="B348:B351"/>
    <mergeCell ref="B354:B356"/>
    <mergeCell ref="C354:C356"/>
    <mergeCell ref="D354:F355"/>
    <mergeCell ref="AC340:AD340"/>
    <mergeCell ref="G354:AN354"/>
    <mergeCell ref="AK340:AK341"/>
    <mergeCell ref="AL340:AL341"/>
    <mergeCell ref="AM340:AM341"/>
    <mergeCell ref="AJ339:AJ341"/>
    <mergeCell ref="AK339:AM339"/>
    <mergeCell ref="AN339:AN341"/>
    <mergeCell ref="G340:H340"/>
    <mergeCell ref="I340:J340"/>
    <mergeCell ref="K340:L340"/>
    <mergeCell ref="M340:N340"/>
    <mergeCell ref="O340:P340"/>
    <mergeCell ref="Q340:R340"/>
    <mergeCell ref="S340:T340"/>
    <mergeCell ref="B339:B341"/>
    <mergeCell ref="C339:C341"/>
    <mergeCell ref="D339:F340"/>
    <mergeCell ref="G339:AH339"/>
    <mergeCell ref="AI339:AI341"/>
    <mergeCell ref="U340:V340"/>
    <mergeCell ref="W340:X340"/>
    <mergeCell ref="Y340:Z340"/>
    <mergeCell ref="AA340:AB340"/>
    <mergeCell ref="AE340:AF340"/>
    <mergeCell ref="AG340:AH340"/>
    <mergeCell ref="B329:C329"/>
    <mergeCell ref="B330:C330"/>
    <mergeCell ref="B331:C331"/>
    <mergeCell ref="N334:O334"/>
    <mergeCell ref="Q333:Q335"/>
    <mergeCell ref="B333:B335"/>
    <mergeCell ref="C333:E334"/>
    <mergeCell ref="F333:N333"/>
    <mergeCell ref="T333:T335"/>
    <mergeCell ref="F334:G334"/>
    <mergeCell ref="H334:I334"/>
    <mergeCell ref="J334:K334"/>
    <mergeCell ref="L334:M334"/>
    <mergeCell ref="R333:R335"/>
    <mergeCell ref="P333:P335"/>
    <mergeCell ref="S333:S335"/>
    <mergeCell ref="AI326:AJ327"/>
    <mergeCell ref="AK326:AK328"/>
    <mergeCell ref="AL326:AL328"/>
    <mergeCell ref="G327:H327"/>
    <mergeCell ref="I327:J327"/>
    <mergeCell ref="K327:L327"/>
    <mergeCell ref="M327:N327"/>
    <mergeCell ref="O327:P327"/>
    <mergeCell ref="Q327:R327"/>
    <mergeCell ref="S327:T327"/>
    <mergeCell ref="B318:C318"/>
    <mergeCell ref="B319:C319"/>
    <mergeCell ref="B320:B324"/>
    <mergeCell ref="B326:C328"/>
    <mergeCell ref="D326:F327"/>
    <mergeCell ref="G326:AH326"/>
    <mergeCell ref="U327:V327"/>
    <mergeCell ref="W327:X327"/>
    <mergeCell ref="Y327:Z327"/>
    <mergeCell ref="AA327:AB327"/>
    <mergeCell ref="AC327:AD327"/>
    <mergeCell ref="AE327:AF327"/>
    <mergeCell ref="AG327:AH327"/>
    <mergeCell ref="B314:B315"/>
    <mergeCell ref="B316:C316"/>
    <mergeCell ref="B317:C317"/>
    <mergeCell ref="AA312:AB312"/>
    <mergeCell ref="AC312:AD312"/>
    <mergeCell ref="AE312:AF312"/>
    <mergeCell ref="AG312:AH312"/>
    <mergeCell ref="AI312:AJ312"/>
    <mergeCell ref="AK312:AL312"/>
    <mergeCell ref="B311:C313"/>
    <mergeCell ref="D311:F312"/>
    <mergeCell ref="AV311:AV313"/>
    <mergeCell ref="AW311:AW313"/>
    <mergeCell ref="AX311:AX313"/>
    <mergeCell ref="G312:H312"/>
    <mergeCell ref="I312:J312"/>
    <mergeCell ref="K312:L312"/>
    <mergeCell ref="M312:N312"/>
    <mergeCell ref="O312:P312"/>
    <mergeCell ref="Q312:R312"/>
    <mergeCell ref="AM312:AN312"/>
    <mergeCell ref="AO312:AP312"/>
    <mergeCell ref="AQ312:AR312"/>
    <mergeCell ref="G311:AR311"/>
    <mergeCell ref="AS311:AT312"/>
    <mergeCell ref="S312:T312"/>
    <mergeCell ref="U312:V312"/>
    <mergeCell ref="W312:X312"/>
    <mergeCell ref="Y312:Z312"/>
    <mergeCell ref="AU311:AU313"/>
    <mergeCell ref="B291:C291"/>
    <mergeCell ref="Y289:Z289"/>
    <mergeCell ref="AA289:AB289"/>
    <mergeCell ref="AC289:AD289"/>
    <mergeCell ref="AE289:AF289"/>
    <mergeCell ref="AG289:AH289"/>
    <mergeCell ref="AI289:AJ289"/>
    <mergeCell ref="B292:B300"/>
    <mergeCell ref="B301:B309"/>
    <mergeCell ref="AR288:AS289"/>
    <mergeCell ref="AT288:AT290"/>
    <mergeCell ref="AU288:AU290"/>
    <mergeCell ref="AV288:AV290"/>
    <mergeCell ref="AW288:AW290"/>
    <mergeCell ref="G289:H289"/>
    <mergeCell ref="I289:J289"/>
    <mergeCell ref="K289:L289"/>
    <mergeCell ref="M289:N289"/>
    <mergeCell ref="O289:P289"/>
    <mergeCell ref="AK289:AL289"/>
    <mergeCell ref="AM289:AN289"/>
    <mergeCell ref="AO289:AO290"/>
    <mergeCell ref="AP289:AP290"/>
    <mergeCell ref="AQ289:AQ290"/>
    <mergeCell ref="B283:B284"/>
    <mergeCell ref="B285:B286"/>
    <mergeCell ref="B288:C290"/>
    <mergeCell ref="D288:F289"/>
    <mergeCell ref="G288:AN288"/>
    <mergeCell ref="AO288:AQ288"/>
    <mergeCell ref="Q289:R289"/>
    <mergeCell ref="S289:T289"/>
    <mergeCell ref="U289:V289"/>
    <mergeCell ref="W289:X289"/>
    <mergeCell ref="D280:F281"/>
    <mergeCell ref="G280:AL280"/>
    <mergeCell ref="AM280:AM282"/>
    <mergeCell ref="AN280:AN282"/>
    <mergeCell ref="AO280:AO282"/>
    <mergeCell ref="AP280:AP282"/>
    <mergeCell ref="G281:H281"/>
    <mergeCell ref="I281:J281"/>
    <mergeCell ref="K281:L281"/>
    <mergeCell ref="M281:N281"/>
    <mergeCell ref="AA281:AB281"/>
    <mergeCell ref="AC281:AD281"/>
    <mergeCell ref="AE281:AF281"/>
    <mergeCell ref="AG281:AH281"/>
    <mergeCell ref="AI281:AJ281"/>
    <mergeCell ref="AK281:AL281"/>
    <mergeCell ref="O281:P281"/>
    <mergeCell ref="Q281:R281"/>
    <mergeCell ref="S281:T281"/>
    <mergeCell ref="U281:V281"/>
    <mergeCell ref="W281:X281"/>
    <mergeCell ref="Y281:Z281"/>
    <mergeCell ref="B270:C270"/>
    <mergeCell ref="B271:C271"/>
    <mergeCell ref="B272:B276"/>
    <mergeCell ref="B277:C277"/>
    <mergeCell ref="B278:C278"/>
    <mergeCell ref="B280:B282"/>
    <mergeCell ref="C280:C282"/>
    <mergeCell ref="B255:B258"/>
    <mergeCell ref="B259:B263"/>
    <mergeCell ref="B264:B266"/>
    <mergeCell ref="B267:C267"/>
    <mergeCell ref="B268:C268"/>
    <mergeCell ref="B269:C269"/>
    <mergeCell ref="B235:C235"/>
    <mergeCell ref="B236:B237"/>
    <mergeCell ref="B238:C238"/>
    <mergeCell ref="B239:B240"/>
    <mergeCell ref="B242:B249"/>
    <mergeCell ref="B250:B254"/>
    <mergeCell ref="AT232:AU232"/>
    <mergeCell ref="AV232:AV233"/>
    <mergeCell ref="AW232:AW233"/>
    <mergeCell ref="AX232:AX233"/>
    <mergeCell ref="AY232:AY233"/>
    <mergeCell ref="B234:C234"/>
    <mergeCell ref="AI232:AJ232"/>
    <mergeCell ref="AK232:AL232"/>
    <mergeCell ref="AM232:AN232"/>
    <mergeCell ref="AO232:AQ232"/>
    <mergeCell ref="AR232:AR233"/>
    <mergeCell ref="AS232:AS233"/>
    <mergeCell ref="W232:X232"/>
    <mergeCell ref="Y232:Z232"/>
    <mergeCell ref="AA232:AB232"/>
    <mergeCell ref="AC232:AD232"/>
    <mergeCell ref="AE232:AF232"/>
    <mergeCell ref="AG232:AH232"/>
    <mergeCell ref="K232:L232"/>
    <mergeCell ref="M232:N232"/>
    <mergeCell ref="O232:P232"/>
    <mergeCell ref="Q232:R232"/>
    <mergeCell ref="S232:T232"/>
    <mergeCell ref="U232:V232"/>
    <mergeCell ref="B229:C229"/>
    <mergeCell ref="B230:C230"/>
    <mergeCell ref="B232:C233"/>
    <mergeCell ref="D232:F232"/>
    <mergeCell ref="G232:H232"/>
    <mergeCell ref="I232:J232"/>
    <mergeCell ref="B219:C219"/>
    <mergeCell ref="B220:C220"/>
    <mergeCell ref="B221:C221"/>
    <mergeCell ref="B222:C222"/>
    <mergeCell ref="B223:C223"/>
    <mergeCell ref="B224:B228"/>
    <mergeCell ref="B191:B192"/>
    <mergeCell ref="B194:B201"/>
    <mergeCell ref="B202:B206"/>
    <mergeCell ref="B207:B210"/>
    <mergeCell ref="B211:B215"/>
    <mergeCell ref="B216:B218"/>
    <mergeCell ref="AU184:AV184"/>
    <mergeCell ref="AW184:AX184"/>
    <mergeCell ref="B186:C186"/>
    <mergeCell ref="B187:C187"/>
    <mergeCell ref="B188:B189"/>
    <mergeCell ref="B190:C190"/>
    <mergeCell ref="AM184:AN184"/>
    <mergeCell ref="AO184:AO185"/>
    <mergeCell ref="AP184:AP185"/>
    <mergeCell ref="AQ184:AR184"/>
    <mergeCell ref="AS184:AS185"/>
    <mergeCell ref="AT184:AT185"/>
    <mergeCell ref="AA184:AB184"/>
    <mergeCell ref="AC184:AD184"/>
    <mergeCell ref="AE184:AF184"/>
    <mergeCell ref="AG184:AH184"/>
    <mergeCell ref="AI184:AJ184"/>
    <mergeCell ref="AK184:AL184"/>
    <mergeCell ref="B173:B176"/>
    <mergeCell ref="B177:B180"/>
    <mergeCell ref="B184:C185"/>
    <mergeCell ref="D184:F184"/>
    <mergeCell ref="G184:H184"/>
    <mergeCell ref="I184:J184"/>
    <mergeCell ref="K184:L184"/>
    <mergeCell ref="M184:N184"/>
    <mergeCell ref="D171:F171"/>
    <mergeCell ref="G171:H171"/>
    <mergeCell ref="I171:J171"/>
    <mergeCell ref="K171:L171"/>
    <mergeCell ref="M171:N171"/>
    <mergeCell ref="B160:B162"/>
    <mergeCell ref="B163:C163"/>
    <mergeCell ref="B164:B167"/>
    <mergeCell ref="B168:C168"/>
    <mergeCell ref="B169:C169"/>
    <mergeCell ref="B171:C172"/>
    <mergeCell ref="I158:J158"/>
    <mergeCell ref="K158:L158"/>
    <mergeCell ref="M158:N158"/>
    <mergeCell ref="B147:B149"/>
    <mergeCell ref="B150:C150"/>
    <mergeCell ref="B141:B142"/>
    <mergeCell ref="B143:C143"/>
    <mergeCell ref="B145:C146"/>
    <mergeCell ref="D145:F145"/>
    <mergeCell ref="G145:H145"/>
    <mergeCell ref="I145:J145"/>
    <mergeCell ref="O158:Q158"/>
    <mergeCell ref="B151:B154"/>
    <mergeCell ref="B155:C155"/>
    <mergeCell ref="B156:C156"/>
    <mergeCell ref="B158:C159"/>
    <mergeCell ref="D158:F158"/>
    <mergeCell ref="G158:H158"/>
    <mergeCell ref="B139:C139"/>
    <mergeCell ref="B140:C140"/>
    <mergeCell ref="AA137:AB137"/>
    <mergeCell ref="AC137:AD137"/>
    <mergeCell ref="AE137:AF137"/>
    <mergeCell ref="AG137:AH137"/>
    <mergeCell ref="AI137:AJ137"/>
    <mergeCell ref="AK137:AL137"/>
    <mergeCell ref="K145:L145"/>
    <mergeCell ref="M145:N145"/>
    <mergeCell ref="O145:O146"/>
    <mergeCell ref="P145:P146"/>
    <mergeCell ref="AO136:AQ136"/>
    <mergeCell ref="AR136:AR138"/>
    <mergeCell ref="AS136:AS138"/>
    <mergeCell ref="G137:H137"/>
    <mergeCell ref="I137:J137"/>
    <mergeCell ref="K137:L137"/>
    <mergeCell ref="M137:N137"/>
    <mergeCell ref="O137:P137"/>
    <mergeCell ref="Q137:R137"/>
    <mergeCell ref="S137:T137"/>
    <mergeCell ref="AM137:AN137"/>
    <mergeCell ref="AO137:AO138"/>
    <mergeCell ref="AP137:AP138"/>
    <mergeCell ref="AQ137:AQ138"/>
    <mergeCell ref="B127:C127"/>
    <mergeCell ref="B128:B134"/>
    <mergeCell ref="B136:C138"/>
    <mergeCell ref="D136:F137"/>
    <mergeCell ref="G136:AN136"/>
    <mergeCell ref="U137:V137"/>
    <mergeCell ref="W137:X137"/>
    <mergeCell ref="Y137:Z137"/>
    <mergeCell ref="AA125:AB125"/>
    <mergeCell ref="AC125:AD125"/>
    <mergeCell ref="AE125:AF125"/>
    <mergeCell ref="AG125:AH125"/>
    <mergeCell ref="AI125:AI126"/>
    <mergeCell ref="AJ125:AJ126"/>
    <mergeCell ref="AI124:AL124"/>
    <mergeCell ref="AM124:AM126"/>
    <mergeCell ref="AN124:AN126"/>
    <mergeCell ref="G125:H125"/>
    <mergeCell ref="I125:J125"/>
    <mergeCell ref="K125:L125"/>
    <mergeCell ref="M125:N125"/>
    <mergeCell ref="O125:P125"/>
    <mergeCell ref="Q125:R125"/>
    <mergeCell ref="S125:T125"/>
    <mergeCell ref="AK125:AK126"/>
    <mergeCell ref="AL125:AL126"/>
    <mergeCell ref="B114:C114"/>
    <mergeCell ref="B115:B121"/>
    <mergeCell ref="B122:C122"/>
    <mergeCell ref="B124:C126"/>
    <mergeCell ref="D124:F125"/>
    <mergeCell ref="G124:AH124"/>
    <mergeCell ref="U125:V125"/>
    <mergeCell ref="W125:X125"/>
    <mergeCell ref="Y125:Z125"/>
    <mergeCell ref="AJ111:AJ113"/>
    <mergeCell ref="G112:H112"/>
    <mergeCell ref="I112:J112"/>
    <mergeCell ref="K112:L112"/>
    <mergeCell ref="M112:N112"/>
    <mergeCell ref="O112:P112"/>
    <mergeCell ref="Q112:R112"/>
    <mergeCell ref="S112:T112"/>
    <mergeCell ref="AG112:AH112"/>
    <mergeCell ref="U112:V112"/>
    <mergeCell ref="W112:X112"/>
    <mergeCell ref="Y112:Z112"/>
    <mergeCell ref="AA112:AB112"/>
    <mergeCell ref="AC112:AD112"/>
    <mergeCell ref="AE112:AF112"/>
    <mergeCell ref="B107:C107"/>
    <mergeCell ref="B108:C108"/>
    <mergeCell ref="B109:C109"/>
    <mergeCell ref="B111:C113"/>
    <mergeCell ref="D111:F112"/>
    <mergeCell ref="B103:C105"/>
    <mergeCell ref="D103:F104"/>
    <mergeCell ref="G111:AH111"/>
    <mergeCell ref="AI111:AI113"/>
    <mergeCell ref="B91:C91"/>
    <mergeCell ref="B92:C92"/>
    <mergeCell ref="B93:C93"/>
    <mergeCell ref="G103:N103"/>
    <mergeCell ref="G104:H104"/>
    <mergeCell ref="I104:J104"/>
    <mergeCell ref="K104:L104"/>
    <mergeCell ref="M104:N104"/>
    <mergeCell ref="B106:C106"/>
    <mergeCell ref="B101:C101"/>
    <mergeCell ref="B100:C100"/>
    <mergeCell ref="B99:C99"/>
    <mergeCell ref="B98:C98"/>
    <mergeCell ref="S88:T88"/>
    <mergeCell ref="U88:V88"/>
    <mergeCell ref="G87:L87"/>
    <mergeCell ref="M87:R87"/>
    <mergeCell ref="S87:X87"/>
    <mergeCell ref="Y87:AB87"/>
    <mergeCell ref="AC87:AD88"/>
    <mergeCell ref="B90:C90"/>
    <mergeCell ref="G88:H88"/>
    <mergeCell ref="I88:J88"/>
    <mergeCell ref="K88:L88"/>
    <mergeCell ref="M88:N88"/>
    <mergeCell ref="O88:P88"/>
    <mergeCell ref="R57:R58"/>
    <mergeCell ref="B84:C84"/>
    <mergeCell ref="B85:C85"/>
    <mergeCell ref="B87:C89"/>
    <mergeCell ref="D87:F88"/>
    <mergeCell ref="B71:B72"/>
    <mergeCell ref="B73:C73"/>
    <mergeCell ref="B74:C74"/>
    <mergeCell ref="B75:B76"/>
    <mergeCell ref="B77:B78"/>
    <mergeCell ref="B79:C79"/>
    <mergeCell ref="Q88:R88"/>
    <mergeCell ref="B28:C28"/>
    <mergeCell ref="B29:C29"/>
    <mergeCell ref="B30:C30"/>
    <mergeCell ref="B38:B44"/>
    <mergeCell ref="B45:B46"/>
    <mergeCell ref="B47:B48"/>
    <mergeCell ref="B49:C49"/>
    <mergeCell ref="B50:C50"/>
    <mergeCell ref="B51:B52"/>
    <mergeCell ref="B35:C35"/>
    <mergeCell ref="B36:C36"/>
    <mergeCell ref="B37:C37"/>
    <mergeCell ref="AE87:AE89"/>
    <mergeCell ref="AF87:AF89"/>
    <mergeCell ref="W88:X88"/>
    <mergeCell ref="Y88:AB88"/>
    <mergeCell ref="B31:C31"/>
    <mergeCell ref="B33:C34"/>
    <mergeCell ref="D33:D34"/>
    <mergeCell ref="E33:Q33"/>
    <mergeCell ref="R33:R34"/>
    <mergeCell ref="S33:S34"/>
    <mergeCell ref="T33:T34"/>
    <mergeCell ref="U33:U34"/>
    <mergeCell ref="V33:V34"/>
    <mergeCell ref="S57:S58"/>
    <mergeCell ref="B59:C59"/>
    <mergeCell ref="B60:C60"/>
    <mergeCell ref="B61:C61"/>
    <mergeCell ref="B62:B68"/>
    <mergeCell ref="B69:B70"/>
    <mergeCell ref="B53:B54"/>
    <mergeCell ref="B55:C55"/>
    <mergeCell ref="B57:C58"/>
    <mergeCell ref="D57:D58"/>
    <mergeCell ref="E57:Q57"/>
    <mergeCell ref="B6:Q6"/>
    <mergeCell ref="B9:C10"/>
    <mergeCell ref="D9:D10"/>
    <mergeCell ref="E9:N9"/>
    <mergeCell ref="O9:O10"/>
    <mergeCell ref="P9:P10"/>
    <mergeCell ref="Q9:Q10"/>
    <mergeCell ref="B16:C17"/>
    <mergeCell ref="D16:D17"/>
    <mergeCell ref="E16:E17"/>
    <mergeCell ref="F16:F17"/>
    <mergeCell ref="G16:G17"/>
    <mergeCell ref="B18:C18"/>
    <mergeCell ref="R9:R10"/>
    <mergeCell ref="S9:S10"/>
    <mergeCell ref="B11:C11"/>
    <mergeCell ref="B12:C12"/>
    <mergeCell ref="B13:C13"/>
    <mergeCell ref="B14:C14"/>
    <mergeCell ref="B25:C25"/>
    <mergeCell ref="K96:L96"/>
    <mergeCell ref="I96:J96"/>
    <mergeCell ref="G96:H96"/>
    <mergeCell ref="S95:X95"/>
    <mergeCell ref="D95:F96"/>
    <mergeCell ref="B95:C97"/>
    <mergeCell ref="G95:L95"/>
    <mergeCell ref="M95:R95"/>
    <mergeCell ref="B19:C19"/>
    <mergeCell ref="B20:C20"/>
    <mergeCell ref="B21:C21"/>
    <mergeCell ref="B22:C22"/>
    <mergeCell ref="B23:C23"/>
    <mergeCell ref="B24:C24"/>
    <mergeCell ref="B26:C26"/>
    <mergeCell ref="B27:C27"/>
    <mergeCell ref="AE95:AE97"/>
    <mergeCell ref="AF95:AF97"/>
    <mergeCell ref="M96:N96"/>
    <mergeCell ref="O96:P96"/>
    <mergeCell ref="Q96:R96"/>
    <mergeCell ref="S96:T96"/>
    <mergeCell ref="U96:V96"/>
    <mergeCell ref="W96:X96"/>
    <mergeCell ref="Y96:AB96"/>
    <mergeCell ref="AC96:AD96"/>
    <mergeCell ref="Y95:AD95"/>
    <mergeCell ref="U333:V334"/>
    <mergeCell ref="R158:R159"/>
    <mergeCell ref="S158:S159"/>
    <mergeCell ref="O184:P184"/>
    <mergeCell ref="Q184:R184"/>
    <mergeCell ref="S184:T184"/>
    <mergeCell ref="U184:V184"/>
    <mergeCell ref="W184:X184"/>
    <mergeCell ref="Y184:Z184"/>
    <mergeCell ref="Q171:Q172"/>
    <mergeCell ref="R171:R172"/>
    <mergeCell ref="O171:P171"/>
  </mergeCells>
  <dataValidations count="2">
    <dataValidation type="whole" allowBlank="1" showInputMessage="1" showErrorMessage="1" sqref="D354:F360 D362:D363 AO354:AP356 G356:AN356 G360:AP360 H363:H364 I364:K364 E363:G363 M363:P364 L362:L363 Q362" xr:uid="{00000000-0002-0000-0500-000000000000}">
      <formula1>0</formula1>
      <formula2>1E+30</formula2>
    </dataValidation>
    <dataValidation type="whole" operator="greaterThanOrEqual" allowBlank="1" showInputMessage="1" showErrorMessage="1" sqref="E11:S14 D18:G31 G234:AY278 E60:S79 C82 E85:F85 G106:N109 G114:AJ122 G139:AS143 G127:AN134 G147:P149 G160:S162 G164:S167 G151:P154 G173:R175 G186:AX230 F336:V337 G283:AP286 G292:AW309 G314:AX324 G329:AL331 G342:AN351 G357:AP359 D365:Q369 G98:AF101 G90:AF93 G177:R180 E36:V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S197"/>
  <sheetViews>
    <sheetView showGridLines="0" workbookViewId="0"/>
  </sheetViews>
  <sheetFormatPr baseColWidth="10" defaultColWidth="11.44140625" defaultRowHeight="14.4" x14ac:dyDescent="0.3"/>
  <cols>
    <col min="1" max="1" width="17.109375" customWidth="1"/>
    <col min="2" max="2" width="48.109375" customWidth="1"/>
    <col min="3" max="3" width="32.109375" customWidth="1"/>
    <col min="4" max="5" width="18.88671875" customWidth="1"/>
    <col min="6" max="6" width="17.109375" customWidth="1"/>
    <col min="7" max="7" width="13.88671875" customWidth="1"/>
    <col min="8" max="8" width="14.109375" customWidth="1"/>
    <col min="9" max="9" width="13.44140625" customWidth="1"/>
    <col min="10" max="10" width="12.109375" customWidth="1"/>
    <col min="11" max="11" width="12.33203125" customWidth="1"/>
    <col min="12" max="12" width="13.44140625" customWidth="1"/>
    <col min="13" max="14" width="12" customWidth="1"/>
    <col min="19" max="46" width="11.44140625" customWidth="1"/>
    <col min="47" max="47" width="11" customWidth="1"/>
    <col min="48" max="75" width="11.44140625" customWidth="1"/>
    <col min="76" max="92" width="11.44140625" hidden="1" customWidth="1"/>
    <col min="93" max="93" width="12.109375" hidden="1" customWidth="1"/>
    <col min="94" max="96" width="12.109375" customWidth="1"/>
    <col min="97" max="97" width="12.33203125" customWidth="1"/>
    <col min="98" max="149" width="11.44140625" customWidth="1"/>
  </cols>
  <sheetData>
    <row r="1" spans="1:123" x14ac:dyDescent="0.3">
      <c r="B1" s="774" t="s">
        <v>3879</v>
      </c>
    </row>
    <row r="2" spans="1:123" x14ac:dyDescent="0.3">
      <c r="B2" s="774" t="str">
        <f>CONCATENATE("COMUNA: ",NOMBRE!B2," - ","( ",NOMBRE!C2,NOMBRE!D2,NOMBRE!E2,NOMBRE!F2,NOMBRE!G2," )")</f>
        <v>COMUNA:  - (  )</v>
      </c>
    </row>
    <row r="3" spans="1:123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23" x14ac:dyDescent="0.3">
      <c r="B4" s="774" t="str">
        <f>CONCATENATE("MES: ",NOMBRE!B6," - ","( ",NOMBRE!C6,NOMBRE!D6," )")</f>
        <v>MES:  - (  )</v>
      </c>
    </row>
    <row r="5" spans="1:123" x14ac:dyDescent="0.3">
      <c r="B5" s="774" t="str">
        <f>CONCATENATE("AÑO: ",NOMBRE!B7)</f>
        <v>AÑO: 2024</v>
      </c>
    </row>
    <row r="6" spans="1:123" s="2497" customFormat="1" ht="18" customHeight="1" x14ac:dyDescent="0.25">
      <c r="B6" s="7028" t="s">
        <v>64</v>
      </c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7028"/>
      <c r="R6" s="7028"/>
      <c r="S6" s="7028"/>
      <c r="T6" s="7028"/>
      <c r="U6" s="7028"/>
      <c r="V6" s="7028"/>
      <c r="W6" s="7028"/>
      <c r="X6" s="702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20"/>
      <c r="AS6" s="20"/>
      <c r="AT6" s="20"/>
      <c r="AU6" s="20"/>
      <c r="AV6" s="20"/>
      <c r="CQ6" s="2498"/>
      <c r="CR6" s="2498"/>
      <c r="CS6" s="2498"/>
      <c r="CT6" s="2498"/>
      <c r="CU6" s="2498"/>
      <c r="CV6" s="2498"/>
      <c r="CW6" s="2498"/>
      <c r="CX6" s="2498"/>
      <c r="CY6" s="2498"/>
      <c r="CZ6" s="2498"/>
      <c r="DA6" s="2498"/>
      <c r="DB6" s="2498"/>
      <c r="DC6" s="2498"/>
      <c r="DD6" s="2498"/>
      <c r="DE6" s="2498"/>
      <c r="DF6" s="2498"/>
      <c r="DG6" s="2498"/>
      <c r="DH6" s="2498"/>
      <c r="DI6" s="2498"/>
      <c r="DJ6" s="2498"/>
      <c r="DK6" s="2498"/>
      <c r="DL6" s="2498"/>
      <c r="DM6" s="2498"/>
      <c r="DN6" s="2498"/>
      <c r="DO6" s="2498"/>
      <c r="DP6" s="2498"/>
      <c r="DQ6" s="2498"/>
      <c r="DR6" s="2498"/>
      <c r="DS6" s="2498"/>
    </row>
    <row r="8" spans="1:123" s="17" customFormat="1" ht="18" customHeight="1" x14ac:dyDescent="0.25">
      <c r="B8" s="49" t="s">
        <v>65</v>
      </c>
      <c r="C8" s="7"/>
      <c r="D8" s="7"/>
      <c r="E8" s="7"/>
      <c r="F8" s="7"/>
      <c r="G8" s="7"/>
      <c r="H8" s="7"/>
      <c r="I8" s="7"/>
      <c r="J8" s="7"/>
      <c r="K8" s="7"/>
      <c r="L8" s="50"/>
      <c r="M8" s="7"/>
      <c r="N8" s="7"/>
      <c r="O8" s="7"/>
      <c r="P8" s="19"/>
      <c r="Q8" s="19"/>
      <c r="R8" s="19"/>
      <c r="S8" s="19"/>
      <c r="T8" s="19"/>
      <c r="U8" s="19"/>
      <c r="V8" s="19"/>
      <c r="W8" s="50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6"/>
      <c r="AR8" s="16"/>
      <c r="AS8" s="16"/>
      <c r="AT8" s="16"/>
      <c r="AU8" s="16"/>
      <c r="AV8" s="16"/>
      <c r="AW8" s="15"/>
    </row>
    <row r="9" spans="1:123" x14ac:dyDescent="0.3">
      <c r="B9" s="7029" t="s">
        <v>58</v>
      </c>
      <c r="C9" s="7029" t="s">
        <v>61</v>
      </c>
      <c r="D9" s="7032" t="s">
        <v>59</v>
      </c>
      <c r="E9" s="7033"/>
      <c r="F9" s="7034"/>
      <c r="G9" s="7037" t="s">
        <v>66</v>
      </c>
      <c r="H9" s="7038"/>
      <c r="I9" s="7038"/>
      <c r="J9" s="7038"/>
      <c r="K9" s="7038"/>
      <c r="L9" s="7038"/>
      <c r="M9" s="7038"/>
      <c r="N9" s="7038"/>
      <c r="O9" s="7038"/>
      <c r="P9" s="7038"/>
      <c r="Q9" s="7038"/>
      <c r="R9" s="7038"/>
      <c r="S9" s="7038"/>
      <c r="T9" s="7038"/>
      <c r="U9" s="7038"/>
      <c r="V9" s="7038"/>
      <c r="W9" s="7038"/>
      <c r="X9" s="7038"/>
      <c r="Y9" s="7038"/>
      <c r="Z9" s="7038"/>
      <c r="AA9" s="7038"/>
      <c r="AB9" s="7038"/>
      <c r="AC9" s="7038"/>
      <c r="AD9" s="7038"/>
      <c r="AE9" s="7038"/>
      <c r="AF9" s="7038"/>
      <c r="AG9" s="7038"/>
      <c r="AH9" s="7038"/>
      <c r="AI9" s="7038"/>
      <c r="AJ9" s="7038"/>
      <c r="AK9" s="7038"/>
      <c r="AL9" s="7038"/>
      <c r="AM9" s="7038"/>
      <c r="AN9" s="7039"/>
      <c r="AO9" s="7034" t="s">
        <v>67</v>
      </c>
      <c r="AP9" s="7034" t="s">
        <v>49</v>
      </c>
      <c r="AQ9" s="7034" t="s">
        <v>45</v>
      </c>
      <c r="AR9" s="7034" t="s">
        <v>2</v>
      </c>
      <c r="AS9" s="7034" t="s">
        <v>3</v>
      </c>
      <c r="AT9" s="7034" t="s">
        <v>68</v>
      </c>
      <c r="AU9" s="7050" t="s">
        <v>69</v>
      </c>
      <c r="AV9" s="7051"/>
    </row>
    <row r="10" spans="1:123" x14ac:dyDescent="0.3">
      <c r="B10" s="7030"/>
      <c r="C10" s="7030"/>
      <c r="D10" s="7035"/>
      <c r="E10" s="6829"/>
      <c r="F10" s="7036"/>
      <c r="G10" s="7037" t="s">
        <v>36</v>
      </c>
      <c r="H10" s="7040"/>
      <c r="I10" s="7037" t="s">
        <v>37</v>
      </c>
      <c r="J10" s="7040"/>
      <c r="K10" s="7037" t="s">
        <v>38</v>
      </c>
      <c r="L10" s="7040"/>
      <c r="M10" s="7037" t="s">
        <v>4</v>
      </c>
      <c r="N10" s="7040"/>
      <c r="O10" s="7037" t="s">
        <v>5</v>
      </c>
      <c r="P10" s="7040"/>
      <c r="Q10" s="7041" t="s">
        <v>6</v>
      </c>
      <c r="R10" s="7049"/>
      <c r="S10" s="7041" t="s">
        <v>7</v>
      </c>
      <c r="T10" s="7049"/>
      <c r="U10" s="7041" t="s">
        <v>8</v>
      </c>
      <c r="V10" s="7049"/>
      <c r="W10" s="7041" t="s">
        <v>9</v>
      </c>
      <c r="X10" s="7049"/>
      <c r="Y10" s="7041" t="s">
        <v>10</v>
      </c>
      <c r="Z10" s="7049"/>
      <c r="AA10" s="7041" t="s">
        <v>11</v>
      </c>
      <c r="AB10" s="7049"/>
      <c r="AC10" s="7041" t="s">
        <v>18</v>
      </c>
      <c r="AD10" s="7049"/>
      <c r="AE10" s="7041" t="s">
        <v>19</v>
      </c>
      <c r="AF10" s="7049"/>
      <c r="AG10" s="7041" t="s">
        <v>20</v>
      </c>
      <c r="AH10" s="7049"/>
      <c r="AI10" s="7041" t="s">
        <v>70</v>
      </c>
      <c r="AJ10" s="7049"/>
      <c r="AK10" s="7041" t="s">
        <v>71</v>
      </c>
      <c r="AL10" s="7049"/>
      <c r="AM10" s="7041" t="s">
        <v>72</v>
      </c>
      <c r="AN10" s="7042"/>
      <c r="AO10" s="6831"/>
      <c r="AP10" s="6831"/>
      <c r="AQ10" s="6831"/>
      <c r="AR10" s="6831"/>
      <c r="AS10" s="6831"/>
      <c r="AT10" s="6831"/>
      <c r="AU10" s="7043" t="s">
        <v>41</v>
      </c>
      <c r="AV10" s="7044" t="s">
        <v>42</v>
      </c>
    </row>
    <row r="11" spans="1:123" ht="22.5" customHeight="1" x14ac:dyDescent="0.3">
      <c r="B11" s="7031"/>
      <c r="C11" s="7031"/>
      <c r="D11" s="4807" t="s">
        <v>26</v>
      </c>
      <c r="E11" s="4808" t="s">
        <v>22</v>
      </c>
      <c r="F11" s="2560" t="s">
        <v>27</v>
      </c>
      <c r="G11" s="4809" t="s">
        <v>22</v>
      </c>
      <c r="H11" s="2560" t="s">
        <v>27</v>
      </c>
      <c r="I11" s="4809" t="s">
        <v>22</v>
      </c>
      <c r="J11" s="2560" t="s">
        <v>27</v>
      </c>
      <c r="K11" s="4809" t="s">
        <v>22</v>
      </c>
      <c r="L11" s="2560" t="s">
        <v>27</v>
      </c>
      <c r="M11" s="4809" t="s">
        <v>22</v>
      </c>
      <c r="N11" s="2560" t="s">
        <v>27</v>
      </c>
      <c r="O11" s="4809" t="s">
        <v>22</v>
      </c>
      <c r="P11" s="2560" t="s">
        <v>27</v>
      </c>
      <c r="Q11" s="4809" t="s">
        <v>22</v>
      </c>
      <c r="R11" s="2560" t="s">
        <v>27</v>
      </c>
      <c r="S11" s="4809" t="s">
        <v>22</v>
      </c>
      <c r="T11" s="2560" t="s">
        <v>27</v>
      </c>
      <c r="U11" s="4809" t="s">
        <v>22</v>
      </c>
      <c r="V11" s="2560" t="s">
        <v>27</v>
      </c>
      <c r="W11" s="4809" t="s">
        <v>22</v>
      </c>
      <c r="X11" s="2560" t="s">
        <v>27</v>
      </c>
      <c r="Y11" s="4809" t="s">
        <v>22</v>
      </c>
      <c r="Z11" s="2560" t="s">
        <v>27</v>
      </c>
      <c r="AA11" s="4809" t="s">
        <v>22</v>
      </c>
      <c r="AB11" s="2560" t="s">
        <v>27</v>
      </c>
      <c r="AC11" s="4809" t="s">
        <v>22</v>
      </c>
      <c r="AD11" s="2560" t="s">
        <v>27</v>
      </c>
      <c r="AE11" s="4809" t="s">
        <v>22</v>
      </c>
      <c r="AF11" s="2560" t="s">
        <v>27</v>
      </c>
      <c r="AG11" s="4809" t="s">
        <v>22</v>
      </c>
      <c r="AH11" s="2560" t="s">
        <v>27</v>
      </c>
      <c r="AI11" s="4809" t="s">
        <v>22</v>
      </c>
      <c r="AJ11" s="2560" t="s">
        <v>27</v>
      </c>
      <c r="AK11" s="4809" t="s">
        <v>22</v>
      </c>
      <c r="AL11" s="2560" t="s">
        <v>27</v>
      </c>
      <c r="AM11" s="4809" t="s">
        <v>22</v>
      </c>
      <c r="AN11" s="44" t="s">
        <v>27</v>
      </c>
      <c r="AO11" s="7036"/>
      <c r="AP11" s="7036"/>
      <c r="AQ11" s="7036"/>
      <c r="AR11" s="7036"/>
      <c r="AS11" s="7036"/>
      <c r="AT11" s="7036"/>
      <c r="AU11" s="7043"/>
      <c r="AV11" s="7044"/>
    </row>
    <row r="12" spans="1:123" ht="15" customHeight="1" x14ac:dyDescent="0.3">
      <c r="A12" s="6234" t="s">
        <v>4532</v>
      </c>
      <c r="B12" s="7045" t="s">
        <v>73</v>
      </c>
      <c r="C12" s="4810" t="s">
        <v>74</v>
      </c>
      <c r="D12" s="4811" t="s">
        <v>5292</v>
      </c>
      <c r="E12" s="4812" t="s">
        <v>5293</v>
      </c>
      <c r="F12" s="4813" t="s">
        <v>5294</v>
      </c>
      <c r="G12" s="4814" t="s">
        <v>5295</v>
      </c>
      <c r="H12" s="4815" t="s">
        <v>5296</v>
      </c>
      <c r="I12" s="4814" t="s">
        <v>5297</v>
      </c>
      <c r="J12" s="4815" t="s">
        <v>5298</v>
      </c>
      <c r="K12" s="4814" t="s">
        <v>5299</v>
      </c>
      <c r="L12" s="4816" t="s">
        <v>5300</v>
      </c>
      <c r="M12" s="4814" t="s">
        <v>5301</v>
      </c>
      <c r="N12" s="4816" t="s">
        <v>5302</v>
      </c>
      <c r="O12" s="4814" t="s">
        <v>5303</v>
      </c>
      <c r="P12" s="4816" t="s">
        <v>5304</v>
      </c>
      <c r="Q12" s="4814" t="s">
        <v>5305</v>
      </c>
      <c r="R12" s="4816" t="s">
        <v>5306</v>
      </c>
      <c r="S12" s="4814" t="s">
        <v>5307</v>
      </c>
      <c r="T12" s="4816" t="s">
        <v>5308</v>
      </c>
      <c r="U12" s="4814" t="s">
        <v>5309</v>
      </c>
      <c r="V12" s="4816" t="s">
        <v>5310</v>
      </c>
      <c r="W12" s="4814" t="s">
        <v>5311</v>
      </c>
      <c r="X12" s="4816" t="s">
        <v>5312</v>
      </c>
      <c r="Y12" s="4814" t="s">
        <v>5313</v>
      </c>
      <c r="Z12" s="4816" t="s">
        <v>5314</v>
      </c>
      <c r="AA12" s="4814" t="s">
        <v>5315</v>
      </c>
      <c r="AB12" s="4816" t="s">
        <v>5316</v>
      </c>
      <c r="AC12" s="4814" t="s">
        <v>5317</v>
      </c>
      <c r="AD12" s="4816" t="s">
        <v>5318</v>
      </c>
      <c r="AE12" s="4814" t="s">
        <v>5319</v>
      </c>
      <c r="AF12" s="4816" t="s">
        <v>5320</v>
      </c>
      <c r="AG12" s="4814" t="s">
        <v>5321</v>
      </c>
      <c r="AH12" s="4816" t="s">
        <v>5322</v>
      </c>
      <c r="AI12" s="4814" t="s">
        <v>5323</v>
      </c>
      <c r="AJ12" s="4816" t="s">
        <v>5324</v>
      </c>
      <c r="AK12" s="4814" t="s">
        <v>5325</v>
      </c>
      <c r="AL12" s="4816" t="s">
        <v>5326</v>
      </c>
      <c r="AM12" s="4817" t="s">
        <v>5327</v>
      </c>
      <c r="AN12" s="4818" t="s">
        <v>5328</v>
      </c>
      <c r="AO12" s="4815" t="s">
        <v>5329</v>
      </c>
      <c r="AP12" s="4815" t="s">
        <v>5330</v>
      </c>
      <c r="AQ12" s="4815" t="s">
        <v>5331</v>
      </c>
      <c r="AR12" s="4815" t="s">
        <v>5332</v>
      </c>
      <c r="AS12" s="4815" t="s">
        <v>5333</v>
      </c>
      <c r="AT12" s="4815" t="s">
        <v>5334</v>
      </c>
      <c r="AU12" s="5734" t="s">
        <v>5335</v>
      </c>
      <c r="AV12" s="5735" t="s">
        <v>5336</v>
      </c>
      <c r="AW12" t="str">
        <f>BX12&amp;BY12&amp;BZ12&amp;CA12&amp;CB12&amp;CC12&amp;CD12&amp;CE12</f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2" s="1723" t="str">
        <f>IF(AND(D12&gt;0,AO12="")," * No olvide digitar la variable Beneficiarios. Digite Cero si no tiene.",IF(AO12&gt;D12," * La variable Beneficiarios No puede ser mayor al Total.",""))</f>
        <v xml:space="preserve"> * La variable Beneficiarios No puede ser mayor al Total.</v>
      </c>
      <c r="BY12" s="1723" t="str">
        <f>IF(AND(D12&gt;0,AP12="")," * No olvide digitar la variable Niños, Niñas, adolescentes y Jóvenes SENAME. Digite Cero si no tiene.",IF(AP12&gt;D12," * La variable Niños, Niñas, adolescentes y Jóvenes SENAME No puede ser mayor al Total.",""))</f>
        <v xml:space="preserve"> * La variable Niños, Niñas, adolescentes y Jóvenes SENAME No puede ser mayor al Total.</v>
      </c>
      <c r="BZ12" s="1723" t="str">
        <f>IF(AND(D12&gt;0,AQ12="")," * No olvide digitar la variable Niños, Niñas, adolescentes y Jóvenes Mejor Niñez. Digite Cero si no tiene.",IF(AQ12&gt;D12," * La variable Niños, Niñas, adolescentes y Jóvenes Mejor Niñez No puede ser mayor al Total.",""))</f>
        <v xml:space="preserve"> * La variable Niños, Niñas, adolescentes y Jóvenes Mejor Niñez No puede ser mayor al Total.</v>
      </c>
      <c r="CA12" s="1723" t="str">
        <f>IF(AND(D12&gt;0,AR12="")," * No olvide digitar la variable Pueblos originarios. Digite Cero si no tiene.",IF(AR12&gt;D12," * La variable Pueblos Originarios No puede ser mayor al Total.",""))</f>
        <v xml:space="preserve"> * La variable Pueblos Originarios No puede ser mayor al Total.</v>
      </c>
      <c r="CB12" s="1723" t="str">
        <f>IF(AND(D12&gt;0,AS12="")," * No olvide digitar la variable Migrantes. Digite Cero si no tiene.",IF(AS12&gt;D12," * La variable Migrantes No puede ser mayor al Total.",""))</f>
        <v xml:space="preserve"> * La variable Migrantes No puede ser mayor al Total.</v>
      </c>
      <c r="CC12" s="1723" t="str">
        <f>IF(AND(D12&gt;0,AT12="")," * No olvide digitar la variable Demencia. Digite Cero si no tiene.",IF(AT12&gt;D12," * La variable Demencia No puede ser mayor al Total.",""))</f>
        <v xml:space="preserve"> * La variable Demencia No puede ser mayor al Total.</v>
      </c>
      <c r="CD12" s="1723" t="str">
        <f>IF(AND(F12&gt;0,OR(AU12=""))," * No olvide digitar la variable Trans (Masculino). Digite Cero si no tiene.",IF((AU12)&gt;F12," * La variable Trans (Masculino) No puede ser mayor al Total Mujeres.",""))</f>
        <v xml:space="preserve"> * La variable Trans (Masculino) No puede ser mayor al Total Mujeres.</v>
      </c>
      <c r="CE12" s="1723" t="str">
        <f>IF(AND(E12&gt;0,OR(AV12=""))," * No olvide digitar la variable Trans (Femenino). Digite Cero si no tiene.",IF((AV12)&gt;E12," * La variable Trans (Femenino) No puede ser mayor al Total Hombres.",""))</f>
        <v xml:space="preserve"> * La variable Trans (Femenino) No puede ser mayor al Total Hombres.</v>
      </c>
      <c r="CG12" s="1725">
        <f>IF(AND(D12&gt;0,AO12=""),1,IF(AO12&gt;D12,1,0))</f>
        <v>1</v>
      </c>
      <c r="CH12" s="1725">
        <f>IF(AND(D12&gt;0,AP12=""),1,IF(AP12&gt;D12,1,0))</f>
        <v>1</v>
      </c>
      <c r="CI12" s="1725">
        <f>IF(AND(D12&gt;0,AQ12=""),1,IF(AQ12&gt;D12,1,0))</f>
        <v>1</v>
      </c>
      <c r="CJ12" s="1725">
        <f>IF(AND(D12&gt;0,AR12=""),1,IF(AR12&gt;D12,1,0))</f>
        <v>1</v>
      </c>
      <c r="CK12" s="1725">
        <f>IF(AND(D12&gt;0,AS12=""),1,IF(AS12&gt;D12,1,0))</f>
        <v>1</v>
      </c>
      <c r="CL12" s="1725">
        <f>IF(AND(D12&gt;0,AT12=""),1,IF(AT12&gt;D12,1,0))</f>
        <v>1</v>
      </c>
      <c r="CM12" s="1725">
        <f>IF(AND(F12&gt;0,OR(AU12="")),1,IF((AU12)&gt;F12,1,0))</f>
        <v>1</v>
      </c>
      <c r="CN12" s="1725">
        <f>IF(AND(E12&gt;0,OR(AV12="")),1,IF((AV12)&gt;E12,1,0))</f>
        <v>1</v>
      </c>
    </row>
    <row r="13" spans="1:123" ht="15" customHeight="1" x14ac:dyDescent="0.3">
      <c r="A13" s="6234" t="s">
        <v>4533</v>
      </c>
      <c r="B13" s="6925"/>
      <c r="C13" s="4819" t="s">
        <v>75</v>
      </c>
      <c r="D13" s="1554" t="s">
        <v>5292</v>
      </c>
      <c r="E13" s="4820" t="s">
        <v>5293</v>
      </c>
      <c r="F13" s="4821" t="s">
        <v>5294</v>
      </c>
      <c r="G13" s="1095" t="s">
        <v>5295</v>
      </c>
      <c r="H13" s="3930" t="s">
        <v>5296</v>
      </c>
      <c r="I13" s="1095" t="s">
        <v>5297</v>
      </c>
      <c r="J13" s="3930" t="s">
        <v>5298</v>
      </c>
      <c r="K13" s="1095" t="s">
        <v>5299</v>
      </c>
      <c r="L13" s="1099" t="s">
        <v>5300</v>
      </c>
      <c r="M13" s="1095" t="s">
        <v>5301</v>
      </c>
      <c r="N13" s="1099" t="s">
        <v>5302</v>
      </c>
      <c r="O13" s="1095" t="s">
        <v>5303</v>
      </c>
      <c r="P13" s="1099" t="s">
        <v>5304</v>
      </c>
      <c r="Q13" s="1095" t="s">
        <v>5305</v>
      </c>
      <c r="R13" s="1099" t="s">
        <v>5306</v>
      </c>
      <c r="S13" s="1095" t="s">
        <v>5307</v>
      </c>
      <c r="T13" s="1099" t="s">
        <v>5308</v>
      </c>
      <c r="U13" s="1095" t="s">
        <v>5309</v>
      </c>
      <c r="V13" s="1099" t="s">
        <v>5310</v>
      </c>
      <c r="W13" s="1095" t="s">
        <v>5311</v>
      </c>
      <c r="X13" s="1099" t="s">
        <v>5312</v>
      </c>
      <c r="Y13" s="1095" t="s">
        <v>5313</v>
      </c>
      <c r="Z13" s="1099" t="s">
        <v>5314</v>
      </c>
      <c r="AA13" s="1095" t="s">
        <v>5315</v>
      </c>
      <c r="AB13" s="1099" t="s">
        <v>5316</v>
      </c>
      <c r="AC13" s="1095" t="s">
        <v>5317</v>
      </c>
      <c r="AD13" s="1099" t="s">
        <v>5318</v>
      </c>
      <c r="AE13" s="1095" t="s">
        <v>5319</v>
      </c>
      <c r="AF13" s="1099" t="s">
        <v>5320</v>
      </c>
      <c r="AG13" s="1095" t="s">
        <v>5321</v>
      </c>
      <c r="AH13" s="1099" t="s">
        <v>5322</v>
      </c>
      <c r="AI13" s="1095" t="s">
        <v>5323</v>
      </c>
      <c r="AJ13" s="1099" t="s">
        <v>5324</v>
      </c>
      <c r="AK13" s="1095" t="s">
        <v>5325</v>
      </c>
      <c r="AL13" s="1099" t="s">
        <v>5326</v>
      </c>
      <c r="AM13" s="4392" t="s">
        <v>5327</v>
      </c>
      <c r="AN13" s="1100" t="s">
        <v>5328</v>
      </c>
      <c r="AO13" s="3930" t="s">
        <v>5329</v>
      </c>
      <c r="AP13" s="3930" t="s">
        <v>5330</v>
      </c>
      <c r="AQ13" s="3930" t="s">
        <v>5331</v>
      </c>
      <c r="AR13" s="3930" t="s">
        <v>5332</v>
      </c>
      <c r="AS13" s="3930" t="s">
        <v>5333</v>
      </c>
      <c r="AT13" s="3930" t="s">
        <v>5334</v>
      </c>
      <c r="AU13" s="3929" t="s">
        <v>5335</v>
      </c>
      <c r="AV13" s="3944" t="s">
        <v>5336</v>
      </c>
      <c r="AW13" t="str">
        <f t="shared" ref="AW13:AW26" si="0">BX13&amp;BY13&amp;BZ13&amp;CA13&amp;CB13&amp;CC13&amp;CD13&amp;CE13</f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3" s="1723" t="str">
        <f t="shared" ref="BX13:BX21" si="1">IF(AND(D13&gt;0,AO13="")," * No olvide digitar la variable Beneficiarios. Digite Cero si no tiene.",IF(AO13&gt;D13," * La variable Beneficiarios No puede ser mayor al Total.",""))</f>
        <v xml:space="preserve"> * La variable Beneficiarios No puede ser mayor al Total.</v>
      </c>
      <c r="BY13" s="1723" t="str">
        <f t="shared" ref="BY13:BY21" si="2">IF(AND(D13&gt;0,AP13="")," * No olvide digitar la variable Niños, Niñas, adolescentes y Jóvenes SENAME. Digite Cero si no tiene.",IF(AP13&gt;D13," * La variable Niños, Niñas, adolescentes y Jóvenes SENAME No puede ser mayor al Total.",""))</f>
        <v xml:space="preserve"> * La variable Niños, Niñas, adolescentes y Jóvenes SENAME No puede ser mayor al Total.</v>
      </c>
      <c r="BZ13" s="1723" t="str">
        <f t="shared" ref="BZ13:BZ21" si="3">IF(AND(D13&gt;0,AQ13="")," * No olvide digitar la variable Niños, Niñas, adolescentes y Jóvenes Mejor Niñez. Digite Cero si no tiene.",IF(AQ13&gt;D13," * La variable Niños, Niñas, adolescentes y Jóvenes Mejor Niñez No puede ser mayor al Total.",""))</f>
        <v xml:space="preserve"> * La variable Niños, Niñas, adolescentes y Jóvenes Mejor Niñez No puede ser mayor al Total.</v>
      </c>
      <c r="CA13" s="1723" t="str">
        <f t="shared" ref="CA13:CA21" si="4">IF(AND(D13&gt;0,AR13="")," * No olvide digitar la variable Pueblos originarios. Digite Cero si no tiene.",IF(AR13&gt;D13," * La variable Pueblos Originarios No puede ser mayor al Total.",""))</f>
        <v xml:space="preserve"> * La variable Pueblos Originarios No puede ser mayor al Total.</v>
      </c>
      <c r="CB13" s="1723" t="str">
        <f t="shared" ref="CB13:CB21" si="5">IF(AND(D13&gt;0,AS13="")," * No olvide digitar la variable Migrantes. Digite Cero si no tiene.",IF(AS13&gt;D13," * La variable Migrantes No puede ser mayor al Total.",""))</f>
        <v xml:space="preserve"> * La variable Migrantes No puede ser mayor al Total.</v>
      </c>
      <c r="CC13" s="1723" t="str">
        <f t="shared" ref="CC13:CC21" si="6">IF(AND(D13&gt;0,AT13="")," * No olvide digitar la variable Demencia. Digite Cero si no tiene.",IF(AT13&gt;D13," * La variable Demencia No puede ser mayor al Total.",""))</f>
        <v xml:space="preserve"> * La variable Demencia No puede ser mayor al Total.</v>
      </c>
      <c r="CD13" s="1723" t="str">
        <f t="shared" ref="CD13:CD21" si="7">IF(AND(F13&gt;0,OR(AU13=""))," * No olvide digitar la variable Trans (Masculino). Digite Cero si no tiene.",IF((AU13)&gt;F13," * La variable Trans (Masculino) No puede ser mayor al Total Mujeres.",""))</f>
        <v xml:space="preserve"> * La variable Trans (Masculino) No puede ser mayor al Total Mujeres.</v>
      </c>
      <c r="CE13" s="1723" t="str">
        <f t="shared" ref="CE13:CE21" si="8">IF(AND(E13&gt;0,OR(AV13=""))," * No olvide digitar la variable Trans (Femenino). Digite Cero si no tiene.",IF((AV13)&gt;E13," * La variable Trans (Femenino) No puede ser mayor al Total Hombres.",""))</f>
        <v xml:space="preserve"> * La variable Trans (Femenino) No puede ser mayor al Total Hombres.</v>
      </c>
      <c r="CG13" s="1725">
        <f t="shared" ref="CG13:CG21" si="9">IF(AND(D13&gt;0,AO13=""),1,IF(AO13&gt;D13,1,0))</f>
        <v>1</v>
      </c>
      <c r="CH13" s="1725">
        <f t="shared" ref="CH13:CH21" si="10">IF(AND(D13&gt;0,AP13=""),1,IF(AP13&gt;D13,1,0))</f>
        <v>1</v>
      </c>
      <c r="CI13" s="1725">
        <f t="shared" ref="CI13:CI21" si="11">IF(AND(D13&gt;0,AQ13=""),1,IF(AQ13&gt;D13,1,0))</f>
        <v>1</v>
      </c>
      <c r="CJ13" s="1725">
        <f t="shared" ref="CJ13:CJ21" si="12">IF(AND(D13&gt;0,AR13=""),1,IF(AR13&gt;D13,1,0))</f>
        <v>1</v>
      </c>
      <c r="CK13" s="1725">
        <f t="shared" ref="CK13:CK21" si="13">IF(AND(D13&gt;0,AS13=""),1,IF(AS13&gt;D13,1,0))</f>
        <v>1</v>
      </c>
      <c r="CL13" s="1725">
        <f t="shared" ref="CL13:CL21" si="14">IF(AND(D13&gt;0,AT13=""),1,IF(AT13&gt;D13,1,0))</f>
        <v>1</v>
      </c>
      <c r="CM13" s="1725">
        <f t="shared" ref="CM13:CM21" si="15">IF(AND(F13&gt;0,OR(AU13="")),1,IF((AU13)&gt;F13,1,0))</f>
        <v>1</v>
      </c>
      <c r="CN13" s="1725">
        <f t="shared" ref="CN13:CN21" si="16">IF(AND(E13&gt;0,OR(AV13="")),1,IF((AV13)&gt;E13,1,0))</f>
        <v>1</v>
      </c>
    </row>
    <row r="14" spans="1:123" ht="15" customHeight="1" x14ac:dyDescent="0.3">
      <c r="A14" s="6234" t="s">
        <v>4534</v>
      </c>
      <c r="B14" s="6925"/>
      <c r="C14" s="4819" t="s">
        <v>76</v>
      </c>
      <c r="D14" s="1554" t="s">
        <v>5292</v>
      </c>
      <c r="E14" s="4822" t="s">
        <v>5293</v>
      </c>
      <c r="F14" s="4821" t="s">
        <v>5294</v>
      </c>
      <c r="G14" s="1095" t="s">
        <v>5295</v>
      </c>
      <c r="H14" s="3930" t="s">
        <v>5296</v>
      </c>
      <c r="I14" s="1095" t="s">
        <v>5297</v>
      </c>
      <c r="J14" s="3930" t="s">
        <v>5298</v>
      </c>
      <c r="K14" s="1095" t="s">
        <v>5299</v>
      </c>
      <c r="L14" s="1099" t="s">
        <v>5300</v>
      </c>
      <c r="M14" s="1095" t="s">
        <v>5301</v>
      </c>
      <c r="N14" s="1099" t="s">
        <v>5302</v>
      </c>
      <c r="O14" s="1095" t="s">
        <v>5303</v>
      </c>
      <c r="P14" s="1099" t="s">
        <v>5304</v>
      </c>
      <c r="Q14" s="1095" t="s">
        <v>5305</v>
      </c>
      <c r="R14" s="1099" t="s">
        <v>5306</v>
      </c>
      <c r="S14" s="1095" t="s">
        <v>5307</v>
      </c>
      <c r="T14" s="1099" t="s">
        <v>5308</v>
      </c>
      <c r="U14" s="1095" t="s">
        <v>5309</v>
      </c>
      <c r="V14" s="1099" t="s">
        <v>5310</v>
      </c>
      <c r="W14" s="1095" t="s">
        <v>5311</v>
      </c>
      <c r="X14" s="1099" t="s">
        <v>5312</v>
      </c>
      <c r="Y14" s="1095" t="s">
        <v>5313</v>
      </c>
      <c r="Z14" s="1099" t="s">
        <v>5314</v>
      </c>
      <c r="AA14" s="1095" t="s">
        <v>5315</v>
      </c>
      <c r="AB14" s="1099" t="s">
        <v>5316</v>
      </c>
      <c r="AC14" s="1095" t="s">
        <v>5317</v>
      </c>
      <c r="AD14" s="1099" t="s">
        <v>5318</v>
      </c>
      <c r="AE14" s="1095" t="s">
        <v>5319</v>
      </c>
      <c r="AF14" s="1099" t="s">
        <v>5320</v>
      </c>
      <c r="AG14" s="1095" t="s">
        <v>5321</v>
      </c>
      <c r="AH14" s="1099" t="s">
        <v>5322</v>
      </c>
      <c r="AI14" s="1095" t="s">
        <v>5323</v>
      </c>
      <c r="AJ14" s="1099" t="s">
        <v>5324</v>
      </c>
      <c r="AK14" s="1095" t="s">
        <v>5325</v>
      </c>
      <c r="AL14" s="1099" t="s">
        <v>5326</v>
      </c>
      <c r="AM14" s="4392" t="s">
        <v>5327</v>
      </c>
      <c r="AN14" s="1100" t="s">
        <v>5328</v>
      </c>
      <c r="AO14" s="3930" t="s">
        <v>5329</v>
      </c>
      <c r="AP14" s="3930" t="s">
        <v>5330</v>
      </c>
      <c r="AQ14" s="3930" t="s">
        <v>5331</v>
      </c>
      <c r="AR14" s="3930" t="s">
        <v>5332</v>
      </c>
      <c r="AS14" s="3930" t="s">
        <v>5333</v>
      </c>
      <c r="AT14" s="3930" t="s">
        <v>5334</v>
      </c>
      <c r="AU14" s="3929" t="s">
        <v>5335</v>
      </c>
      <c r="AV14" s="3944" t="s">
        <v>5336</v>
      </c>
      <c r="AW14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4" s="1723" t="str">
        <f t="shared" si="1"/>
        <v xml:space="preserve"> * La variable Beneficiarios No puede ser mayor al Total.</v>
      </c>
      <c r="BY14" s="1723" t="str">
        <f t="shared" si="2"/>
        <v xml:space="preserve"> * La variable Niños, Niñas, adolescentes y Jóvenes SENAME No puede ser mayor al Total.</v>
      </c>
      <c r="BZ14" s="1723" t="str">
        <f t="shared" si="3"/>
        <v xml:space="preserve"> * La variable Niños, Niñas, adolescentes y Jóvenes Mejor Niñez No puede ser mayor al Total.</v>
      </c>
      <c r="CA14" s="1723" t="str">
        <f t="shared" si="4"/>
        <v xml:space="preserve"> * La variable Pueblos Originarios No puede ser mayor al Total.</v>
      </c>
      <c r="CB14" s="1723" t="str">
        <f t="shared" si="5"/>
        <v xml:space="preserve"> * La variable Migrantes No puede ser mayor al Total.</v>
      </c>
      <c r="CC14" s="1723" t="str">
        <f t="shared" si="6"/>
        <v xml:space="preserve"> * La variable Demencia No puede ser mayor al Total.</v>
      </c>
      <c r="CD14" s="1723" t="str">
        <f t="shared" si="7"/>
        <v xml:space="preserve"> * La variable Trans (Masculino) No puede ser mayor al Total Mujeres.</v>
      </c>
      <c r="CE14" s="1723" t="str">
        <f t="shared" si="8"/>
        <v xml:space="preserve"> * La variable Trans (Femenino) No puede ser mayor al Total Hombres.</v>
      </c>
      <c r="CG14" s="1725">
        <f t="shared" si="9"/>
        <v>1</v>
      </c>
      <c r="CH14" s="1725">
        <f t="shared" si="10"/>
        <v>1</v>
      </c>
      <c r="CI14" s="1725">
        <f t="shared" si="11"/>
        <v>1</v>
      </c>
      <c r="CJ14" s="1725">
        <f t="shared" si="12"/>
        <v>1</v>
      </c>
      <c r="CK14" s="1725">
        <f t="shared" si="13"/>
        <v>1</v>
      </c>
      <c r="CL14" s="1725">
        <f t="shared" si="14"/>
        <v>1</v>
      </c>
      <c r="CM14" s="1725">
        <f t="shared" si="15"/>
        <v>1</v>
      </c>
      <c r="CN14" s="1725">
        <f t="shared" si="16"/>
        <v>1</v>
      </c>
    </row>
    <row r="15" spans="1:123" ht="15" customHeight="1" x14ac:dyDescent="0.3">
      <c r="A15" s="6234" t="s">
        <v>4535</v>
      </c>
      <c r="B15" s="6925"/>
      <c r="C15" s="4819" t="s">
        <v>77</v>
      </c>
      <c r="D15" s="1554" t="s">
        <v>5292</v>
      </c>
      <c r="E15" s="4822" t="s">
        <v>5293</v>
      </c>
      <c r="F15" s="4821" t="s">
        <v>5294</v>
      </c>
      <c r="G15" s="1095" t="s">
        <v>5295</v>
      </c>
      <c r="H15" s="3930" t="s">
        <v>5296</v>
      </c>
      <c r="I15" s="1095" t="s">
        <v>5297</v>
      </c>
      <c r="J15" s="3930" t="s">
        <v>5298</v>
      </c>
      <c r="K15" s="1095" t="s">
        <v>5299</v>
      </c>
      <c r="L15" s="1099" t="s">
        <v>5300</v>
      </c>
      <c r="M15" s="1095" t="s">
        <v>5301</v>
      </c>
      <c r="N15" s="1099" t="s">
        <v>5302</v>
      </c>
      <c r="O15" s="1095" t="s">
        <v>5303</v>
      </c>
      <c r="P15" s="1099" t="s">
        <v>5304</v>
      </c>
      <c r="Q15" s="1095" t="s">
        <v>5305</v>
      </c>
      <c r="R15" s="1099" t="s">
        <v>5306</v>
      </c>
      <c r="S15" s="1095" t="s">
        <v>5307</v>
      </c>
      <c r="T15" s="1099" t="s">
        <v>5308</v>
      </c>
      <c r="U15" s="1095" t="s">
        <v>5309</v>
      </c>
      <c r="V15" s="1099" t="s">
        <v>5310</v>
      </c>
      <c r="W15" s="1095" t="s">
        <v>5311</v>
      </c>
      <c r="X15" s="1099" t="s">
        <v>5312</v>
      </c>
      <c r="Y15" s="1095" t="s">
        <v>5313</v>
      </c>
      <c r="Z15" s="1099" t="s">
        <v>5314</v>
      </c>
      <c r="AA15" s="1095" t="s">
        <v>5315</v>
      </c>
      <c r="AB15" s="1099" t="s">
        <v>5316</v>
      </c>
      <c r="AC15" s="1095" t="s">
        <v>5317</v>
      </c>
      <c r="AD15" s="1099" t="s">
        <v>5318</v>
      </c>
      <c r="AE15" s="1095" t="s">
        <v>5319</v>
      </c>
      <c r="AF15" s="1099" t="s">
        <v>5320</v>
      </c>
      <c r="AG15" s="1095" t="s">
        <v>5321</v>
      </c>
      <c r="AH15" s="1099" t="s">
        <v>5322</v>
      </c>
      <c r="AI15" s="1095" t="s">
        <v>5323</v>
      </c>
      <c r="AJ15" s="1099" t="s">
        <v>5324</v>
      </c>
      <c r="AK15" s="1095" t="s">
        <v>5325</v>
      </c>
      <c r="AL15" s="1099" t="s">
        <v>5326</v>
      </c>
      <c r="AM15" s="4392" t="s">
        <v>5327</v>
      </c>
      <c r="AN15" s="1100" t="s">
        <v>5328</v>
      </c>
      <c r="AO15" s="3930" t="s">
        <v>5329</v>
      </c>
      <c r="AP15" s="3930" t="s">
        <v>5330</v>
      </c>
      <c r="AQ15" s="3930" t="s">
        <v>5331</v>
      </c>
      <c r="AR15" s="3930" t="s">
        <v>5332</v>
      </c>
      <c r="AS15" s="3930" t="s">
        <v>5333</v>
      </c>
      <c r="AT15" s="3930" t="s">
        <v>5334</v>
      </c>
      <c r="AU15" s="3929" t="s">
        <v>5335</v>
      </c>
      <c r="AV15" s="3944" t="s">
        <v>5336</v>
      </c>
      <c r="AW15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5" s="1723" t="str">
        <f t="shared" si="1"/>
        <v xml:space="preserve"> * La variable Beneficiarios No puede ser mayor al Total.</v>
      </c>
      <c r="BY15" s="1723" t="str">
        <f t="shared" si="2"/>
        <v xml:space="preserve"> * La variable Niños, Niñas, adolescentes y Jóvenes SENAME No puede ser mayor al Total.</v>
      </c>
      <c r="BZ15" s="1723" t="str">
        <f t="shared" si="3"/>
        <v xml:space="preserve"> * La variable Niños, Niñas, adolescentes y Jóvenes Mejor Niñez No puede ser mayor al Total.</v>
      </c>
      <c r="CA15" s="1723" t="str">
        <f t="shared" si="4"/>
        <v xml:space="preserve"> * La variable Pueblos Originarios No puede ser mayor al Total.</v>
      </c>
      <c r="CB15" s="1723" t="str">
        <f t="shared" si="5"/>
        <v xml:space="preserve"> * La variable Migrantes No puede ser mayor al Total.</v>
      </c>
      <c r="CC15" s="1723" t="str">
        <f t="shared" si="6"/>
        <v xml:space="preserve"> * La variable Demencia No puede ser mayor al Total.</v>
      </c>
      <c r="CD15" s="1723" t="str">
        <f t="shared" si="7"/>
        <v xml:space="preserve"> * La variable Trans (Masculino) No puede ser mayor al Total Mujeres.</v>
      </c>
      <c r="CE15" s="1723" t="str">
        <f t="shared" si="8"/>
        <v xml:space="preserve"> * La variable Trans (Femenino) No puede ser mayor al Total Hombres.</v>
      </c>
      <c r="CG15" s="1725">
        <f t="shared" si="9"/>
        <v>1</v>
      </c>
      <c r="CH15" s="1725">
        <f t="shared" si="10"/>
        <v>1</v>
      </c>
      <c r="CI15" s="1725">
        <f t="shared" si="11"/>
        <v>1</v>
      </c>
      <c r="CJ15" s="1725">
        <f t="shared" si="12"/>
        <v>1</v>
      </c>
      <c r="CK15" s="1725">
        <f t="shared" si="13"/>
        <v>1</v>
      </c>
      <c r="CL15" s="1725">
        <f t="shared" si="14"/>
        <v>1</v>
      </c>
      <c r="CM15" s="1725">
        <f t="shared" si="15"/>
        <v>1</v>
      </c>
      <c r="CN15" s="1725">
        <f t="shared" si="16"/>
        <v>1</v>
      </c>
    </row>
    <row r="16" spans="1:123" ht="15" customHeight="1" x14ac:dyDescent="0.3">
      <c r="A16" s="6234" t="s">
        <v>4536</v>
      </c>
      <c r="B16" s="6925"/>
      <c r="C16" s="4819" t="s">
        <v>62</v>
      </c>
      <c r="D16" s="1554" t="s">
        <v>5292</v>
      </c>
      <c r="E16" s="4822" t="s">
        <v>5293</v>
      </c>
      <c r="F16" s="4821" t="s">
        <v>5294</v>
      </c>
      <c r="G16" s="1095" t="s">
        <v>5295</v>
      </c>
      <c r="H16" s="3930" t="s">
        <v>5296</v>
      </c>
      <c r="I16" s="1095" t="s">
        <v>5297</v>
      </c>
      <c r="J16" s="3930" t="s">
        <v>5298</v>
      </c>
      <c r="K16" s="1095" t="s">
        <v>5299</v>
      </c>
      <c r="L16" s="1099" t="s">
        <v>5300</v>
      </c>
      <c r="M16" s="1095" t="s">
        <v>5301</v>
      </c>
      <c r="N16" s="1099" t="s">
        <v>5302</v>
      </c>
      <c r="O16" s="1095" t="s">
        <v>5303</v>
      </c>
      <c r="P16" s="1099" t="s">
        <v>5304</v>
      </c>
      <c r="Q16" s="1095" t="s">
        <v>5305</v>
      </c>
      <c r="R16" s="1099" t="s">
        <v>5306</v>
      </c>
      <c r="S16" s="1095" t="s">
        <v>5307</v>
      </c>
      <c r="T16" s="1099" t="s">
        <v>5308</v>
      </c>
      <c r="U16" s="1095" t="s">
        <v>5309</v>
      </c>
      <c r="V16" s="1099" t="s">
        <v>5310</v>
      </c>
      <c r="W16" s="1095" t="s">
        <v>5311</v>
      </c>
      <c r="X16" s="1099" t="s">
        <v>5312</v>
      </c>
      <c r="Y16" s="1095" t="s">
        <v>5313</v>
      </c>
      <c r="Z16" s="1099" t="s">
        <v>5314</v>
      </c>
      <c r="AA16" s="1095" t="s">
        <v>5315</v>
      </c>
      <c r="AB16" s="1099" t="s">
        <v>5316</v>
      </c>
      <c r="AC16" s="1095" t="s">
        <v>5317</v>
      </c>
      <c r="AD16" s="1099" t="s">
        <v>5318</v>
      </c>
      <c r="AE16" s="1095" t="s">
        <v>5319</v>
      </c>
      <c r="AF16" s="1099" t="s">
        <v>5320</v>
      </c>
      <c r="AG16" s="1095" t="s">
        <v>5321</v>
      </c>
      <c r="AH16" s="1099" t="s">
        <v>5322</v>
      </c>
      <c r="AI16" s="1095" t="s">
        <v>5323</v>
      </c>
      <c r="AJ16" s="1099" t="s">
        <v>5324</v>
      </c>
      <c r="AK16" s="1095" t="s">
        <v>5325</v>
      </c>
      <c r="AL16" s="1099" t="s">
        <v>5326</v>
      </c>
      <c r="AM16" s="4392" t="s">
        <v>5327</v>
      </c>
      <c r="AN16" s="1100" t="s">
        <v>5328</v>
      </c>
      <c r="AO16" s="3930" t="s">
        <v>5329</v>
      </c>
      <c r="AP16" s="3930" t="s">
        <v>5330</v>
      </c>
      <c r="AQ16" s="3930" t="s">
        <v>5331</v>
      </c>
      <c r="AR16" s="3930" t="s">
        <v>5332</v>
      </c>
      <c r="AS16" s="3930" t="s">
        <v>5333</v>
      </c>
      <c r="AT16" s="3930" t="s">
        <v>5334</v>
      </c>
      <c r="AU16" s="3929" t="s">
        <v>5335</v>
      </c>
      <c r="AV16" s="3944" t="s">
        <v>5336</v>
      </c>
      <c r="AW16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6" s="1723" t="str">
        <f t="shared" si="1"/>
        <v xml:space="preserve"> * La variable Beneficiarios No puede ser mayor al Total.</v>
      </c>
      <c r="BY16" s="1723" t="str">
        <f t="shared" si="2"/>
        <v xml:space="preserve"> * La variable Niños, Niñas, adolescentes y Jóvenes SENAME No puede ser mayor al Total.</v>
      </c>
      <c r="BZ16" s="1723" t="str">
        <f t="shared" si="3"/>
        <v xml:space="preserve"> * La variable Niños, Niñas, adolescentes y Jóvenes Mejor Niñez No puede ser mayor al Total.</v>
      </c>
      <c r="CA16" s="1723" t="str">
        <f t="shared" si="4"/>
        <v xml:space="preserve"> * La variable Pueblos Originarios No puede ser mayor al Total.</v>
      </c>
      <c r="CB16" s="1723" t="str">
        <f t="shared" si="5"/>
        <v xml:space="preserve"> * La variable Migrantes No puede ser mayor al Total.</v>
      </c>
      <c r="CC16" s="1723" t="str">
        <f t="shared" si="6"/>
        <v xml:space="preserve"> * La variable Demencia No puede ser mayor al Total.</v>
      </c>
      <c r="CD16" s="1723" t="str">
        <f t="shared" si="7"/>
        <v xml:space="preserve"> * La variable Trans (Masculino) No puede ser mayor al Total Mujeres.</v>
      </c>
      <c r="CE16" s="1723" t="str">
        <f t="shared" si="8"/>
        <v xml:space="preserve"> * La variable Trans (Femenino) No puede ser mayor al Total Hombres.</v>
      </c>
      <c r="CG16" s="1725">
        <f t="shared" si="9"/>
        <v>1</v>
      </c>
      <c r="CH16" s="1725">
        <f t="shared" si="10"/>
        <v>1</v>
      </c>
      <c r="CI16" s="1725">
        <f t="shared" si="11"/>
        <v>1</v>
      </c>
      <c r="CJ16" s="1725">
        <f t="shared" si="12"/>
        <v>1</v>
      </c>
      <c r="CK16" s="1725">
        <f t="shared" si="13"/>
        <v>1</v>
      </c>
      <c r="CL16" s="1725">
        <f t="shared" si="14"/>
        <v>1</v>
      </c>
      <c r="CM16" s="1725">
        <f t="shared" si="15"/>
        <v>1</v>
      </c>
      <c r="CN16" s="1725">
        <f t="shared" si="16"/>
        <v>1</v>
      </c>
    </row>
    <row r="17" spans="1:92" ht="20.399999999999999" x14ac:dyDescent="0.3">
      <c r="A17" s="6234" t="s">
        <v>4537</v>
      </c>
      <c r="B17" s="6925"/>
      <c r="C17" s="4819" t="s">
        <v>78</v>
      </c>
      <c r="D17" s="1554" t="s">
        <v>5292</v>
      </c>
      <c r="E17" s="4822" t="s">
        <v>5293</v>
      </c>
      <c r="F17" s="4821" t="s">
        <v>5294</v>
      </c>
      <c r="G17" s="1095" t="s">
        <v>5295</v>
      </c>
      <c r="H17" s="3930" t="s">
        <v>5296</v>
      </c>
      <c r="I17" s="1095" t="s">
        <v>5297</v>
      </c>
      <c r="J17" s="3930" t="s">
        <v>5298</v>
      </c>
      <c r="K17" s="1095" t="s">
        <v>5299</v>
      </c>
      <c r="L17" s="1099" t="s">
        <v>5300</v>
      </c>
      <c r="M17" s="1095" t="s">
        <v>5301</v>
      </c>
      <c r="N17" s="1099" t="s">
        <v>5302</v>
      </c>
      <c r="O17" s="1095" t="s">
        <v>5303</v>
      </c>
      <c r="P17" s="1099" t="s">
        <v>5304</v>
      </c>
      <c r="Q17" s="1095" t="s">
        <v>5305</v>
      </c>
      <c r="R17" s="1099" t="s">
        <v>5306</v>
      </c>
      <c r="S17" s="1095" t="s">
        <v>5307</v>
      </c>
      <c r="T17" s="1099" t="s">
        <v>5308</v>
      </c>
      <c r="U17" s="1095" t="s">
        <v>5309</v>
      </c>
      <c r="V17" s="1099" t="s">
        <v>5310</v>
      </c>
      <c r="W17" s="1095" t="s">
        <v>5311</v>
      </c>
      <c r="X17" s="1099" t="s">
        <v>5312</v>
      </c>
      <c r="Y17" s="1095" t="s">
        <v>5313</v>
      </c>
      <c r="Z17" s="1099" t="s">
        <v>5314</v>
      </c>
      <c r="AA17" s="1095" t="s">
        <v>5315</v>
      </c>
      <c r="AB17" s="1099" t="s">
        <v>5316</v>
      </c>
      <c r="AC17" s="1095" t="s">
        <v>5317</v>
      </c>
      <c r="AD17" s="1099" t="s">
        <v>5318</v>
      </c>
      <c r="AE17" s="1095" t="s">
        <v>5319</v>
      </c>
      <c r="AF17" s="1099" t="s">
        <v>5320</v>
      </c>
      <c r="AG17" s="1095" t="s">
        <v>5321</v>
      </c>
      <c r="AH17" s="1099" t="s">
        <v>5322</v>
      </c>
      <c r="AI17" s="1095" t="s">
        <v>5323</v>
      </c>
      <c r="AJ17" s="1099" t="s">
        <v>5324</v>
      </c>
      <c r="AK17" s="1095" t="s">
        <v>5325</v>
      </c>
      <c r="AL17" s="1099" t="s">
        <v>5326</v>
      </c>
      <c r="AM17" s="4392" t="s">
        <v>5327</v>
      </c>
      <c r="AN17" s="1100" t="s">
        <v>5328</v>
      </c>
      <c r="AO17" s="3930" t="s">
        <v>5329</v>
      </c>
      <c r="AP17" s="3930" t="s">
        <v>5330</v>
      </c>
      <c r="AQ17" s="3930" t="s">
        <v>5331</v>
      </c>
      <c r="AR17" s="3930" t="s">
        <v>5332</v>
      </c>
      <c r="AS17" s="3930" t="s">
        <v>5333</v>
      </c>
      <c r="AT17" s="3930" t="s">
        <v>5334</v>
      </c>
      <c r="AU17" s="3929" t="s">
        <v>5335</v>
      </c>
      <c r="AV17" s="3944" t="s">
        <v>5336</v>
      </c>
      <c r="AW17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7" s="1723" t="str">
        <f t="shared" si="1"/>
        <v xml:space="preserve"> * La variable Beneficiarios No puede ser mayor al Total.</v>
      </c>
      <c r="BY17" s="1723" t="str">
        <f t="shared" si="2"/>
        <v xml:space="preserve"> * La variable Niños, Niñas, adolescentes y Jóvenes SENAME No puede ser mayor al Total.</v>
      </c>
      <c r="BZ17" s="1723" t="str">
        <f t="shared" si="3"/>
        <v xml:space="preserve"> * La variable Niños, Niñas, adolescentes y Jóvenes Mejor Niñez No puede ser mayor al Total.</v>
      </c>
      <c r="CA17" s="1723" t="str">
        <f t="shared" si="4"/>
        <v xml:space="preserve"> * La variable Pueblos Originarios No puede ser mayor al Total.</v>
      </c>
      <c r="CB17" s="1723" t="str">
        <f t="shared" si="5"/>
        <v xml:space="preserve"> * La variable Migrantes No puede ser mayor al Total.</v>
      </c>
      <c r="CC17" s="1723" t="str">
        <f t="shared" si="6"/>
        <v xml:space="preserve"> * La variable Demencia No puede ser mayor al Total.</v>
      </c>
      <c r="CD17" s="1723" t="str">
        <f t="shared" si="7"/>
        <v xml:space="preserve"> * La variable Trans (Masculino) No puede ser mayor al Total Mujeres.</v>
      </c>
      <c r="CE17" s="1723" t="str">
        <f t="shared" si="8"/>
        <v xml:space="preserve"> * La variable Trans (Femenino) No puede ser mayor al Total Hombres.</v>
      </c>
      <c r="CG17" s="1725">
        <f t="shared" si="9"/>
        <v>1</v>
      </c>
      <c r="CH17" s="1725">
        <f t="shared" si="10"/>
        <v>1</v>
      </c>
      <c r="CI17" s="1725">
        <f t="shared" si="11"/>
        <v>1</v>
      </c>
      <c r="CJ17" s="1725">
        <f t="shared" si="12"/>
        <v>1</v>
      </c>
      <c r="CK17" s="1725">
        <f t="shared" si="13"/>
        <v>1</v>
      </c>
      <c r="CL17" s="1725">
        <f t="shared" si="14"/>
        <v>1</v>
      </c>
      <c r="CM17" s="1725">
        <f t="shared" si="15"/>
        <v>1</v>
      </c>
      <c r="CN17" s="1725">
        <f t="shared" si="16"/>
        <v>1</v>
      </c>
    </row>
    <row r="18" spans="1:92" ht="15" customHeight="1" x14ac:dyDescent="0.3">
      <c r="A18" s="6234" t="s">
        <v>4538</v>
      </c>
      <c r="B18" s="6925"/>
      <c r="C18" s="4819" t="s">
        <v>79</v>
      </c>
      <c r="D18" s="46" t="s">
        <v>5292</v>
      </c>
      <c r="E18" s="47" t="s">
        <v>5293</v>
      </c>
      <c r="F18" s="32" t="s">
        <v>5294</v>
      </c>
      <c r="G18" s="9" t="s">
        <v>5295</v>
      </c>
      <c r="H18" s="11" t="s">
        <v>5296</v>
      </c>
      <c r="I18" s="9" t="s">
        <v>5297</v>
      </c>
      <c r="J18" s="11" t="s">
        <v>5298</v>
      </c>
      <c r="K18" s="9" t="s">
        <v>5299</v>
      </c>
      <c r="L18" s="25" t="s">
        <v>5300</v>
      </c>
      <c r="M18" s="9" t="s">
        <v>5301</v>
      </c>
      <c r="N18" s="25" t="s">
        <v>5302</v>
      </c>
      <c r="O18" s="9" t="s">
        <v>5303</v>
      </c>
      <c r="P18" s="25" t="s">
        <v>5304</v>
      </c>
      <c r="Q18" s="9" t="s">
        <v>5305</v>
      </c>
      <c r="R18" s="25" t="s">
        <v>5306</v>
      </c>
      <c r="S18" s="9" t="s">
        <v>5307</v>
      </c>
      <c r="T18" s="25" t="s">
        <v>5308</v>
      </c>
      <c r="U18" s="9" t="s">
        <v>5309</v>
      </c>
      <c r="V18" s="25" t="s">
        <v>5310</v>
      </c>
      <c r="W18" s="9" t="s">
        <v>5311</v>
      </c>
      <c r="X18" s="25" t="s">
        <v>5312</v>
      </c>
      <c r="Y18" s="9" t="s">
        <v>5313</v>
      </c>
      <c r="Z18" s="25" t="s">
        <v>5314</v>
      </c>
      <c r="AA18" s="9" t="s">
        <v>5315</v>
      </c>
      <c r="AB18" s="25" t="s">
        <v>5316</v>
      </c>
      <c r="AC18" s="9" t="s">
        <v>5317</v>
      </c>
      <c r="AD18" s="25" t="s">
        <v>5318</v>
      </c>
      <c r="AE18" s="9" t="s">
        <v>5319</v>
      </c>
      <c r="AF18" s="25" t="s">
        <v>5320</v>
      </c>
      <c r="AG18" s="9" t="s">
        <v>5321</v>
      </c>
      <c r="AH18" s="25" t="s">
        <v>5322</v>
      </c>
      <c r="AI18" s="9" t="s">
        <v>5323</v>
      </c>
      <c r="AJ18" s="25" t="s">
        <v>5324</v>
      </c>
      <c r="AK18" s="9" t="s">
        <v>5325</v>
      </c>
      <c r="AL18" s="25" t="s">
        <v>5326</v>
      </c>
      <c r="AM18" s="48" t="s">
        <v>5327</v>
      </c>
      <c r="AN18" s="23" t="s">
        <v>5328</v>
      </c>
      <c r="AO18" s="11" t="s">
        <v>5329</v>
      </c>
      <c r="AP18" s="11" t="s">
        <v>5330</v>
      </c>
      <c r="AQ18" s="11" t="s">
        <v>5331</v>
      </c>
      <c r="AR18" s="11" t="s">
        <v>5332</v>
      </c>
      <c r="AS18" s="11" t="s">
        <v>5333</v>
      </c>
      <c r="AT18" s="11" t="s">
        <v>5334</v>
      </c>
      <c r="AU18" s="9" t="s">
        <v>5335</v>
      </c>
      <c r="AV18" s="25" t="s">
        <v>5336</v>
      </c>
      <c r="AW18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8" s="1723" t="str">
        <f t="shared" si="1"/>
        <v xml:space="preserve"> * La variable Beneficiarios No puede ser mayor al Total.</v>
      </c>
      <c r="BY18" s="1723" t="str">
        <f t="shared" si="2"/>
        <v xml:space="preserve"> * La variable Niños, Niñas, adolescentes y Jóvenes SENAME No puede ser mayor al Total.</v>
      </c>
      <c r="BZ18" s="1723" t="str">
        <f t="shared" si="3"/>
        <v xml:space="preserve"> * La variable Niños, Niñas, adolescentes y Jóvenes Mejor Niñez No puede ser mayor al Total.</v>
      </c>
      <c r="CA18" s="1723" t="str">
        <f t="shared" si="4"/>
        <v xml:space="preserve"> * La variable Pueblos Originarios No puede ser mayor al Total.</v>
      </c>
      <c r="CB18" s="1723" t="str">
        <f t="shared" si="5"/>
        <v xml:space="preserve"> * La variable Migrantes No puede ser mayor al Total.</v>
      </c>
      <c r="CC18" s="1723" t="str">
        <f t="shared" si="6"/>
        <v xml:space="preserve"> * La variable Demencia No puede ser mayor al Total.</v>
      </c>
      <c r="CD18" s="1723" t="str">
        <f t="shared" si="7"/>
        <v xml:space="preserve"> * La variable Trans (Masculino) No puede ser mayor al Total Mujeres.</v>
      </c>
      <c r="CE18" s="1723" t="str">
        <f t="shared" si="8"/>
        <v xml:space="preserve"> * La variable Trans (Femenino) No puede ser mayor al Total Hombres.</v>
      </c>
      <c r="CG18" s="1725">
        <f t="shared" si="9"/>
        <v>1</v>
      </c>
      <c r="CH18" s="1725">
        <f t="shared" si="10"/>
        <v>1</v>
      </c>
      <c r="CI18" s="1725">
        <f t="shared" si="11"/>
        <v>1</v>
      </c>
      <c r="CJ18" s="1725">
        <f t="shared" si="12"/>
        <v>1</v>
      </c>
      <c r="CK18" s="1725">
        <f t="shared" si="13"/>
        <v>1</v>
      </c>
      <c r="CL18" s="1725">
        <f t="shared" si="14"/>
        <v>1</v>
      </c>
      <c r="CM18" s="1725">
        <f t="shared" si="15"/>
        <v>1</v>
      </c>
      <c r="CN18" s="1725">
        <f t="shared" si="16"/>
        <v>1</v>
      </c>
    </row>
    <row r="19" spans="1:92" x14ac:dyDescent="0.3">
      <c r="A19" s="6234" t="s">
        <v>4539</v>
      </c>
      <c r="B19" s="6925"/>
      <c r="C19" s="4819" t="s">
        <v>80</v>
      </c>
      <c r="D19" s="46" t="s">
        <v>5292</v>
      </c>
      <c r="E19" s="47" t="s">
        <v>5293</v>
      </c>
      <c r="F19" s="32" t="s">
        <v>5294</v>
      </c>
      <c r="G19" s="9" t="s">
        <v>5295</v>
      </c>
      <c r="H19" s="11" t="s">
        <v>5296</v>
      </c>
      <c r="I19" s="9" t="s">
        <v>5297</v>
      </c>
      <c r="J19" s="11" t="s">
        <v>5298</v>
      </c>
      <c r="K19" s="9" t="s">
        <v>5299</v>
      </c>
      <c r="L19" s="25" t="s">
        <v>5300</v>
      </c>
      <c r="M19" s="9" t="s">
        <v>5301</v>
      </c>
      <c r="N19" s="25" t="s">
        <v>5302</v>
      </c>
      <c r="O19" s="9" t="s">
        <v>5303</v>
      </c>
      <c r="P19" s="25" t="s">
        <v>5304</v>
      </c>
      <c r="Q19" s="9" t="s">
        <v>5305</v>
      </c>
      <c r="R19" s="25" t="s">
        <v>5306</v>
      </c>
      <c r="S19" s="9" t="s">
        <v>5307</v>
      </c>
      <c r="T19" s="25" t="s">
        <v>5308</v>
      </c>
      <c r="U19" s="9" t="s">
        <v>5309</v>
      </c>
      <c r="V19" s="25" t="s">
        <v>5310</v>
      </c>
      <c r="W19" s="9" t="s">
        <v>5311</v>
      </c>
      <c r="X19" s="25" t="s">
        <v>5312</v>
      </c>
      <c r="Y19" s="9" t="s">
        <v>5313</v>
      </c>
      <c r="Z19" s="25" t="s">
        <v>5314</v>
      </c>
      <c r="AA19" s="9" t="s">
        <v>5315</v>
      </c>
      <c r="AB19" s="25" t="s">
        <v>5316</v>
      </c>
      <c r="AC19" s="9" t="s">
        <v>5317</v>
      </c>
      <c r="AD19" s="25" t="s">
        <v>5318</v>
      </c>
      <c r="AE19" s="9" t="s">
        <v>5319</v>
      </c>
      <c r="AF19" s="25" t="s">
        <v>5320</v>
      </c>
      <c r="AG19" s="9" t="s">
        <v>5321</v>
      </c>
      <c r="AH19" s="25" t="s">
        <v>5322</v>
      </c>
      <c r="AI19" s="9" t="s">
        <v>5323</v>
      </c>
      <c r="AJ19" s="25" t="s">
        <v>5324</v>
      </c>
      <c r="AK19" s="9" t="s">
        <v>5325</v>
      </c>
      <c r="AL19" s="25" t="s">
        <v>5326</v>
      </c>
      <c r="AM19" s="48" t="s">
        <v>5327</v>
      </c>
      <c r="AN19" s="23" t="s">
        <v>5328</v>
      </c>
      <c r="AO19" s="11" t="s">
        <v>5329</v>
      </c>
      <c r="AP19" s="11" t="s">
        <v>5330</v>
      </c>
      <c r="AQ19" s="11" t="s">
        <v>5331</v>
      </c>
      <c r="AR19" s="11" t="s">
        <v>5332</v>
      </c>
      <c r="AS19" s="11" t="s">
        <v>5333</v>
      </c>
      <c r="AT19" s="11" t="s">
        <v>5334</v>
      </c>
      <c r="AU19" s="9" t="s">
        <v>5335</v>
      </c>
      <c r="AV19" s="25" t="s">
        <v>5336</v>
      </c>
      <c r="AW19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19" s="1723" t="str">
        <f t="shared" si="1"/>
        <v xml:space="preserve"> * La variable Beneficiarios No puede ser mayor al Total.</v>
      </c>
      <c r="BY19" s="1723" t="str">
        <f t="shared" si="2"/>
        <v xml:space="preserve"> * La variable Niños, Niñas, adolescentes y Jóvenes SENAME No puede ser mayor al Total.</v>
      </c>
      <c r="BZ19" s="1723" t="str">
        <f t="shared" si="3"/>
        <v xml:space="preserve"> * La variable Niños, Niñas, adolescentes y Jóvenes Mejor Niñez No puede ser mayor al Total.</v>
      </c>
      <c r="CA19" s="1723" t="str">
        <f t="shared" si="4"/>
        <v xml:space="preserve"> * La variable Pueblos Originarios No puede ser mayor al Total.</v>
      </c>
      <c r="CB19" s="1723" t="str">
        <f t="shared" si="5"/>
        <v xml:space="preserve"> * La variable Migrantes No puede ser mayor al Total.</v>
      </c>
      <c r="CC19" s="1723" t="str">
        <f t="shared" si="6"/>
        <v xml:space="preserve"> * La variable Demencia No puede ser mayor al Total.</v>
      </c>
      <c r="CD19" s="1723" t="str">
        <f t="shared" si="7"/>
        <v xml:space="preserve"> * La variable Trans (Masculino) No puede ser mayor al Total Mujeres.</v>
      </c>
      <c r="CE19" s="1723" t="str">
        <f t="shared" si="8"/>
        <v xml:space="preserve"> * La variable Trans (Femenino) No puede ser mayor al Total Hombres.</v>
      </c>
      <c r="CG19" s="1725">
        <f t="shared" si="9"/>
        <v>1</v>
      </c>
      <c r="CH19" s="1725">
        <f t="shared" si="10"/>
        <v>1</v>
      </c>
      <c r="CI19" s="1725">
        <f t="shared" si="11"/>
        <v>1</v>
      </c>
      <c r="CJ19" s="1725">
        <f t="shared" si="12"/>
        <v>1</v>
      </c>
      <c r="CK19" s="1725">
        <f t="shared" si="13"/>
        <v>1</v>
      </c>
      <c r="CL19" s="1725">
        <f t="shared" si="14"/>
        <v>1</v>
      </c>
      <c r="CM19" s="1725">
        <f t="shared" si="15"/>
        <v>1</v>
      </c>
      <c r="CN19" s="1725">
        <f t="shared" si="16"/>
        <v>1</v>
      </c>
    </row>
    <row r="20" spans="1:92" ht="15" customHeight="1" x14ac:dyDescent="0.3">
      <c r="A20" s="6234" t="s">
        <v>4540</v>
      </c>
      <c r="B20" s="6925"/>
      <c r="C20" s="4819" t="s">
        <v>81</v>
      </c>
      <c r="D20" s="46" t="s">
        <v>5292</v>
      </c>
      <c r="E20" s="47" t="s">
        <v>5293</v>
      </c>
      <c r="F20" s="32" t="s">
        <v>5294</v>
      </c>
      <c r="G20" s="9" t="s">
        <v>5295</v>
      </c>
      <c r="H20" s="11" t="s">
        <v>5296</v>
      </c>
      <c r="I20" s="9" t="s">
        <v>5297</v>
      </c>
      <c r="J20" s="11" t="s">
        <v>5298</v>
      </c>
      <c r="K20" s="9" t="s">
        <v>5299</v>
      </c>
      <c r="L20" s="25" t="s">
        <v>5300</v>
      </c>
      <c r="M20" s="9" t="s">
        <v>5301</v>
      </c>
      <c r="N20" s="25" t="s">
        <v>5302</v>
      </c>
      <c r="O20" s="9" t="s">
        <v>5303</v>
      </c>
      <c r="P20" s="25" t="s">
        <v>5304</v>
      </c>
      <c r="Q20" s="9" t="s">
        <v>5305</v>
      </c>
      <c r="R20" s="25" t="s">
        <v>5306</v>
      </c>
      <c r="S20" s="9" t="s">
        <v>5307</v>
      </c>
      <c r="T20" s="25" t="s">
        <v>5308</v>
      </c>
      <c r="U20" s="9" t="s">
        <v>5309</v>
      </c>
      <c r="V20" s="25" t="s">
        <v>5310</v>
      </c>
      <c r="W20" s="9" t="s">
        <v>5311</v>
      </c>
      <c r="X20" s="25" t="s">
        <v>5312</v>
      </c>
      <c r="Y20" s="9" t="s">
        <v>5313</v>
      </c>
      <c r="Z20" s="25" t="s">
        <v>5314</v>
      </c>
      <c r="AA20" s="9" t="s">
        <v>5315</v>
      </c>
      <c r="AB20" s="25" t="s">
        <v>5316</v>
      </c>
      <c r="AC20" s="9" t="s">
        <v>5317</v>
      </c>
      <c r="AD20" s="25" t="s">
        <v>5318</v>
      </c>
      <c r="AE20" s="9" t="s">
        <v>5319</v>
      </c>
      <c r="AF20" s="25" t="s">
        <v>5320</v>
      </c>
      <c r="AG20" s="9" t="s">
        <v>5321</v>
      </c>
      <c r="AH20" s="25" t="s">
        <v>5322</v>
      </c>
      <c r="AI20" s="9" t="s">
        <v>5323</v>
      </c>
      <c r="AJ20" s="25" t="s">
        <v>5324</v>
      </c>
      <c r="AK20" s="9" t="s">
        <v>5325</v>
      </c>
      <c r="AL20" s="25" t="s">
        <v>5326</v>
      </c>
      <c r="AM20" s="48" t="s">
        <v>5327</v>
      </c>
      <c r="AN20" s="23" t="s">
        <v>5328</v>
      </c>
      <c r="AO20" s="11" t="s">
        <v>5329</v>
      </c>
      <c r="AP20" s="11" t="s">
        <v>5330</v>
      </c>
      <c r="AQ20" s="11" t="s">
        <v>5331</v>
      </c>
      <c r="AR20" s="11" t="s">
        <v>5332</v>
      </c>
      <c r="AS20" s="11" t="s">
        <v>5333</v>
      </c>
      <c r="AT20" s="11" t="s">
        <v>5334</v>
      </c>
      <c r="AU20" s="9" t="s">
        <v>5335</v>
      </c>
      <c r="AV20" s="25" t="s">
        <v>5336</v>
      </c>
      <c r="AW20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0" s="1723" t="str">
        <f t="shared" si="1"/>
        <v xml:space="preserve"> * La variable Beneficiarios No puede ser mayor al Total.</v>
      </c>
      <c r="BY20" s="1723" t="str">
        <f t="shared" si="2"/>
        <v xml:space="preserve"> * La variable Niños, Niñas, adolescentes y Jóvenes SENAME No puede ser mayor al Total.</v>
      </c>
      <c r="BZ20" s="1723" t="str">
        <f t="shared" si="3"/>
        <v xml:space="preserve"> * La variable Niños, Niñas, adolescentes y Jóvenes Mejor Niñez No puede ser mayor al Total.</v>
      </c>
      <c r="CA20" s="1723" t="str">
        <f t="shared" si="4"/>
        <v xml:space="preserve"> * La variable Pueblos Originarios No puede ser mayor al Total.</v>
      </c>
      <c r="CB20" s="1723" t="str">
        <f t="shared" si="5"/>
        <v xml:space="preserve"> * La variable Migrantes No puede ser mayor al Total.</v>
      </c>
      <c r="CC20" s="1723" t="str">
        <f t="shared" si="6"/>
        <v xml:space="preserve"> * La variable Demencia No puede ser mayor al Total.</v>
      </c>
      <c r="CD20" s="1723" t="str">
        <f t="shared" si="7"/>
        <v xml:space="preserve"> * La variable Trans (Masculino) No puede ser mayor al Total Mujeres.</v>
      </c>
      <c r="CE20" s="1723" t="str">
        <f t="shared" si="8"/>
        <v xml:space="preserve"> * La variable Trans (Femenino) No puede ser mayor al Total Hombres.</v>
      </c>
      <c r="CG20" s="1725">
        <f t="shared" si="9"/>
        <v>1</v>
      </c>
      <c r="CH20" s="1725">
        <f t="shared" si="10"/>
        <v>1</v>
      </c>
      <c r="CI20" s="1725">
        <f t="shared" si="11"/>
        <v>1</v>
      </c>
      <c r="CJ20" s="1725">
        <f t="shared" si="12"/>
        <v>1</v>
      </c>
      <c r="CK20" s="1725">
        <f t="shared" si="13"/>
        <v>1</v>
      </c>
      <c r="CL20" s="1725">
        <f t="shared" si="14"/>
        <v>1</v>
      </c>
      <c r="CM20" s="1725">
        <f t="shared" si="15"/>
        <v>1</v>
      </c>
      <c r="CN20" s="1725">
        <f t="shared" si="16"/>
        <v>1</v>
      </c>
    </row>
    <row r="21" spans="1:92" x14ac:dyDescent="0.3">
      <c r="A21" s="6234" t="s">
        <v>4541</v>
      </c>
      <c r="B21" s="6925"/>
      <c r="C21" s="4819" t="s">
        <v>82</v>
      </c>
      <c r="D21" s="46" t="s">
        <v>5292</v>
      </c>
      <c r="E21" s="4823" t="s">
        <v>5293</v>
      </c>
      <c r="F21" s="32" t="s">
        <v>5294</v>
      </c>
      <c r="G21" s="9" t="s">
        <v>5295</v>
      </c>
      <c r="H21" s="11" t="s">
        <v>5296</v>
      </c>
      <c r="I21" s="9" t="s">
        <v>5297</v>
      </c>
      <c r="J21" s="11" t="s">
        <v>5298</v>
      </c>
      <c r="K21" s="9" t="s">
        <v>5299</v>
      </c>
      <c r="L21" s="25" t="s">
        <v>5300</v>
      </c>
      <c r="M21" s="9" t="s">
        <v>5301</v>
      </c>
      <c r="N21" s="25" t="s">
        <v>5302</v>
      </c>
      <c r="O21" s="9" t="s">
        <v>5303</v>
      </c>
      <c r="P21" s="25" t="s">
        <v>5304</v>
      </c>
      <c r="Q21" s="9" t="s">
        <v>5305</v>
      </c>
      <c r="R21" s="25" t="s">
        <v>5306</v>
      </c>
      <c r="S21" s="9" t="s">
        <v>5307</v>
      </c>
      <c r="T21" s="25" t="s">
        <v>5308</v>
      </c>
      <c r="U21" s="9" t="s">
        <v>5309</v>
      </c>
      <c r="V21" s="25" t="s">
        <v>5310</v>
      </c>
      <c r="W21" s="9" t="s">
        <v>5311</v>
      </c>
      <c r="X21" s="25" t="s">
        <v>5312</v>
      </c>
      <c r="Y21" s="9" t="s">
        <v>5313</v>
      </c>
      <c r="Z21" s="25" t="s">
        <v>5314</v>
      </c>
      <c r="AA21" s="9" t="s">
        <v>5315</v>
      </c>
      <c r="AB21" s="25" t="s">
        <v>5316</v>
      </c>
      <c r="AC21" s="9" t="s">
        <v>5317</v>
      </c>
      <c r="AD21" s="25" t="s">
        <v>5318</v>
      </c>
      <c r="AE21" s="9" t="s">
        <v>5319</v>
      </c>
      <c r="AF21" s="25" t="s">
        <v>5320</v>
      </c>
      <c r="AG21" s="9" t="s">
        <v>5321</v>
      </c>
      <c r="AH21" s="25" t="s">
        <v>5322</v>
      </c>
      <c r="AI21" s="9" t="s">
        <v>5323</v>
      </c>
      <c r="AJ21" s="25" t="s">
        <v>5324</v>
      </c>
      <c r="AK21" s="9" t="s">
        <v>5325</v>
      </c>
      <c r="AL21" s="25" t="s">
        <v>5326</v>
      </c>
      <c r="AM21" s="48" t="s">
        <v>5327</v>
      </c>
      <c r="AN21" s="23" t="s">
        <v>5328</v>
      </c>
      <c r="AO21" s="11" t="s">
        <v>5329</v>
      </c>
      <c r="AP21" s="11" t="s">
        <v>5330</v>
      </c>
      <c r="AQ21" s="11" t="s">
        <v>5331</v>
      </c>
      <c r="AR21" s="11" t="s">
        <v>5332</v>
      </c>
      <c r="AS21" s="11" t="s">
        <v>5333</v>
      </c>
      <c r="AT21" s="11" t="s">
        <v>5334</v>
      </c>
      <c r="AU21" s="9" t="s">
        <v>5335</v>
      </c>
      <c r="AV21" s="25" t="s">
        <v>5336</v>
      </c>
      <c r="AW21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1" s="1723" t="str">
        <f t="shared" si="1"/>
        <v xml:space="preserve"> * La variable Beneficiarios No puede ser mayor al Total.</v>
      </c>
      <c r="BY21" s="1723" t="str">
        <f t="shared" si="2"/>
        <v xml:space="preserve"> * La variable Niños, Niñas, adolescentes y Jóvenes SENAME No puede ser mayor al Total.</v>
      </c>
      <c r="BZ21" s="1723" t="str">
        <f t="shared" si="3"/>
        <v xml:space="preserve"> * La variable Niños, Niñas, adolescentes y Jóvenes Mejor Niñez No puede ser mayor al Total.</v>
      </c>
      <c r="CA21" s="1723" t="str">
        <f t="shared" si="4"/>
        <v xml:space="preserve"> * La variable Pueblos Originarios No puede ser mayor al Total.</v>
      </c>
      <c r="CB21" s="1723" t="str">
        <f t="shared" si="5"/>
        <v xml:space="preserve"> * La variable Migrantes No puede ser mayor al Total.</v>
      </c>
      <c r="CC21" s="1723" t="str">
        <f t="shared" si="6"/>
        <v xml:space="preserve"> * La variable Demencia No puede ser mayor al Total.</v>
      </c>
      <c r="CD21" s="1723" t="str">
        <f t="shared" si="7"/>
        <v xml:space="preserve"> * La variable Trans (Masculino) No puede ser mayor al Total Mujeres.</v>
      </c>
      <c r="CE21" s="1723" t="str">
        <f t="shared" si="8"/>
        <v xml:space="preserve"> * La variable Trans (Femenino) No puede ser mayor al Total Hombres.</v>
      </c>
      <c r="CG21" s="1725">
        <f t="shared" si="9"/>
        <v>1</v>
      </c>
      <c r="CH21" s="1725">
        <f t="shared" si="10"/>
        <v>1</v>
      </c>
      <c r="CI21" s="1725">
        <f t="shared" si="11"/>
        <v>1</v>
      </c>
      <c r="CJ21" s="1725">
        <f t="shared" si="12"/>
        <v>1</v>
      </c>
      <c r="CK21" s="1725">
        <f t="shared" si="13"/>
        <v>1</v>
      </c>
      <c r="CL21" s="1725">
        <f t="shared" si="14"/>
        <v>1</v>
      </c>
      <c r="CM21" s="1725">
        <f t="shared" si="15"/>
        <v>1</v>
      </c>
      <c r="CN21" s="1725">
        <f t="shared" si="16"/>
        <v>1</v>
      </c>
    </row>
    <row r="22" spans="1:92" ht="15" customHeight="1" x14ac:dyDescent="0.3">
      <c r="A22" s="6255"/>
      <c r="B22" s="7046"/>
      <c r="C22" s="4825" t="s">
        <v>24</v>
      </c>
      <c r="D22" s="4826">
        <v>0</v>
      </c>
      <c r="E22" s="4827">
        <v>0</v>
      </c>
      <c r="F22" s="4828">
        <v>0</v>
      </c>
      <c r="G22" s="4829">
        <v>0</v>
      </c>
      <c r="H22" s="4830">
        <v>0</v>
      </c>
      <c r="I22" s="4829">
        <v>0</v>
      </c>
      <c r="J22" s="4830">
        <v>0</v>
      </c>
      <c r="K22" s="4829">
        <v>0</v>
      </c>
      <c r="L22" s="4831">
        <v>0</v>
      </c>
      <c r="M22" s="4829">
        <v>0</v>
      </c>
      <c r="N22" s="4831">
        <v>0</v>
      </c>
      <c r="O22" s="4829">
        <v>0</v>
      </c>
      <c r="P22" s="4831">
        <v>0</v>
      </c>
      <c r="Q22" s="4829">
        <v>0</v>
      </c>
      <c r="R22" s="4831">
        <v>0</v>
      </c>
      <c r="S22" s="4829">
        <v>0</v>
      </c>
      <c r="T22" s="4831">
        <v>0</v>
      </c>
      <c r="U22" s="4829">
        <v>0</v>
      </c>
      <c r="V22" s="4831">
        <v>0</v>
      </c>
      <c r="W22" s="4829">
        <v>0</v>
      </c>
      <c r="X22" s="4831">
        <v>0</v>
      </c>
      <c r="Y22" s="4829">
        <v>0</v>
      </c>
      <c r="Z22" s="4831">
        <v>0</v>
      </c>
      <c r="AA22" s="4829">
        <v>0</v>
      </c>
      <c r="AB22" s="4831">
        <v>0</v>
      </c>
      <c r="AC22" s="4829">
        <v>0</v>
      </c>
      <c r="AD22" s="4831">
        <v>0</v>
      </c>
      <c r="AE22" s="4829">
        <v>0</v>
      </c>
      <c r="AF22" s="4831">
        <v>0</v>
      </c>
      <c r="AG22" s="4829">
        <v>0</v>
      </c>
      <c r="AH22" s="4831">
        <v>0</v>
      </c>
      <c r="AI22" s="4829">
        <v>0</v>
      </c>
      <c r="AJ22" s="4831">
        <v>0</v>
      </c>
      <c r="AK22" s="4829">
        <v>0</v>
      </c>
      <c r="AL22" s="4831">
        <v>0</v>
      </c>
      <c r="AM22" s="4832">
        <v>0</v>
      </c>
      <c r="AN22" s="4833">
        <v>0</v>
      </c>
      <c r="AO22" s="4830">
        <v>0</v>
      </c>
      <c r="AP22" s="4830">
        <v>0</v>
      </c>
      <c r="AQ22" s="4830">
        <v>0</v>
      </c>
      <c r="AR22" s="4830">
        <v>0</v>
      </c>
      <c r="AS22" s="4830">
        <v>0</v>
      </c>
      <c r="AT22" s="4830">
        <v>0</v>
      </c>
      <c r="AU22" s="5973">
        <v>0</v>
      </c>
      <c r="AV22" s="5974">
        <v>0</v>
      </c>
    </row>
    <row r="23" spans="1:92" ht="15" customHeight="1" x14ac:dyDescent="0.3">
      <c r="A23" s="6234" t="s">
        <v>4542</v>
      </c>
      <c r="B23" s="7047" t="s">
        <v>83</v>
      </c>
      <c r="C23" s="7048"/>
      <c r="D23" s="4834" t="s">
        <v>5292</v>
      </c>
      <c r="E23" s="4835" t="s">
        <v>5293</v>
      </c>
      <c r="F23" s="4828" t="s">
        <v>5294</v>
      </c>
      <c r="G23" s="4836" t="s">
        <v>5295</v>
      </c>
      <c r="H23" s="4837" t="s">
        <v>5296</v>
      </c>
      <c r="I23" s="4836" t="s">
        <v>5297</v>
      </c>
      <c r="J23" s="4837" t="s">
        <v>5298</v>
      </c>
      <c r="K23" s="4836" t="s">
        <v>5299</v>
      </c>
      <c r="L23" s="4838" t="s">
        <v>5300</v>
      </c>
      <c r="M23" s="4836" t="s">
        <v>5301</v>
      </c>
      <c r="N23" s="4838" t="s">
        <v>5302</v>
      </c>
      <c r="O23" s="4836" t="s">
        <v>5303</v>
      </c>
      <c r="P23" s="4838" t="s">
        <v>5304</v>
      </c>
      <c r="Q23" s="4836" t="s">
        <v>5305</v>
      </c>
      <c r="R23" s="4838" t="s">
        <v>5306</v>
      </c>
      <c r="S23" s="4836" t="s">
        <v>5307</v>
      </c>
      <c r="T23" s="4838" t="s">
        <v>5308</v>
      </c>
      <c r="U23" s="4836" t="s">
        <v>5309</v>
      </c>
      <c r="V23" s="4838" t="s">
        <v>5310</v>
      </c>
      <c r="W23" s="4836" t="s">
        <v>5311</v>
      </c>
      <c r="X23" s="4838" t="s">
        <v>5312</v>
      </c>
      <c r="Y23" s="4836" t="s">
        <v>5313</v>
      </c>
      <c r="Z23" s="4838" t="s">
        <v>5314</v>
      </c>
      <c r="AA23" s="4836" t="s">
        <v>5315</v>
      </c>
      <c r="AB23" s="4838" t="s">
        <v>5316</v>
      </c>
      <c r="AC23" s="4836" t="s">
        <v>5317</v>
      </c>
      <c r="AD23" s="4838" t="s">
        <v>5318</v>
      </c>
      <c r="AE23" s="4836" t="s">
        <v>5319</v>
      </c>
      <c r="AF23" s="4838" t="s">
        <v>5320</v>
      </c>
      <c r="AG23" s="4836" t="s">
        <v>5321</v>
      </c>
      <c r="AH23" s="4838" t="s">
        <v>5322</v>
      </c>
      <c r="AI23" s="4836" t="s">
        <v>5323</v>
      </c>
      <c r="AJ23" s="4838" t="s">
        <v>5324</v>
      </c>
      <c r="AK23" s="4836" t="s">
        <v>5325</v>
      </c>
      <c r="AL23" s="4838" t="s">
        <v>5326</v>
      </c>
      <c r="AM23" s="4839" t="s">
        <v>5327</v>
      </c>
      <c r="AN23" s="4840" t="s">
        <v>5328</v>
      </c>
      <c r="AO23" s="4837" t="s">
        <v>5329</v>
      </c>
      <c r="AP23" s="4837" t="s">
        <v>5330</v>
      </c>
      <c r="AQ23" s="4837" t="s">
        <v>5331</v>
      </c>
      <c r="AR23" s="4837" t="s">
        <v>5332</v>
      </c>
      <c r="AS23" s="4837" t="s">
        <v>5333</v>
      </c>
      <c r="AT23" s="4837" t="s">
        <v>5334</v>
      </c>
      <c r="AU23" s="5975" t="s">
        <v>5335</v>
      </c>
      <c r="AV23" s="5976" t="s">
        <v>5336</v>
      </c>
      <c r="AW23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3" s="1723" t="str">
        <f t="shared" ref="BX23:BX26" si="17">IF(AND(D23&gt;0,AO23="")," * No olvide digitar la variable Beneficiarios. Digite Cero si no tiene.",IF(AO23&gt;D23," * La variable Beneficiarios No puede ser mayor al Total.",""))</f>
        <v xml:space="preserve"> * La variable Beneficiarios No puede ser mayor al Total.</v>
      </c>
      <c r="BY23" s="1723" t="str">
        <f t="shared" ref="BY23:BY26" si="18">IF(AND(D23&gt;0,AP23="")," * No olvide digitar la variable Niños, Niñas, adolescentes y Jóvenes SENAME. Digite Cero si no tiene.",IF(AP23&gt;D23," * La variable Niños, Niñas, adolescentes y Jóvenes SENAME No puede ser mayor al Total.",""))</f>
        <v xml:space="preserve"> * La variable Niños, Niñas, adolescentes y Jóvenes SENAME No puede ser mayor al Total.</v>
      </c>
      <c r="BZ23" s="1723" t="str">
        <f t="shared" ref="BZ23:BZ26" si="19">IF(AND(D23&gt;0,AQ23="")," * No olvide digitar la variable Niños, Niñas, adolescentes y Jóvenes Mejor Niñez. Digite Cero si no tiene.",IF(AQ23&gt;D23," * La variable Niños, Niñas, adolescentes y Jóvenes Mejor Niñez No puede ser mayor al Total.",""))</f>
        <v xml:space="preserve"> * La variable Niños, Niñas, adolescentes y Jóvenes Mejor Niñez No puede ser mayor al Total.</v>
      </c>
      <c r="CA23" s="1723" t="str">
        <f t="shared" ref="CA23:CA26" si="20">IF(AND(D23&gt;0,AR23="")," * No olvide digitar la variable Pueblos originarios. Digite Cero si no tiene.",IF(AR23&gt;D23," * La variable Pueblos Originarios No puede ser mayor al Total.",""))</f>
        <v xml:space="preserve"> * La variable Pueblos Originarios No puede ser mayor al Total.</v>
      </c>
      <c r="CB23" s="1723" t="str">
        <f t="shared" ref="CB23:CB26" si="21">IF(AND(D23&gt;0,AS23="")," * No olvide digitar la variable Migrantes. Digite Cero si no tiene.",IF(AS23&gt;D23," * La variable Migrantes No puede ser mayor al Total.",""))</f>
        <v xml:space="preserve"> * La variable Migrantes No puede ser mayor al Total.</v>
      </c>
      <c r="CC23" s="1723" t="str">
        <f t="shared" ref="CC23:CC26" si="22">IF(AND(D23&gt;0,AT23="")," * No olvide digitar la variable Demencia. Digite Cero si no tiene.",IF(AT23&gt;D23," * La variable Demencia No puede ser mayor al Total.",""))</f>
        <v xml:space="preserve"> * La variable Demencia No puede ser mayor al Total.</v>
      </c>
      <c r="CD23" s="1723" t="str">
        <f t="shared" ref="CD23:CD26" si="23">IF(AND(F23&gt;0,OR(AU23=""))," * No olvide digitar la variable Trans (Masculino). Digite Cero si no tiene.",IF((AU23)&gt;F23," * La variable Trans (Masculino) No puede ser mayor al Total Mujeres.",""))</f>
        <v xml:space="preserve"> * La variable Trans (Masculino) No puede ser mayor al Total Mujeres.</v>
      </c>
      <c r="CE23" s="1723" t="str">
        <f t="shared" ref="CE23:CE26" si="24">IF(AND(E23&gt;0,OR(AV23=""))," * No olvide digitar la variable Trans (Femenino). Digite Cero si no tiene.",IF((AV23)&gt;E23," * La variable Trans (Femenino) No puede ser mayor al Total Hombres.",""))</f>
        <v xml:space="preserve"> * La variable Trans (Femenino) No puede ser mayor al Total Hombres.</v>
      </c>
      <c r="CG23" s="1725">
        <f t="shared" ref="CG23:CG26" si="25">IF(AND(D23&gt;0,AO23=""),1,IF(AO23&gt;D23,1,0))</f>
        <v>1</v>
      </c>
      <c r="CH23" s="1725">
        <f t="shared" ref="CH23:CH26" si="26">IF(AND(D23&gt;0,AP23=""),1,IF(AP23&gt;D23,1,0))</f>
        <v>1</v>
      </c>
      <c r="CI23" s="1725">
        <f t="shared" ref="CI23:CI26" si="27">IF(AND(D23&gt;0,AQ23=""),1,IF(AQ23&gt;D23,1,0))</f>
        <v>1</v>
      </c>
      <c r="CJ23" s="1725">
        <f t="shared" ref="CJ23:CJ26" si="28">IF(AND(D23&gt;0,AR23=""),1,IF(AR23&gt;D23,1,0))</f>
        <v>1</v>
      </c>
      <c r="CK23" s="1725">
        <f t="shared" ref="CK23:CK26" si="29">IF(AND(D23&gt;0,AS23=""),1,IF(AS23&gt;D23,1,0))</f>
        <v>1</v>
      </c>
      <c r="CL23" s="1725">
        <f t="shared" ref="CL23:CL26" si="30">IF(AND(D23&gt;0,AT23=""),1,IF(AT23&gt;D23,1,0))</f>
        <v>1</v>
      </c>
      <c r="CM23" s="1725">
        <f t="shared" ref="CM23:CM26" si="31">IF(AND(F23&gt;0,OR(AU23="")),1,IF((AU23)&gt;F23,1,0))</f>
        <v>1</v>
      </c>
      <c r="CN23" s="1725">
        <f t="shared" ref="CN23:CN26" si="32">IF(AND(E23&gt;0,OR(AV23="")),1,IF((AV23)&gt;E23,1,0))</f>
        <v>1</v>
      </c>
    </row>
    <row r="24" spans="1:92" ht="15" customHeight="1" x14ac:dyDescent="0.3">
      <c r="A24" s="6234" t="s">
        <v>4543</v>
      </c>
      <c r="B24" s="4841" t="s">
        <v>84</v>
      </c>
      <c r="C24" s="4842" t="s">
        <v>75</v>
      </c>
      <c r="D24" s="4843" t="s">
        <v>5292</v>
      </c>
      <c r="E24" s="4844" t="s">
        <v>5293</v>
      </c>
      <c r="F24" s="4845" t="s">
        <v>5294</v>
      </c>
      <c r="G24" s="4846" t="s">
        <v>5295</v>
      </c>
      <c r="H24" s="4847" t="s">
        <v>5296</v>
      </c>
      <c r="I24" s="4846" t="s">
        <v>5297</v>
      </c>
      <c r="J24" s="4847" t="s">
        <v>5298</v>
      </c>
      <c r="K24" s="4846" t="s">
        <v>5299</v>
      </c>
      <c r="L24" s="4848" t="s">
        <v>5300</v>
      </c>
      <c r="M24" s="4846" t="s">
        <v>5301</v>
      </c>
      <c r="N24" s="4848" t="s">
        <v>5302</v>
      </c>
      <c r="O24" s="4846" t="s">
        <v>5303</v>
      </c>
      <c r="P24" s="4848" t="s">
        <v>5304</v>
      </c>
      <c r="Q24" s="4846" t="s">
        <v>5305</v>
      </c>
      <c r="R24" s="4848" t="s">
        <v>5306</v>
      </c>
      <c r="S24" s="4846" t="s">
        <v>5307</v>
      </c>
      <c r="T24" s="4848" t="s">
        <v>5308</v>
      </c>
      <c r="U24" s="4846" t="s">
        <v>5309</v>
      </c>
      <c r="V24" s="4848" t="s">
        <v>5310</v>
      </c>
      <c r="W24" s="4846" t="s">
        <v>5311</v>
      </c>
      <c r="X24" s="4848" t="s">
        <v>5312</v>
      </c>
      <c r="Y24" s="4846" t="s">
        <v>5313</v>
      </c>
      <c r="Z24" s="4848" t="s">
        <v>5314</v>
      </c>
      <c r="AA24" s="4846" t="s">
        <v>5315</v>
      </c>
      <c r="AB24" s="4848" t="s">
        <v>5316</v>
      </c>
      <c r="AC24" s="4846" t="s">
        <v>5317</v>
      </c>
      <c r="AD24" s="4848" t="s">
        <v>5318</v>
      </c>
      <c r="AE24" s="4846" t="s">
        <v>5319</v>
      </c>
      <c r="AF24" s="4848" t="s">
        <v>5320</v>
      </c>
      <c r="AG24" s="4846" t="s">
        <v>5321</v>
      </c>
      <c r="AH24" s="4848" t="s">
        <v>5322</v>
      </c>
      <c r="AI24" s="4846" t="s">
        <v>5323</v>
      </c>
      <c r="AJ24" s="4848" t="s">
        <v>5324</v>
      </c>
      <c r="AK24" s="4846" t="s">
        <v>5325</v>
      </c>
      <c r="AL24" s="4848" t="s">
        <v>5326</v>
      </c>
      <c r="AM24" s="4849" t="s">
        <v>5327</v>
      </c>
      <c r="AN24" s="4850" t="s">
        <v>5328</v>
      </c>
      <c r="AO24" s="4847" t="s">
        <v>5329</v>
      </c>
      <c r="AP24" s="4847" t="s">
        <v>5330</v>
      </c>
      <c r="AQ24" s="4847" t="s">
        <v>5331</v>
      </c>
      <c r="AR24" s="4847" t="s">
        <v>5332</v>
      </c>
      <c r="AS24" s="4847" t="s">
        <v>5333</v>
      </c>
      <c r="AT24" s="4847" t="s">
        <v>5334</v>
      </c>
      <c r="AU24" s="5977" t="s">
        <v>5335</v>
      </c>
      <c r="AV24" s="5978" t="s">
        <v>5336</v>
      </c>
      <c r="AW24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4" s="1723" t="str">
        <f t="shared" si="17"/>
        <v xml:space="preserve"> * La variable Beneficiarios No puede ser mayor al Total.</v>
      </c>
      <c r="BY24" s="1723" t="str">
        <f t="shared" si="18"/>
        <v xml:space="preserve"> * La variable Niños, Niñas, adolescentes y Jóvenes SENAME No puede ser mayor al Total.</v>
      </c>
      <c r="BZ24" s="1723" t="str">
        <f t="shared" si="19"/>
        <v xml:space="preserve"> * La variable Niños, Niñas, adolescentes y Jóvenes Mejor Niñez No puede ser mayor al Total.</v>
      </c>
      <c r="CA24" s="1723" t="str">
        <f t="shared" si="20"/>
        <v xml:space="preserve"> * La variable Pueblos Originarios No puede ser mayor al Total.</v>
      </c>
      <c r="CB24" s="1723" t="str">
        <f t="shared" si="21"/>
        <v xml:space="preserve"> * La variable Migrantes No puede ser mayor al Total.</v>
      </c>
      <c r="CC24" s="1723" t="str">
        <f t="shared" si="22"/>
        <v xml:space="preserve"> * La variable Demencia No puede ser mayor al Total.</v>
      </c>
      <c r="CD24" s="1723" t="str">
        <f t="shared" si="23"/>
        <v xml:space="preserve"> * La variable Trans (Masculino) No puede ser mayor al Total Mujeres.</v>
      </c>
      <c r="CE24" s="1723" t="str">
        <f t="shared" si="24"/>
        <v xml:space="preserve"> * La variable Trans (Femenino) No puede ser mayor al Total Hombres.</v>
      </c>
      <c r="CG24" s="1725">
        <f t="shared" si="25"/>
        <v>1</v>
      </c>
      <c r="CH24" s="1725">
        <f t="shared" si="26"/>
        <v>1</v>
      </c>
      <c r="CI24" s="1725">
        <f t="shared" si="27"/>
        <v>1</v>
      </c>
      <c r="CJ24" s="1725">
        <f t="shared" si="28"/>
        <v>1</v>
      </c>
      <c r="CK24" s="1725">
        <f t="shared" si="29"/>
        <v>1</v>
      </c>
      <c r="CL24" s="1725">
        <f t="shared" si="30"/>
        <v>1</v>
      </c>
      <c r="CM24" s="1725">
        <f t="shared" si="31"/>
        <v>1</v>
      </c>
      <c r="CN24" s="1725">
        <f t="shared" si="32"/>
        <v>1</v>
      </c>
    </row>
    <row r="25" spans="1:92" ht="15" customHeight="1" x14ac:dyDescent="0.3">
      <c r="A25" s="6234" t="s">
        <v>4544</v>
      </c>
      <c r="B25" s="7045" t="s">
        <v>85</v>
      </c>
      <c r="C25" s="4851" t="s">
        <v>75</v>
      </c>
      <c r="D25" s="4811" t="s">
        <v>5292</v>
      </c>
      <c r="E25" s="4812" t="s">
        <v>5293</v>
      </c>
      <c r="F25" s="4813" t="s">
        <v>5294</v>
      </c>
      <c r="G25" s="4814" t="s">
        <v>5295</v>
      </c>
      <c r="H25" s="4815" t="s">
        <v>5296</v>
      </c>
      <c r="I25" s="4814" t="s">
        <v>5297</v>
      </c>
      <c r="J25" s="4815" t="s">
        <v>5298</v>
      </c>
      <c r="K25" s="4814" t="s">
        <v>5299</v>
      </c>
      <c r="L25" s="4816" t="s">
        <v>5300</v>
      </c>
      <c r="M25" s="4814" t="s">
        <v>5301</v>
      </c>
      <c r="N25" s="4816" t="s">
        <v>5302</v>
      </c>
      <c r="O25" s="4814" t="s">
        <v>5303</v>
      </c>
      <c r="P25" s="4816" t="s">
        <v>5304</v>
      </c>
      <c r="Q25" s="4814" t="s">
        <v>5305</v>
      </c>
      <c r="R25" s="4816" t="s">
        <v>5306</v>
      </c>
      <c r="S25" s="4814" t="s">
        <v>5307</v>
      </c>
      <c r="T25" s="4816" t="s">
        <v>5308</v>
      </c>
      <c r="U25" s="4814" t="s">
        <v>5309</v>
      </c>
      <c r="V25" s="4816" t="s">
        <v>5310</v>
      </c>
      <c r="W25" s="4814" t="s">
        <v>5311</v>
      </c>
      <c r="X25" s="4816" t="s">
        <v>5312</v>
      </c>
      <c r="Y25" s="4814" t="s">
        <v>5313</v>
      </c>
      <c r="Z25" s="4816" t="s">
        <v>5314</v>
      </c>
      <c r="AA25" s="4814" t="s">
        <v>5315</v>
      </c>
      <c r="AB25" s="4816" t="s">
        <v>5316</v>
      </c>
      <c r="AC25" s="4814" t="s">
        <v>5317</v>
      </c>
      <c r="AD25" s="4816" t="s">
        <v>5318</v>
      </c>
      <c r="AE25" s="4814" t="s">
        <v>5319</v>
      </c>
      <c r="AF25" s="4816" t="s">
        <v>5320</v>
      </c>
      <c r="AG25" s="4814" t="s">
        <v>5321</v>
      </c>
      <c r="AH25" s="4816" t="s">
        <v>5322</v>
      </c>
      <c r="AI25" s="4814" t="s">
        <v>5323</v>
      </c>
      <c r="AJ25" s="4816" t="s">
        <v>5324</v>
      </c>
      <c r="AK25" s="4814" t="s">
        <v>5325</v>
      </c>
      <c r="AL25" s="4816" t="s">
        <v>5326</v>
      </c>
      <c r="AM25" s="4817" t="s">
        <v>5327</v>
      </c>
      <c r="AN25" s="4818" t="s">
        <v>5328</v>
      </c>
      <c r="AO25" s="4815" t="s">
        <v>5329</v>
      </c>
      <c r="AP25" s="4815" t="s">
        <v>5330</v>
      </c>
      <c r="AQ25" s="4815" t="s">
        <v>5331</v>
      </c>
      <c r="AR25" s="4815" t="s">
        <v>5332</v>
      </c>
      <c r="AS25" s="4815" t="s">
        <v>5333</v>
      </c>
      <c r="AT25" s="4815" t="s">
        <v>5334</v>
      </c>
      <c r="AU25" s="5734" t="s">
        <v>5335</v>
      </c>
      <c r="AV25" s="5735" t="s">
        <v>5336</v>
      </c>
      <c r="AW25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5" s="1723" t="str">
        <f t="shared" si="17"/>
        <v xml:space="preserve"> * La variable Beneficiarios No puede ser mayor al Total.</v>
      </c>
      <c r="BY25" s="1723" t="str">
        <f t="shared" si="18"/>
        <v xml:space="preserve"> * La variable Niños, Niñas, adolescentes y Jóvenes SENAME No puede ser mayor al Total.</v>
      </c>
      <c r="BZ25" s="1723" t="str">
        <f t="shared" si="19"/>
        <v xml:space="preserve"> * La variable Niños, Niñas, adolescentes y Jóvenes Mejor Niñez No puede ser mayor al Total.</v>
      </c>
      <c r="CA25" s="1723" t="str">
        <f t="shared" si="20"/>
        <v xml:space="preserve"> * La variable Pueblos Originarios No puede ser mayor al Total.</v>
      </c>
      <c r="CB25" s="1723" t="str">
        <f t="shared" si="21"/>
        <v xml:space="preserve"> * La variable Migrantes No puede ser mayor al Total.</v>
      </c>
      <c r="CC25" s="1723" t="str">
        <f t="shared" si="22"/>
        <v xml:space="preserve"> * La variable Demencia No puede ser mayor al Total.</v>
      </c>
      <c r="CD25" s="1723" t="str">
        <f t="shared" si="23"/>
        <v xml:space="preserve"> * La variable Trans (Masculino) No puede ser mayor al Total Mujeres.</v>
      </c>
      <c r="CE25" s="1723" t="str">
        <f t="shared" si="24"/>
        <v xml:space="preserve"> * La variable Trans (Femenino) No puede ser mayor al Total Hombres.</v>
      </c>
      <c r="CG25" s="1725">
        <f t="shared" si="25"/>
        <v>1</v>
      </c>
      <c r="CH25" s="1725">
        <f t="shared" si="26"/>
        <v>1</v>
      </c>
      <c r="CI25" s="1725">
        <f t="shared" si="27"/>
        <v>1</v>
      </c>
      <c r="CJ25" s="1725">
        <f t="shared" si="28"/>
        <v>1</v>
      </c>
      <c r="CK25" s="1725">
        <f t="shared" si="29"/>
        <v>1</v>
      </c>
      <c r="CL25" s="1725">
        <f t="shared" si="30"/>
        <v>1</v>
      </c>
      <c r="CM25" s="1725">
        <f t="shared" si="31"/>
        <v>1</v>
      </c>
      <c r="CN25" s="1725">
        <f t="shared" si="32"/>
        <v>1</v>
      </c>
    </row>
    <row r="26" spans="1:92" ht="15" customHeight="1" x14ac:dyDescent="0.3">
      <c r="A26" s="6234" t="s">
        <v>4545</v>
      </c>
      <c r="B26" s="7046"/>
      <c r="C26" s="4852" t="s">
        <v>86</v>
      </c>
      <c r="D26" s="4853" t="s">
        <v>5292</v>
      </c>
      <c r="E26" s="4854" t="s">
        <v>5293</v>
      </c>
      <c r="F26" s="4855" t="s">
        <v>5294</v>
      </c>
      <c r="G26" s="4303" t="s">
        <v>5295</v>
      </c>
      <c r="H26" s="4856" t="s">
        <v>5296</v>
      </c>
      <c r="I26" s="4303" t="s">
        <v>5297</v>
      </c>
      <c r="J26" s="3948" t="s">
        <v>5298</v>
      </c>
      <c r="K26" s="4303" t="s">
        <v>5299</v>
      </c>
      <c r="L26" s="3948" t="s">
        <v>5300</v>
      </c>
      <c r="M26" s="4303" t="s">
        <v>5301</v>
      </c>
      <c r="N26" s="3948" t="s">
        <v>5302</v>
      </c>
      <c r="O26" s="4303" t="s">
        <v>5303</v>
      </c>
      <c r="P26" s="12" t="s">
        <v>5304</v>
      </c>
      <c r="Q26" s="4303" t="s">
        <v>5305</v>
      </c>
      <c r="R26" s="4856" t="s">
        <v>5306</v>
      </c>
      <c r="S26" s="4857" t="s">
        <v>5307</v>
      </c>
      <c r="T26" s="3948" t="s">
        <v>5308</v>
      </c>
      <c r="U26" s="4303" t="s">
        <v>5309</v>
      </c>
      <c r="V26" s="3948" t="s">
        <v>5310</v>
      </c>
      <c r="W26" s="4303" t="s">
        <v>5311</v>
      </c>
      <c r="X26" s="3948" t="s">
        <v>5312</v>
      </c>
      <c r="Y26" s="4303" t="s">
        <v>5313</v>
      </c>
      <c r="Z26" s="4856" t="s">
        <v>5314</v>
      </c>
      <c r="AA26" s="4303" t="s">
        <v>5315</v>
      </c>
      <c r="AB26" s="4856" t="s">
        <v>5316</v>
      </c>
      <c r="AC26" s="4303" t="s">
        <v>5317</v>
      </c>
      <c r="AD26" s="3948" t="s">
        <v>5318</v>
      </c>
      <c r="AE26" s="4303" t="s">
        <v>5319</v>
      </c>
      <c r="AF26" s="4856" t="s">
        <v>5320</v>
      </c>
      <c r="AG26" s="4303" t="s">
        <v>5321</v>
      </c>
      <c r="AH26" s="4856" t="s">
        <v>5322</v>
      </c>
      <c r="AI26" s="4303" t="s">
        <v>5323</v>
      </c>
      <c r="AJ26" s="3948" t="s">
        <v>5324</v>
      </c>
      <c r="AK26" s="4303" t="s">
        <v>5325</v>
      </c>
      <c r="AL26" s="3948" t="s">
        <v>5326</v>
      </c>
      <c r="AM26" s="22" t="s">
        <v>5327</v>
      </c>
      <c r="AN26" s="3949" t="s">
        <v>5328</v>
      </c>
      <c r="AO26" s="12" t="s">
        <v>5329</v>
      </c>
      <c r="AP26" s="12" t="s">
        <v>5330</v>
      </c>
      <c r="AQ26" s="12" t="s">
        <v>5331</v>
      </c>
      <c r="AR26" s="12" t="s">
        <v>5332</v>
      </c>
      <c r="AS26" s="12" t="s">
        <v>5333</v>
      </c>
      <c r="AT26" s="12" t="s">
        <v>5334</v>
      </c>
      <c r="AU26" s="3" t="s">
        <v>5335</v>
      </c>
      <c r="AV26" s="3948" t="s">
        <v>5336</v>
      </c>
      <c r="AW26" t="str">
        <f t="shared" si="0"/>
        <v xml:space="preserve"> * La variable Beneficiarios No puede ser mayor al Total. * La variable Niños, Niñas, adolescentes y Jóvenes SENAME No puede ser mayor al Total. * La variable Niños, Niñas, adolescentes y Jóvenes Mejor Niñez No puede ser mayor al Total. * La variable Pueblos Originarios No puede ser mayor al Total. * La variable Migrantes No puede ser mayor al Total. * La variable Demencia No puede ser mayor al Total. * La variable Trans (Masculino) No puede ser mayor al Total Mujeres. * La variable Trans (Femenino) No puede ser mayor al Total Hombres.</v>
      </c>
      <c r="BX26" s="1723" t="str">
        <f t="shared" si="17"/>
        <v xml:space="preserve"> * La variable Beneficiarios No puede ser mayor al Total.</v>
      </c>
      <c r="BY26" s="1723" t="str">
        <f t="shared" si="18"/>
        <v xml:space="preserve"> * La variable Niños, Niñas, adolescentes y Jóvenes SENAME No puede ser mayor al Total.</v>
      </c>
      <c r="BZ26" s="1723" t="str">
        <f t="shared" si="19"/>
        <v xml:space="preserve"> * La variable Niños, Niñas, adolescentes y Jóvenes Mejor Niñez No puede ser mayor al Total.</v>
      </c>
      <c r="CA26" s="1723" t="str">
        <f t="shared" si="20"/>
        <v xml:space="preserve"> * La variable Pueblos Originarios No puede ser mayor al Total.</v>
      </c>
      <c r="CB26" s="1723" t="str">
        <f t="shared" si="21"/>
        <v xml:space="preserve"> * La variable Migrantes No puede ser mayor al Total.</v>
      </c>
      <c r="CC26" s="1723" t="str">
        <f t="shared" si="22"/>
        <v xml:space="preserve"> * La variable Demencia No puede ser mayor al Total.</v>
      </c>
      <c r="CD26" s="1723" t="str">
        <f t="shared" si="23"/>
        <v xml:space="preserve"> * La variable Trans (Masculino) No puede ser mayor al Total Mujeres.</v>
      </c>
      <c r="CE26" s="1723" t="str">
        <f t="shared" si="24"/>
        <v xml:space="preserve"> * La variable Trans (Femenino) No puede ser mayor al Total Hombres.</v>
      </c>
      <c r="CG26" s="1725">
        <f t="shared" si="25"/>
        <v>1</v>
      </c>
      <c r="CH26" s="1725">
        <f t="shared" si="26"/>
        <v>1</v>
      </c>
      <c r="CI26" s="1725">
        <f t="shared" si="27"/>
        <v>1</v>
      </c>
      <c r="CJ26" s="1725">
        <f t="shared" si="28"/>
        <v>1</v>
      </c>
      <c r="CK26" s="1725">
        <f t="shared" si="29"/>
        <v>1</v>
      </c>
      <c r="CL26" s="1725">
        <f t="shared" si="30"/>
        <v>1</v>
      </c>
      <c r="CM26" s="1725">
        <f t="shared" si="31"/>
        <v>1</v>
      </c>
      <c r="CN26" s="1725">
        <f t="shared" si="32"/>
        <v>1</v>
      </c>
    </row>
    <row r="27" spans="1:92" s="17" customFormat="1" ht="18" customHeight="1" x14ac:dyDescent="0.25">
      <c r="B27" s="14" t="s">
        <v>87</v>
      </c>
      <c r="C27" s="14"/>
      <c r="D27" s="49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5"/>
      <c r="Q27" s="15"/>
      <c r="R27" s="15"/>
      <c r="S27" s="15"/>
      <c r="T27" s="15"/>
      <c r="U27" s="15"/>
      <c r="V27" s="15"/>
      <c r="W27" s="1726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92" ht="21.75" customHeight="1" x14ac:dyDescent="0.3">
      <c r="B28" s="7052" t="s">
        <v>58</v>
      </c>
      <c r="C28" s="7052" t="s">
        <v>88</v>
      </c>
      <c r="D28" s="7037" t="s">
        <v>89</v>
      </c>
      <c r="E28" s="7040"/>
      <c r="F28" s="7037" t="s">
        <v>90</v>
      </c>
      <c r="G28" s="7038"/>
      <c r="H28" s="7040"/>
      <c r="I28" s="7037" t="s">
        <v>36</v>
      </c>
      <c r="J28" s="7040"/>
      <c r="K28" s="7037" t="s">
        <v>37</v>
      </c>
      <c r="L28" s="7040"/>
      <c r="M28" s="7037" t="s">
        <v>38</v>
      </c>
      <c r="N28" s="7040"/>
      <c r="O28" s="7037" t="s">
        <v>4</v>
      </c>
      <c r="P28" s="7040"/>
      <c r="Q28" s="7037" t="s">
        <v>5</v>
      </c>
      <c r="R28" s="7040"/>
      <c r="S28" s="7041" t="s">
        <v>6</v>
      </c>
      <c r="T28" s="7049"/>
      <c r="U28" s="7041" t="s">
        <v>7</v>
      </c>
      <c r="V28" s="7049"/>
      <c r="W28" s="7041" t="s">
        <v>8</v>
      </c>
      <c r="X28" s="7049"/>
      <c r="Y28" s="7041" t="s">
        <v>9</v>
      </c>
      <c r="Z28" s="7049"/>
      <c r="AA28" s="7041" t="s">
        <v>10</v>
      </c>
      <c r="AB28" s="7049"/>
      <c r="AC28" s="7041" t="s">
        <v>11</v>
      </c>
      <c r="AD28" s="7049"/>
      <c r="AE28" s="7041" t="s">
        <v>18</v>
      </c>
      <c r="AF28" s="7049"/>
      <c r="AG28" s="7041" t="s">
        <v>19</v>
      </c>
      <c r="AH28" s="7049"/>
      <c r="AI28" s="7041" t="s">
        <v>20</v>
      </c>
      <c r="AJ28" s="7049"/>
      <c r="AK28" s="7041" t="s">
        <v>70</v>
      </c>
      <c r="AL28" s="7049"/>
      <c r="AM28" s="7041" t="s">
        <v>71</v>
      </c>
      <c r="AN28" s="7049"/>
      <c r="AO28" s="7041" t="s">
        <v>72</v>
      </c>
      <c r="AP28" s="7042"/>
      <c r="AQ28" s="7034" t="s">
        <v>2</v>
      </c>
      <c r="AR28" s="7034" t="s">
        <v>3</v>
      </c>
      <c r="AS28" s="7034" t="s">
        <v>49</v>
      </c>
      <c r="AT28" s="7034" t="s">
        <v>45</v>
      </c>
      <c r="AU28" s="7052" t="s">
        <v>91</v>
      </c>
      <c r="AV28" s="7052" t="s">
        <v>92</v>
      </c>
    </row>
    <row r="29" spans="1:92" ht="40.799999999999997" x14ac:dyDescent="0.3">
      <c r="B29" s="7053"/>
      <c r="C29" s="7053"/>
      <c r="D29" s="4859" t="s">
        <v>95</v>
      </c>
      <c r="E29" s="4859" t="s">
        <v>96</v>
      </c>
      <c r="F29" s="4809" t="s">
        <v>26</v>
      </c>
      <c r="G29" s="4860" t="s">
        <v>22</v>
      </c>
      <c r="H29" s="4805" t="s">
        <v>27</v>
      </c>
      <c r="I29" s="4809" t="s">
        <v>22</v>
      </c>
      <c r="J29" s="4805" t="s">
        <v>27</v>
      </c>
      <c r="K29" s="4809" t="s">
        <v>22</v>
      </c>
      <c r="L29" s="4805" t="s">
        <v>27</v>
      </c>
      <c r="M29" s="4809" t="s">
        <v>22</v>
      </c>
      <c r="N29" s="4805" t="s">
        <v>27</v>
      </c>
      <c r="O29" s="4809" t="s">
        <v>22</v>
      </c>
      <c r="P29" s="4805" t="s">
        <v>27</v>
      </c>
      <c r="Q29" s="4809" t="s">
        <v>22</v>
      </c>
      <c r="R29" s="4805" t="s">
        <v>27</v>
      </c>
      <c r="S29" s="4809" t="s">
        <v>22</v>
      </c>
      <c r="T29" s="4805" t="s">
        <v>27</v>
      </c>
      <c r="U29" s="4809" t="s">
        <v>22</v>
      </c>
      <c r="V29" s="4803" t="s">
        <v>27</v>
      </c>
      <c r="W29" s="4809" t="s">
        <v>22</v>
      </c>
      <c r="X29" s="4805" t="s">
        <v>27</v>
      </c>
      <c r="Y29" s="4809" t="s">
        <v>22</v>
      </c>
      <c r="Z29" s="4805" t="s">
        <v>27</v>
      </c>
      <c r="AA29" s="4809" t="s">
        <v>22</v>
      </c>
      <c r="AB29" s="4805" t="s">
        <v>27</v>
      </c>
      <c r="AC29" s="4809" t="s">
        <v>22</v>
      </c>
      <c r="AD29" s="4805" t="s">
        <v>27</v>
      </c>
      <c r="AE29" s="4809" t="s">
        <v>22</v>
      </c>
      <c r="AF29" s="4805" t="s">
        <v>27</v>
      </c>
      <c r="AG29" s="4809" t="s">
        <v>22</v>
      </c>
      <c r="AH29" s="4805" t="s">
        <v>27</v>
      </c>
      <c r="AI29" s="4809" t="s">
        <v>22</v>
      </c>
      <c r="AJ29" s="4805" t="s">
        <v>27</v>
      </c>
      <c r="AK29" s="4809" t="s">
        <v>22</v>
      </c>
      <c r="AL29" s="4805" t="s">
        <v>27</v>
      </c>
      <c r="AM29" s="4809" t="s">
        <v>22</v>
      </c>
      <c r="AN29" s="4805" t="s">
        <v>27</v>
      </c>
      <c r="AO29" s="4809" t="s">
        <v>22</v>
      </c>
      <c r="AP29" s="4804" t="s">
        <v>27</v>
      </c>
      <c r="AQ29" s="7036"/>
      <c r="AR29" s="7036"/>
      <c r="AS29" s="7036"/>
      <c r="AT29" s="7036"/>
      <c r="AU29" s="7053"/>
      <c r="AV29" s="7053"/>
    </row>
    <row r="30" spans="1:92" x14ac:dyDescent="0.3">
      <c r="A30" s="6234" t="s">
        <v>4546</v>
      </c>
      <c r="B30" s="4851" t="s">
        <v>93</v>
      </c>
      <c r="C30" s="4861" t="s">
        <v>5292</v>
      </c>
      <c r="D30" s="4815" t="s">
        <v>5293</v>
      </c>
      <c r="E30" s="4862" t="s">
        <v>5294</v>
      </c>
      <c r="F30" s="4863" t="s">
        <v>5295</v>
      </c>
      <c r="G30" s="4864" t="s">
        <v>5296</v>
      </c>
      <c r="H30" s="4865" t="s">
        <v>5297</v>
      </c>
      <c r="I30" s="4814" t="s">
        <v>5298</v>
      </c>
      <c r="J30" s="4815" t="s">
        <v>5299</v>
      </c>
      <c r="K30" s="4814" t="s">
        <v>5300</v>
      </c>
      <c r="L30" s="4816" t="s">
        <v>5301</v>
      </c>
      <c r="M30" s="4814" t="s">
        <v>5302</v>
      </c>
      <c r="N30" s="4816" t="s">
        <v>5303</v>
      </c>
      <c r="O30" s="4814" t="s">
        <v>5304</v>
      </c>
      <c r="P30" s="4816" t="s">
        <v>5305</v>
      </c>
      <c r="Q30" s="4814" t="s">
        <v>5306</v>
      </c>
      <c r="R30" s="4815" t="s">
        <v>5307</v>
      </c>
      <c r="S30" s="4814" t="s">
        <v>5308</v>
      </c>
      <c r="T30" s="4815" t="s">
        <v>5309</v>
      </c>
      <c r="U30" s="4817" t="s">
        <v>5310</v>
      </c>
      <c r="V30" s="4816" t="s">
        <v>5311</v>
      </c>
      <c r="W30" s="4814" t="s">
        <v>5312</v>
      </c>
      <c r="X30" s="4816" t="s">
        <v>5313</v>
      </c>
      <c r="Y30" s="4814" t="s">
        <v>5314</v>
      </c>
      <c r="Z30" s="4816" t="s">
        <v>5315</v>
      </c>
      <c r="AA30" s="4814" t="s">
        <v>5316</v>
      </c>
      <c r="AB30" s="4815" t="s">
        <v>5317</v>
      </c>
      <c r="AC30" s="4814" t="s">
        <v>5318</v>
      </c>
      <c r="AD30" s="4815" t="s">
        <v>5319</v>
      </c>
      <c r="AE30" s="4814" t="s">
        <v>5320</v>
      </c>
      <c r="AF30" s="4816" t="s">
        <v>5321</v>
      </c>
      <c r="AG30" s="4814" t="s">
        <v>5322</v>
      </c>
      <c r="AH30" s="4815" t="s">
        <v>5323</v>
      </c>
      <c r="AI30" s="4814" t="s">
        <v>5324</v>
      </c>
      <c r="AJ30" s="4815" t="s">
        <v>5325</v>
      </c>
      <c r="AK30" s="4814" t="s">
        <v>5326</v>
      </c>
      <c r="AL30" s="4816" t="s">
        <v>5327</v>
      </c>
      <c r="AM30" s="4814" t="s">
        <v>5328</v>
      </c>
      <c r="AN30" s="4816" t="s">
        <v>5329</v>
      </c>
      <c r="AO30" s="4817" t="s">
        <v>5330</v>
      </c>
      <c r="AP30" s="4818" t="s">
        <v>5331</v>
      </c>
      <c r="AQ30" s="4815" t="s">
        <v>5332</v>
      </c>
      <c r="AR30" s="4815" t="s">
        <v>5333</v>
      </c>
      <c r="AS30" s="4815" t="s">
        <v>5334</v>
      </c>
      <c r="AT30" s="4815" t="s">
        <v>5335</v>
      </c>
      <c r="AU30" s="4815" t="s">
        <v>5336</v>
      </c>
      <c r="AV30" s="4815" t="s">
        <v>5337</v>
      </c>
      <c r="AW30" t="str">
        <f>BX30&amp;BY30&amp;BZ30&amp;CA30&amp;CB30&amp;CC30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 * La variable Personas con sospecha de demencia No puede ser mayor al Total. * La variable Personas con diagnóstico de demencia No puede ser mayor al Total.</v>
      </c>
      <c r="BX30" s="1723" t="str">
        <f>IF(AND(F30&gt;0,AQ30=""),"  * No olvide digitar la variable Pueblos originarios. Digite Cero si no tiene.",IF(AQ30&gt;F30," * La variable Pueblos originarios No puede ser mayor al Total.",""))</f>
        <v xml:space="preserve"> * La variable Pueblos originarios No puede ser mayor al Total.</v>
      </c>
      <c r="BY30" s="1723" t="str">
        <f>IF(AND(F30&gt;0,AR30=""),"  * No olvide digitar la variable Migrantes. Digite Cero si no tiene.",IF(AR30&gt;F30," * La variable Migrantes No puede ser mayor al Total.",""))</f>
        <v xml:space="preserve"> * La variable Migrantes No puede ser mayor al Total.</v>
      </c>
      <c r="BZ30" s="1723" t="str">
        <f>IF(AND(F30&gt;0,AS30=""),"  * No olvide digitar la variable Niños, Niñas, adolescentes y jóvenes SENAME. Digite Cero si no tiene.",IF(AS30&gt;F30," * La variable Niños, Niñas, adolescentes y jóvenes SENAME No puede ser mayor al Total.",""))</f>
        <v xml:space="preserve"> * La variable Niños, Niñas, adolescentes y jóvenes SENAME No puede ser mayor al Total.</v>
      </c>
      <c r="CA30" s="1723" t="str">
        <f>IF(AND(F30&gt;0,AT30=""),"  * No olvide digitar la variable Niños, Niñas, adolescentes y jóvenes Mejor Niñez. Digite Cero si no tiene.",IF(AT30&gt;F30," * La variable Niños, Niñas, adolescentes y jóvenes Mejor Niñez No puede ser mayor al Total.",""))</f>
        <v xml:space="preserve"> * La variable Niños, Niñas, adolescentes y jóvenes Mejor Niñez No puede ser mayor al Total.</v>
      </c>
      <c r="CB30" s="1723" t="str">
        <f>IF(AND(F30&gt;0,AU30=""),"  * No olvide digitar la variable Personas con sospecha de demencia. Digite Cero si no tiene.",IF(AU30&gt;F30," * La variable Personas con sospecha de demencia No puede ser mayor al Total.",""))</f>
        <v xml:space="preserve"> * La variable Personas con sospecha de demencia No puede ser mayor al Total.</v>
      </c>
      <c r="CC30" s="1723" t="str">
        <f>IF(AND(F30&gt;0,AV30=""),"  * No olvide digitar la variable Personas con diagnóstico de demencia. Digite Cero si no tiene.",IF(AV30&gt;F30," * La variable Personas con diagnóstico de demencia No puede ser mayor al Total.",""))</f>
        <v xml:space="preserve"> * La variable Personas con diagnóstico de demencia No puede ser mayor al Total.</v>
      </c>
      <c r="CG30" s="1725">
        <f>IF(AND(F30&gt;0,AQ30=""),1,IF(AQ30&gt;F30,1,0))</f>
        <v>1</v>
      </c>
      <c r="CH30" s="1725">
        <f>IF(AND(F30&gt;0,AR30=""),1,IF(AR30&gt;F30,1,0))</f>
        <v>1</v>
      </c>
      <c r="CI30" s="1725">
        <f>IF(AND(F30&gt;0,AS30=""),1,IF(AS30&gt;F30,1,0))</f>
        <v>1</v>
      </c>
      <c r="CJ30" s="1725">
        <f>IF(AND(F30&gt;0,AT30=""),1,IF(AT30&gt;F30,1,0))</f>
        <v>1</v>
      </c>
      <c r="CK30" s="1725">
        <f>IF(AND(F30&gt;0,AU30=""),1,IF(AU30&gt;F30,1,0))</f>
        <v>1</v>
      </c>
      <c r="CL30" s="1725">
        <f>IF(AND(F30&gt;0,AV30=""),1,IF(AV30&gt;F30,1,0))</f>
        <v>1</v>
      </c>
    </row>
    <row r="31" spans="1:92" x14ac:dyDescent="0.3">
      <c r="A31" s="6234" t="s">
        <v>4547</v>
      </c>
      <c r="B31" s="54" t="s">
        <v>94</v>
      </c>
      <c r="C31" s="51" t="s">
        <v>5292</v>
      </c>
      <c r="D31" s="12" t="s">
        <v>5293</v>
      </c>
      <c r="E31" s="30" t="s">
        <v>5294</v>
      </c>
      <c r="F31" s="52" t="s">
        <v>5295</v>
      </c>
      <c r="G31" s="4866" t="s">
        <v>5296</v>
      </c>
      <c r="H31" s="13" t="s">
        <v>5297</v>
      </c>
      <c r="I31" s="4303" t="s">
        <v>5298</v>
      </c>
      <c r="J31" s="12" t="s">
        <v>5299</v>
      </c>
      <c r="K31" s="4303" t="s">
        <v>5300</v>
      </c>
      <c r="L31" s="3948" t="s">
        <v>5301</v>
      </c>
      <c r="M31" s="4303" t="s">
        <v>5302</v>
      </c>
      <c r="N31" s="3948" t="s">
        <v>5303</v>
      </c>
      <c r="O31" s="4303" t="s">
        <v>5304</v>
      </c>
      <c r="P31" s="3948" t="s">
        <v>5305</v>
      </c>
      <c r="Q31" s="4303" t="s">
        <v>5306</v>
      </c>
      <c r="R31" s="12" t="s">
        <v>5307</v>
      </c>
      <c r="S31" s="4303" t="s">
        <v>5308</v>
      </c>
      <c r="T31" s="12" t="s">
        <v>5309</v>
      </c>
      <c r="U31" s="22" t="s">
        <v>5310</v>
      </c>
      <c r="V31" s="3948" t="s">
        <v>5311</v>
      </c>
      <c r="W31" s="4303" t="s">
        <v>5312</v>
      </c>
      <c r="X31" s="3948" t="s">
        <v>5313</v>
      </c>
      <c r="Y31" s="4303" t="s">
        <v>5314</v>
      </c>
      <c r="Z31" s="3948" t="s">
        <v>5315</v>
      </c>
      <c r="AA31" s="4303" t="s">
        <v>5316</v>
      </c>
      <c r="AB31" s="12" t="s">
        <v>5317</v>
      </c>
      <c r="AC31" s="4303" t="s">
        <v>5318</v>
      </c>
      <c r="AD31" s="12" t="s">
        <v>5319</v>
      </c>
      <c r="AE31" s="4303" t="s">
        <v>5320</v>
      </c>
      <c r="AF31" s="3948" t="s">
        <v>5321</v>
      </c>
      <c r="AG31" s="4303" t="s">
        <v>5322</v>
      </c>
      <c r="AH31" s="12" t="s">
        <v>5323</v>
      </c>
      <c r="AI31" s="4303" t="s">
        <v>5324</v>
      </c>
      <c r="AJ31" s="12" t="s">
        <v>5325</v>
      </c>
      <c r="AK31" s="4303" t="s">
        <v>5326</v>
      </c>
      <c r="AL31" s="3948" t="s">
        <v>5327</v>
      </c>
      <c r="AM31" s="4303" t="s">
        <v>5328</v>
      </c>
      <c r="AN31" s="3948" t="s">
        <v>5329</v>
      </c>
      <c r="AO31" s="22" t="s">
        <v>5330</v>
      </c>
      <c r="AP31" s="3949" t="s">
        <v>5331</v>
      </c>
      <c r="AQ31" s="12" t="s">
        <v>5332</v>
      </c>
      <c r="AR31" s="12" t="s">
        <v>5333</v>
      </c>
      <c r="AS31" s="12" t="s">
        <v>5334</v>
      </c>
      <c r="AT31" s="12" t="s">
        <v>5335</v>
      </c>
      <c r="AU31" s="12" t="s">
        <v>5336</v>
      </c>
      <c r="AV31" s="12" t="s">
        <v>5337</v>
      </c>
      <c r="AW31" t="str">
        <f>BX31&amp;BY31&amp;BZ31&amp;CA31&amp;CB31&amp;CC31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 * La variable Personas con sospecha de demencia No puede ser mayor al Total. * La variable Personas con diagnóstico de demencia No puede ser mayor al Total.</v>
      </c>
      <c r="BX31" s="1723" t="str">
        <f>IF(AND(F31&gt;0,AQ31=""),"  * No olvide digitar la variable Pueblos originarios. Digite Cero si no tiene.",IF(AQ31&gt;F31," * La variable Pueblos originarios No puede ser mayor al Total.",""))</f>
        <v xml:space="preserve"> * La variable Pueblos originarios No puede ser mayor al Total.</v>
      </c>
      <c r="BY31" s="1723" t="str">
        <f>IF(AND(F31&gt;0,AR31=""),"  * No olvide digitar la variable Migrantes. Digite Cero si no tiene.",IF(AR31&gt;F31," * La variable Migrantes No puede ser mayor al Total.",""))</f>
        <v xml:space="preserve"> * La variable Migrantes No puede ser mayor al Total.</v>
      </c>
      <c r="BZ31" s="1723" t="str">
        <f>IF(AND(F31&gt;0,AS31=""),"  * No olvide digitar la variable Niños, Niñas, adolescentes y jóvenes SENAME. Digite Cero si no tiene.",IF(AS31&gt;F31," * La variable Niños, Niñas, adolescentes y jóvenes SENAME No puede ser mayor al Total.",""))</f>
        <v xml:space="preserve"> * La variable Niños, Niñas, adolescentes y jóvenes SENAME No puede ser mayor al Total.</v>
      </c>
      <c r="CA31" s="1723" t="str">
        <f>IF(AND(F31&gt;0,AT31=""),"  * No olvide digitar la variable Niños, Niñas, adolescentes y jóvenes Mejor Niñez. Digite Cero si no tiene.",IF(AT31&gt;F31," * La variable Niños, Niñas, adolescentes y jóvenes Mejor Niñez No puede ser mayor al Total.",""))</f>
        <v xml:space="preserve"> * La variable Niños, Niñas, adolescentes y jóvenes Mejor Niñez No puede ser mayor al Total.</v>
      </c>
      <c r="CB31" s="1723" t="str">
        <f>IF(AND(F31&gt;0,AU31=""),"  * No olvide digitar la variable Personas con sospecha de demencia. Digite Cero si no tiene.",IF(AU31&gt;F31," * La variable Personas con sospecha de demencia No puede ser mayor al Total.",""))</f>
        <v xml:space="preserve"> * La variable Personas con sospecha de demencia No puede ser mayor al Total.</v>
      </c>
      <c r="CC31" s="1723" t="str">
        <f>IF(AND(F31&gt;0,AV31=""),"  * No olvide digitar la variable Personas con diagnóstico de demencia. Digite Cero si no tiene.",IF(AV31&gt;F31," * La variable Personas con diagnóstico de demencia No puede ser mayor al Total.",""))</f>
        <v xml:space="preserve"> * La variable Personas con diagnóstico de demencia No puede ser mayor al Total.</v>
      </c>
      <c r="CG31" s="1725">
        <f>IF(AND(F31&gt;0,AQ31=""),1,IF(AQ31&gt;F31,1,0))</f>
        <v>1</v>
      </c>
      <c r="CH31" s="1725">
        <f>IF(AND(F31&gt;0,AR31=""),1,IF(AR31&gt;F31,1,0))</f>
        <v>1</v>
      </c>
      <c r="CI31" s="1725">
        <f>IF(AND(F31&gt;0,AS31=""),1,IF(AS31&gt;F31,1,0))</f>
        <v>1</v>
      </c>
      <c r="CJ31" s="1725">
        <f>IF(AND(F31&gt;0,AT31=""),1,IF(AT31&gt;F31,1,0))</f>
        <v>1</v>
      </c>
      <c r="CK31" s="1725">
        <f>IF(AND(F31&gt;0,AU31=""),1,IF(AU31&gt;F31,1,0))</f>
        <v>1</v>
      </c>
      <c r="CL31" s="1725">
        <f>IF(AND(F31&gt;0,AV31=""),1,IF(AV31&gt;F31,1,0))</f>
        <v>1</v>
      </c>
    </row>
    <row r="32" spans="1:92" s="170" customFormat="1" ht="15" customHeight="1" x14ac:dyDescent="0.25">
      <c r="A32" s="6249"/>
      <c r="B32" s="4867" t="s">
        <v>24</v>
      </c>
      <c r="C32" s="4868">
        <f t="shared" ref="C32:I32" si="33">SUM(C30:C31)</f>
        <v>0</v>
      </c>
      <c r="D32" s="4830">
        <f t="shared" si="33"/>
        <v>0</v>
      </c>
      <c r="E32" s="4868">
        <f t="shared" si="33"/>
        <v>0</v>
      </c>
      <c r="F32" s="4869">
        <f t="shared" si="33"/>
        <v>0</v>
      </c>
      <c r="G32" s="4869">
        <f t="shared" si="33"/>
        <v>0</v>
      </c>
      <c r="H32" s="4869">
        <f t="shared" si="33"/>
        <v>0</v>
      </c>
      <c r="I32" s="4829">
        <f t="shared" si="33"/>
        <v>0</v>
      </c>
      <c r="J32" s="4869">
        <f t="shared" ref="J32:AV32" si="34">SUM(J30:J31)</f>
        <v>0</v>
      </c>
      <c r="K32" s="4829">
        <f t="shared" si="34"/>
        <v>0</v>
      </c>
      <c r="L32" s="4869">
        <f t="shared" si="34"/>
        <v>0</v>
      </c>
      <c r="M32" s="4829">
        <f t="shared" si="34"/>
        <v>0</v>
      </c>
      <c r="N32" s="4869">
        <f t="shared" si="34"/>
        <v>0</v>
      </c>
      <c r="O32" s="4829">
        <f t="shared" si="34"/>
        <v>0</v>
      </c>
      <c r="P32" s="4869">
        <f t="shared" si="34"/>
        <v>0</v>
      </c>
      <c r="Q32" s="4829">
        <f t="shared" si="34"/>
        <v>0</v>
      </c>
      <c r="R32" s="4869">
        <f t="shared" si="34"/>
        <v>0</v>
      </c>
      <c r="S32" s="4829">
        <f t="shared" si="34"/>
        <v>0</v>
      </c>
      <c r="T32" s="4869">
        <f t="shared" si="34"/>
        <v>0</v>
      </c>
      <c r="U32" s="4829">
        <f t="shared" si="34"/>
        <v>0</v>
      </c>
      <c r="V32" s="4869">
        <f t="shared" si="34"/>
        <v>0</v>
      </c>
      <c r="W32" s="4829">
        <f t="shared" si="34"/>
        <v>0</v>
      </c>
      <c r="X32" s="4869">
        <f t="shared" si="34"/>
        <v>0</v>
      </c>
      <c r="Y32" s="4829">
        <f t="shared" si="34"/>
        <v>0</v>
      </c>
      <c r="Z32" s="4869">
        <f t="shared" si="34"/>
        <v>0</v>
      </c>
      <c r="AA32" s="4829">
        <f t="shared" si="34"/>
        <v>0</v>
      </c>
      <c r="AB32" s="4869">
        <f t="shared" si="34"/>
        <v>0</v>
      </c>
      <c r="AC32" s="4829">
        <f t="shared" si="34"/>
        <v>0</v>
      </c>
      <c r="AD32" s="4869">
        <f t="shared" si="34"/>
        <v>0</v>
      </c>
      <c r="AE32" s="4829">
        <f t="shared" si="34"/>
        <v>0</v>
      </c>
      <c r="AF32" s="4869">
        <f t="shared" si="34"/>
        <v>0</v>
      </c>
      <c r="AG32" s="4829">
        <f t="shared" si="34"/>
        <v>0</v>
      </c>
      <c r="AH32" s="4869">
        <f t="shared" si="34"/>
        <v>0</v>
      </c>
      <c r="AI32" s="4829">
        <f t="shared" si="34"/>
        <v>0</v>
      </c>
      <c r="AJ32" s="4869">
        <f t="shared" si="34"/>
        <v>0</v>
      </c>
      <c r="AK32" s="4829">
        <f t="shared" si="34"/>
        <v>0</v>
      </c>
      <c r="AL32" s="4869">
        <f t="shared" si="34"/>
        <v>0</v>
      </c>
      <c r="AM32" s="4829">
        <f t="shared" si="34"/>
        <v>0</v>
      </c>
      <c r="AN32" s="4869">
        <f t="shared" si="34"/>
        <v>0</v>
      </c>
      <c r="AO32" s="4829">
        <f t="shared" si="34"/>
        <v>0</v>
      </c>
      <c r="AP32" s="4870">
        <f t="shared" si="34"/>
        <v>0</v>
      </c>
      <c r="AQ32" s="4830">
        <f t="shared" si="34"/>
        <v>0</v>
      </c>
      <c r="AR32" s="4830">
        <f t="shared" si="34"/>
        <v>0</v>
      </c>
      <c r="AS32" s="4830">
        <f t="shared" si="34"/>
        <v>0</v>
      </c>
      <c r="AT32" s="4830">
        <f t="shared" si="34"/>
        <v>0</v>
      </c>
      <c r="AU32" s="4830">
        <f t="shared" si="34"/>
        <v>0</v>
      </c>
      <c r="AV32" s="4830">
        <f t="shared" si="34"/>
        <v>0</v>
      </c>
    </row>
    <row r="33" spans="1:43" s="17" customFormat="1" ht="18" customHeight="1" x14ac:dyDescent="0.25">
      <c r="A33" s="6249"/>
      <c r="B33" s="14" t="s">
        <v>97</v>
      </c>
      <c r="C33" s="14"/>
      <c r="D33" s="49"/>
      <c r="E33" s="14"/>
      <c r="F33" s="14"/>
      <c r="G33" s="14"/>
      <c r="H33" s="14"/>
      <c r="I33" s="14"/>
      <c r="J33" s="14"/>
      <c r="K33" s="14"/>
      <c r="L33" s="14"/>
      <c r="M33" s="14"/>
      <c r="N33" s="14"/>
    </row>
    <row r="34" spans="1:43" ht="27" customHeight="1" x14ac:dyDescent="0.3">
      <c r="A34" s="6249"/>
      <c r="B34" s="7052" t="s">
        <v>58</v>
      </c>
      <c r="C34" s="7052" t="s">
        <v>98</v>
      </c>
      <c r="D34" s="7037" t="s">
        <v>99</v>
      </c>
      <c r="E34" s="7040"/>
      <c r="F34" s="7037" t="s">
        <v>90</v>
      </c>
      <c r="G34" s="7038"/>
      <c r="H34" s="7040"/>
      <c r="I34" s="7066" t="s">
        <v>100</v>
      </c>
      <c r="J34" s="7067"/>
      <c r="K34" s="7067"/>
      <c r="L34" s="7067"/>
      <c r="M34" s="7067"/>
      <c r="N34" s="7068"/>
    </row>
    <row r="35" spans="1:43" ht="40.799999999999997" x14ac:dyDescent="0.3">
      <c r="A35" s="6249"/>
      <c r="B35" s="7053"/>
      <c r="C35" s="7053"/>
      <c r="D35" s="4859" t="s">
        <v>95</v>
      </c>
      <c r="E35" s="4859" t="s">
        <v>107</v>
      </c>
      <c r="F35" s="4809" t="s">
        <v>26</v>
      </c>
      <c r="G35" s="4860" t="s">
        <v>22</v>
      </c>
      <c r="H35" s="4871" t="s">
        <v>27</v>
      </c>
      <c r="I35" s="4872" t="s">
        <v>101</v>
      </c>
      <c r="J35" s="4873" t="s">
        <v>102</v>
      </c>
      <c r="K35" s="4873" t="s">
        <v>103</v>
      </c>
      <c r="L35" s="4873" t="s">
        <v>104</v>
      </c>
      <c r="M35" s="4873" t="s">
        <v>105</v>
      </c>
      <c r="N35" s="4874" t="s">
        <v>106</v>
      </c>
    </row>
    <row r="36" spans="1:43" ht="15" customHeight="1" x14ac:dyDescent="0.3">
      <c r="A36" s="6234" t="s">
        <v>4548</v>
      </c>
      <c r="B36" s="4851" t="s">
        <v>93</v>
      </c>
      <c r="C36" s="4861" t="s">
        <v>5292</v>
      </c>
      <c r="D36" s="4815" t="s">
        <v>5293</v>
      </c>
      <c r="E36" s="4815" t="s">
        <v>5294</v>
      </c>
      <c r="F36" s="4875" t="s">
        <v>5295</v>
      </c>
      <c r="G36" s="4876" t="s">
        <v>5296</v>
      </c>
      <c r="H36" s="4815" t="s">
        <v>5297</v>
      </c>
      <c r="I36" s="4814" t="s">
        <v>5298</v>
      </c>
      <c r="J36" s="4877" t="s">
        <v>5299</v>
      </c>
      <c r="K36" s="4877" t="s">
        <v>5300</v>
      </c>
      <c r="L36" s="4877" t="s">
        <v>5301</v>
      </c>
      <c r="M36" s="4877" t="s">
        <v>5302</v>
      </c>
      <c r="N36" s="4816" t="s">
        <v>5303</v>
      </c>
    </row>
    <row r="37" spans="1:43" ht="15" customHeight="1" x14ac:dyDescent="0.3">
      <c r="A37" s="6234" t="s">
        <v>4549</v>
      </c>
      <c r="B37" s="4824" t="s">
        <v>94</v>
      </c>
      <c r="C37" s="4878" t="s">
        <v>5292</v>
      </c>
      <c r="D37" s="4856" t="s">
        <v>5293</v>
      </c>
      <c r="E37" s="4856" t="s">
        <v>5294</v>
      </c>
      <c r="F37" s="4879" t="s">
        <v>5295</v>
      </c>
      <c r="G37" s="2360" t="s">
        <v>5296</v>
      </c>
      <c r="H37" s="4856" t="s">
        <v>5297</v>
      </c>
      <c r="I37" s="4880" t="s">
        <v>5298</v>
      </c>
      <c r="J37" s="2153" t="s">
        <v>5299</v>
      </c>
      <c r="K37" s="2153" t="s">
        <v>5300</v>
      </c>
      <c r="L37" s="2153" t="s">
        <v>5301</v>
      </c>
      <c r="M37" s="2153" t="s">
        <v>5302</v>
      </c>
      <c r="N37" s="4881" t="s">
        <v>5303</v>
      </c>
    </row>
    <row r="38" spans="1:43" ht="15" customHeight="1" x14ac:dyDescent="0.3">
      <c r="A38" s="6235"/>
      <c r="B38" s="4867" t="s">
        <v>24</v>
      </c>
      <c r="C38" s="4868">
        <f t="shared" ref="C38:N38" si="35">SUM(C36:C37)</f>
        <v>0</v>
      </c>
      <c r="D38" s="4882">
        <f t="shared" si="35"/>
        <v>0</v>
      </c>
      <c r="E38" s="4883">
        <f t="shared" si="35"/>
        <v>0</v>
      </c>
      <c r="F38" s="4883">
        <f t="shared" si="35"/>
        <v>0</v>
      </c>
      <c r="G38" s="4884">
        <f t="shared" si="35"/>
        <v>0</v>
      </c>
      <c r="H38" s="4884">
        <f t="shared" si="35"/>
        <v>0</v>
      </c>
      <c r="I38" s="4882">
        <f t="shared" si="35"/>
        <v>0</v>
      </c>
      <c r="J38" s="4885">
        <f t="shared" si="35"/>
        <v>0</v>
      </c>
      <c r="K38" s="4885">
        <f t="shared" si="35"/>
        <v>0</v>
      </c>
      <c r="L38" s="4885">
        <f t="shared" si="35"/>
        <v>0</v>
      </c>
      <c r="M38" s="4885">
        <f t="shared" si="35"/>
        <v>0</v>
      </c>
      <c r="N38" s="4886">
        <f t="shared" si="35"/>
        <v>0</v>
      </c>
    </row>
    <row r="39" spans="1:43" s="17" customFormat="1" ht="18" customHeight="1" x14ac:dyDescent="0.25">
      <c r="B39" s="53" t="s">
        <v>108</v>
      </c>
      <c r="C39" s="7"/>
      <c r="D39" s="7"/>
    </row>
    <row r="40" spans="1:43" x14ac:dyDescent="0.3">
      <c r="B40" s="4801" t="s">
        <v>58</v>
      </c>
      <c r="C40" s="4858" t="s">
        <v>61</v>
      </c>
      <c r="D40" s="4858" t="s">
        <v>59</v>
      </c>
    </row>
    <row r="41" spans="1:43" x14ac:dyDescent="0.3">
      <c r="A41" s="6234" t="s">
        <v>4550</v>
      </c>
      <c r="B41" s="7045" t="s">
        <v>109</v>
      </c>
      <c r="C41" s="4842" t="s">
        <v>86</v>
      </c>
      <c r="D41" s="4887" t="s">
        <v>5292</v>
      </c>
    </row>
    <row r="42" spans="1:43" x14ac:dyDescent="0.3">
      <c r="A42" s="6234" t="s">
        <v>4551</v>
      </c>
      <c r="B42" s="7046"/>
      <c r="C42" s="4088" t="s">
        <v>75</v>
      </c>
      <c r="D42" s="3926" t="s">
        <v>5292</v>
      </c>
    </row>
    <row r="43" spans="1:43" x14ac:dyDescent="0.3">
      <c r="A43" s="6234" t="s">
        <v>4552</v>
      </c>
      <c r="B43" s="7045" t="s">
        <v>110</v>
      </c>
      <c r="C43" s="4842" t="s">
        <v>86</v>
      </c>
      <c r="D43" s="4887" t="s">
        <v>5292</v>
      </c>
    </row>
    <row r="44" spans="1:43" x14ac:dyDescent="0.3">
      <c r="A44" s="6234" t="s">
        <v>4553</v>
      </c>
      <c r="B44" s="7046"/>
      <c r="C44" s="55" t="s">
        <v>75</v>
      </c>
      <c r="D44" s="30" t="s">
        <v>5292</v>
      </c>
    </row>
    <row r="45" spans="1:43" s="17" customFormat="1" ht="18" customHeight="1" x14ac:dyDescent="0.25">
      <c r="A45" s="6249"/>
      <c r="B45" s="14" t="s">
        <v>111</v>
      </c>
      <c r="C45" s="4888"/>
      <c r="D45" s="4888"/>
      <c r="E45" s="4889"/>
      <c r="F45" s="4889"/>
      <c r="G45" s="4889"/>
      <c r="H45" s="4889"/>
      <c r="I45" s="4889"/>
      <c r="J45" s="4889"/>
      <c r="K45" s="4889"/>
      <c r="L45" s="4889"/>
      <c r="M45" s="4890"/>
      <c r="N45" s="4891"/>
      <c r="O45" s="4892"/>
      <c r="P45" s="4893"/>
      <c r="Q45" s="4893"/>
      <c r="R45" s="4893"/>
      <c r="S45" s="4893"/>
      <c r="T45" s="4893"/>
      <c r="U45" s="4893"/>
      <c r="V45" s="4893"/>
      <c r="W45" s="4894"/>
      <c r="X45" s="4893"/>
      <c r="Y45" s="4893"/>
      <c r="Z45" s="4893"/>
      <c r="AA45" s="4893"/>
      <c r="AB45" s="4893"/>
      <c r="AC45" s="4893"/>
      <c r="AD45" s="4893"/>
      <c r="AE45" s="4893"/>
      <c r="AF45" s="4893"/>
      <c r="AG45" s="4893"/>
      <c r="AH45" s="4893"/>
      <c r="AI45" s="4893"/>
      <c r="AJ45" s="4893"/>
      <c r="AK45" s="4893"/>
      <c r="AL45" s="4893"/>
      <c r="AM45" s="4893"/>
      <c r="AN45" s="4893"/>
      <c r="AO45" s="56"/>
      <c r="AP45" s="57"/>
      <c r="AQ45" s="57"/>
    </row>
    <row r="46" spans="1:43" ht="15" customHeight="1" x14ac:dyDescent="0.3">
      <c r="A46" s="6249"/>
      <c r="B46" s="7054" t="s">
        <v>112</v>
      </c>
      <c r="C46" s="7055"/>
      <c r="D46" s="7060" t="s">
        <v>59</v>
      </c>
      <c r="E46" s="7061"/>
      <c r="F46" s="7062"/>
      <c r="G46" s="7037" t="s">
        <v>30</v>
      </c>
      <c r="H46" s="7038"/>
      <c r="I46" s="7038"/>
      <c r="J46" s="7038"/>
      <c r="K46" s="7038"/>
      <c r="L46" s="7038"/>
      <c r="M46" s="7038"/>
      <c r="N46" s="7038"/>
      <c r="O46" s="7038"/>
      <c r="P46" s="7038"/>
      <c r="Q46" s="7038"/>
      <c r="R46" s="7038"/>
      <c r="S46" s="7038"/>
      <c r="T46" s="7038"/>
      <c r="U46" s="7038"/>
      <c r="V46" s="7038"/>
      <c r="W46" s="7038"/>
      <c r="X46" s="7038"/>
      <c r="Y46" s="7038"/>
      <c r="Z46" s="7038"/>
      <c r="AA46" s="7038"/>
      <c r="AB46" s="7038"/>
      <c r="AC46" s="7038"/>
      <c r="AD46" s="7038"/>
      <c r="AE46" s="7038"/>
      <c r="AF46" s="7038"/>
      <c r="AG46" s="7038"/>
      <c r="AH46" s="7038"/>
      <c r="AI46" s="7038"/>
      <c r="AJ46" s="7038"/>
      <c r="AK46" s="7038"/>
      <c r="AL46" s="7039"/>
      <c r="AM46" s="7034" t="s">
        <v>67</v>
      </c>
      <c r="AN46" s="7034" t="s">
        <v>2</v>
      </c>
      <c r="AO46" s="7034" t="s">
        <v>3</v>
      </c>
    </row>
    <row r="47" spans="1:43" x14ac:dyDescent="0.3">
      <c r="A47" s="6249"/>
      <c r="B47" s="7056"/>
      <c r="C47" s="7057"/>
      <c r="D47" s="7063"/>
      <c r="E47" s="7064"/>
      <c r="F47" s="7065"/>
      <c r="G47" s="7037" t="s">
        <v>37</v>
      </c>
      <c r="H47" s="7040"/>
      <c r="I47" s="7037" t="s">
        <v>38</v>
      </c>
      <c r="J47" s="7040"/>
      <c r="K47" s="7037" t="s">
        <v>4</v>
      </c>
      <c r="L47" s="7040"/>
      <c r="M47" s="7037" t="s">
        <v>5</v>
      </c>
      <c r="N47" s="7040"/>
      <c r="O47" s="7041" t="s">
        <v>6</v>
      </c>
      <c r="P47" s="7049"/>
      <c r="Q47" s="7041" t="s">
        <v>7</v>
      </c>
      <c r="R47" s="7049"/>
      <c r="S47" s="7041" t="s">
        <v>8</v>
      </c>
      <c r="T47" s="7049"/>
      <c r="U47" s="7041" t="s">
        <v>9</v>
      </c>
      <c r="V47" s="7049"/>
      <c r="W47" s="7041" t="s">
        <v>10</v>
      </c>
      <c r="X47" s="7049"/>
      <c r="Y47" s="7041" t="s">
        <v>11</v>
      </c>
      <c r="Z47" s="7049"/>
      <c r="AA47" s="7041" t="s">
        <v>18</v>
      </c>
      <c r="AB47" s="7049"/>
      <c r="AC47" s="7041" t="s">
        <v>19</v>
      </c>
      <c r="AD47" s="7049"/>
      <c r="AE47" s="7041" t="s">
        <v>20</v>
      </c>
      <c r="AF47" s="7049"/>
      <c r="AG47" s="7041" t="s">
        <v>70</v>
      </c>
      <c r="AH47" s="7049"/>
      <c r="AI47" s="7041" t="s">
        <v>71</v>
      </c>
      <c r="AJ47" s="7049"/>
      <c r="AK47" s="7041" t="s">
        <v>72</v>
      </c>
      <c r="AL47" s="7042"/>
      <c r="AM47" s="6831"/>
      <c r="AN47" s="6831"/>
      <c r="AO47" s="6831"/>
    </row>
    <row r="48" spans="1:43" x14ac:dyDescent="0.3">
      <c r="A48" s="6249"/>
      <c r="B48" s="7058"/>
      <c r="C48" s="7059"/>
      <c r="D48" s="4896" t="s">
        <v>26</v>
      </c>
      <c r="E48" s="4897" t="s">
        <v>22</v>
      </c>
      <c r="F48" s="4895" t="s">
        <v>27</v>
      </c>
      <c r="G48" s="4809" t="s">
        <v>22</v>
      </c>
      <c r="H48" s="4805" t="s">
        <v>27</v>
      </c>
      <c r="I48" s="4809" t="s">
        <v>22</v>
      </c>
      <c r="J48" s="4805" t="s">
        <v>27</v>
      </c>
      <c r="K48" s="4809" t="s">
        <v>22</v>
      </c>
      <c r="L48" s="4805" t="s">
        <v>27</v>
      </c>
      <c r="M48" s="4809" t="s">
        <v>22</v>
      </c>
      <c r="N48" s="4805" t="s">
        <v>27</v>
      </c>
      <c r="O48" s="4809" t="s">
        <v>22</v>
      </c>
      <c r="P48" s="4805" t="s">
        <v>27</v>
      </c>
      <c r="Q48" s="4809" t="s">
        <v>22</v>
      </c>
      <c r="R48" s="4805" t="s">
        <v>27</v>
      </c>
      <c r="S48" s="4809" t="s">
        <v>22</v>
      </c>
      <c r="T48" s="4805" t="s">
        <v>27</v>
      </c>
      <c r="U48" s="4809" t="s">
        <v>22</v>
      </c>
      <c r="V48" s="4805" t="s">
        <v>27</v>
      </c>
      <c r="W48" s="4809" t="s">
        <v>22</v>
      </c>
      <c r="X48" s="4805" t="s">
        <v>27</v>
      </c>
      <c r="Y48" s="4809" t="s">
        <v>22</v>
      </c>
      <c r="Z48" s="4805" t="s">
        <v>27</v>
      </c>
      <c r="AA48" s="4809" t="s">
        <v>22</v>
      </c>
      <c r="AB48" s="4805" t="s">
        <v>27</v>
      </c>
      <c r="AC48" s="4809" t="s">
        <v>22</v>
      </c>
      <c r="AD48" s="4805" t="s">
        <v>27</v>
      </c>
      <c r="AE48" s="4809" t="s">
        <v>22</v>
      </c>
      <c r="AF48" s="4805" t="s">
        <v>27</v>
      </c>
      <c r="AG48" s="4809" t="s">
        <v>22</v>
      </c>
      <c r="AH48" s="4805" t="s">
        <v>27</v>
      </c>
      <c r="AI48" s="4809" t="s">
        <v>22</v>
      </c>
      <c r="AJ48" s="4805" t="s">
        <v>27</v>
      </c>
      <c r="AK48" s="4898" t="s">
        <v>22</v>
      </c>
      <c r="AL48" s="4804" t="s">
        <v>27</v>
      </c>
      <c r="AM48" s="7036"/>
      <c r="AN48" s="7036"/>
      <c r="AO48" s="7036"/>
    </row>
    <row r="49" spans="1:87" x14ac:dyDescent="0.3">
      <c r="A49" s="6234" t="s">
        <v>4554</v>
      </c>
      <c r="B49" s="5730" t="s">
        <v>46</v>
      </c>
      <c r="C49" s="5730" t="s">
        <v>114</v>
      </c>
      <c r="D49" s="5731" t="s">
        <v>5292</v>
      </c>
      <c r="E49" s="5732" t="s">
        <v>5293</v>
      </c>
      <c r="F49" s="5733" t="s">
        <v>5294</v>
      </c>
      <c r="G49" s="5734" t="s">
        <v>5295</v>
      </c>
      <c r="H49" s="5734" t="s">
        <v>5296</v>
      </c>
      <c r="I49" s="5734" t="s">
        <v>5297</v>
      </c>
      <c r="J49" s="5734" t="s">
        <v>5298</v>
      </c>
      <c r="K49" s="5734" t="s">
        <v>5299</v>
      </c>
      <c r="L49" s="5735" t="s">
        <v>5300</v>
      </c>
      <c r="M49" s="5734" t="s">
        <v>5301</v>
      </c>
      <c r="N49" s="5735" t="s">
        <v>5302</v>
      </c>
      <c r="O49" s="5736" t="s">
        <v>5303</v>
      </c>
      <c r="P49" s="5735" t="s">
        <v>5304</v>
      </c>
      <c r="Q49" s="5736" t="s">
        <v>5305</v>
      </c>
      <c r="R49" s="5735" t="s">
        <v>5306</v>
      </c>
      <c r="S49" s="5736" t="s">
        <v>5307</v>
      </c>
      <c r="T49" s="5735" t="s">
        <v>5308</v>
      </c>
      <c r="U49" s="5736" t="s">
        <v>5309</v>
      </c>
      <c r="V49" s="5735" t="s">
        <v>5310</v>
      </c>
      <c r="W49" s="5736" t="s">
        <v>5311</v>
      </c>
      <c r="X49" s="5735" t="s">
        <v>5312</v>
      </c>
      <c r="Y49" s="5736" t="s">
        <v>5313</v>
      </c>
      <c r="Z49" s="5735" t="s">
        <v>5314</v>
      </c>
      <c r="AA49" s="5736" t="s">
        <v>5315</v>
      </c>
      <c r="AB49" s="5735" t="s">
        <v>5316</v>
      </c>
      <c r="AC49" s="5736" t="s">
        <v>5317</v>
      </c>
      <c r="AD49" s="5735" t="s">
        <v>5318</v>
      </c>
      <c r="AE49" s="5736" t="s">
        <v>5319</v>
      </c>
      <c r="AF49" s="5735" t="s">
        <v>5320</v>
      </c>
      <c r="AG49" s="5736" t="s">
        <v>5321</v>
      </c>
      <c r="AH49" s="5735" t="s">
        <v>5322</v>
      </c>
      <c r="AI49" s="5736" t="s">
        <v>5323</v>
      </c>
      <c r="AJ49" s="5735" t="s">
        <v>5324</v>
      </c>
      <c r="AK49" s="5737" t="s">
        <v>5325</v>
      </c>
      <c r="AL49" s="5717" t="s">
        <v>5326</v>
      </c>
      <c r="AM49" s="5738" t="s">
        <v>5327</v>
      </c>
      <c r="AN49" s="5738" t="s">
        <v>5328</v>
      </c>
      <c r="AO49" s="5738" t="s">
        <v>5329</v>
      </c>
      <c r="AP49" t="str">
        <f>BX49&amp;BY49&amp;BZ49&amp;CA49</f>
        <v xml:space="preserve">  * La variable Beneficiarios No puede ser mayor al Total.  * La variable Pueblos originarios No puede ser mayor al Total.  * La variable Migrantes No puede ser mayor al Total.</v>
      </c>
      <c r="BX49" s="1723" t="str">
        <f>IF(AND(D49&gt;0,AM49=""),"  * No olvide digitar la variable Beneficiarios. Digite Cero si no tiene.",IF(AM49&gt;D49,"  * La variable Beneficiarios No puede ser mayor al Total.",""))</f>
        <v xml:space="preserve">  * La variable Beneficiarios No puede ser mayor al Total.</v>
      </c>
      <c r="BY49" s="1723" t="str">
        <f>IF(AND(D49&gt;0,AN49=""),"  * No olvide digitar la variable Pueblos originarios. Digite Cero si no tiene.",IF(AN49&gt;D49,"  * La variable Pueblos originarios No puede ser mayor al Total.",""))</f>
        <v xml:space="preserve">  * La variable Pueblos originarios No puede ser mayor al Total.</v>
      </c>
      <c r="BZ49" s="1723" t="str">
        <f>IF(AND(D49&gt;0,AO49=""),"  * No olvide digitar la variable Migrantes. Digite Cero si no tiene.",IF(AO49&gt;D49,"  * La variable Migrantes No puede ser mayor al Total.",""))</f>
        <v xml:space="preserve">  * La variable Migrantes No puede ser mayor al Total.</v>
      </c>
      <c r="CA49" s="1723"/>
      <c r="CB49" s="1723"/>
      <c r="CC49" s="1723"/>
      <c r="CD49" s="1723"/>
      <c r="CE49" s="1723"/>
      <c r="CG49" s="1725">
        <f>IF(AND(D49&gt;0,AM49=""),1,IF(AM49&gt;D49,1,0))</f>
        <v>1</v>
      </c>
      <c r="CH49" s="1725">
        <f>IF(AND(D49&gt;0,AN49=""),1,IF(AN49&gt;D49,1,0))</f>
        <v>1</v>
      </c>
      <c r="CI49" s="1725">
        <f>IF(AND(D49&gt;0,AO49=""),1,IF(AO49&gt;D49,1,0))</f>
        <v>1</v>
      </c>
    </row>
    <row r="50" spans="1:87" x14ac:dyDescent="0.3">
      <c r="A50" s="6234" t="s">
        <v>4555</v>
      </c>
      <c r="B50" s="5722" t="s">
        <v>113</v>
      </c>
      <c r="C50" s="5722" t="s">
        <v>114</v>
      </c>
      <c r="D50" s="5723" t="s">
        <v>5292</v>
      </c>
      <c r="E50" s="5724" t="s">
        <v>5293</v>
      </c>
      <c r="F50" s="5725" t="s">
        <v>5294</v>
      </c>
      <c r="G50" s="5443" t="s">
        <v>5295</v>
      </c>
      <c r="H50" s="5443" t="s">
        <v>5296</v>
      </c>
      <c r="I50" s="5443" t="s">
        <v>5297</v>
      </c>
      <c r="J50" s="5443" t="s">
        <v>5298</v>
      </c>
      <c r="K50" s="5443" t="s">
        <v>5299</v>
      </c>
      <c r="L50" s="4881" t="s">
        <v>5300</v>
      </c>
      <c r="M50" s="5443" t="s">
        <v>5301</v>
      </c>
      <c r="N50" s="4881" t="s">
        <v>5302</v>
      </c>
      <c r="O50" s="5726" t="s">
        <v>5303</v>
      </c>
      <c r="P50" s="4881" t="s">
        <v>5304</v>
      </c>
      <c r="Q50" s="5726" t="s">
        <v>5305</v>
      </c>
      <c r="R50" s="4881" t="s">
        <v>5306</v>
      </c>
      <c r="S50" s="5726" t="s">
        <v>5307</v>
      </c>
      <c r="T50" s="4881" t="s">
        <v>5308</v>
      </c>
      <c r="U50" s="5726" t="s">
        <v>5309</v>
      </c>
      <c r="V50" s="4881" t="s">
        <v>5310</v>
      </c>
      <c r="W50" s="5726" t="s">
        <v>5311</v>
      </c>
      <c r="X50" s="4881" t="s">
        <v>5312</v>
      </c>
      <c r="Y50" s="5726" t="s">
        <v>5313</v>
      </c>
      <c r="Z50" s="4881" t="s">
        <v>5314</v>
      </c>
      <c r="AA50" s="5726" t="s">
        <v>5315</v>
      </c>
      <c r="AB50" s="4881" t="s">
        <v>5316</v>
      </c>
      <c r="AC50" s="5726" t="s">
        <v>5317</v>
      </c>
      <c r="AD50" s="4881" t="s">
        <v>5318</v>
      </c>
      <c r="AE50" s="5726" t="s">
        <v>5319</v>
      </c>
      <c r="AF50" s="4881" t="s">
        <v>5320</v>
      </c>
      <c r="AG50" s="5726" t="s">
        <v>5321</v>
      </c>
      <c r="AH50" s="4881" t="s">
        <v>5322</v>
      </c>
      <c r="AI50" s="5726" t="s">
        <v>5323</v>
      </c>
      <c r="AJ50" s="4881" t="s">
        <v>5324</v>
      </c>
      <c r="AK50" s="5727" t="s">
        <v>5325</v>
      </c>
      <c r="AL50" s="5728" t="s">
        <v>5326</v>
      </c>
      <c r="AM50" s="5729" t="s">
        <v>5327</v>
      </c>
      <c r="AN50" s="5729" t="s">
        <v>5328</v>
      </c>
      <c r="AO50" s="5729" t="s">
        <v>5329</v>
      </c>
      <c r="AP50" t="str">
        <f>BX50&amp;BY50&amp;BZ50&amp;CA50</f>
        <v xml:space="preserve">  * La variable Beneficiarios No puede ser mayor al Total.  * La variable Pueblos originarios No puede ser mayor al Total.  * La variable Migrantes No puede ser mayor al Total.</v>
      </c>
      <c r="BX50" s="1723" t="str">
        <f>IF(AND(D50&gt;0,AM50=""),"  * No olvide digitar la variable Beneficiarios. Digite Cero si no tiene.",IF(AM50&gt;D50,"  * La variable Beneficiarios No puede ser mayor al Total.",""))</f>
        <v xml:space="preserve">  * La variable Beneficiarios No puede ser mayor al Total.</v>
      </c>
      <c r="BY50" s="1723" t="str">
        <f>IF(AND(D50&gt;0,AN50=""),"  * No olvide digitar la variable Pueblos originarios. Digite Cero si no tiene.",IF(AN50&gt;D50,"  * La variable Pueblos originarios No puede ser mayor al Total.",""))</f>
        <v xml:space="preserve">  * La variable Pueblos originarios No puede ser mayor al Total.</v>
      </c>
      <c r="BZ50" s="1723" t="str">
        <f>IF(AND(D50&gt;0,AO50=""),"  * No olvide digitar la variable Migrantes. Digite Cero si no tiene.",IF(AO50&gt;D50,"  * La variable Migrantes No puede ser mayor al Total.",""))</f>
        <v xml:space="preserve">  * La variable Migrantes No puede ser mayor al Total.</v>
      </c>
      <c r="CA50" s="1723"/>
      <c r="CB50" s="1723"/>
      <c r="CC50" s="1723"/>
      <c r="CD50" s="1723"/>
      <c r="CE50" s="1723"/>
      <c r="CG50" s="1725">
        <f>IF(AND(D50&gt;0,AM50=""),1,IF(AM50&gt;D50,1,0))</f>
        <v>1</v>
      </c>
      <c r="CH50" s="1725">
        <f>IF(AND(D50&gt;0,AN50=""),1,IF(AN50&gt;D50,1,0))</f>
        <v>1</v>
      </c>
      <c r="CI50" s="1725">
        <f>IF(AND(D50&gt;0,AO50=""),1,IF(AO50&gt;D50,1,0))</f>
        <v>1</v>
      </c>
    </row>
    <row r="51" spans="1:87" s="17" customFormat="1" ht="18" customHeight="1" x14ac:dyDescent="0.25">
      <c r="B51" s="7069" t="s">
        <v>115</v>
      </c>
      <c r="C51" s="7069"/>
      <c r="D51" s="7069"/>
      <c r="E51" s="7069"/>
      <c r="F51" s="7069"/>
      <c r="G51" s="7069"/>
      <c r="H51" s="7069"/>
      <c r="I51" s="7069"/>
      <c r="J51" s="7069"/>
      <c r="K51" s="7069"/>
      <c r="L51" s="7069"/>
      <c r="M51" s="7069"/>
      <c r="N51" s="7069"/>
      <c r="O51" s="1727"/>
      <c r="P51" s="1728"/>
      <c r="Q51" s="1728"/>
      <c r="R51" s="1728"/>
      <c r="S51" s="1728"/>
      <c r="T51" s="1728"/>
      <c r="U51" s="1728"/>
      <c r="V51" s="1728"/>
      <c r="W51" s="1729"/>
      <c r="X51" s="1728"/>
      <c r="Y51" s="1728"/>
      <c r="Z51" s="1728"/>
      <c r="AA51" s="1728"/>
      <c r="AB51" s="1728"/>
      <c r="AC51" s="1728"/>
      <c r="AD51" s="1728"/>
      <c r="AE51" s="1728"/>
      <c r="AF51" s="1728"/>
      <c r="AG51" s="1728"/>
      <c r="AH51" s="1728"/>
      <c r="AI51" s="1728"/>
      <c r="AJ51" s="1728"/>
      <c r="AK51" s="1728"/>
      <c r="AL51" s="1728"/>
      <c r="AM51" s="1728"/>
      <c r="AN51" s="1728"/>
      <c r="AO51" s="1728"/>
      <c r="AP51" s="1730"/>
    </row>
    <row r="52" spans="1:87" ht="15" customHeight="1" x14ac:dyDescent="0.3">
      <c r="B52" s="7054" t="s">
        <v>58</v>
      </c>
      <c r="C52" s="7055"/>
      <c r="D52" s="7061" t="s">
        <v>59</v>
      </c>
      <c r="E52" s="7061"/>
      <c r="F52" s="7062"/>
      <c r="G52" s="7070" t="s">
        <v>30</v>
      </c>
      <c r="H52" s="7071"/>
      <c r="I52" s="7071"/>
      <c r="J52" s="7071"/>
      <c r="K52" s="7071"/>
      <c r="L52" s="7071"/>
      <c r="M52" s="7071"/>
      <c r="N52" s="7071"/>
      <c r="O52" s="7071"/>
      <c r="P52" s="7071"/>
      <c r="Q52" s="7071"/>
      <c r="R52" s="7071"/>
      <c r="S52" s="7071"/>
      <c r="T52" s="7071"/>
      <c r="U52" s="7071"/>
      <c r="V52" s="7071"/>
      <c r="W52" s="7071"/>
      <c r="X52" s="7071"/>
      <c r="Y52" s="7071"/>
      <c r="Z52" s="7071"/>
      <c r="AA52" s="7071"/>
      <c r="AB52" s="7071"/>
      <c r="AC52" s="7071"/>
      <c r="AD52" s="7071"/>
      <c r="AE52" s="7071"/>
      <c r="AF52" s="7071"/>
      <c r="AG52" s="7071"/>
      <c r="AH52" s="7071"/>
      <c r="AI52" s="7071"/>
      <c r="AJ52" s="7071"/>
      <c r="AK52" s="7071"/>
      <c r="AL52" s="7072"/>
      <c r="AM52" s="7034" t="s">
        <v>2</v>
      </c>
      <c r="AN52" s="7034" t="s">
        <v>3</v>
      </c>
    </row>
    <row r="53" spans="1:87" x14ac:dyDescent="0.3">
      <c r="B53" s="7056"/>
      <c r="C53" s="7057"/>
      <c r="D53" s="7064"/>
      <c r="E53" s="7064"/>
      <c r="F53" s="7065"/>
      <c r="G53" s="7037" t="s">
        <v>37</v>
      </c>
      <c r="H53" s="7040"/>
      <c r="I53" s="7037" t="s">
        <v>38</v>
      </c>
      <c r="J53" s="7040"/>
      <c r="K53" s="7037" t="s">
        <v>4</v>
      </c>
      <c r="L53" s="7040"/>
      <c r="M53" s="7037" t="s">
        <v>5</v>
      </c>
      <c r="N53" s="7040"/>
      <c r="O53" s="7041" t="s">
        <v>6</v>
      </c>
      <c r="P53" s="7049"/>
      <c r="Q53" s="7041" t="s">
        <v>7</v>
      </c>
      <c r="R53" s="7049"/>
      <c r="S53" s="7041" t="s">
        <v>8</v>
      </c>
      <c r="T53" s="7049"/>
      <c r="U53" s="7041" t="s">
        <v>9</v>
      </c>
      <c r="V53" s="7049"/>
      <c r="W53" s="7041" t="s">
        <v>10</v>
      </c>
      <c r="X53" s="7049"/>
      <c r="Y53" s="7041" t="s">
        <v>11</v>
      </c>
      <c r="Z53" s="7049"/>
      <c r="AA53" s="7041" t="s">
        <v>18</v>
      </c>
      <c r="AB53" s="7049"/>
      <c r="AC53" s="7041" t="s">
        <v>19</v>
      </c>
      <c r="AD53" s="7049"/>
      <c r="AE53" s="7041" t="s">
        <v>20</v>
      </c>
      <c r="AF53" s="7049"/>
      <c r="AG53" s="7041" t="s">
        <v>70</v>
      </c>
      <c r="AH53" s="7049"/>
      <c r="AI53" s="7041" t="s">
        <v>71</v>
      </c>
      <c r="AJ53" s="7049"/>
      <c r="AK53" s="7041" t="s">
        <v>72</v>
      </c>
      <c r="AL53" s="7042"/>
      <c r="AM53" s="6831"/>
      <c r="AN53" s="6831"/>
    </row>
    <row r="54" spans="1:87" x14ac:dyDescent="0.3">
      <c r="B54" s="7058"/>
      <c r="C54" s="7059"/>
      <c r="D54" s="4901" t="s">
        <v>26</v>
      </c>
      <c r="E54" s="4902" t="s">
        <v>22</v>
      </c>
      <c r="F54" s="4903" t="s">
        <v>27</v>
      </c>
      <c r="G54" s="4807" t="s">
        <v>22</v>
      </c>
      <c r="H54" s="4802" t="s">
        <v>27</v>
      </c>
      <c r="I54" s="4807" t="s">
        <v>22</v>
      </c>
      <c r="J54" s="4802" t="s">
        <v>27</v>
      </c>
      <c r="K54" s="4807" t="s">
        <v>22</v>
      </c>
      <c r="L54" s="4802" t="s">
        <v>27</v>
      </c>
      <c r="M54" s="4807" t="s">
        <v>22</v>
      </c>
      <c r="N54" s="4802" t="s">
        <v>27</v>
      </c>
      <c r="O54" s="4807" t="s">
        <v>22</v>
      </c>
      <c r="P54" s="4802" t="s">
        <v>27</v>
      </c>
      <c r="Q54" s="4807" t="s">
        <v>22</v>
      </c>
      <c r="R54" s="4802" t="s">
        <v>27</v>
      </c>
      <c r="S54" s="4807" t="s">
        <v>22</v>
      </c>
      <c r="T54" s="4802" t="s">
        <v>27</v>
      </c>
      <c r="U54" s="4807" t="s">
        <v>22</v>
      </c>
      <c r="V54" s="4802" t="s">
        <v>27</v>
      </c>
      <c r="W54" s="4807" t="s">
        <v>22</v>
      </c>
      <c r="X54" s="4802" t="s">
        <v>27</v>
      </c>
      <c r="Y54" s="4807" t="s">
        <v>22</v>
      </c>
      <c r="Z54" s="4802" t="s">
        <v>27</v>
      </c>
      <c r="AA54" s="4807" t="s">
        <v>22</v>
      </c>
      <c r="AB54" s="4802" t="s">
        <v>27</v>
      </c>
      <c r="AC54" s="4807" t="s">
        <v>22</v>
      </c>
      <c r="AD54" s="4802" t="s">
        <v>27</v>
      </c>
      <c r="AE54" s="4807" t="s">
        <v>22</v>
      </c>
      <c r="AF54" s="4802" t="s">
        <v>27</v>
      </c>
      <c r="AG54" s="4807" t="s">
        <v>22</v>
      </c>
      <c r="AH54" s="4802" t="s">
        <v>27</v>
      </c>
      <c r="AI54" s="4807" t="s">
        <v>22</v>
      </c>
      <c r="AJ54" s="4802" t="s">
        <v>27</v>
      </c>
      <c r="AK54" s="1721" t="s">
        <v>22</v>
      </c>
      <c r="AL54" s="4904" t="s">
        <v>27</v>
      </c>
      <c r="AM54" s="7036"/>
      <c r="AN54" s="7036"/>
    </row>
    <row r="55" spans="1:87" x14ac:dyDescent="0.3">
      <c r="A55" s="6234" t="s">
        <v>4556</v>
      </c>
      <c r="B55" s="7078" t="s">
        <v>117</v>
      </c>
      <c r="C55" s="4905" t="s">
        <v>74</v>
      </c>
      <c r="D55" s="4811" t="s">
        <v>5292</v>
      </c>
      <c r="E55" s="4812" t="s">
        <v>5293</v>
      </c>
      <c r="F55" s="4813" t="s">
        <v>5294</v>
      </c>
      <c r="G55" s="4814" t="s">
        <v>5295</v>
      </c>
      <c r="H55" s="4815" t="s">
        <v>5296</v>
      </c>
      <c r="I55" s="4814" t="s">
        <v>5297</v>
      </c>
      <c r="J55" s="4816" t="s">
        <v>5298</v>
      </c>
      <c r="K55" s="4814" t="s">
        <v>5299</v>
      </c>
      <c r="L55" s="4816" t="s">
        <v>5300</v>
      </c>
      <c r="M55" s="4814" t="s">
        <v>5301</v>
      </c>
      <c r="N55" s="4816" t="s">
        <v>5302</v>
      </c>
      <c r="O55" s="4817" t="s">
        <v>5303</v>
      </c>
      <c r="P55" s="4816" t="s">
        <v>5304</v>
      </c>
      <c r="Q55" s="4817" t="s">
        <v>5305</v>
      </c>
      <c r="R55" s="4816" t="s">
        <v>5306</v>
      </c>
      <c r="S55" s="4817" t="s">
        <v>5307</v>
      </c>
      <c r="T55" s="4816" t="s">
        <v>5308</v>
      </c>
      <c r="U55" s="4817" t="s">
        <v>5309</v>
      </c>
      <c r="V55" s="4816" t="s">
        <v>5310</v>
      </c>
      <c r="W55" s="4817" t="s">
        <v>5311</v>
      </c>
      <c r="X55" s="4816" t="s">
        <v>5312</v>
      </c>
      <c r="Y55" s="4817" t="s">
        <v>5313</v>
      </c>
      <c r="Z55" s="4816" t="s">
        <v>5314</v>
      </c>
      <c r="AA55" s="4817" t="s">
        <v>5315</v>
      </c>
      <c r="AB55" s="4816" t="s">
        <v>5316</v>
      </c>
      <c r="AC55" s="4817" t="s">
        <v>5317</v>
      </c>
      <c r="AD55" s="4816" t="s">
        <v>5318</v>
      </c>
      <c r="AE55" s="4817" t="s">
        <v>5319</v>
      </c>
      <c r="AF55" s="4816" t="s">
        <v>5320</v>
      </c>
      <c r="AG55" s="4817" t="s">
        <v>5321</v>
      </c>
      <c r="AH55" s="4816" t="s">
        <v>5322</v>
      </c>
      <c r="AI55" s="4817" t="s">
        <v>5323</v>
      </c>
      <c r="AJ55" s="4816" t="s">
        <v>5324</v>
      </c>
      <c r="AK55" s="4817" t="s">
        <v>5325</v>
      </c>
      <c r="AL55" s="4818" t="s">
        <v>5326</v>
      </c>
      <c r="AM55" s="4906" t="s">
        <v>5327</v>
      </c>
      <c r="AN55" s="4906" t="s">
        <v>5328</v>
      </c>
      <c r="AO55" t="str">
        <f>BX55&amp;BY55&amp;BZ55</f>
        <v xml:space="preserve"> * La variable Pueblos Originarios no puede ser mayor al Total. * La variable Migrantes no puede ser mayor al Total.</v>
      </c>
      <c r="BX55" s="1723" t="str">
        <f>IF(AND(D55&gt;0,AM55="")," *  No olvide digitar la variable Pueblos Originarios. Digite cero si no tiene.",IF(AM55&gt;D55," * La variable Pueblos Originarios no puede ser mayor al Total.",""))</f>
        <v xml:space="preserve"> * La variable Pueblos Originarios no puede ser mayor al Total.</v>
      </c>
      <c r="BY55" s="1723" t="str">
        <f>IF(AND(D55&gt;0,AN55="")," *  No olvide digitar la variable Migrantes. Digite cero si no tiene.",IF(AN55&gt;D55," * La variable Migrantes no puede ser mayor al Total.",""))</f>
        <v xml:space="preserve"> * La variable Migrantes no puede ser mayor al Total.</v>
      </c>
      <c r="BZ55" s="1723"/>
      <c r="CA55" s="1723"/>
      <c r="CB55" s="1723"/>
      <c r="CC55" s="1723"/>
      <c r="CD55" s="1723"/>
      <c r="CE55" s="1723"/>
      <c r="CG55" s="1725">
        <f>IF(AND(D55&gt;0,AM55=""),1,IF(AM55&gt;D55,1,0))</f>
        <v>1</v>
      </c>
      <c r="CH55" s="1725">
        <f>IF(AND(D55&gt;0,AN55=""),1,IF(AN55&gt;D55,1,0))</f>
        <v>1</v>
      </c>
    </row>
    <row r="56" spans="1:87" x14ac:dyDescent="0.3">
      <c r="A56" s="6234" t="s">
        <v>4557</v>
      </c>
      <c r="B56" s="7079"/>
      <c r="C56" s="4907" t="s">
        <v>86</v>
      </c>
      <c r="D56" s="1554" t="s">
        <v>5292</v>
      </c>
      <c r="E56" s="4822" t="s">
        <v>5293</v>
      </c>
      <c r="F56" s="4821" t="s">
        <v>5294</v>
      </c>
      <c r="G56" s="1095" t="s">
        <v>5295</v>
      </c>
      <c r="H56" s="3930" t="s">
        <v>5296</v>
      </c>
      <c r="I56" s="1095" t="s">
        <v>5297</v>
      </c>
      <c r="J56" s="1099" t="s">
        <v>5298</v>
      </c>
      <c r="K56" s="1095" t="s">
        <v>5299</v>
      </c>
      <c r="L56" s="1099" t="s">
        <v>5300</v>
      </c>
      <c r="M56" s="1095" t="s">
        <v>5301</v>
      </c>
      <c r="N56" s="1099" t="s">
        <v>5302</v>
      </c>
      <c r="O56" s="4392" t="s">
        <v>5303</v>
      </c>
      <c r="P56" s="1099" t="s">
        <v>5304</v>
      </c>
      <c r="Q56" s="4392" t="s">
        <v>5305</v>
      </c>
      <c r="R56" s="1099" t="s">
        <v>5306</v>
      </c>
      <c r="S56" s="4392" t="s">
        <v>5307</v>
      </c>
      <c r="T56" s="1099" t="s">
        <v>5308</v>
      </c>
      <c r="U56" s="4392" t="s">
        <v>5309</v>
      </c>
      <c r="V56" s="1099" t="s">
        <v>5310</v>
      </c>
      <c r="W56" s="4392" t="s">
        <v>5311</v>
      </c>
      <c r="X56" s="1099" t="s">
        <v>5312</v>
      </c>
      <c r="Y56" s="4392" t="s">
        <v>5313</v>
      </c>
      <c r="Z56" s="1099" t="s">
        <v>5314</v>
      </c>
      <c r="AA56" s="4392" t="s">
        <v>5315</v>
      </c>
      <c r="AB56" s="1099" t="s">
        <v>5316</v>
      </c>
      <c r="AC56" s="4392" t="s">
        <v>5317</v>
      </c>
      <c r="AD56" s="1099" t="s">
        <v>5318</v>
      </c>
      <c r="AE56" s="4392" t="s">
        <v>5319</v>
      </c>
      <c r="AF56" s="1099" t="s">
        <v>5320</v>
      </c>
      <c r="AG56" s="4392" t="s">
        <v>5321</v>
      </c>
      <c r="AH56" s="1099" t="s">
        <v>5322</v>
      </c>
      <c r="AI56" s="4392" t="s">
        <v>5323</v>
      </c>
      <c r="AJ56" s="1099" t="s">
        <v>5324</v>
      </c>
      <c r="AK56" s="4392" t="s">
        <v>5325</v>
      </c>
      <c r="AL56" s="1100" t="s">
        <v>5326</v>
      </c>
      <c r="AM56" s="4908" t="s">
        <v>5327</v>
      </c>
      <c r="AN56" s="4908" t="s">
        <v>5328</v>
      </c>
      <c r="AO56" t="str">
        <f t="shared" ref="AO56:AO76" si="36">BX56&amp;BY56&amp;BZ56</f>
        <v xml:space="preserve"> * La variable Pueblos Originarios no puede ser mayor al Total. * La variable Migrantes no puede ser mayor al Total.</v>
      </c>
      <c r="BX56" s="1723" t="str">
        <f t="shared" ref="BX56:BX76" si="37">IF(AND(D56&gt;0,AM56="")," *  No olvide digitar la variable Pueblos Originarios. Digite cero si no tiene.",IF(AM56&gt;D56," * La variable Pueblos Originarios no puede ser mayor al Total.",""))</f>
        <v xml:space="preserve"> * La variable Pueblos Originarios no puede ser mayor al Total.</v>
      </c>
      <c r="BY56" s="1723" t="str">
        <f t="shared" ref="BY56:BY76" si="38">IF(AND(D56&gt;0,AN56="")," *  No olvide digitar la variable Migrantes. Digite cero si no tiene.",IF(AN56&gt;D56," * La variable Migrantes no puede ser mayor al Total.",""))</f>
        <v xml:space="preserve"> * La variable Migrantes no puede ser mayor al Total.</v>
      </c>
      <c r="BZ56" s="1723"/>
      <c r="CA56" s="1723"/>
      <c r="CB56" s="1723"/>
      <c r="CC56" s="1723"/>
      <c r="CD56" s="1723"/>
      <c r="CE56" s="1723"/>
      <c r="CG56" s="1725">
        <f t="shared" ref="CG56:CG76" si="39">IF(AND(D56&gt;0,AM56=""),1,IF(AM56&gt;D56,1,0))</f>
        <v>1</v>
      </c>
      <c r="CH56" s="1725">
        <f t="shared" ref="CH56:CH76" si="40">IF(AND(D56&gt;0,AN56=""),1,IF(AN56&gt;D56,1,0))</f>
        <v>1</v>
      </c>
    </row>
    <row r="57" spans="1:87" x14ac:dyDescent="0.3">
      <c r="A57" s="6234" t="s">
        <v>4558</v>
      </c>
      <c r="B57" s="7079"/>
      <c r="C57" s="4907" t="s">
        <v>75</v>
      </c>
      <c r="D57" s="1554" t="s">
        <v>5292</v>
      </c>
      <c r="E57" s="4822" t="s">
        <v>5293</v>
      </c>
      <c r="F57" s="4821" t="s">
        <v>5294</v>
      </c>
      <c r="G57" s="1095" t="s">
        <v>5295</v>
      </c>
      <c r="H57" s="3930" t="s">
        <v>5296</v>
      </c>
      <c r="I57" s="1095" t="s">
        <v>5297</v>
      </c>
      <c r="J57" s="1099" t="s">
        <v>5298</v>
      </c>
      <c r="K57" s="1095" t="s">
        <v>5299</v>
      </c>
      <c r="L57" s="1099" t="s">
        <v>5300</v>
      </c>
      <c r="M57" s="1095" t="s">
        <v>5301</v>
      </c>
      <c r="N57" s="1099" t="s">
        <v>5302</v>
      </c>
      <c r="O57" s="4392" t="s">
        <v>5303</v>
      </c>
      <c r="P57" s="1099" t="s">
        <v>5304</v>
      </c>
      <c r="Q57" s="4392" t="s">
        <v>5305</v>
      </c>
      <c r="R57" s="1099" t="s">
        <v>5306</v>
      </c>
      <c r="S57" s="4392" t="s">
        <v>5307</v>
      </c>
      <c r="T57" s="1099" t="s">
        <v>5308</v>
      </c>
      <c r="U57" s="4392" t="s">
        <v>5309</v>
      </c>
      <c r="V57" s="1099" t="s">
        <v>5310</v>
      </c>
      <c r="W57" s="4392" t="s">
        <v>5311</v>
      </c>
      <c r="X57" s="1099" t="s">
        <v>5312</v>
      </c>
      <c r="Y57" s="4392" t="s">
        <v>5313</v>
      </c>
      <c r="Z57" s="1099" t="s">
        <v>5314</v>
      </c>
      <c r="AA57" s="4392" t="s">
        <v>5315</v>
      </c>
      <c r="AB57" s="1099" t="s">
        <v>5316</v>
      </c>
      <c r="AC57" s="4392" t="s">
        <v>5317</v>
      </c>
      <c r="AD57" s="1099" t="s">
        <v>5318</v>
      </c>
      <c r="AE57" s="4392" t="s">
        <v>5319</v>
      </c>
      <c r="AF57" s="1099" t="s">
        <v>5320</v>
      </c>
      <c r="AG57" s="4392" t="s">
        <v>5321</v>
      </c>
      <c r="AH57" s="1099" t="s">
        <v>5322</v>
      </c>
      <c r="AI57" s="4392" t="s">
        <v>5323</v>
      </c>
      <c r="AJ57" s="1099" t="s">
        <v>5324</v>
      </c>
      <c r="AK57" s="4392" t="s">
        <v>5325</v>
      </c>
      <c r="AL57" s="1100" t="s">
        <v>5326</v>
      </c>
      <c r="AM57" s="4908" t="s">
        <v>5327</v>
      </c>
      <c r="AN57" s="4908" t="s">
        <v>5328</v>
      </c>
      <c r="AO57" t="str">
        <f t="shared" si="36"/>
        <v xml:space="preserve"> * La variable Pueblos Originarios no puede ser mayor al Total. * La variable Migrantes no puede ser mayor al Total.</v>
      </c>
      <c r="BX57" s="1723" t="str">
        <f t="shared" si="37"/>
        <v xml:space="preserve"> * La variable Pueblos Originarios no puede ser mayor al Total.</v>
      </c>
      <c r="BY57" s="1723" t="str">
        <f t="shared" si="38"/>
        <v xml:space="preserve"> * La variable Migrantes no puede ser mayor al Total.</v>
      </c>
      <c r="BZ57" s="1723"/>
      <c r="CA57" s="1723"/>
      <c r="CB57" s="1723"/>
      <c r="CC57" s="1723"/>
      <c r="CD57" s="1723"/>
      <c r="CE57" s="1723"/>
      <c r="CG57" s="1725">
        <f t="shared" si="39"/>
        <v>1</v>
      </c>
      <c r="CH57" s="1725">
        <f t="shared" si="40"/>
        <v>1</v>
      </c>
    </row>
    <row r="58" spans="1:87" x14ac:dyDescent="0.3">
      <c r="A58" s="6234" t="s">
        <v>4559</v>
      </c>
      <c r="B58" s="7079"/>
      <c r="C58" s="4907" t="s">
        <v>122</v>
      </c>
      <c r="D58" s="1554" t="s">
        <v>5292</v>
      </c>
      <c r="E58" s="4822" t="s">
        <v>5293</v>
      </c>
      <c r="F58" s="4821" t="s">
        <v>5294</v>
      </c>
      <c r="G58" s="1095" t="s">
        <v>5295</v>
      </c>
      <c r="H58" s="3930" t="s">
        <v>5296</v>
      </c>
      <c r="I58" s="1095" t="s">
        <v>5297</v>
      </c>
      <c r="J58" s="1099" t="s">
        <v>5298</v>
      </c>
      <c r="K58" s="1095" t="s">
        <v>5299</v>
      </c>
      <c r="L58" s="1099" t="s">
        <v>5300</v>
      </c>
      <c r="M58" s="1095" t="s">
        <v>5301</v>
      </c>
      <c r="N58" s="1099" t="s">
        <v>5302</v>
      </c>
      <c r="O58" s="4392" t="s">
        <v>5303</v>
      </c>
      <c r="P58" s="1099" t="s">
        <v>5304</v>
      </c>
      <c r="Q58" s="4392" t="s">
        <v>5305</v>
      </c>
      <c r="R58" s="1099" t="s">
        <v>5306</v>
      </c>
      <c r="S58" s="4392" t="s">
        <v>5307</v>
      </c>
      <c r="T58" s="1099" t="s">
        <v>5308</v>
      </c>
      <c r="U58" s="4392" t="s">
        <v>5309</v>
      </c>
      <c r="V58" s="1099" t="s">
        <v>5310</v>
      </c>
      <c r="W58" s="4392" t="s">
        <v>5311</v>
      </c>
      <c r="X58" s="1099" t="s">
        <v>5312</v>
      </c>
      <c r="Y58" s="4392" t="s">
        <v>5313</v>
      </c>
      <c r="Z58" s="1099" t="s">
        <v>5314</v>
      </c>
      <c r="AA58" s="4392" t="s">
        <v>5315</v>
      </c>
      <c r="AB58" s="1099" t="s">
        <v>5316</v>
      </c>
      <c r="AC58" s="4392" t="s">
        <v>5317</v>
      </c>
      <c r="AD58" s="1099" t="s">
        <v>5318</v>
      </c>
      <c r="AE58" s="4392" t="s">
        <v>5319</v>
      </c>
      <c r="AF58" s="1099" t="s">
        <v>5320</v>
      </c>
      <c r="AG58" s="4392" t="s">
        <v>5321</v>
      </c>
      <c r="AH58" s="1099" t="s">
        <v>5322</v>
      </c>
      <c r="AI58" s="4392" t="s">
        <v>5323</v>
      </c>
      <c r="AJ58" s="1099" t="s">
        <v>5324</v>
      </c>
      <c r="AK58" s="4392" t="s">
        <v>5325</v>
      </c>
      <c r="AL58" s="1100" t="s">
        <v>5326</v>
      </c>
      <c r="AM58" s="4908" t="s">
        <v>5327</v>
      </c>
      <c r="AN58" s="4908" t="s">
        <v>5328</v>
      </c>
      <c r="AO58" t="str">
        <f t="shared" si="36"/>
        <v xml:space="preserve"> * La variable Pueblos Originarios no puede ser mayor al Total. * La variable Migrantes no puede ser mayor al Total.</v>
      </c>
      <c r="BX58" s="1723" t="str">
        <f t="shared" si="37"/>
        <v xml:space="preserve"> * La variable Pueblos Originarios no puede ser mayor al Total.</v>
      </c>
      <c r="BY58" s="1723" t="str">
        <f t="shared" si="38"/>
        <v xml:space="preserve"> * La variable Migrantes no puede ser mayor al Total.</v>
      </c>
      <c r="BZ58" s="1723"/>
      <c r="CA58" s="1723"/>
      <c r="CB58" s="1723"/>
      <c r="CC58" s="1723"/>
      <c r="CD58" s="1723"/>
      <c r="CE58" s="1723"/>
      <c r="CG58" s="1725">
        <f t="shared" si="39"/>
        <v>1</v>
      </c>
      <c r="CH58" s="1725">
        <f t="shared" si="40"/>
        <v>1</v>
      </c>
    </row>
    <row r="59" spans="1:87" x14ac:dyDescent="0.3">
      <c r="A59" s="6234" t="s">
        <v>4560</v>
      </c>
      <c r="B59" s="7079"/>
      <c r="C59" s="4907" t="s">
        <v>62</v>
      </c>
      <c r="D59" s="1554" t="s">
        <v>5292</v>
      </c>
      <c r="E59" s="4822" t="s">
        <v>5293</v>
      </c>
      <c r="F59" s="4821" t="s">
        <v>5294</v>
      </c>
      <c r="G59" s="1095" t="s">
        <v>5295</v>
      </c>
      <c r="H59" s="3930" t="s">
        <v>5296</v>
      </c>
      <c r="I59" s="1095" t="s">
        <v>5297</v>
      </c>
      <c r="J59" s="1099" t="s">
        <v>5298</v>
      </c>
      <c r="K59" s="1095" t="s">
        <v>5299</v>
      </c>
      <c r="L59" s="1099" t="s">
        <v>5300</v>
      </c>
      <c r="M59" s="1095" t="s">
        <v>5301</v>
      </c>
      <c r="N59" s="1099" t="s">
        <v>5302</v>
      </c>
      <c r="O59" s="4392" t="s">
        <v>5303</v>
      </c>
      <c r="P59" s="1099" t="s">
        <v>5304</v>
      </c>
      <c r="Q59" s="4392" t="s">
        <v>5305</v>
      </c>
      <c r="R59" s="1099" t="s">
        <v>5306</v>
      </c>
      <c r="S59" s="4392" t="s">
        <v>5307</v>
      </c>
      <c r="T59" s="1099" t="s">
        <v>5308</v>
      </c>
      <c r="U59" s="4392" t="s">
        <v>5309</v>
      </c>
      <c r="V59" s="1099" t="s">
        <v>5310</v>
      </c>
      <c r="W59" s="4392" t="s">
        <v>5311</v>
      </c>
      <c r="X59" s="1099" t="s">
        <v>5312</v>
      </c>
      <c r="Y59" s="4392" t="s">
        <v>5313</v>
      </c>
      <c r="Z59" s="1099" t="s">
        <v>5314</v>
      </c>
      <c r="AA59" s="4392" t="s">
        <v>5315</v>
      </c>
      <c r="AB59" s="1099" t="s">
        <v>5316</v>
      </c>
      <c r="AC59" s="4392" t="s">
        <v>5317</v>
      </c>
      <c r="AD59" s="1099" t="s">
        <v>5318</v>
      </c>
      <c r="AE59" s="4392" t="s">
        <v>5319</v>
      </c>
      <c r="AF59" s="1099" t="s">
        <v>5320</v>
      </c>
      <c r="AG59" s="4392" t="s">
        <v>5321</v>
      </c>
      <c r="AH59" s="1099" t="s">
        <v>5322</v>
      </c>
      <c r="AI59" s="4392" t="s">
        <v>5323</v>
      </c>
      <c r="AJ59" s="1099" t="s">
        <v>5324</v>
      </c>
      <c r="AK59" s="4392" t="s">
        <v>5325</v>
      </c>
      <c r="AL59" s="1100" t="s">
        <v>5326</v>
      </c>
      <c r="AM59" s="4908" t="s">
        <v>5327</v>
      </c>
      <c r="AN59" s="4908" t="s">
        <v>5328</v>
      </c>
      <c r="AO59" t="str">
        <f t="shared" si="36"/>
        <v xml:space="preserve"> * La variable Pueblos Originarios no puede ser mayor al Total. * La variable Migrantes no puede ser mayor al Total.</v>
      </c>
      <c r="BX59" s="1723" t="str">
        <f t="shared" si="37"/>
        <v xml:space="preserve"> * La variable Pueblos Originarios no puede ser mayor al Total.</v>
      </c>
      <c r="BY59" s="1723" t="str">
        <f t="shared" si="38"/>
        <v xml:space="preserve"> * La variable Migrantes no puede ser mayor al Total.</v>
      </c>
      <c r="BZ59" s="1723"/>
      <c r="CA59" s="1723"/>
      <c r="CB59" s="1723"/>
      <c r="CC59" s="1723"/>
      <c r="CD59" s="1723"/>
      <c r="CE59" s="1723"/>
      <c r="CG59" s="1725">
        <f t="shared" si="39"/>
        <v>1</v>
      </c>
      <c r="CH59" s="1725">
        <f t="shared" si="40"/>
        <v>1</v>
      </c>
    </row>
    <row r="60" spans="1:87" x14ac:dyDescent="0.3">
      <c r="A60" s="6234" t="s">
        <v>4561</v>
      </c>
      <c r="B60" s="7080"/>
      <c r="C60" s="58" t="s">
        <v>123</v>
      </c>
      <c r="D60" s="4909" t="s">
        <v>5292</v>
      </c>
      <c r="E60" s="4823" t="s">
        <v>5293</v>
      </c>
      <c r="F60" s="37" t="s">
        <v>5294</v>
      </c>
      <c r="G60" s="4303" t="s">
        <v>5295</v>
      </c>
      <c r="H60" s="12" t="s">
        <v>5296</v>
      </c>
      <c r="I60" s="4303" t="s">
        <v>5297</v>
      </c>
      <c r="J60" s="3948" t="s">
        <v>5298</v>
      </c>
      <c r="K60" s="4303" t="s">
        <v>5299</v>
      </c>
      <c r="L60" s="3948" t="s">
        <v>5300</v>
      </c>
      <c r="M60" s="4303" t="s">
        <v>5301</v>
      </c>
      <c r="N60" s="3948" t="s">
        <v>5302</v>
      </c>
      <c r="O60" s="22" t="s">
        <v>5303</v>
      </c>
      <c r="P60" s="3948" t="s">
        <v>5304</v>
      </c>
      <c r="Q60" s="22" t="s">
        <v>5305</v>
      </c>
      <c r="R60" s="3948" t="s">
        <v>5306</v>
      </c>
      <c r="S60" s="22" t="s">
        <v>5307</v>
      </c>
      <c r="T60" s="3948" t="s">
        <v>5308</v>
      </c>
      <c r="U60" s="22" t="s">
        <v>5309</v>
      </c>
      <c r="V60" s="3948" t="s">
        <v>5310</v>
      </c>
      <c r="W60" s="22" t="s">
        <v>5311</v>
      </c>
      <c r="X60" s="3948" t="s">
        <v>5312</v>
      </c>
      <c r="Y60" s="22" t="s">
        <v>5313</v>
      </c>
      <c r="Z60" s="3948" t="s">
        <v>5314</v>
      </c>
      <c r="AA60" s="22" t="s">
        <v>5315</v>
      </c>
      <c r="AB60" s="3948" t="s">
        <v>5316</v>
      </c>
      <c r="AC60" s="22" t="s">
        <v>5317</v>
      </c>
      <c r="AD60" s="3948" t="s">
        <v>5318</v>
      </c>
      <c r="AE60" s="22" t="s">
        <v>5319</v>
      </c>
      <c r="AF60" s="3948" t="s">
        <v>5320</v>
      </c>
      <c r="AG60" s="22" t="s">
        <v>5321</v>
      </c>
      <c r="AH60" s="3948" t="s">
        <v>5322</v>
      </c>
      <c r="AI60" s="22" t="s">
        <v>5323</v>
      </c>
      <c r="AJ60" s="3948" t="s">
        <v>5324</v>
      </c>
      <c r="AK60" s="22" t="s">
        <v>5325</v>
      </c>
      <c r="AL60" s="3949" t="s">
        <v>5326</v>
      </c>
      <c r="AM60" s="59" t="s">
        <v>5327</v>
      </c>
      <c r="AN60" s="59" t="s">
        <v>5328</v>
      </c>
      <c r="AO60" t="str">
        <f t="shared" si="36"/>
        <v xml:space="preserve"> * La variable Pueblos Originarios no puede ser mayor al Total. * La variable Migrantes no puede ser mayor al Total.</v>
      </c>
      <c r="BX60" s="1723" t="str">
        <f t="shared" si="37"/>
        <v xml:space="preserve"> * La variable Pueblos Originarios no puede ser mayor al Total.</v>
      </c>
      <c r="BY60" s="1723" t="str">
        <f t="shared" si="38"/>
        <v xml:space="preserve"> * La variable Migrantes no puede ser mayor al Total.</v>
      </c>
      <c r="BZ60" s="1723"/>
      <c r="CA60" s="1723"/>
      <c r="CB60" s="1723"/>
      <c r="CC60" s="1723"/>
      <c r="CD60" s="1723"/>
      <c r="CE60" s="1723"/>
      <c r="CG60" s="1725">
        <f t="shared" si="39"/>
        <v>1</v>
      </c>
      <c r="CH60" s="1725">
        <f t="shared" si="40"/>
        <v>1</v>
      </c>
    </row>
    <row r="61" spans="1:87" x14ac:dyDescent="0.3">
      <c r="A61" s="6234" t="s">
        <v>4562</v>
      </c>
      <c r="B61" s="7078" t="s">
        <v>116</v>
      </c>
      <c r="C61" s="4905" t="s">
        <v>75</v>
      </c>
      <c r="D61" s="4811" t="s">
        <v>5292</v>
      </c>
      <c r="E61" s="4812" t="s">
        <v>5293</v>
      </c>
      <c r="F61" s="4813" t="s">
        <v>5294</v>
      </c>
      <c r="G61" s="4910" t="s">
        <v>5295</v>
      </c>
      <c r="H61" s="4911" t="s">
        <v>5296</v>
      </c>
      <c r="I61" s="4814" t="s">
        <v>5297</v>
      </c>
      <c r="J61" s="4816" t="s">
        <v>5298</v>
      </c>
      <c r="K61" s="4814" t="s">
        <v>5299</v>
      </c>
      <c r="L61" s="4816" t="s">
        <v>5300</v>
      </c>
      <c r="M61" s="4814" t="s">
        <v>5301</v>
      </c>
      <c r="N61" s="4816" t="s">
        <v>5302</v>
      </c>
      <c r="O61" s="4912" t="s">
        <v>5303</v>
      </c>
      <c r="P61" s="4913" t="s">
        <v>5304</v>
      </c>
      <c r="Q61" s="4912" t="s">
        <v>5305</v>
      </c>
      <c r="R61" s="4913" t="s">
        <v>5306</v>
      </c>
      <c r="S61" s="4912" t="s">
        <v>5307</v>
      </c>
      <c r="T61" s="4913" t="s">
        <v>5308</v>
      </c>
      <c r="U61" s="4912" t="s">
        <v>5309</v>
      </c>
      <c r="V61" s="4913" t="s">
        <v>5310</v>
      </c>
      <c r="W61" s="4912" t="s">
        <v>5311</v>
      </c>
      <c r="X61" s="4913" t="s">
        <v>5312</v>
      </c>
      <c r="Y61" s="4912" t="s">
        <v>5313</v>
      </c>
      <c r="Z61" s="4913" t="s">
        <v>5314</v>
      </c>
      <c r="AA61" s="4912" t="s">
        <v>5315</v>
      </c>
      <c r="AB61" s="4913" t="s">
        <v>5316</v>
      </c>
      <c r="AC61" s="4912" t="s">
        <v>5317</v>
      </c>
      <c r="AD61" s="4913" t="s">
        <v>5318</v>
      </c>
      <c r="AE61" s="4912" t="s">
        <v>5319</v>
      </c>
      <c r="AF61" s="4913" t="s">
        <v>5320</v>
      </c>
      <c r="AG61" s="4912" t="s">
        <v>5321</v>
      </c>
      <c r="AH61" s="4913" t="s">
        <v>5322</v>
      </c>
      <c r="AI61" s="4910" t="s">
        <v>5323</v>
      </c>
      <c r="AJ61" s="4913" t="s">
        <v>5324</v>
      </c>
      <c r="AK61" s="4912" t="s">
        <v>5325</v>
      </c>
      <c r="AL61" s="4914" t="s">
        <v>5326</v>
      </c>
      <c r="AM61" s="4906" t="s">
        <v>5327</v>
      </c>
      <c r="AN61" s="4906" t="s">
        <v>5328</v>
      </c>
      <c r="AO61" t="str">
        <f t="shared" si="36"/>
        <v xml:space="preserve"> * La variable Pueblos Originarios no puede ser mayor al Total. * La variable Migrantes no puede ser mayor al Total.</v>
      </c>
      <c r="BX61" s="1723" t="str">
        <f t="shared" si="37"/>
        <v xml:space="preserve"> * La variable Pueblos Originarios no puede ser mayor al Total.</v>
      </c>
      <c r="BY61" s="1723" t="str">
        <f t="shared" si="38"/>
        <v xml:space="preserve"> * La variable Migrantes no puede ser mayor al Total.</v>
      </c>
      <c r="BZ61" s="1723"/>
      <c r="CA61" s="1723"/>
      <c r="CB61" s="1723"/>
      <c r="CC61" s="1723"/>
      <c r="CD61" s="1723"/>
      <c r="CE61" s="1723"/>
      <c r="CG61" s="1725">
        <f t="shared" si="39"/>
        <v>1</v>
      </c>
      <c r="CH61" s="1725">
        <f t="shared" si="40"/>
        <v>1</v>
      </c>
    </row>
    <row r="62" spans="1:87" x14ac:dyDescent="0.3">
      <c r="A62" s="6234" t="s">
        <v>4563</v>
      </c>
      <c r="B62" s="7080"/>
      <c r="C62" s="4907" t="s">
        <v>62</v>
      </c>
      <c r="D62" s="4909" t="s">
        <v>5292</v>
      </c>
      <c r="E62" s="4823" t="s">
        <v>5293</v>
      </c>
      <c r="F62" s="37" t="s">
        <v>5294</v>
      </c>
      <c r="G62" s="4915" t="s">
        <v>5295</v>
      </c>
      <c r="H62" s="36" t="s">
        <v>5296</v>
      </c>
      <c r="I62" s="4303" t="s">
        <v>5297</v>
      </c>
      <c r="J62" s="3948" t="s">
        <v>5298</v>
      </c>
      <c r="K62" s="4303" t="s">
        <v>5299</v>
      </c>
      <c r="L62" s="3948" t="s">
        <v>5300</v>
      </c>
      <c r="M62" s="4303" t="s">
        <v>5301</v>
      </c>
      <c r="N62" s="3948" t="s">
        <v>5302</v>
      </c>
      <c r="O62" s="41" t="s">
        <v>5303</v>
      </c>
      <c r="P62" s="4916" t="s">
        <v>5304</v>
      </c>
      <c r="Q62" s="41" t="s">
        <v>5305</v>
      </c>
      <c r="R62" s="4916" t="s">
        <v>5306</v>
      </c>
      <c r="S62" s="41" t="s">
        <v>5307</v>
      </c>
      <c r="T62" s="4916" t="s">
        <v>5308</v>
      </c>
      <c r="U62" s="41" t="s">
        <v>5309</v>
      </c>
      <c r="V62" s="4916" t="s">
        <v>5310</v>
      </c>
      <c r="W62" s="41" t="s">
        <v>5311</v>
      </c>
      <c r="X62" s="4916" t="s">
        <v>5312</v>
      </c>
      <c r="Y62" s="41" t="s">
        <v>5313</v>
      </c>
      <c r="Z62" s="4916" t="s">
        <v>5314</v>
      </c>
      <c r="AA62" s="41" t="s">
        <v>5315</v>
      </c>
      <c r="AB62" s="4916" t="s">
        <v>5316</v>
      </c>
      <c r="AC62" s="41" t="s">
        <v>5317</v>
      </c>
      <c r="AD62" s="4916" t="s">
        <v>5318</v>
      </c>
      <c r="AE62" s="41" t="s">
        <v>5319</v>
      </c>
      <c r="AF62" s="4916" t="s">
        <v>5320</v>
      </c>
      <c r="AG62" s="41" t="s">
        <v>5321</v>
      </c>
      <c r="AH62" s="4916" t="s">
        <v>5322</v>
      </c>
      <c r="AI62" s="4915" t="s">
        <v>5323</v>
      </c>
      <c r="AJ62" s="4916" t="s">
        <v>5324</v>
      </c>
      <c r="AK62" s="41" t="s">
        <v>5325</v>
      </c>
      <c r="AL62" s="4917" t="s">
        <v>5326</v>
      </c>
      <c r="AM62" s="59" t="s">
        <v>5327</v>
      </c>
      <c r="AN62" s="59" t="s">
        <v>5328</v>
      </c>
      <c r="AO62" t="str">
        <f t="shared" si="36"/>
        <v xml:space="preserve"> * La variable Pueblos Originarios no puede ser mayor al Total. * La variable Migrantes no puede ser mayor al Total.</v>
      </c>
      <c r="BX62" s="1723" t="str">
        <f t="shared" si="37"/>
        <v xml:space="preserve"> * La variable Pueblos Originarios no puede ser mayor al Total.</v>
      </c>
      <c r="BY62" s="1723" t="str">
        <f t="shared" si="38"/>
        <v xml:space="preserve"> * La variable Migrantes no puede ser mayor al Total.</v>
      </c>
      <c r="BZ62" s="1723"/>
      <c r="CA62" s="1723"/>
      <c r="CB62" s="1723"/>
      <c r="CC62" s="1723"/>
      <c r="CD62" s="1723"/>
      <c r="CE62" s="1723"/>
      <c r="CG62" s="1725">
        <f t="shared" si="39"/>
        <v>1</v>
      </c>
      <c r="CH62" s="1725">
        <f t="shared" si="40"/>
        <v>1</v>
      </c>
    </row>
    <row r="63" spans="1:87" x14ac:dyDescent="0.3">
      <c r="A63" s="6234" t="s">
        <v>4564</v>
      </c>
      <c r="B63" s="7078" t="s">
        <v>118</v>
      </c>
      <c r="C63" s="4905" t="s">
        <v>74</v>
      </c>
      <c r="D63" s="4811" t="s">
        <v>5292</v>
      </c>
      <c r="E63" s="4812" t="s">
        <v>5293</v>
      </c>
      <c r="F63" s="4813" t="s">
        <v>5294</v>
      </c>
      <c r="G63" s="4910" t="s">
        <v>5295</v>
      </c>
      <c r="H63" s="4911" t="s">
        <v>5296</v>
      </c>
      <c r="I63" s="4814" t="s">
        <v>5297</v>
      </c>
      <c r="J63" s="4816" t="s">
        <v>5298</v>
      </c>
      <c r="K63" s="4814" t="s">
        <v>5299</v>
      </c>
      <c r="L63" s="4816" t="s">
        <v>5300</v>
      </c>
      <c r="M63" s="4814" t="s">
        <v>5301</v>
      </c>
      <c r="N63" s="4816" t="s">
        <v>5302</v>
      </c>
      <c r="O63" s="4912" t="s">
        <v>5303</v>
      </c>
      <c r="P63" s="4913" t="s">
        <v>5304</v>
      </c>
      <c r="Q63" s="4912" t="s">
        <v>5305</v>
      </c>
      <c r="R63" s="4913" t="s">
        <v>5306</v>
      </c>
      <c r="S63" s="4912" t="s">
        <v>5307</v>
      </c>
      <c r="T63" s="4913" t="s">
        <v>5308</v>
      </c>
      <c r="U63" s="4912" t="s">
        <v>5309</v>
      </c>
      <c r="V63" s="4913" t="s">
        <v>5310</v>
      </c>
      <c r="W63" s="4912" t="s">
        <v>5311</v>
      </c>
      <c r="X63" s="4913" t="s">
        <v>5312</v>
      </c>
      <c r="Y63" s="4912" t="s">
        <v>5313</v>
      </c>
      <c r="Z63" s="4913" t="s">
        <v>5314</v>
      </c>
      <c r="AA63" s="4912" t="s">
        <v>5315</v>
      </c>
      <c r="AB63" s="4913" t="s">
        <v>5316</v>
      </c>
      <c r="AC63" s="4912" t="s">
        <v>5317</v>
      </c>
      <c r="AD63" s="4913" t="s">
        <v>5318</v>
      </c>
      <c r="AE63" s="4912" t="s">
        <v>5319</v>
      </c>
      <c r="AF63" s="4913" t="s">
        <v>5320</v>
      </c>
      <c r="AG63" s="4912" t="s">
        <v>5321</v>
      </c>
      <c r="AH63" s="4913" t="s">
        <v>5322</v>
      </c>
      <c r="AI63" s="4910" t="s">
        <v>5323</v>
      </c>
      <c r="AJ63" s="4913" t="s">
        <v>5324</v>
      </c>
      <c r="AK63" s="4912" t="s">
        <v>5325</v>
      </c>
      <c r="AL63" s="4914" t="s">
        <v>5326</v>
      </c>
      <c r="AM63" s="4906" t="s">
        <v>5327</v>
      </c>
      <c r="AN63" s="4906" t="s">
        <v>5328</v>
      </c>
      <c r="AO63" t="str">
        <f t="shared" si="36"/>
        <v xml:space="preserve"> * La variable Pueblos Originarios no puede ser mayor al Total. * La variable Migrantes no puede ser mayor al Total.</v>
      </c>
      <c r="BX63" s="1723" t="str">
        <f t="shared" si="37"/>
        <v xml:space="preserve"> * La variable Pueblos Originarios no puede ser mayor al Total.</v>
      </c>
      <c r="BY63" s="1723" t="str">
        <f t="shared" si="38"/>
        <v xml:space="preserve"> * La variable Migrantes no puede ser mayor al Total.</v>
      </c>
      <c r="BZ63" s="1723"/>
      <c r="CA63" s="1723"/>
      <c r="CB63" s="1723"/>
      <c r="CC63" s="1723"/>
      <c r="CD63" s="1723"/>
      <c r="CE63" s="1723"/>
      <c r="CG63" s="1725">
        <f t="shared" si="39"/>
        <v>1</v>
      </c>
      <c r="CH63" s="1725">
        <f t="shared" si="40"/>
        <v>1</v>
      </c>
    </row>
    <row r="64" spans="1:87" x14ac:dyDescent="0.3">
      <c r="A64" s="6234" t="s">
        <v>4565</v>
      </c>
      <c r="B64" s="7079"/>
      <c r="C64" s="4907" t="s">
        <v>86</v>
      </c>
      <c r="D64" s="1554" t="s">
        <v>5292</v>
      </c>
      <c r="E64" s="4822" t="s">
        <v>5293</v>
      </c>
      <c r="F64" s="4821" t="s">
        <v>5294</v>
      </c>
      <c r="G64" s="1530" t="s">
        <v>5295</v>
      </c>
      <c r="H64" s="4918" t="s">
        <v>5296</v>
      </c>
      <c r="I64" s="1095" t="s">
        <v>5297</v>
      </c>
      <c r="J64" s="1099" t="s">
        <v>5298</v>
      </c>
      <c r="K64" s="1095" t="s">
        <v>5299</v>
      </c>
      <c r="L64" s="1099" t="s">
        <v>5300</v>
      </c>
      <c r="M64" s="1095" t="s">
        <v>5301</v>
      </c>
      <c r="N64" s="1099" t="s">
        <v>5302</v>
      </c>
      <c r="O64" s="4919" t="s">
        <v>5303</v>
      </c>
      <c r="P64" s="1529" t="s">
        <v>5304</v>
      </c>
      <c r="Q64" s="4919" t="s">
        <v>5305</v>
      </c>
      <c r="R64" s="1529" t="s">
        <v>5306</v>
      </c>
      <c r="S64" s="4919" t="s">
        <v>5307</v>
      </c>
      <c r="T64" s="1529" t="s">
        <v>5308</v>
      </c>
      <c r="U64" s="4919" t="s">
        <v>5309</v>
      </c>
      <c r="V64" s="1529" t="s">
        <v>5310</v>
      </c>
      <c r="W64" s="4919" t="s">
        <v>5311</v>
      </c>
      <c r="X64" s="1529" t="s">
        <v>5312</v>
      </c>
      <c r="Y64" s="4919" t="s">
        <v>5313</v>
      </c>
      <c r="Z64" s="1529" t="s">
        <v>5314</v>
      </c>
      <c r="AA64" s="4919" t="s">
        <v>5315</v>
      </c>
      <c r="AB64" s="1529" t="s">
        <v>5316</v>
      </c>
      <c r="AC64" s="4919" t="s">
        <v>5317</v>
      </c>
      <c r="AD64" s="1529" t="s">
        <v>5318</v>
      </c>
      <c r="AE64" s="4919" t="s">
        <v>5319</v>
      </c>
      <c r="AF64" s="1529" t="s">
        <v>5320</v>
      </c>
      <c r="AG64" s="4919" t="s">
        <v>5321</v>
      </c>
      <c r="AH64" s="1529" t="s">
        <v>5322</v>
      </c>
      <c r="AI64" s="1530" t="s">
        <v>5323</v>
      </c>
      <c r="AJ64" s="1529" t="s">
        <v>5324</v>
      </c>
      <c r="AK64" s="4919" t="s">
        <v>5325</v>
      </c>
      <c r="AL64" s="4920" t="s">
        <v>5326</v>
      </c>
      <c r="AM64" s="4908" t="s">
        <v>5327</v>
      </c>
      <c r="AN64" s="4908" t="s">
        <v>5328</v>
      </c>
      <c r="AO64" t="str">
        <f t="shared" si="36"/>
        <v xml:space="preserve"> * La variable Pueblos Originarios no puede ser mayor al Total. * La variable Migrantes no puede ser mayor al Total.</v>
      </c>
      <c r="BX64" s="1723" t="str">
        <f t="shared" si="37"/>
        <v xml:space="preserve"> * La variable Pueblos Originarios no puede ser mayor al Total.</v>
      </c>
      <c r="BY64" s="1723" t="str">
        <f t="shared" si="38"/>
        <v xml:space="preserve"> * La variable Migrantes no puede ser mayor al Total.</v>
      </c>
      <c r="BZ64" s="1723"/>
      <c r="CA64" s="1723"/>
      <c r="CB64" s="1723"/>
      <c r="CC64" s="1723"/>
      <c r="CD64" s="1723"/>
      <c r="CE64" s="1723"/>
      <c r="CG64" s="1725">
        <f t="shared" si="39"/>
        <v>1</v>
      </c>
      <c r="CH64" s="1725">
        <f t="shared" si="40"/>
        <v>1</v>
      </c>
    </row>
    <row r="65" spans="1:86" x14ac:dyDescent="0.3">
      <c r="A65" s="6234" t="s">
        <v>4566</v>
      </c>
      <c r="B65" s="7079"/>
      <c r="C65" s="4907" t="s">
        <v>75</v>
      </c>
      <c r="D65" s="1554" t="s">
        <v>5292</v>
      </c>
      <c r="E65" s="4822" t="s">
        <v>5293</v>
      </c>
      <c r="F65" s="4821" t="s">
        <v>5294</v>
      </c>
      <c r="G65" s="1530" t="s">
        <v>5295</v>
      </c>
      <c r="H65" s="4918" t="s">
        <v>5296</v>
      </c>
      <c r="I65" s="1095" t="s">
        <v>5297</v>
      </c>
      <c r="J65" s="1099" t="s">
        <v>5298</v>
      </c>
      <c r="K65" s="1095" t="s">
        <v>5299</v>
      </c>
      <c r="L65" s="1099" t="s">
        <v>5300</v>
      </c>
      <c r="M65" s="1095" t="s">
        <v>5301</v>
      </c>
      <c r="N65" s="1099" t="s">
        <v>5302</v>
      </c>
      <c r="O65" s="4919" t="s">
        <v>5303</v>
      </c>
      <c r="P65" s="1529" t="s">
        <v>5304</v>
      </c>
      <c r="Q65" s="4919" t="s">
        <v>5305</v>
      </c>
      <c r="R65" s="1529" t="s">
        <v>5306</v>
      </c>
      <c r="S65" s="4919" t="s">
        <v>5307</v>
      </c>
      <c r="T65" s="1529" t="s">
        <v>5308</v>
      </c>
      <c r="U65" s="4919" t="s">
        <v>5309</v>
      </c>
      <c r="V65" s="1529" t="s">
        <v>5310</v>
      </c>
      <c r="W65" s="4919" t="s">
        <v>5311</v>
      </c>
      <c r="X65" s="1529" t="s">
        <v>5312</v>
      </c>
      <c r="Y65" s="4919" t="s">
        <v>5313</v>
      </c>
      <c r="Z65" s="1529" t="s">
        <v>5314</v>
      </c>
      <c r="AA65" s="4919" t="s">
        <v>5315</v>
      </c>
      <c r="AB65" s="1529" t="s">
        <v>5316</v>
      </c>
      <c r="AC65" s="4919" t="s">
        <v>5317</v>
      </c>
      <c r="AD65" s="1529" t="s">
        <v>5318</v>
      </c>
      <c r="AE65" s="4919" t="s">
        <v>5319</v>
      </c>
      <c r="AF65" s="1529" t="s">
        <v>5320</v>
      </c>
      <c r="AG65" s="4919" t="s">
        <v>5321</v>
      </c>
      <c r="AH65" s="1529" t="s">
        <v>5322</v>
      </c>
      <c r="AI65" s="1530" t="s">
        <v>5323</v>
      </c>
      <c r="AJ65" s="1529" t="s">
        <v>5324</v>
      </c>
      <c r="AK65" s="4919" t="s">
        <v>5325</v>
      </c>
      <c r="AL65" s="4920" t="s">
        <v>5326</v>
      </c>
      <c r="AM65" s="4908" t="s">
        <v>5327</v>
      </c>
      <c r="AN65" s="4908" t="s">
        <v>5328</v>
      </c>
      <c r="AO65" t="str">
        <f t="shared" si="36"/>
        <v xml:space="preserve"> * La variable Pueblos Originarios no puede ser mayor al Total. * La variable Migrantes no puede ser mayor al Total.</v>
      </c>
      <c r="BX65" s="1723" t="str">
        <f t="shared" si="37"/>
        <v xml:space="preserve"> * La variable Pueblos Originarios no puede ser mayor al Total.</v>
      </c>
      <c r="BY65" s="1723" t="str">
        <f t="shared" si="38"/>
        <v xml:space="preserve"> * La variable Migrantes no puede ser mayor al Total.</v>
      </c>
      <c r="BZ65" s="1723"/>
      <c r="CA65" s="1723"/>
      <c r="CB65" s="1723"/>
      <c r="CC65" s="1723"/>
      <c r="CD65" s="1723"/>
      <c r="CE65" s="1723"/>
      <c r="CG65" s="1725">
        <f t="shared" si="39"/>
        <v>1</v>
      </c>
      <c r="CH65" s="1725">
        <f t="shared" si="40"/>
        <v>1</v>
      </c>
    </row>
    <row r="66" spans="1:86" x14ac:dyDescent="0.3">
      <c r="A66" s="6234" t="s">
        <v>4567</v>
      </c>
      <c r="B66" s="7080"/>
      <c r="C66" s="4907" t="s">
        <v>62</v>
      </c>
      <c r="D66" s="4909" t="s">
        <v>5292</v>
      </c>
      <c r="E66" s="4823" t="s">
        <v>5293</v>
      </c>
      <c r="F66" s="37" t="s">
        <v>5294</v>
      </c>
      <c r="G66" s="4915" t="s">
        <v>5295</v>
      </c>
      <c r="H66" s="36" t="s">
        <v>5296</v>
      </c>
      <c r="I66" s="4303" t="s">
        <v>5297</v>
      </c>
      <c r="J66" s="3948" t="s">
        <v>5298</v>
      </c>
      <c r="K66" s="4303" t="s">
        <v>5299</v>
      </c>
      <c r="L66" s="3948" t="s">
        <v>5300</v>
      </c>
      <c r="M66" s="4303" t="s">
        <v>5301</v>
      </c>
      <c r="N66" s="3948" t="s">
        <v>5302</v>
      </c>
      <c r="O66" s="41" t="s">
        <v>5303</v>
      </c>
      <c r="P66" s="4916" t="s">
        <v>5304</v>
      </c>
      <c r="Q66" s="41" t="s">
        <v>5305</v>
      </c>
      <c r="R66" s="4916" t="s">
        <v>5306</v>
      </c>
      <c r="S66" s="41" t="s">
        <v>5307</v>
      </c>
      <c r="T66" s="4916" t="s">
        <v>5308</v>
      </c>
      <c r="U66" s="41" t="s">
        <v>5309</v>
      </c>
      <c r="V66" s="4916" t="s">
        <v>5310</v>
      </c>
      <c r="W66" s="41" t="s">
        <v>5311</v>
      </c>
      <c r="X66" s="4916" t="s">
        <v>5312</v>
      </c>
      <c r="Y66" s="41" t="s">
        <v>5313</v>
      </c>
      <c r="Z66" s="4916" t="s">
        <v>5314</v>
      </c>
      <c r="AA66" s="41" t="s">
        <v>5315</v>
      </c>
      <c r="AB66" s="4916" t="s">
        <v>5316</v>
      </c>
      <c r="AC66" s="41" t="s">
        <v>5317</v>
      </c>
      <c r="AD66" s="4916" t="s">
        <v>5318</v>
      </c>
      <c r="AE66" s="41" t="s">
        <v>5319</v>
      </c>
      <c r="AF66" s="4916" t="s">
        <v>5320</v>
      </c>
      <c r="AG66" s="41" t="s">
        <v>5321</v>
      </c>
      <c r="AH66" s="4916" t="s">
        <v>5322</v>
      </c>
      <c r="AI66" s="4915" t="s">
        <v>5323</v>
      </c>
      <c r="AJ66" s="4916" t="s">
        <v>5324</v>
      </c>
      <c r="AK66" s="41" t="s">
        <v>5325</v>
      </c>
      <c r="AL66" s="4917" t="s">
        <v>5326</v>
      </c>
      <c r="AM66" s="59" t="s">
        <v>5327</v>
      </c>
      <c r="AN66" s="59" t="s">
        <v>5328</v>
      </c>
      <c r="AO66" t="str">
        <f t="shared" si="36"/>
        <v xml:space="preserve"> * La variable Pueblos Originarios no puede ser mayor al Total. * La variable Migrantes no puede ser mayor al Total.</v>
      </c>
      <c r="BX66" s="1723" t="str">
        <f t="shared" si="37"/>
        <v xml:space="preserve"> * La variable Pueblos Originarios no puede ser mayor al Total.</v>
      </c>
      <c r="BY66" s="1723" t="str">
        <f t="shared" si="38"/>
        <v xml:space="preserve"> * La variable Migrantes no puede ser mayor al Total.</v>
      </c>
      <c r="BZ66" s="1723"/>
      <c r="CA66" s="1723"/>
      <c r="CB66" s="1723"/>
      <c r="CC66" s="1723"/>
      <c r="CD66" s="1723"/>
      <c r="CE66" s="1723"/>
      <c r="CG66" s="1725">
        <f t="shared" si="39"/>
        <v>1</v>
      </c>
      <c r="CH66" s="1725">
        <f t="shared" si="40"/>
        <v>1</v>
      </c>
    </row>
    <row r="67" spans="1:86" x14ac:dyDescent="0.3">
      <c r="A67" s="6234" t="s">
        <v>4568</v>
      </c>
      <c r="B67" s="7078" t="s">
        <v>119</v>
      </c>
      <c r="C67" s="4905" t="s">
        <v>74</v>
      </c>
      <c r="D67" s="4811" t="s">
        <v>5292</v>
      </c>
      <c r="E67" s="4812" t="s">
        <v>5293</v>
      </c>
      <c r="F67" s="4813" t="s">
        <v>5294</v>
      </c>
      <c r="G67" s="4910" t="s">
        <v>5295</v>
      </c>
      <c r="H67" s="4913" t="s">
        <v>5296</v>
      </c>
      <c r="I67" s="4814" t="s">
        <v>5297</v>
      </c>
      <c r="J67" s="4816" t="s">
        <v>5298</v>
      </c>
      <c r="K67" s="4814" t="s">
        <v>5299</v>
      </c>
      <c r="L67" s="4816" t="s">
        <v>5300</v>
      </c>
      <c r="M67" s="4814" t="s">
        <v>5301</v>
      </c>
      <c r="N67" s="4816" t="s">
        <v>5302</v>
      </c>
      <c r="O67" s="4814" t="s">
        <v>5303</v>
      </c>
      <c r="P67" s="4816" t="s">
        <v>5304</v>
      </c>
      <c r="Q67" s="4814" t="s">
        <v>5305</v>
      </c>
      <c r="R67" s="4816" t="s">
        <v>5306</v>
      </c>
      <c r="S67" s="4814" t="s">
        <v>5307</v>
      </c>
      <c r="T67" s="4816" t="s">
        <v>5308</v>
      </c>
      <c r="U67" s="4814" t="s">
        <v>5309</v>
      </c>
      <c r="V67" s="4816" t="s">
        <v>5310</v>
      </c>
      <c r="W67" s="4814" t="s">
        <v>5311</v>
      </c>
      <c r="X67" s="4816" t="s">
        <v>5312</v>
      </c>
      <c r="Y67" s="4814" t="s">
        <v>5313</v>
      </c>
      <c r="Z67" s="4816" t="s">
        <v>5314</v>
      </c>
      <c r="AA67" s="4814" t="s">
        <v>5315</v>
      </c>
      <c r="AB67" s="4816" t="s">
        <v>5316</v>
      </c>
      <c r="AC67" s="4814" t="s">
        <v>5317</v>
      </c>
      <c r="AD67" s="4816" t="s">
        <v>5318</v>
      </c>
      <c r="AE67" s="4814" t="s">
        <v>5319</v>
      </c>
      <c r="AF67" s="4816" t="s">
        <v>5320</v>
      </c>
      <c r="AG67" s="4814" t="s">
        <v>5321</v>
      </c>
      <c r="AH67" s="4816" t="s">
        <v>5322</v>
      </c>
      <c r="AI67" s="4814" t="s">
        <v>5323</v>
      </c>
      <c r="AJ67" s="4816" t="s">
        <v>5324</v>
      </c>
      <c r="AK67" s="4814" t="s">
        <v>5325</v>
      </c>
      <c r="AL67" s="4818" t="s">
        <v>5326</v>
      </c>
      <c r="AM67" s="4906" t="s">
        <v>5327</v>
      </c>
      <c r="AN67" s="4906" t="s">
        <v>5328</v>
      </c>
      <c r="AO67" t="str">
        <f t="shared" si="36"/>
        <v xml:space="preserve"> * La variable Pueblos Originarios no puede ser mayor al Total. * La variable Migrantes no puede ser mayor al Total.</v>
      </c>
      <c r="BX67" s="1723" t="str">
        <f t="shared" si="37"/>
        <v xml:space="preserve"> * La variable Pueblos Originarios no puede ser mayor al Total.</v>
      </c>
      <c r="BY67" s="1723" t="str">
        <f t="shared" si="38"/>
        <v xml:space="preserve"> * La variable Migrantes no puede ser mayor al Total.</v>
      </c>
      <c r="BZ67" s="1723"/>
      <c r="CA67" s="1723"/>
      <c r="CB67" s="1723"/>
      <c r="CC67" s="1723"/>
      <c r="CD67" s="1723"/>
      <c r="CE67" s="1723"/>
      <c r="CG67" s="1725">
        <f t="shared" si="39"/>
        <v>1</v>
      </c>
      <c r="CH67" s="1725">
        <f t="shared" si="40"/>
        <v>1</v>
      </c>
    </row>
    <row r="68" spans="1:86" x14ac:dyDescent="0.3">
      <c r="A68" s="6234" t="s">
        <v>4569</v>
      </c>
      <c r="B68" s="7080"/>
      <c r="C68" s="4907" t="s">
        <v>86</v>
      </c>
      <c r="D68" s="46" t="s">
        <v>5292</v>
      </c>
      <c r="E68" s="47" t="s">
        <v>5293</v>
      </c>
      <c r="F68" s="37" t="s">
        <v>5294</v>
      </c>
      <c r="G68" s="4915" t="s">
        <v>5295</v>
      </c>
      <c r="H68" s="4916" t="s">
        <v>5296</v>
      </c>
      <c r="I68" s="4303" t="s">
        <v>5297</v>
      </c>
      <c r="J68" s="3948" t="s">
        <v>5298</v>
      </c>
      <c r="K68" s="4303" t="s">
        <v>5299</v>
      </c>
      <c r="L68" s="3948" t="s">
        <v>5300</v>
      </c>
      <c r="M68" s="4303" t="s">
        <v>5301</v>
      </c>
      <c r="N68" s="3948" t="s">
        <v>5302</v>
      </c>
      <c r="O68" s="4303" t="s">
        <v>5303</v>
      </c>
      <c r="P68" s="3948" t="s">
        <v>5304</v>
      </c>
      <c r="Q68" s="4303" t="s">
        <v>5305</v>
      </c>
      <c r="R68" s="3948" t="s">
        <v>5306</v>
      </c>
      <c r="S68" s="4303" t="s">
        <v>5307</v>
      </c>
      <c r="T68" s="3948" t="s">
        <v>5308</v>
      </c>
      <c r="U68" s="4303" t="s">
        <v>5309</v>
      </c>
      <c r="V68" s="3948" t="s">
        <v>5310</v>
      </c>
      <c r="W68" s="4303" t="s">
        <v>5311</v>
      </c>
      <c r="X68" s="3948" t="s">
        <v>5312</v>
      </c>
      <c r="Y68" s="4303" t="s">
        <v>5313</v>
      </c>
      <c r="Z68" s="3948" t="s">
        <v>5314</v>
      </c>
      <c r="AA68" s="4303" t="s">
        <v>5315</v>
      </c>
      <c r="AB68" s="3948" t="s">
        <v>5316</v>
      </c>
      <c r="AC68" s="4303" t="s">
        <v>5317</v>
      </c>
      <c r="AD68" s="3948" t="s">
        <v>5318</v>
      </c>
      <c r="AE68" s="4303" t="s">
        <v>5319</v>
      </c>
      <c r="AF68" s="3948" t="s">
        <v>5320</v>
      </c>
      <c r="AG68" s="4303" t="s">
        <v>5321</v>
      </c>
      <c r="AH68" s="3948" t="s">
        <v>5322</v>
      </c>
      <c r="AI68" s="4303" t="s">
        <v>5323</v>
      </c>
      <c r="AJ68" s="3948" t="s">
        <v>5324</v>
      </c>
      <c r="AK68" s="4303" t="s">
        <v>5325</v>
      </c>
      <c r="AL68" s="3949" t="s">
        <v>5326</v>
      </c>
      <c r="AM68" s="59" t="s">
        <v>5327</v>
      </c>
      <c r="AN68" s="59" t="s">
        <v>5328</v>
      </c>
      <c r="AO68" t="str">
        <f t="shared" si="36"/>
        <v xml:space="preserve"> * La variable Pueblos Originarios no puede ser mayor al Total. * La variable Migrantes no puede ser mayor al Total.</v>
      </c>
      <c r="BX68" s="1723" t="str">
        <f t="shared" si="37"/>
        <v xml:space="preserve"> * La variable Pueblos Originarios no puede ser mayor al Total.</v>
      </c>
      <c r="BY68" s="1723" t="str">
        <f t="shared" si="38"/>
        <v xml:space="preserve"> * La variable Migrantes no puede ser mayor al Total.</v>
      </c>
      <c r="BZ68" s="1723"/>
      <c r="CA68" s="1723"/>
      <c r="CB68" s="1723"/>
      <c r="CC68" s="1723"/>
      <c r="CD68" s="1723"/>
      <c r="CE68" s="1723"/>
      <c r="CG68" s="1725">
        <f t="shared" si="39"/>
        <v>1</v>
      </c>
      <c r="CH68" s="1725">
        <f t="shared" si="40"/>
        <v>1</v>
      </c>
    </row>
    <row r="69" spans="1:86" x14ac:dyDescent="0.3">
      <c r="A69" s="6234" t="s">
        <v>4570</v>
      </c>
      <c r="B69" s="7078" t="s">
        <v>120</v>
      </c>
      <c r="C69" s="4905" t="s">
        <v>74</v>
      </c>
      <c r="D69" s="4811" t="s">
        <v>5292</v>
      </c>
      <c r="E69" s="4812" t="s">
        <v>5293</v>
      </c>
      <c r="F69" s="4813" t="s">
        <v>5294</v>
      </c>
      <c r="G69" s="4910" t="s">
        <v>5295</v>
      </c>
      <c r="H69" s="4911" t="s">
        <v>5296</v>
      </c>
      <c r="I69" s="4814" t="s">
        <v>5297</v>
      </c>
      <c r="J69" s="4816" t="s">
        <v>5298</v>
      </c>
      <c r="K69" s="4814" t="s">
        <v>5299</v>
      </c>
      <c r="L69" s="4816" t="s">
        <v>5300</v>
      </c>
      <c r="M69" s="4814" t="s">
        <v>5301</v>
      </c>
      <c r="N69" s="4816" t="s">
        <v>5302</v>
      </c>
      <c r="O69" s="4814" t="s">
        <v>5303</v>
      </c>
      <c r="P69" s="4816" t="s">
        <v>5304</v>
      </c>
      <c r="Q69" s="4814" t="s">
        <v>5305</v>
      </c>
      <c r="R69" s="4816" t="s">
        <v>5306</v>
      </c>
      <c r="S69" s="4814" t="s">
        <v>5307</v>
      </c>
      <c r="T69" s="4816" t="s">
        <v>5308</v>
      </c>
      <c r="U69" s="4814" t="s">
        <v>5309</v>
      </c>
      <c r="V69" s="4816" t="s">
        <v>5310</v>
      </c>
      <c r="W69" s="4814" t="s">
        <v>5311</v>
      </c>
      <c r="X69" s="4816" t="s">
        <v>5312</v>
      </c>
      <c r="Y69" s="4814" t="s">
        <v>5313</v>
      </c>
      <c r="Z69" s="4816" t="s">
        <v>5314</v>
      </c>
      <c r="AA69" s="4814" t="s">
        <v>5315</v>
      </c>
      <c r="AB69" s="4816" t="s">
        <v>5316</v>
      </c>
      <c r="AC69" s="4814" t="s">
        <v>5317</v>
      </c>
      <c r="AD69" s="4816" t="s">
        <v>5318</v>
      </c>
      <c r="AE69" s="4814" t="s">
        <v>5319</v>
      </c>
      <c r="AF69" s="4816" t="s">
        <v>5320</v>
      </c>
      <c r="AG69" s="4814" t="s">
        <v>5321</v>
      </c>
      <c r="AH69" s="4816" t="s">
        <v>5322</v>
      </c>
      <c r="AI69" s="4814" t="s">
        <v>5323</v>
      </c>
      <c r="AJ69" s="4816" t="s">
        <v>5324</v>
      </c>
      <c r="AK69" s="4814" t="s">
        <v>5325</v>
      </c>
      <c r="AL69" s="4818" t="s">
        <v>5326</v>
      </c>
      <c r="AM69" s="4906" t="s">
        <v>5327</v>
      </c>
      <c r="AN69" s="4906" t="s">
        <v>5328</v>
      </c>
      <c r="AO69" t="str">
        <f t="shared" si="36"/>
        <v xml:space="preserve"> * La variable Pueblos Originarios no puede ser mayor al Total. * La variable Migrantes no puede ser mayor al Total.</v>
      </c>
      <c r="BX69" s="1723" t="str">
        <f t="shared" si="37"/>
        <v xml:space="preserve"> * La variable Pueblos Originarios no puede ser mayor al Total.</v>
      </c>
      <c r="BY69" s="1723" t="str">
        <f t="shared" si="38"/>
        <v xml:space="preserve"> * La variable Migrantes no puede ser mayor al Total.</v>
      </c>
      <c r="BZ69" s="1723"/>
      <c r="CA69" s="1723"/>
      <c r="CB69" s="1723"/>
      <c r="CC69" s="1723"/>
      <c r="CD69" s="1723"/>
      <c r="CE69" s="1723"/>
      <c r="CG69" s="1725">
        <f t="shared" si="39"/>
        <v>1</v>
      </c>
      <c r="CH69" s="1725">
        <f t="shared" si="40"/>
        <v>1</v>
      </c>
    </row>
    <row r="70" spans="1:86" x14ac:dyDescent="0.3">
      <c r="A70" s="6234" t="s">
        <v>4571</v>
      </c>
      <c r="B70" s="7080"/>
      <c r="C70" s="4907" t="s">
        <v>86</v>
      </c>
      <c r="D70" s="4909" t="s">
        <v>5292</v>
      </c>
      <c r="E70" s="4823" t="s">
        <v>5293</v>
      </c>
      <c r="F70" s="37" t="s">
        <v>5294</v>
      </c>
      <c r="G70" s="4915" t="s">
        <v>5295</v>
      </c>
      <c r="H70" s="36" t="s">
        <v>5296</v>
      </c>
      <c r="I70" s="4303" t="s">
        <v>5297</v>
      </c>
      <c r="J70" s="3948" t="s">
        <v>5298</v>
      </c>
      <c r="K70" s="4303" t="s">
        <v>5299</v>
      </c>
      <c r="L70" s="3948" t="s">
        <v>5300</v>
      </c>
      <c r="M70" s="4303" t="s">
        <v>5301</v>
      </c>
      <c r="N70" s="3948" t="s">
        <v>5302</v>
      </c>
      <c r="O70" s="4303" t="s">
        <v>5303</v>
      </c>
      <c r="P70" s="3948" t="s">
        <v>5304</v>
      </c>
      <c r="Q70" s="4303" t="s">
        <v>5305</v>
      </c>
      <c r="R70" s="3948" t="s">
        <v>5306</v>
      </c>
      <c r="S70" s="4303" t="s">
        <v>5307</v>
      </c>
      <c r="T70" s="3948" t="s">
        <v>5308</v>
      </c>
      <c r="U70" s="4303" t="s">
        <v>5309</v>
      </c>
      <c r="V70" s="3948" t="s">
        <v>5310</v>
      </c>
      <c r="W70" s="4303" t="s">
        <v>5311</v>
      </c>
      <c r="X70" s="3948" t="s">
        <v>5312</v>
      </c>
      <c r="Y70" s="4303" t="s">
        <v>5313</v>
      </c>
      <c r="Z70" s="3948" t="s">
        <v>5314</v>
      </c>
      <c r="AA70" s="4303" t="s">
        <v>5315</v>
      </c>
      <c r="AB70" s="3948" t="s">
        <v>5316</v>
      </c>
      <c r="AC70" s="4303" t="s">
        <v>5317</v>
      </c>
      <c r="AD70" s="3948" t="s">
        <v>5318</v>
      </c>
      <c r="AE70" s="4303" t="s">
        <v>5319</v>
      </c>
      <c r="AF70" s="3948" t="s">
        <v>5320</v>
      </c>
      <c r="AG70" s="4303" t="s">
        <v>5321</v>
      </c>
      <c r="AH70" s="3948" t="s">
        <v>5322</v>
      </c>
      <c r="AI70" s="4303" t="s">
        <v>5323</v>
      </c>
      <c r="AJ70" s="3948" t="s">
        <v>5324</v>
      </c>
      <c r="AK70" s="4303" t="s">
        <v>5325</v>
      </c>
      <c r="AL70" s="3949" t="s">
        <v>5326</v>
      </c>
      <c r="AM70" s="59" t="s">
        <v>5327</v>
      </c>
      <c r="AN70" s="59" t="s">
        <v>5328</v>
      </c>
      <c r="AO70" t="str">
        <f t="shared" si="36"/>
        <v xml:space="preserve"> * La variable Pueblos Originarios no puede ser mayor al Total. * La variable Migrantes no puede ser mayor al Total.</v>
      </c>
      <c r="BX70" s="1723" t="str">
        <f t="shared" si="37"/>
        <v xml:space="preserve"> * La variable Pueblos Originarios no puede ser mayor al Total.</v>
      </c>
      <c r="BY70" s="1723" t="str">
        <f t="shared" si="38"/>
        <v xml:space="preserve"> * La variable Migrantes no puede ser mayor al Total.</v>
      </c>
      <c r="BZ70" s="1723"/>
      <c r="CA70" s="1723"/>
      <c r="CB70" s="1723"/>
      <c r="CC70" s="1723"/>
      <c r="CD70" s="1723"/>
      <c r="CE70" s="1723"/>
      <c r="CG70" s="1725">
        <f t="shared" si="39"/>
        <v>1</v>
      </c>
      <c r="CH70" s="1725">
        <f t="shared" si="40"/>
        <v>1</v>
      </c>
    </row>
    <row r="71" spans="1:86" x14ac:dyDescent="0.3">
      <c r="A71" s="6234" t="s">
        <v>4572</v>
      </c>
      <c r="B71" s="7078" t="s">
        <v>121</v>
      </c>
      <c r="C71" s="4905" t="s">
        <v>74</v>
      </c>
      <c r="D71" s="4811" t="s">
        <v>5292</v>
      </c>
      <c r="E71" s="4812" t="s">
        <v>5293</v>
      </c>
      <c r="F71" s="4813" t="s">
        <v>5294</v>
      </c>
      <c r="G71" s="4910" t="s">
        <v>5295</v>
      </c>
      <c r="H71" s="4911" t="s">
        <v>5296</v>
      </c>
      <c r="I71" s="4814" t="s">
        <v>5297</v>
      </c>
      <c r="J71" s="4816" t="s">
        <v>5298</v>
      </c>
      <c r="K71" s="4814" t="s">
        <v>5299</v>
      </c>
      <c r="L71" s="4816" t="s">
        <v>5300</v>
      </c>
      <c r="M71" s="4814" t="s">
        <v>5301</v>
      </c>
      <c r="N71" s="4816" t="s">
        <v>5302</v>
      </c>
      <c r="O71" s="4814" t="s">
        <v>5303</v>
      </c>
      <c r="P71" s="4816" t="s">
        <v>5304</v>
      </c>
      <c r="Q71" s="4814" t="s">
        <v>5305</v>
      </c>
      <c r="R71" s="4816" t="s">
        <v>5306</v>
      </c>
      <c r="S71" s="4814" t="s">
        <v>5307</v>
      </c>
      <c r="T71" s="4816" t="s">
        <v>5308</v>
      </c>
      <c r="U71" s="4814" t="s">
        <v>5309</v>
      </c>
      <c r="V71" s="4816" t="s">
        <v>5310</v>
      </c>
      <c r="W71" s="4814" t="s">
        <v>5311</v>
      </c>
      <c r="X71" s="4816" t="s">
        <v>5312</v>
      </c>
      <c r="Y71" s="4814" t="s">
        <v>5313</v>
      </c>
      <c r="Z71" s="4816" t="s">
        <v>5314</v>
      </c>
      <c r="AA71" s="4814" t="s">
        <v>5315</v>
      </c>
      <c r="AB71" s="4816" t="s">
        <v>5316</v>
      </c>
      <c r="AC71" s="4814" t="s">
        <v>5317</v>
      </c>
      <c r="AD71" s="4816" t="s">
        <v>5318</v>
      </c>
      <c r="AE71" s="4814" t="s">
        <v>5319</v>
      </c>
      <c r="AF71" s="4816" t="s">
        <v>5320</v>
      </c>
      <c r="AG71" s="4814" t="s">
        <v>5321</v>
      </c>
      <c r="AH71" s="4816" t="s">
        <v>5322</v>
      </c>
      <c r="AI71" s="4814" t="s">
        <v>5323</v>
      </c>
      <c r="AJ71" s="4816" t="s">
        <v>5324</v>
      </c>
      <c r="AK71" s="4814" t="s">
        <v>5325</v>
      </c>
      <c r="AL71" s="4818" t="s">
        <v>5326</v>
      </c>
      <c r="AM71" s="4906" t="s">
        <v>5327</v>
      </c>
      <c r="AN71" s="4906" t="s">
        <v>5328</v>
      </c>
      <c r="AO71" t="str">
        <f t="shared" si="36"/>
        <v xml:space="preserve"> * La variable Pueblos Originarios no puede ser mayor al Total. * La variable Migrantes no puede ser mayor al Total.</v>
      </c>
      <c r="BX71" s="1723" t="str">
        <f t="shared" si="37"/>
        <v xml:space="preserve"> * La variable Pueblos Originarios no puede ser mayor al Total.</v>
      </c>
      <c r="BY71" s="1723" t="str">
        <f t="shared" si="38"/>
        <v xml:space="preserve"> * La variable Migrantes no puede ser mayor al Total.</v>
      </c>
      <c r="BZ71" s="1723"/>
      <c r="CA71" s="1723"/>
      <c r="CB71" s="1723"/>
      <c r="CC71" s="1723"/>
      <c r="CD71" s="1723"/>
      <c r="CE71" s="1723"/>
      <c r="CG71" s="1725">
        <f t="shared" si="39"/>
        <v>1</v>
      </c>
      <c r="CH71" s="1725">
        <f t="shared" si="40"/>
        <v>1</v>
      </c>
    </row>
    <row r="72" spans="1:86" x14ac:dyDescent="0.3">
      <c r="A72" s="6234" t="s">
        <v>4573</v>
      </c>
      <c r="B72" s="7079"/>
      <c r="C72" s="4907" t="s">
        <v>86</v>
      </c>
      <c r="D72" s="1554" t="s">
        <v>5292</v>
      </c>
      <c r="E72" s="4822" t="s">
        <v>5293</v>
      </c>
      <c r="F72" s="4821" t="s">
        <v>5294</v>
      </c>
      <c r="G72" s="1530" t="s">
        <v>5295</v>
      </c>
      <c r="H72" s="4918" t="s">
        <v>5296</v>
      </c>
      <c r="I72" s="1095" t="s">
        <v>5297</v>
      </c>
      <c r="J72" s="1099" t="s">
        <v>5298</v>
      </c>
      <c r="K72" s="1095" t="s">
        <v>5299</v>
      </c>
      <c r="L72" s="1099" t="s">
        <v>5300</v>
      </c>
      <c r="M72" s="1095" t="s">
        <v>5301</v>
      </c>
      <c r="N72" s="1099" t="s">
        <v>5302</v>
      </c>
      <c r="O72" s="1095" t="s">
        <v>5303</v>
      </c>
      <c r="P72" s="1099" t="s">
        <v>5304</v>
      </c>
      <c r="Q72" s="1095" t="s">
        <v>5305</v>
      </c>
      <c r="R72" s="1099" t="s">
        <v>5306</v>
      </c>
      <c r="S72" s="1095" t="s">
        <v>5307</v>
      </c>
      <c r="T72" s="1099" t="s">
        <v>5308</v>
      </c>
      <c r="U72" s="1095" t="s">
        <v>5309</v>
      </c>
      <c r="V72" s="1099" t="s">
        <v>5310</v>
      </c>
      <c r="W72" s="1095" t="s">
        <v>5311</v>
      </c>
      <c r="X72" s="1099" t="s">
        <v>5312</v>
      </c>
      <c r="Y72" s="1095" t="s">
        <v>5313</v>
      </c>
      <c r="Z72" s="1099" t="s">
        <v>5314</v>
      </c>
      <c r="AA72" s="1095" t="s">
        <v>5315</v>
      </c>
      <c r="AB72" s="1099" t="s">
        <v>5316</v>
      </c>
      <c r="AC72" s="1095" t="s">
        <v>5317</v>
      </c>
      <c r="AD72" s="1099" t="s">
        <v>5318</v>
      </c>
      <c r="AE72" s="1095" t="s">
        <v>5319</v>
      </c>
      <c r="AF72" s="1099" t="s">
        <v>5320</v>
      </c>
      <c r="AG72" s="1095" t="s">
        <v>5321</v>
      </c>
      <c r="AH72" s="1099" t="s">
        <v>5322</v>
      </c>
      <c r="AI72" s="1095" t="s">
        <v>5323</v>
      </c>
      <c r="AJ72" s="1099" t="s">
        <v>5324</v>
      </c>
      <c r="AK72" s="1095" t="s">
        <v>5325</v>
      </c>
      <c r="AL72" s="1100" t="s">
        <v>5326</v>
      </c>
      <c r="AM72" s="4908" t="s">
        <v>5327</v>
      </c>
      <c r="AN72" s="4908" t="s">
        <v>5328</v>
      </c>
      <c r="AO72" t="str">
        <f t="shared" si="36"/>
        <v xml:space="preserve"> * La variable Pueblos Originarios no puede ser mayor al Total. * La variable Migrantes no puede ser mayor al Total.</v>
      </c>
      <c r="BX72" s="1723" t="str">
        <f t="shared" si="37"/>
        <v xml:space="preserve"> * La variable Pueblos Originarios no puede ser mayor al Total.</v>
      </c>
      <c r="BY72" s="1723" t="str">
        <f t="shared" si="38"/>
        <v xml:space="preserve"> * La variable Migrantes no puede ser mayor al Total.</v>
      </c>
      <c r="BZ72" s="1723"/>
      <c r="CA72" s="1723"/>
      <c r="CB72" s="1723"/>
      <c r="CC72" s="1723"/>
      <c r="CD72" s="1723"/>
      <c r="CE72" s="1723"/>
      <c r="CG72" s="1725">
        <f t="shared" si="39"/>
        <v>1</v>
      </c>
      <c r="CH72" s="1725">
        <f t="shared" si="40"/>
        <v>1</v>
      </c>
    </row>
    <row r="73" spans="1:86" x14ac:dyDescent="0.3">
      <c r="A73" s="6234" t="s">
        <v>4574</v>
      </c>
      <c r="B73" s="7079"/>
      <c r="C73" s="4907" t="s">
        <v>75</v>
      </c>
      <c r="D73" s="1554" t="s">
        <v>5292</v>
      </c>
      <c r="E73" s="4822" t="s">
        <v>5293</v>
      </c>
      <c r="F73" s="4821" t="s">
        <v>5294</v>
      </c>
      <c r="G73" s="1530" t="s">
        <v>5295</v>
      </c>
      <c r="H73" s="4918" t="s">
        <v>5296</v>
      </c>
      <c r="I73" s="1095" t="s">
        <v>5297</v>
      </c>
      <c r="J73" s="1099" t="s">
        <v>5298</v>
      </c>
      <c r="K73" s="1095" t="s">
        <v>5299</v>
      </c>
      <c r="L73" s="1099" t="s">
        <v>5300</v>
      </c>
      <c r="M73" s="1095" t="s">
        <v>5301</v>
      </c>
      <c r="N73" s="1099" t="s">
        <v>5302</v>
      </c>
      <c r="O73" s="1095" t="s">
        <v>5303</v>
      </c>
      <c r="P73" s="1099" t="s">
        <v>5304</v>
      </c>
      <c r="Q73" s="1095" t="s">
        <v>5305</v>
      </c>
      <c r="R73" s="1099" t="s">
        <v>5306</v>
      </c>
      <c r="S73" s="1095" t="s">
        <v>5307</v>
      </c>
      <c r="T73" s="1099" t="s">
        <v>5308</v>
      </c>
      <c r="U73" s="1095" t="s">
        <v>5309</v>
      </c>
      <c r="V73" s="1099" t="s">
        <v>5310</v>
      </c>
      <c r="W73" s="1095" t="s">
        <v>5311</v>
      </c>
      <c r="X73" s="1099" t="s">
        <v>5312</v>
      </c>
      <c r="Y73" s="1095" t="s">
        <v>5313</v>
      </c>
      <c r="Z73" s="1099" t="s">
        <v>5314</v>
      </c>
      <c r="AA73" s="1095" t="s">
        <v>5315</v>
      </c>
      <c r="AB73" s="1099" t="s">
        <v>5316</v>
      </c>
      <c r="AC73" s="1095" t="s">
        <v>5317</v>
      </c>
      <c r="AD73" s="1099" t="s">
        <v>5318</v>
      </c>
      <c r="AE73" s="1095" t="s">
        <v>5319</v>
      </c>
      <c r="AF73" s="1099" t="s">
        <v>5320</v>
      </c>
      <c r="AG73" s="1095" t="s">
        <v>5321</v>
      </c>
      <c r="AH73" s="1099" t="s">
        <v>5322</v>
      </c>
      <c r="AI73" s="1095" t="s">
        <v>5323</v>
      </c>
      <c r="AJ73" s="1099" t="s">
        <v>5324</v>
      </c>
      <c r="AK73" s="1095" t="s">
        <v>5325</v>
      </c>
      <c r="AL73" s="1100" t="s">
        <v>5326</v>
      </c>
      <c r="AM73" s="4908" t="s">
        <v>5327</v>
      </c>
      <c r="AN73" s="4908" t="s">
        <v>5328</v>
      </c>
      <c r="AO73" t="str">
        <f t="shared" si="36"/>
        <v xml:space="preserve"> * La variable Pueblos Originarios no puede ser mayor al Total. * La variable Migrantes no puede ser mayor al Total.</v>
      </c>
      <c r="BX73" s="1723" t="str">
        <f t="shared" si="37"/>
        <v xml:space="preserve"> * La variable Pueblos Originarios no puede ser mayor al Total.</v>
      </c>
      <c r="BY73" s="1723" t="str">
        <f t="shared" si="38"/>
        <v xml:space="preserve"> * La variable Migrantes no puede ser mayor al Total.</v>
      </c>
      <c r="BZ73" s="1723"/>
      <c r="CA73" s="1723"/>
      <c r="CB73" s="1723"/>
      <c r="CC73" s="1723"/>
      <c r="CD73" s="1723"/>
      <c r="CE73" s="1723"/>
      <c r="CG73" s="1725">
        <f t="shared" si="39"/>
        <v>1</v>
      </c>
      <c r="CH73" s="1725">
        <f t="shared" si="40"/>
        <v>1</v>
      </c>
    </row>
    <row r="74" spans="1:86" x14ac:dyDescent="0.3">
      <c r="A74" s="6234" t="s">
        <v>4575</v>
      </c>
      <c r="B74" s="7079"/>
      <c r="C74" s="4907" t="s">
        <v>122</v>
      </c>
      <c r="D74" s="1554" t="s">
        <v>5292</v>
      </c>
      <c r="E74" s="4822" t="s">
        <v>5293</v>
      </c>
      <c r="F74" s="4821" t="s">
        <v>5294</v>
      </c>
      <c r="G74" s="1530" t="s">
        <v>5295</v>
      </c>
      <c r="H74" s="4918" t="s">
        <v>5296</v>
      </c>
      <c r="I74" s="1095" t="s">
        <v>5297</v>
      </c>
      <c r="J74" s="1099" t="s">
        <v>5298</v>
      </c>
      <c r="K74" s="1095" t="s">
        <v>5299</v>
      </c>
      <c r="L74" s="1099" t="s">
        <v>5300</v>
      </c>
      <c r="M74" s="1095" t="s">
        <v>5301</v>
      </c>
      <c r="N74" s="1099" t="s">
        <v>5302</v>
      </c>
      <c r="O74" s="1095" t="s">
        <v>5303</v>
      </c>
      <c r="P74" s="1099" t="s">
        <v>5304</v>
      </c>
      <c r="Q74" s="1095" t="s">
        <v>5305</v>
      </c>
      <c r="R74" s="1099" t="s">
        <v>5306</v>
      </c>
      <c r="S74" s="1095" t="s">
        <v>5307</v>
      </c>
      <c r="T74" s="1099" t="s">
        <v>5308</v>
      </c>
      <c r="U74" s="1095" t="s">
        <v>5309</v>
      </c>
      <c r="V74" s="1099" t="s">
        <v>5310</v>
      </c>
      <c r="W74" s="1095" t="s">
        <v>5311</v>
      </c>
      <c r="X74" s="1099" t="s">
        <v>5312</v>
      </c>
      <c r="Y74" s="1095" t="s">
        <v>5313</v>
      </c>
      <c r="Z74" s="1099" t="s">
        <v>5314</v>
      </c>
      <c r="AA74" s="1095" t="s">
        <v>5315</v>
      </c>
      <c r="AB74" s="1099" t="s">
        <v>5316</v>
      </c>
      <c r="AC74" s="1095" t="s">
        <v>5317</v>
      </c>
      <c r="AD74" s="1099" t="s">
        <v>5318</v>
      </c>
      <c r="AE74" s="1095" t="s">
        <v>5319</v>
      </c>
      <c r="AF74" s="1099" t="s">
        <v>5320</v>
      </c>
      <c r="AG74" s="1095" t="s">
        <v>5321</v>
      </c>
      <c r="AH74" s="1099" t="s">
        <v>5322</v>
      </c>
      <c r="AI74" s="1095" t="s">
        <v>5323</v>
      </c>
      <c r="AJ74" s="1099" t="s">
        <v>5324</v>
      </c>
      <c r="AK74" s="1095" t="s">
        <v>5325</v>
      </c>
      <c r="AL74" s="1100" t="s">
        <v>5326</v>
      </c>
      <c r="AM74" s="4908" t="s">
        <v>5327</v>
      </c>
      <c r="AN74" s="4908" t="s">
        <v>5328</v>
      </c>
      <c r="AO74" t="str">
        <f t="shared" si="36"/>
        <v xml:space="preserve"> * La variable Pueblos Originarios no puede ser mayor al Total. * La variable Migrantes no puede ser mayor al Total.</v>
      </c>
      <c r="BX74" s="1723" t="str">
        <f t="shared" si="37"/>
        <v xml:space="preserve"> * La variable Pueblos Originarios no puede ser mayor al Total.</v>
      </c>
      <c r="BY74" s="1723" t="str">
        <f t="shared" si="38"/>
        <v xml:space="preserve"> * La variable Migrantes no puede ser mayor al Total.</v>
      </c>
      <c r="BZ74" s="1723"/>
      <c r="CA74" s="1723"/>
      <c r="CB74" s="1723"/>
      <c r="CC74" s="1723"/>
      <c r="CD74" s="1723"/>
      <c r="CE74" s="1723"/>
      <c r="CG74" s="1725">
        <f t="shared" si="39"/>
        <v>1</v>
      </c>
      <c r="CH74" s="1725">
        <f t="shared" si="40"/>
        <v>1</v>
      </c>
    </row>
    <row r="75" spans="1:86" x14ac:dyDescent="0.3">
      <c r="A75" s="6234" t="s">
        <v>4576</v>
      </c>
      <c r="B75" s="7079"/>
      <c r="C75" s="4907" t="s">
        <v>62</v>
      </c>
      <c r="D75" s="1554" t="s">
        <v>5292</v>
      </c>
      <c r="E75" s="4822" t="s">
        <v>5293</v>
      </c>
      <c r="F75" s="4821" t="s">
        <v>5294</v>
      </c>
      <c r="G75" s="1530" t="s">
        <v>5295</v>
      </c>
      <c r="H75" s="4918" t="s">
        <v>5296</v>
      </c>
      <c r="I75" s="1095" t="s">
        <v>5297</v>
      </c>
      <c r="J75" s="1099" t="s">
        <v>5298</v>
      </c>
      <c r="K75" s="1095" t="s">
        <v>5299</v>
      </c>
      <c r="L75" s="1099" t="s">
        <v>5300</v>
      </c>
      <c r="M75" s="1095" t="s">
        <v>5301</v>
      </c>
      <c r="N75" s="1099" t="s">
        <v>5302</v>
      </c>
      <c r="O75" s="1095" t="s">
        <v>5303</v>
      </c>
      <c r="P75" s="1099" t="s">
        <v>5304</v>
      </c>
      <c r="Q75" s="1095" t="s">
        <v>5305</v>
      </c>
      <c r="R75" s="1099" t="s">
        <v>5306</v>
      </c>
      <c r="S75" s="1095" t="s">
        <v>5307</v>
      </c>
      <c r="T75" s="1099" t="s">
        <v>5308</v>
      </c>
      <c r="U75" s="1095" t="s">
        <v>5309</v>
      </c>
      <c r="V75" s="1099" t="s">
        <v>5310</v>
      </c>
      <c r="W75" s="1095" t="s">
        <v>5311</v>
      </c>
      <c r="X75" s="1099" t="s">
        <v>5312</v>
      </c>
      <c r="Y75" s="1095" t="s">
        <v>5313</v>
      </c>
      <c r="Z75" s="1099" t="s">
        <v>5314</v>
      </c>
      <c r="AA75" s="1095" t="s">
        <v>5315</v>
      </c>
      <c r="AB75" s="1099" t="s">
        <v>5316</v>
      </c>
      <c r="AC75" s="1095" t="s">
        <v>5317</v>
      </c>
      <c r="AD75" s="1099" t="s">
        <v>5318</v>
      </c>
      <c r="AE75" s="1095" t="s">
        <v>5319</v>
      </c>
      <c r="AF75" s="1099" t="s">
        <v>5320</v>
      </c>
      <c r="AG75" s="1095" t="s">
        <v>5321</v>
      </c>
      <c r="AH75" s="1099" t="s">
        <v>5322</v>
      </c>
      <c r="AI75" s="1095" t="s">
        <v>5323</v>
      </c>
      <c r="AJ75" s="1099" t="s">
        <v>5324</v>
      </c>
      <c r="AK75" s="1095" t="s">
        <v>5325</v>
      </c>
      <c r="AL75" s="1100" t="s">
        <v>5326</v>
      </c>
      <c r="AM75" s="4908" t="s">
        <v>5327</v>
      </c>
      <c r="AN75" s="4908" t="s">
        <v>5328</v>
      </c>
      <c r="AO75" t="str">
        <f t="shared" si="36"/>
        <v xml:space="preserve"> * La variable Pueblos Originarios no puede ser mayor al Total. * La variable Migrantes no puede ser mayor al Total.</v>
      </c>
      <c r="BX75" s="1723" t="str">
        <f t="shared" si="37"/>
        <v xml:space="preserve"> * La variable Pueblos Originarios no puede ser mayor al Total.</v>
      </c>
      <c r="BY75" s="1723" t="str">
        <f t="shared" si="38"/>
        <v xml:space="preserve"> * La variable Migrantes no puede ser mayor al Total.</v>
      </c>
      <c r="BZ75" s="1723"/>
      <c r="CA75" s="1723"/>
      <c r="CB75" s="1723"/>
      <c r="CC75" s="1723"/>
      <c r="CD75" s="1723"/>
      <c r="CE75" s="1723"/>
      <c r="CG75" s="1725">
        <f t="shared" si="39"/>
        <v>1</v>
      </c>
      <c r="CH75" s="1725">
        <f t="shared" si="40"/>
        <v>1</v>
      </c>
    </row>
    <row r="76" spans="1:86" x14ac:dyDescent="0.3">
      <c r="A76" s="6234" t="s">
        <v>4577</v>
      </c>
      <c r="B76" s="7080"/>
      <c r="C76" s="58" t="s">
        <v>123</v>
      </c>
      <c r="D76" s="4909" t="s">
        <v>5292</v>
      </c>
      <c r="E76" s="4823" t="s">
        <v>5293</v>
      </c>
      <c r="F76" s="37" t="s">
        <v>5294</v>
      </c>
      <c r="G76" s="4915" t="s">
        <v>5295</v>
      </c>
      <c r="H76" s="36" t="s">
        <v>5296</v>
      </c>
      <c r="I76" s="4303" t="s">
        <v>5297</v>
      </c>
      <c r="J76" s="3948" t="s">
        <v>5298</v>
      </c>
      <c r="K76" s="4303" t="s">
        <v>5299</v>
      </c>
      <c r="L76" s="3948" t="s">
        <v>5300</v>
      </c>
      <c r="M76" s="4303" t="s">
        <v>5301</v>
      </c>
      <c r="N76" s="3948" t="s">
        <v>5302</v>
      </c>
      <c r="O76" s="4303" t="s">
        <v>5303</v>
      </c>
      <c r="P76" s="3948" t="s">
        <v>5304</v>
      </c>
      <c r="Q76" s="4303" t="s">
        <v>5305</v>
      </c>
      <c r="R76" s="3948" t="s">
        <v>5306</v>
      </c>
      <c r="S76" s="4303" t="s">
        <v>5307</v>
      </c>
      <c r="T76" s="3948" t="s">
        <v>5308</v>
      </c>
      <c r="U76" s="4303" t="s">
        <v>5309</v>
      </c>
      <c r="V76" s="3948" t="s">
        <v>5310</v>
      </c>
      <c r="W76" s="4303" t="s">
        <v>5311</v>
      </c>
      <c r="X76" s="3948" t="s">
        <v>5312</v>
      </c>
      <c r="Y76" s="4303" t="s">
        <v>5313</v>
      </c>
      <c r="Z76" s="3948" t="s">
        <v>5314</v>
      </c>
      <c r="AA76" s="4303" t="s">
        <v>5315</v>
      </c>
      <c r="AB76" s="3948" t="s">
        <v>5316</v>
      </c>
      <c r="AC76" s="4303" t="s">
        <v>5317</v>
      </c>
      <c r="AD76" s="3948" t="s">
        <v>5318</v>
      </c>
      <c r="AE76" s="4303" t="s">
        <v>5319</v>
      </c>
      <c r="AF76" s="3948" t="s">
        <v>5320</v>
      </c>
      <c r="AG76" s="4303" t="s">
        <v>5321</v>
      </c>
      <c r="AH76" s="3948" t="s">
        <v>5322</v>
      </c>
      <c r="AI76" s="4303" t="s">
        <v>5323</v>
      </c>
      <c r="AJ76" s="3948" t="s">
        <v>5324</v>
      </c>
      <c r="AK76" s="4303" t="s">
        <v>5325</v>
      </c>
      <c r="AL76" s="3949" t="s">
        <v>5326</v>
      </c>
      <c r="AM76" s="59" t="s">
        <v>5327</v>
      </c>
      <c r="AN76" s="59" t="s">
        <v>5328</v>
      </c>
      <c r="AO76" t="str">
        <f t="shared" si="36"/>
        <v xml:space="preserve"> * La variable Pueblos Originarios no puede ser mayor al Total. * La variable Migrantes no puede ser mayor al Total.</v>
      </c>
      <c r="BX76" s="1723" t="str">
        <f t="shared" si="37"/>
        <v xml:space="preserve"> * La variable Pueblos Originarios no puede ser mayor al Total.</v>
      </c>
      <c r="BY76" s="1723" t="str">
        <f t="shared" si="38"/>
        <v xml:space="preserve"> * La variable Migrantes no puede ser mayor al Total.</v>
      </c>
      <c r="BZ76" s="1723"/>
      <c r="CA76" s="1723"/>
      <c r="CB76" s="1723"/>
      <c r="CC76" s="1723"/>
      <c r="CD76" s="1723"/>
      <c r="CE76" s="1723"/>
      <c r="CG76" s="1725">
        <f t="shared" si="39"/>
        <v>1</v>
      </c>
      <c r="CH76" s="1725">
        <f t="shared" si="40"/>
        <v>1</v>
      </c>
    </row>
    <row r="77" spans="1:86" s="17" customFormat="1" ht="18" customHeight="1" x14ac:dyDescent="0.25">
      <c r="A77" s="6249"/>
      <c r="B77" s="4921" t="s">
        <v>124</v>
      </c>
      <c r="C77" s="4899"/>
      <c r="D77" s="4899"/>
      <c r="E77" s="4922"/>
      <c r="F77" s="4922"/>
      <c r="G77" s="4922"/>
      <c r="H77" s="1729"/>
      <c r="I77" s="1729"/>
      <c r="J77" s="1729"/>
    </row>
    <row r="78" spans="1:86" ht="23.25" customHeight="1" x14ac:dyDescent="0.3">
      <c r="A78" s="6249"/>
      <c r="B78" s="7073" t="s">
        <v>125</v>
      </c>
      <c r="C78" s="7075" t="s">
        <v>126</v>
      </c>
      <c r="D78" s="7075"/>
      <c r="E78" s="7075" t="s">
        <v>127</v>
      </c>
      <c r="F78" s="7076"/>
      <c r="G78" s="7077" t="s">
        <v>128</v>
      </c>
      <c r="H78" s="7075"/>
      <c r="I78" s="7077" t="s">
        <v>129</v>
      </c>
      <c r="J78" s="7075"/>
    </row>
    <row r="79" spans="1:86" ht="23.25" customHeight="1" x14ac:dyDescent="0.3">
      <c r="A79" s="6249"/>
      <c r="B79" s="7074"/>
      <c r="C79" s="4925" t="s">
        <v>130</v>
      </c>
      <c r="D79" s="4926" t="s">
        <v>131</v>
      </c>
      <c r="E79" s="4925" t="s">
        <v>130</v>
      </c>
      <c r="F79" s="4927" t="s">
        <v>131</v>
      </c>
      <c r="G79" s="4928" t="s">
        <v>130</v>
      </c>
      <c r="H79" s="4926" t="s">
        <v>131</v>
      </c>
      <c r="I79" s="4928" t="s">
        <v>130</v>
      </c>
      <c r="J79" s="4926" t="s">
        <v>131</v>
      </c>
    </row>
    <row r="80" spans="1:86" ht="15" customHeight="1" x14ac:dyDescent="0.3">
      <c r="A80" s="6234" t="s">
        <v>4578</v>
      </c>
      <c r="B80" s="4929" t="s">
        <v>132</v>
      </c>
      <c r="C80" s="4930" t="s">
        <v>5292</v>
      </c>
      <c r="D80" s="4931" t="s">
        <v>5293</v>
      </c>
      <c r="E80" s="4930" t="s">
        <v>5294</v>
      </c>
      <c r="F80" s="4932" t="s">
        <v>5295</v>
      </c>
      <c r="G80" s="4933" t="s">
        <v>5296</v>
      </c>
      <c r="H80" s="4931" t="s">
        <v>5297</v>
      </c>
      <c r="I80" s="4933" t="s">
        <v>5298</v>
      </c>
      <c r="J80" s="4931" t="s">
        <v>5299</v>
      </c>
    </row>
    <row r="81" spans="1:10" ht="15" customHeight="1" x14ac:dyDescent="0.3">
      <c r="A81" s="6234" t="s">
        <v>4579</v>
      </c>
      <c r="B81" s="4934" t="s">
        <v>133</v>
      </c>
      <c r="C81" s="4935" t="s">
        <v>5292</v>
      </c>
      <c r="D81" s="4936" t="s">
        <v>5293</v>
      </c>
      <c r="E81" s="4935" t="s">
        <v>5294</v>
      </c>
      <c r="F81" s="4937" t="s">
        <v>5295</v>
      </c>
      <c r="G81" s="4938" t="s">
        <v>5296</v>
      </c>
      <c r="H81" s="4936" t="s">
        <v>5297</v>
      </c>
      <c r="I81" s="4938" t="s">
        <v>5298</v>
      </c>
      <c r="J81" s="4936" t="s">
        <v>5299</v>
      </c>
    </row>
    <row r="82" spans="1:10" ht="15" customHeight="1" x14ac:dyDescent="0.3">
      <c r="A82" s="6234" t="s">
        <v>4580</v>
      </c>
      <c r="B82" s="4934" t="s">
        <v>134</v>
      </c>
      <c r="C82" s="4935" t="s">
        <v>5292</v>
      </c>
      <c r="D82" s="4936" t="s">
        <v>5293</v>
      </c>
      <c r="E82" s="4935" t="s">
        <v>5294</v>
      </c>
      <c r="F82" s="4937" t="s">
        <v>5295</v>
      </c>
      <c r="G82" s="4938" t="s">
        <v>5296</v>
      </c>
      <c r="H82" s="4936" t="s">
        <v>5297</v>
      </c>
      <c r="I82" s="4938" t="s">
        <v>5298</v>
      </c>
      <c r="J82" s="4936" t="s">
        <v>5299</v>
      </c>
    </row>
    <row r="83" spans="1:10" ht="15" customHeight="1" x14ac:dyDescent="0.3">
      <c r="A83" s="6234" t="s">
        <v>4581</v>
      </c>
      <c r="B83" s="60" t="s">
        <v>135</v>
      </c>
      <c r="C83" s="4303" t="s">
        <v>5292</v>
      </c>
      <c r="D83" s="4916" t="s">
        <v>5293</v>
      </c>
      <c r="E83" s="4303" t="s">
        <v>5294</v>
      </c>
      <c r="F83" s="4917" t="s">
        <v>5295</v>
      </c>
      <c r="G83" s="21" t="s">
        <v>5296</v>
      </c>
      <c r="H83" s="4916" t="s">
        <v>5297</v>
      </c>
      <c r="I83" s="21" t="s">
        <v>5298</v>
      </c>
      <c r="J83" s="4916" t="s">
        <v>5299</v>
      </c>
    </row>
    <row r="84" spans="1:10" s="17" customFormat="1" ht="18" customHeight="1" x14ac:dyDescent="0.25">
      <c r="B84" s="14" t="s">
        <v>136</v>
      </c>
      <c r="C84" s="4889"/>
      <c r="D84" s="4889"/>
      <c r="E84" s="4889"/>
    </row>
    <row r="85" spans="1:10" ht="30.6" x14ac:dyDescent="0.3">
      <c r="B85" s="5861" t="s">
        <v>137</v>
      </c>
      <c r="C85" s="4923" t="s">
        <v>138</v>
      </c>
      <c r="D85" s="5368" t="s">
        <v>139</v>
      </c>
      <c r="E85" s="5369" t="s">
        <v>140</v>
      </c>
    </row>
    <row r="86" spans="1:10" x14ac:dyDescent="0.3">
      <c r="A86" s="6234" t="s">
        <v>4582</v>
      </c>
      <c r="B86" s="61" t="s">
        <v>141</v>
      </c>
      <c r="C86" s="4939" t="s">
        <v>5292</v>
      </c>
      <c r="D86" s="4940" t="s">
        <v>5293</v>
      </c>
      <c r="E86" s="4941" t="s">
        <v>5294</v>
      </c>
    </row>
    <row r="87" spans="1:10" x14ac:dyDescent="0.3">
      <c r="A87" s="6240" t="s">
        <v>4583</v>
      </c>
      <c r="B87" s="4934" t="s">
        <v>142</v>
      </c>
      <c r="C87" s="3707" t="s">
        <v>5292</v>
      </c>
      <c r="D87" s="1134" t="s">
        <v>5293</v>
      </c>
      <c r="E87" s="3708" t="s">
        <v>5294</v>
      </c>
    </row>
    <row r="88" spans="1:10" x14ac:dyDescent="0.3">
      <c r="A88" s="6240" t="s">
        <v>4584</v>
      </c>
      <c r="B88" s="4934" t="s">
        <v>143</v>
      </c>
      <c r="C88" s="3707" t="s">
        <v>5292</v>
      </c>
      <c r="D88" s="1134" t="s">
        <v>5293</v>
      </c>
      <c r="E88" s="3708" t="s">
        <v>5294</v>
      </c>
    </row>
    <row r="89" spans="1:10" x14ac:dyDescent="0.3">
      <c r="A89" s="6240" t="s">
        <v>4585</v>
      </c>
      <c r="B89" s="4942" t="s">
        <v>144</v>
      </c>
      <c r="C89" s="3707" t="s">
        <v>5292</v>
      </c>
      <c r="D89" s="1134" t="s">
        <v>5293</v>
      </c>
      <c r="E89" s="3708" t="s">
        <v>5294</v>
      </c>
    </row>
    <row r="90" spans="1:10" ht="21.6" x14ac:dyDescent="0.3">
      <c r="A90" s="6240" t="s">
        <v>4586</v>
      </c>
      <c r="B90" s="3928" t="s">
        <v>145</v>
      </c>
      <c r="C90" s="3707" t="s">
        <v>5292</v>
      </c>
      <c r="D90" s="1134" t="s">
        <v>5293</v>
      </c>
      <c r="E90" s="3708" t="s">
        <v>5294</v>
      </c>
    </row>
    <row r="91" spans="1:10" ht="21.6" x14ac:dyDescent="0.3">
      <c r="A91" s="6240" t="s">
        <v>4587</v>
      </c>
      <c r="B91" s="3928" t="s">
        <v>146</v>
      </c>
      <c r="C91" s="3711" t="s">
        <v>5292</v>
      </c>
      <c r="D91" s="1134" t="s">
        <v>5293</v>
      </c>
      <c r="E91" s="3708" t="s">
        <v>5294</v>
      </c>
    </row>
    <row r="92" spans="1:10" ht="21.6" x14ac:dyDescent="0.3">
      <c r="A92" s="6240" t="s">
        <v>4588</v>
      </c>
      <c r="B92" s="2" t="s">
        <v>147</v>
      </c>
      <c r="C92" s="63" t="s">
        <v>5292</v>
      </c>
      <c r="D92" s="3697" t="s">
        <v>5293</v>
      </c>
      <c r="E92" s="65" t="s">
        <v>5294</v>
      </c>
    </row>
    <row r="93" spans="1:10" s="17" customFormat="1" ht="18" customHeight="1" x14ac:dyDescent="0.25">
      <c r="A93" s="6249"/>
      <c r="B93" s="4892" t="s">
        <v>148</v>
      </c>
      <c r="C93" s="56"/>
      <c r="D93" s="56"/>
      <c r="E93" s="56"/>
      <c r="F93" s="19"/>
      <c r="G93" s="56"/>
    </row>
    <row r="94" spans="1:10" x14ac:dyDescent="0.3">
      <c r="A94" s="6249"/>
      <c r="B94" s="7052" t="s">
        <v>149</v>
      </c>
      <c r="C94" s="7073" t="s">
        <v>3751</v>
      </c>
      <c r="D94" s="7073" t="s">
        <v>150</v>
      </c>
      <c r="E94" s="7073" t="s">
        <v>3761</v>
      </c>
      <c r="F94" s="7070" t="s">
        <v>151</v>
      </c>
      <c r="G94" s="7077"/>
    </row>
    <row r="95" spans="1:10" x14ac:dyDescent="0.3">
      <c r="A95" s="6249"/>
      <c r="B95" s="7053"/>
      <c r="C95" s="7074"/>
      <c r="D95" s="7074"/>
      <c r="E95" s="7074"/>
      <c r="F95" s="4925" t="s">
        <v>152</v>
      </c>
      <c r="G95" s="4924" t="s">
        <v>153</v>
      </c>
    </row>
    <row r="96" spans="1:10" x14ac:dyDescent="0.3">
      <c r="A96" s="6234" t="s">
        <v>4589</v>
      </c>
      <c r="B96" s="4943" t="s">
        <v>154</v>
      </c>
      <c r="C96" s="3926" t="s">
        <v>5292</v>
      </c>
      <c r="D96" s="3926" t="s">
        <v>5293</v>
      </c>
      <c r="E96" s="4862" t="s">
        <v>5294</v>
      </c>
      <c r="F96" s="4814" t="s">
        <v>5295</v>
      </c>
      <c r="G96" s="4815" t="s">
        <v>5296</v>
      </c>
    </row>
    <row r="97" spans="1:86" x14ac:dyDescent="0.3">
      <c r="A97" s="6234" t="s">
        <v>4590</v>
      </c>
      <c r="B97" s="3671" t="s">
        <v>155</v>
      </c>
      <c r="C97" s="3926" t="s">
        <v>5292</v>
      </c>
      <c r="D97" s="3926" t="s">
        <v>5293</v>
      </c>
      <c r="E97" s="3926" t="s">
        <v>5294</v>
      </c>
      <c r="F97" s="1095" t="s">
        <v>5295</v>
      </c>
      <c r="G97" s="3930" t="s">
        <v>5296</v>
      </c>
    </row>
    <row r="98" spans="1:86" x14ac:dyDescent="0.3">
      <c r="A98" s="6234" t="s">
        <v>4591</v>
      </c>
      <c r="B98" s="3671" t="s">
        <v>156</v>
      </c>
      <c r="C98" s="3926" t="s">
        <v>5292</v>
      </c>
      <c r="D98" s="3926" t="s">
        <v>5293</v>
      </c>
      <c r="E98" s="3926" t="s">
        <v>5294</v>
      </c>
      <c r="F98" s="1095" t="s">
        <v>5295</v>
      </c>
      <c r="G98" s="3930" t="s">
        <v>5296</v>
      </c>
    </row>
    <row r="99" spans="1:86" x14ac:dyDescent="0.3">
      <c r="A99" s="6234" t="s">
        <v>4592</v>
      </c>
      <c r="B99" s="3671" t="s">
        <v>157</v>
      </c>
      <c r="C99" s="3926" t="s">
        <v>5292</v>
      </c>
      <c r="D99" s="3926" t="s">
        <v>5293</v>
      </c>
      <c r="E99" s="3926" t="s">
        <v>5294</v>
      </c>
      <c r="F99" s="1095" t="s">
        <v>5295</v>
      </c>
      <c r="G99" s="3930" t="s">
        <v>5296</v>
      </c>
    </row>
    <row r="100" spans="1:86" x14ac:dyDescent="0.3">
      <c r="A100" s="6234" t="s">
        <v>4593</v>
      </c>
      <c r="B100" s="3671" t="s">
        <v>158</v>
      </c>
      <c r="C100" s="3926" t="s">
        <v>5292</v>
      </c>
      <c r="D100" s="3926" t="s">
        <v>5293</v>
      </c>
      <c r="E100" s="3926" t="s">
        <v>5294</v>
      </c>
      <c r="F100" s="1095" t="s">
        <v>5295</v>
      </c>
      <c r="G100" s="3930" t="s">
        <v>5296</v>
      </c>
    </row>
    <row r="101" spans="1:86" x14ac:dyDescent="0.3">
      <c r="A101" s="6235"/>
      <c r="B101" s="4900" t="s">
        <v>24</v>
      </c>
      <c r="C101" s="4944">
        <f>SUM(C96:C100)</f>
        <v>0</v>
      </c>
      <c r="D101" s="4944">
        <f>SUM(D96:D100)</f>
        <v>0</v>
      </c>
      <c r="E101" s="4944">
        <f>SUM(E96:E100)</f>
        <v>0</v>
      </c>
      <c r="F101" s="4945">
        <f>SUM(F96:F100)</f>
        <v>0</v>
      </c>
      <c r="G101" s="4946">
        <f>SUM(G96:G100)</f>
        <v>0</v>
      </c>
    </row>
    <row r="102" spans="1:86" s="17" customFormat="1" ht="18" customHeight="1" x14ac:dyDescent="0.25">
      <c r="B102" s="4947" t="s">
        <v>159</v>
      </c>
      <c r="C102" s="15"/>
      <c r="D102" s="15"/>
      <c r="E102" s="15"/>
      <c r="F102" s="4893"/>
      <c r="G102" s="4948"/>
      <c r="H102" s="4893"/>
      <c r="I102" s="4893"/>
      <c r="J102" s="4893"/>
      <c r="K102" s="4893"/>
      <c r="L102" s="4893"/>
      <c r="M102" s="4893"/>
      <c r="N102" s="4893"/>
      <c r="O102" s="56"/>
      <c r="P102" s="56"/>
      <c r="Q102" s="56"/>
    </row>
    <row r="103" spans="1:86" x14ac:dyDescent="0.3">
      <c r="B103" s="7029" t="s">
        <v>58</v>
      </c>
      <c r="C103" s="7032" t="s">
        <v>59</v>
      </c>
      <c r="D103" s="7033"/>
      <c r="E103" s="7034"/>
      <c r="F103" s="7037" t="s">
        <v>30</v>
      </c>
      <c r="G103" s="7038"/>
      <c r="H103" s="7038"/>
      <c r="I103" s="7038"/>
      <c r="J103" s="7038"/>
      <c r="K103" s="7038"/>
      <c r="L103" s="7038"/>
      <c r="M103" s="7038"/>
      <c r="N103" s="7038"/>
      <c r="O103" s="4949"/>
      <c r="P103" s="7034" t="s">
        <v>2</v>
      </c>
      <c r="Q103" s="7034" t="s">
        <v>3</v>
      </c>
    </row>
    <row r="104" spans="1:86" x14ac:dyDescent="0.3">
      <c r="B104" s="7030"/>
      <c r="C104" s="7083"/>
      <c r="D104" s="7084"/>
      <c r="E104" s="7081"/>
      <c r="F104" s="7037" t="s">
        <v>36</v>
      </c>
      <c r="G104" s="7040"/>
      <c r="H104" s="7037" t="s">
        <v>37</v>
      </c>
      <c r="I104" s="7040"/>
      <c r="J104" s="7037" t="s">
        <v>38</v>
      </c>
      <c r="K104" s="7040"/>
      <c r="L104" s="7037" t="s">
        <v>4</v>
      </c>
      <c r="M104" s="7040"/>
      <c r="N104" s="7037" t="s">
        <v>5</v>
      </c>
      <c r="O104" s="7039"/>
      <c r="P104" s="6831"/>
      <c r="Q104" s="6831"/>
    </row>
    <row r="105" spans="1:86" x14ac:dyDescent="0.3">
      <c r="B105" s="7082"/>
      <c r="C105" s="4951" t="s">
        <v>26</v>
      </c>
      <c r="D105" s="4952" t="s">
        <v>22</v>
      </c>
      <c r="E105" s="4950" t="s">
        <v>27</v>
      </c>
      <c r="F105" s="4809" t="s">
        <v>22</v>
      </c>
      <c r="G105" s="4805" t="s">
        <v>27</v>
      </c>
      <c r="H105" s="4809" t="s">
        <v>22</v>
      </c>
      <c r="I105" s="4805" t="s">
        <v>27</v>
      </c>
      <c r="J105" s="4809" t="s">
        <v>22</v>
      </c>
      <c r="K105" s="4805" t="s">
        <v>27</v>
      </c>
      <c r="L105" s="4809" t="s">
        <v>22</v>
      </c>
      <c r="M105" s="4805" t="s">
        <v>27</v>
      </c>
      <c r="N105" s="4809" t="s">
        <v>22</v>
      </c>
      <c r="O105" s="4804" t="s">
        <v>27</v>
      </c>
      <c r="P105" s="7081"/>
      <c r="Q105" s="7081"/>
    </row>
    <row r="106" spans="1:86" x14ac:dyDescent="0.3">
      <c r="A106" s="6234" t="s">
        <v>4594</v>
      </c>
      <c r="B106" s="4851" t="s">
        <v>160</v>
      </c>
      <c r="C106" s="4953" t="s">
        <v>5292</v>
      </c>
      <c r="D106" s="4954" t="s">
        <v>5293</v>
      </c>
      <c r="E106" s="4813" t="s">
        <v>5294</v>
      </c>
      <c r="F106" s="4940" t="s">
        <v>5295</v>
      </c>
      <c r="G106" s="4941" t="s">
        <v>5296</v>
      </c>
      <c r="H106" s="4940" t="s">
        <v>5297</v>
      </c>
      <c r="I106" s="4941" t="s">
        <v>5298</v>
      </c>
      <c r="J106" s="4940" t="s">
        <v>5299</v>
      </c>
      <c r="K106" s="4955" t="s">
        <v>5300</v>
      </c>
      <c r="L106" s="4940" t="s">
        <v>5301</v>
      </c>
      <c r="M106" s="4955" t="s">
        <v>5302</v>
      </c>
      <c r="N106" s="4956" t="s">
        <v>5303</v>
      </c>
      <c r="O106" s="4957" t="s">
        <v>5304</v>
      </c>
      <c r="P106" s="4941" t="s">
        <v>5305</v>
      </c>
      <c r="Q106" s="4941" t="s">
        <v>5306</v>
      </c>
      <c r="R106" t="str">
        <f>BX106&amp;BY106</f>
        <v>* La variable Pueblos Originarios no puede ser mayor al Total.* La variable Migrantes no puede ser mayor al Total.</v>
      </c>
      <c r="BX106" s="1723" t="str">
        <f>IF(AND(C106&gt;0,P106="")," * No olvide digitar la variable Pueblos Originarios. Digite cero si no tiene.",IF(P106&gt;C106,"* La variable Pueblos Originarios no puede ser mayor al Total.",""))</f>
        <v>* La variable Pueblos Originarios no puede ser mayor al Total.</v>
      </c>
      <c r="BY106" s="1723" t="str">
        <f>IF(AND(C106&gt;0,Q106="")," * No olvide digitar la variable Migrantes. Digite cero si no tiene.",IF(Q106&gt;C106,"* La variable Migrantes no puede ser mayor al Total.",""))</f>
        <v>* La variable Migrantes no puede ser mayor al Total.</v>
      </c>
      <c r="BZ106" s="1723"/>
      <c r="CA106" s="1723"/>
      <c r="CB106" s="1723"/>
      <c r="CC106" s="1723"/>
      <c r="CD106" s="1723"/>
      <c r="CE106" s="1723"/>
      <c r="CG106" s="1725">
        <f>IF(AND(C106&gt;0,P106=""),1,IF(P106&gt;C106,1,0))</f>
        <v>1</v>
      </c>
      <c r="CH106" s="1725">
        <f>IF(AND(C106&gt;0,Q106=""),1,IF(Q106&gt;C106,1,0))</f>
        <v>1</v>
      </c>
    </row>
    <row r="107" spans="1:86" x14ac:dyDescent="0.3">
      <c r="A107" s="6234" t="s">
        <v>4595</v>
      </c>
      <c r="B107" s="3671" t="s">
        <v>161</v>
      </c>
      <c r="C107" s="4958" t="s">
        <v>5292</v>
      </c>
      <c r="D107" s="4959" t="s">
        <v>5293</v>
      </c>
      <c r="E107" s="4821" t="s">
        <v>5294</v>
      </c>
      <c r="F107" s="1134" t="s">
        <v>5295</v>
      </c>
      <c r="G107" s="3708" t="s">
        <v>5296</v>
      </c>
      <c r="H107" s="1134" t="s">
        <v>5297</v>
      </c>
      <c r="I107" s="3708" t="s">
        <v>5298</v>
      </c>
      <c r="J107" s="1134" t="s">
        <v>5299</v>
      </c>
      <c r="K107" s="3708" t="s">
        <v>5300</v>
      </c>
      <c r="L107" s="1134" t="s">
        <v>5301</v>
      </c>
      <c r="M107" s="3708" t="s">
        <v>5302</v>
      </c>
      <c r="N107" s="4960" t="s">
        <v>5303</v>
      </c>
      <c r="O107" s="1138" t="s">
        <v>5304</v>
      </c>
      <c r="P107" s="3708" t="s">
        <v>5305</v>
      </c>
      <c r="Q107" s="3708" t="s">
        <v>5306</v>
      </c>
      <c r="R107" t="str">
        <f t="shared" ref="R107:R108" si="41">BX107&amp;BY107</f>
        <v>* La variable Pueblos Originarios no puede ser mayor al Total.* La variable Migrantes no puede ser mayor al Total.</v>
      </c>
      <c r="BX107" s="1723" t="str">
        <f t="shared" ref="BX107:BX108" si="42">IF(AND(C107&gt;0,P107="")," * No olvide digitar la variable Pueblos Originarios. Digite cero si no tiene.",IF(P107&gt;C107,"* La variable Pueblos Originarios no puede ser mayor al Total.",""))</f>
        <v>* La variable Pueblos Originarios no puede ser mayor al Total.</v>
      </c>
      <c r="BY107" s="1723" t="str">
        <f t="shared" ref="BY107:BY108" si="43">IF(AND(C107&gt;0,Q107="")," * No olvide digitar la variable Migrantes. Digite cero si no tiene.",IF(Q107&gt;C107,"* La variable Migrantes no puede ser mayor al Total.",""))</f>
        <v>* La variable Migrantes no puede ser mayor al Total.</v>
      </c>
      <c r="BZ107" s="1723"/>
      <c r="CA107" s="1723"/>
      <c r="CB107" s="1723"/>
      <c r="CC107" s="1723"/>
      <c r="CD107" s="1723"/>
      <c r="CE107" s="1723"/>
      <c r="CG107" s="1725">
        <f t="shared" ref="CG107:CG108" si="44">IF(AND(C107&gt;0,P107=""),1,IF(P107&gt;C107,1,0))</f>
        <v>1</v>
      </c>
      <c r="CH107" s="1725">
        <f t="shared" ref="CH107:CH108" si="45">IF(AND(C107&gt;0,Q107=""),1,IF(Q107&gt;C107,1,0))</f>
        <v>1</v>
      </c>
    </row>
    <row r="108" spans="1:86" x14ac:dyDescent="0.3">
      <c r="A108" s="6234" t="s">
        <v>4596</v>
      </c>
      <c r="B108" s="4961" t="s">
        <v>162</v>
      </c>
      <c r="C108" s="4962" t="s">
        <v>5292</v>
      </c>
      <c r="D108" s="4963" t="s">
        <v>5293</v>
      </c>
      <c r="E108" s="4964" t="s">
        <v>5294</v>
      </c>
      <c r="F108" s="4965" t="s">
        <v>5295</v>
      </c>
      <c r="G108" s="4966" t="s">
        <v>5296</v>
      </c>
      <c r="H108" s="4965" t="s">
        <v>5297</v>
      </c>
      <c r="I108" s="4967" t="s">
        <v>5298</v>
      </c>
      <c r="J108" s="4965" t="s">
        <v>5299</v>
      </c>
      <c r="K108" s="4966" t="s">
        <v>5300</v>
      </c>
      <c r="L108" s="4965" t="s">
        <v>5301</v>
      </c>
      <c r="M108" s="4966" t="s">
        <v>5302</v>
      </c>
      <c r="N108" s="4968" t="s">
        <v>5303</v>
      </c>
      <c r="O108" s="4969" t="s">
        <v>5304</v>
      </c>
      <c r="P108" s="4966" t="s">
        <v>5305</v>
      </c>
      <c r="Q108" s="4966" t="s">
        <v>5306</v>
      </c>
      <c r="R108" t="str">
        <f t="shared" si="41"/>
        <v>* La variable Pueblos Originarios no puede ser mayor al Total.* La variable Migrantes no puede ser mayor al Total.</v>
      </c>
      <c r="BX108" s="1723" t="str">
        <f t="shared" si="42"/>
        <v>* La variable Pueblos Originarios no puede ser mayor al Total.</v>
      </c>
      <c r="BY108" s="1723" t="str">
        <f t="shared" si="43"/>
        <v>* La variable Migrantes no puede ser mayor al Total.</v>
      </c>
      <c r="BZ108" s="1723"/>
      <c r="CA108" s="1723"/>
      <c r="CB108" s="1723"/>
      <c r="CC108" s="1723"/>
      <c r="CD108" s="1723"/>
      <c r="CE108" s="1723"/>
      <c r="CG108" s="1725">
        <f t="shared" si="44"/>
        <v>1</v>
      </c>
      <c r="CH108" s="1725">
        <f t="shared" si="45"/>
        <v>1</v>
      </c>
    </row>
    <row r="109" spans="1:86" s="17" customFormat="1" ht="18" customHeight="1" x14ac:dyDescent="0.25">
      <c r="B109" s="49" t="s">
        <v>163</v>
      </c>
      <c r="E109" s="15"/>
    </row>
    <row r="110" spans="1:86" x14ac:dyDescent="0.3">
      <c r="B110" s="7052" t="s">
        <v>164</v>
      </c>
      <c r="C110" s="7041" t="s">
        <v>165</v>
      </c>
      <c r="D110" s="7089"/>
      <c r="E110" s="7042"/>
      <c r="F110" s="7090" t="s">
        <v>169</v>
      </c>
    </row>
    <row r="111" spans="1:86" x14ac:dyDescent="0.3">
      <c r="B111" s="7088"/>
      <c r="C111" s="4970" t="s">
        <v>166</v>
      </c>
      <c r="D111" s="4970" t="s">
        <v>167</v>
      </c>
      <c r="E111" s="4971" t="s">
        <v>168</v>
      </c>
      <c r="F111" s="7091"/>
    </row>
    <row r="112" spans="1:86" x14ac:dyDescent="0.3">
      <c r="A112" s="6234" t="s">
        <v>4597</v>
      </c>
      <c r="B112" s="4900" t="s">
        <v>24</v>
      </c>
      <c r="C112" s="4972" t="s">
        <v>5292</v>
      </c>
      <c r="D112" s="4972" t="s">
        <v>5293</v>
      </c>
      <c r="E112" s="4973" t="s">
        <v>5294</v>
      </c>
      <c r="F112" s="4974" t="s">
        <v>5295</v>
      </c>
    </row>
    <row r="113" spans="1:89" s="17" customFormat="1" ht="18" customHeight="1" x14ac:dyDescent="0.25">
      <c r="B113" s="4975" t="s">
        <v>170</v>
      </c>
      <c r="C113" s="15"/>
      <c r="D113" s="15"/>
      <c r="E113" s="19"/>
      <c r="F113" s="19"/>
      <c r="G113" s="19"/>
      <c r="H113" s="19"/>
      <c r="I113" s="4976"/>
      <c r="J113" s="4976"/>
      <c r="K113" s="4976"/>
    </row>
    <row r="114" spans="1:89" x14ac:dyDescent="0.3">
      <c r="B114" s="7029" t="s">
        <v>58</v>
      </c>
      <c r="C114" s="7032" t="s">
        <v>59</v>
      </c>
      <c r="D114" s="7033"/>
      <c r="E114" s="7034"/>
      <c r="F114" s="7085" t="s">
        <v>3745</v>
      </c>
      <c r="G114" s="7085"/>
      <c r="H114" s="7085" t="s">
        <v>3746</v>
      </c>
      <c r="I114" s="7085"/>
      <c r="J114" s="7085" t="s">
        <v>3747</v>
      </c>
      <c r="K114" s="7085"/>
    </row>
    <row r="115" spans="1:89" x14ac:dyDescent="0.3">
      <c r="B115" s="7087"/>
      <c r="C115" s="4951" t="s">
        <v>26</v>
      </c>
      <c r="D115" s="5370" t="s">
        <v>22</v>
      </c>
      <c r="E115" s="5371" t="s">
        <v>27</v>
      </c>
      <c r="F115" s="4809" t="s">
        <v>22</v>
      </c>
      <c r="G115" s="4805" t="s">
        <v>27</v>
      </c>
      <c r="H115" s="4809" t="s">
        <v>22</v>
      </c>
      <c r="I115" s="4805" t="s">
        <v>27</v>
      </c>
      <c r="J115" s="4809" t="s">
        <v>22</v>
      </c>
      <c r="K115" s="4805" t="s">
        <v>27</v>
      </c>
    </row>
    <row r="116" spans="1:89" ht="20.399999999999999" x14ac:dyDescent="0.3">
      <c r="A116" s="6234" t="s">
        <v>4598</v>
      </c>
      <c r="B116" s="54" t="s">
        <v>171</v>
      </c>
      <c r="C116" s="4953" t="s">
        <v>5292</v>
      </c>
      <c r="D116" s="4954" t="s">
        <v>5293</v>
      </c>
      <c r="E116" s="4813" t="s">
        <v>5294</v>
      </c>
      <c r="F116" s="4940" t="s">
        <v>5295</v>
      </c>
      <c r="G116" s="4941" t="s">
        <v>5296</v>
      </c>
      <c r="H116" s="4940" t="s">
        <v>5297</v>
      </c>
      <c r="I116" s="4941" t="s">
        <v>5298</v>
      </c>
      <c r="J116" s="4940" t="s">
        <v>5299</v>
      </c>
      <c r="K116" s="4955" t="s">
        <v>5300</v>
      </c>
    </row>
    <row r="117" spans="1:89" ht="20.399999999999999" x14ac:dyDescent="0.3">
      <c r="A117" s="6234" t="s">
        <v>4599</v>
      </c>
      <c r="B117" s="70" t="s">
        <v>172</v>
      </c>
      <c r="C117" s="43" t="s">
        <v>5292</v>
      </c>
      <c r="D117" s="4977" t="s">
        <v>5293</v>
      </c>
      <c r="E117" s="4978" t="s">
        <v>5294</v>
      </c>
      <c r="F117" s="68" t="s">
        <v>5295</v>
      </c>
      <c r="G117" s="4979" t="s">
        <v>5296</v>
      </c>
      <c r="H117" s="68" t="s">
        <v>5297</v>
      </c>
      <c r="I117" s="4979" t="s">
        <v>5298</v>
      </c>
      <c r="J117" s="68" t="s">
        <v>5299</v>
      </c>
      <c r="K117" s="4780" t="s">
        <v>5300</v>
      </c>
    </row>
    <row r="118" spans="1:89" ht="20.399999999999999" x14ac:dyDescent="0.3">
      <c r="A118" s="6234" t="s">
        <v>4600</v>
      </c>
      <c r="B118" s="55" t="s">
        <v>173</v>
      </c>
      <c r="C118" s="4980" t="s">
        <v>5292</v>
      </c>
      <c r="D118" s="4981" t="s">
        <v>5293</v>
      </c>
      <c r="E118" s="4982" t="s">
        <v>5294</v>
      </c>
      <c r="F118" s="4983" t="s">
        <v>5295</v>
      </c>
      <c r="G118" s="4984" t="s">
        <v>5296</v>
      </c>
      <c r="H118" s="4983" t="s">
        <v>5297</v>
      </c>
      <c r="I118" s="4967" t="s">
        <v>5298</v>
      </c>
      <c r="J118" s="4983" t="s">
        <v>5299</v>
      </c>
      <c r="K118" s="4984" t="s">
        <v>5300</v>
      </c>
    </row>
    <row r="119" spans="1:89" s="17" customFormat="1" ht="18" customHeight="1" x14ac:dyDescent="0.25">
      <c r="A119" s="6249"/>
      <c r="B119" s="4985" t="s">
        <v>174</v>
      </c>
      <c r="C119" s="4986"/>
      <c r="D119" s="71"/>
      <c r="E119" s="71"/>
      <c r="F119" s="19"/>
      <c r="G119" s="4987"/>
      <c r="H119" s="4988"/>
      <c r="I119" s="4988"/>
    </row>
    <row r="120" spans="1:89" ht="23.25" customHeight="1" x14ac:dyDescent="0.3">
      <c r="A120" s="6257"/>
      <c r="B120" s="7034" t="s">
        <v>58</v>
      </c>
      <c r="C120" s="7029" t="s">
        <v>24</v>
      </c>
      <c r="D120" s="7032" t="s">
        <v>3744</v>
      </c>
      <c r="E120" s="7034"/>
      <c r="F120" s="7032" t="s">
        <v>175</v>
      </c>
      <c r="G120" s="7034"/>
      <c r="H120" s="7037" t="s">
        <v>176</v>
      </c>
      <c r="I120" s="7038"/>
      <c r="J120" s="7040"/>
    </row>
    <row r="121" spans="1:89" ht="30.6" x14ac:dyDescent="0.3">
      <c r="A121" s="6257"/>
      <c r="B121" s="7086"/>
      <c r="C121" s="7087"/>
      <c r="D121" s="4809" t="s">
        <v>22</v>
      </c>
      <c r="E121" s="4989" t="s">
        <v>27</v>
      </c>
      <c r="F121" s="4898" t="s">
        <v>177</v>
      </c>
      <c r="G121" s="4805" t="s">
        <v>178</v>
      </c>
      <c r="H121" s="4898" t="s">
        <v>179</v>
      </c>
      <c r="I121" s="4860" t="s">
        <v>180</v>
      </c>
      <c r="J121" s="4805" t="s">
        <v>181</v>
      </c>
    </row>
    <row r="122" spans="1:89" x14ac:dyDescent="0.3">
      <c r="A122" s="6234" t="s">
        <v>4601</v>
      </c>
      <c r="B122" s="4990" t="s">
        <v>182</v>
      </c>
      <c r="C122" s="4991" t="s">
        <v>5292</v>
      </c>
      <c r="D122" s="4992" t="s">
        <v>5293</v>
      </c>
      <c r="E122" s="4993" t="s">
        <v>5294</v>
      </c>
      <c r="F122" s="4992" t="s">
        <v>5295</v>
      </c>
      <c r="G122" s="4994" t="s">
        <v>5296</v>
      </c>
      <c r="H122" s="4992" t="s">
        <v>5297</v>
      </c>
      <c r="I122" s="4992" t="s">
        <v>5298</v>
      </c>
      <c r="J122" s="4994" t="s">
        <v>5299</v>
      </c>
    </row>
    <row r="123" spans="1:89" s="17" customFormat="1" ht="18" customHeight="1" x14ac:dyDescent="0.25">
      <c r="B123" s="42" t="s">
        <v>183</v>
      </c>
      <c r="D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</row>
    <row r="124" spans="1:89" x14ac:dyDescent="0.3">
      <c r="B124" s="7029" t="s">
        <v>58</v>
      </c>
      <c r="C124" s="7029" t="s">
        <v>61</v>
      </c>
      <c r="D124" s="7032" t="s">
        <v>59</v>
      </c>
      <c r="E124" s="7033"/>
      <c r="F124" s="7034"/>
      <c r="G124" s="7037" t="s">
        <v>30</v>
      </c>
      <c r="H124" s="7038"/>
      <c r="I124" s="7038"/>
      <c r="J124" s="7038"/>
      <c r="K124" s="7038"/>
      <c r="L124" s="7038"/>
      <c r="M124" s="7038"/>
      <c r="N124" s="7038"/>
      <c r="O124" s="7038"/>
      <c r="P124" s="7038"/>
      <c r="Q124" s="7038"/>
      <c r="R124" s="7038"/>
      <c r="S124" s="7038"/>
      <c r="T124" s="7038"/>
      <c r="U124" s="7038"/>
      <c r="V124" s="7038"/>
      <c r="W124" s="7038"/>
      <c r="X124" s="7038"/>
      <c r="Y124" s="7038"/>
      <c r="Z124" s="7038"/>
      <c r="AA124" s="7038"/>
      <c r="AB124" s="7038"/>
      <c r="AC124" s="7038"/>
      <c r="AD124" s="7038"/>
      <c r="AE124" s="7038"/>
      <c r="AF124" s="7038"/>
      <c r="AG124" s="7038"/>
      <c r="AH124" s="7038"/>
      <c r="AI124" s="7038"/>
      <c r="AJ124" s="7038"/>
      <c r="AK124" s="7038"/>
      <c r="AL124" s="7038"/>
      <c r="AM124" s="7038"/>
      <c r="AN124" s="7039"/>
      <c r="AO124" s="7034" t="s">
        <v>67</v>
      </c>
      <c r="AP124" s="7034" t="s">
        <v>40</v>
      </c>
      <c r="AQ124" s="7034" t="s">
        <v>45</v>
      </c>
      <c r="AR124" s="7052" t="s">
        <v>2</v>
      </c>
      <c r="AS124" s="7034" t="s">
        <v>3</v>
      </c>
    </row>
    <row r="125" spans="1:89" x14ac:dyDescent="0.3">
      <c r="B125" s="7030"/>
      <c r="C125" s="7030"/>
      <c r="D125" s="7092"/>
      <c r="E125" s="7093"/>
      <c r="F125" s="7086"/>
      <c r="G125" s="7037" t="s">
        <v>36</v>
      </c>
      <c r="H125" s="7040"/>
      <c r="I125" s="7037" t="s">
        <v>37</v>
      </c>
      <c r="J125" s="7040"/>
      <c r="K125" s="7037" t="s">
        <v>38</v>
      </c>
      <c r="L125" s="7040"/>
      <c r="M125" s="7037" t="s">
        <v>4</v>
      </c>
      <c r="N125" s="7040"/>
      <c r="O125" s="7037" t="s">
        <v>5</v>
      </c>
      <c r="P125" s="7040"/>
      <c r="Q125" s="7041" t="s">
        <v>6</v>
      </c>
      <c r="R125" s="7049"/>
      <c r="S125" s="7041" t="s">
        <v>7</v>
      </c>
      <c r="T125" s="7049"/>
      <c r="U125" s="7041" t="s">
        <v>8</v>
      </c>
      <c r="V125" s="7049"/>
      <c r="W125" s="7041" t="s">
        <v>9</v>
      </c>
      <c r="X125" s="7049"/>
      <c r="Y125" s="7041" t="s">
        <v>10</v>
      </c>
      <c r="Z125" s="7049"/>
      <c r="AA125" s="7041" t="s">
        <v>11</v>
      </c>
      <c r="AB125" s="7049"/>
      <c r="AC125" s="7041" t="s">
        <v>18</v>
      </c>
      <c r="AD125" s="7049"/>
      <c r="AE125" s="7041" t="s">
        <v>19</v>
      </c>
      <c r="AF125" s="7049"/>
      <c r="AG125" s="7041" t="s">
        <v>20</v>
      </c>
      <c r="AH125" s="7049"/>
      <c r="AI125" s="7041" t="s">
        <v>70</v>
      </c>
      <c r="AJ125" s="7049"/>
      <c r="AK125" s="7041" t="s">
        <v>71</v>
      </c>
      <c r="AL125" s="7049"/>
      <c r="AM125" s="7041" t="s">
        <v>72</v>
      </c>
      <c r="AN125" s="7042"/>
      <c r="AO125" s="6831"/>
      <c r="AP125" s="6831"/>
      <c r="AQ125" s="6831"/>
      <c r="AR125" s="7005"/>
      <c r="AS125" s="6831"/>
    </row>
    <row r="126" spans="1:89" ht="27" customHeight="1" x14ac:dyDescent="0.3">
      <c r="B126" s="7087"/>
      <c r="C126" s="7087"/>
      <c r="D126" s="4807" t="s">
        <v>26</v>
      </c>
      <c r="E126" s="4808" t="s">
        <v>22</v>
      </c>
      <c r="F126" s="2560" t="s">
        <v>27</v>
      </c>
      <c r="G126" s="4809" t="s">
        <v>22</v>
      </c>
      <c r="H126" s="2560" t="s">
        <v>27</v>
      </c>
      <c r="I126" s="4809" t="s">
        <v>22</v>
      </c>
      <c r="J126" s="2560" t="s">
        <v>27</v>
      </c>
      <c r="K126" s="4809" t="s">
        <v>22</v>
      </c>
      <c r="L126" s="2560" t="s">
        <v>27</v>
      </c>
      <c r="M126" s="4809" t="s">
        <v>22</v>
      </c>
      <c r="N126" s="2560" t="s">
        <v>27</v>
      </c>
      <c r="O126" s="4809" t="s">
        <v>22</v>
      </c>
      <c r="P126" s="2560" t="s">
        <v>27</v>
      </c>
      <c r="Q126" s="4809" t="s">
        <v>22</v>
      </c>
      <c r="R126" s="2560" t="s">
        <v>27</v>
      </c>
      <c r="S126" s="4809" t="s">
        <v>22</v>
      </c>
      <c r="T126" s="2560" t="s">
        <v>27</v>
      </c>
      <c r="U126" s="4809" t="s">
        <v>22</v>
      </c>
      <c r="V126" s="2560" t="s">
        <v>27</v>
      </c>
      <c r="W126" s="4809" t="s">
        <v>22</v>
      </c>
      <c r="X126" s="2560" t="s">
        <v>27</v>
      </c>
      <c r="Y126" s="4809" t="s">
        <v>22</v>
      </c>
      <c r="Z126" s="2560" t="s">
        <v>27</v>
      </c>
      <c r="AA126" s="4809" t="s">
        <v>22</v>
      </c>
      <c r="AB126" s="2560" t="s">
        <v>27</v>
      </c>
      <c r="AC126" s="4809" t="s">
        <v>22</v>
      </c>
      <c r="AD126" s="2560" t="s">
        <v>27</v>
      </c>
      <c r="AE126" s="4809" t="s">
        <v>22</v>
      </c>
      <c r="AF126" s="2560" t="s">
        <v>27</v>
      </c>
      <c r="AG126" s="4809" t="s">
        <v>22</v>
      </c>
      <c r="AH126" s="2560" t="s">
        <v>27</v>
      </c>
      <c r="AI126" s="4809" t="s">
        <v>22</v>
      </c>
      <c r="AJ126" s="2560" t="s">
        <v>27</v>
      </c>
      <c r="AK126" s="4809" t="s">
        <v>22</v>
      </c>
      <c r="AL126" s="2560" t="s">
        <v>27</v>
      </c>
      <c r="AM126" s="4809" t="s">
        <v>22</v>
      </c>
      <c r="AN126" s="44" t="s">
        <v>27</v>
      </c>
      <c r="AO126" s="7086"/>
      <c r="AP126" s="7086"/>
      <c r="AQ126" s="7086"/>
      <c r="AR126" s="7094"/>
      <c r="AS126" s="7086"/>
    </row>
    <row r="127" spans="1:89" x14ac:dyDescent="0.3">
      <c r="A127" s="6234" t="s">
        <v>4602</v>
      </c>
      <c r="B127" s="7110" t="s">
        <v>184</v>
      </c>
      <c r="C127" s="4995" t="s">
        <v>185</v>
      </c>
      <c r="D127" s="4996" t="s">
        <v>5292</v>
      </c>
      <c r="E127" s="4997" t="s">
        <v>5293</v>
      </c>
      <c r="F127" s="4998" t="s">
        <v>5294</v>
      </c>
      <c r="G127" s="4814" t="s">
        <v>5295</v>
      </c>
      <c r="H127" s="4816" t="s">
        <v>5296</v>
      </c>
      <c r="I127" s="4814" t="s">
        <v>5297</v>
      </c>
      <c r="J127" s="4816" t="s">
        <v>5298</v>
      </c>
      <c r="K127" s="4814" t="s">
        <v>5299</v>
      </c>
      <c r="L127" s="4816" t="s">
        <v>5300</v>
      </c>
      <c r="M127" s="4814" t="s">
        <v>5301</v>
      </c>
      <c r="N127" s="4816" t="s">
        <v>5302</v>
      </c>
      <c r="O127" s="4814" t="s">
        <v>5303</v>
      </c>
      <c r="P127" s="4816" t="s">
        <v>5304</v>
      </c>
      <c r="Q127" s="4814" t="s">
        <v>5305</v>
      </c>
      <c r="R127" s="4816" t="s">
        <v>5306</v>
      </c>
      <c r="S127" s="4814" t="s">
        <v>5307</v>
      </c>
      <c r="T127" s="4816" t="s">
        <v>5308</v>
      </c>
      <c r="U127" s="4814" t="s">
        <v>5309</v>
      </c>
      <c r="V127" s="4816" t="s">
        <v>5310</v>
      </c>
      <c r="W127" s="4814" t="s">
        <v>5311</v>
      </c>
      <c r="X127" s="4816" t="s">
        <v>5312</v>
      </c>
      <c r="Y127" s="4814" t="s">
        <v>5313</v>
      </c>
      <c r="Z127" s="4816" t="s">
        <v>5314</v>
      </c>
      <c r="AA127" s="4814" t="s">
        <v>5315</v>
      </c>
      <c r="AB127" s="4816" t="s">
        <v>5316</v>
      </c>
      <c r="AC127" s="4814" t="s">
        <v>5317</v>
      </c>
      <c r="AD127" s="4816" t="s">
        <v>5318</v>
      </c>
      <c r="AE127" s="4814" t="s">
        <v>5319</v>
      </c>
      <c r="AF127" s="4816" t="s">
        <v>5320</v>
      </c>
      <c r="AG127" s="4814" t="s">
        <v>5321</v>
      </c>
      <c r="AH127" s="4816" t="s">
        <v>5322</v>
      </c>
      <c r="AI127" s="4814" t="s">
        <v>5323</v>
      </c>
      <c r="AJ127" s="4816" t="s">
        <v>5324</v>
      </c>
      <c r="AK127" s="4814" t="s">
        <v>5325</v>
      </c>
      <c r="AL127" s="4816" t="s">
        <v>5326</v>
      </c>
      <c r="AM127" s="4814" t="s">
        <v>5327</v>
      </c>
      <c r="AN127" s="4818" t="s">
        <v>5328</v>
      </c>
      <c r="AO127" s="4815" t="s">
        <v>5329</v>
      </c>
      <c r="AP127" s="4815" t="s">
        <v>5330</v>
      </c>
      <c r="AQ127" s="4815" t="s">
        <v>5331</v>
      </c>
      <c r="AR127" s="4862" t="s">
        <v>5332</v>
      </c>
      <c r="AS127" s="4815" t="s">
        <v>5333</v>
      </c>
      <c r="AT127" t="str">
        <f>BX127&amp;BY127&amp;BZ127&amp;CA127&amp;CB127&amp;CC127&amp;CD127</f>
        <v xml:space="preserve"> *  La variable Beneficiarios no puede ser mayor al Total. *  La variable Niños, Niñas, adolescentes y jóvenes SENAME no puede ser mayor al Total. *  La variable Niños, Niñas, adolescentes y jóvenes mejor Niñez no puede ser mayor al Total. *  La variable Pueblos originarios no puede ser mayor al Total. *  La variable Migrantes no puede ser mayor al Total.</v>
      </c>
      <c r="BX127" s="1723" t="str">
        <f>IF(AND(D127&gt;0,AO127="")," No olvide digitar la variable Beneficiarios. Digite cero si no tiene.",IF(AO127&gt;D127," *  La variable Beneficiarios no puede ser mayor al Total.",""))</f>
        <v xml:space="preserve"> *  La variable Beneficiarios no puede ser mayor al Total.</v>
      </c>
      <c r="BY127" s="1723" t="str">
        <f>IF(AND(D127&gt;0,AP127="")," No olvide digitar la variable Niños, Niñas, adolescentes y jóvenes SENAME. Digite cero si no tiene.",IF(AP127&gt;D127," *  La variable Niños, Niñas, adolescentes y jóvenes SENAME no puede ser mayor al Total.",""))</f>
        <v xml:space="preserve"> *  La variable Niños, Niñas, adolescentes y jóvenes SENAME no puede ser mayor al Total.</v>
      </c>
      <c r="BZ127" s="1723" t="str">
        <f>IF(AND(D127&gt;0,AQ127="")," No olvide digitar la variable Niños, Niñas, adolescentes y jóvenes mejor Niñez. Digite cero si no tiene.",IF(AQ127&gt;D127," *  La variable Niños, Niñas, adolescentes y jóvenes mejor Niñez no puede ser mayor al Total.",""))</f>
        <v xml:space="preserve"> *  La variable Niños, Niñas, adolescentes y jóvenes mejor Niñez no puede ser mayor al Total.</v>
      </c>
      <c r="CA127" s="1723" t="str">
        <f>IF(AND(D127&gt;0,AR127="")," No olvide digitar la variable Pueblos originarios. Digite cero si no tiene.",IF(AR127&gt;D127," *  La variable Pueblos originarios no puede ser mayor al Total.",""))</f>
        <v xml:space="preserve"> *  La variable Pueblos originarios no puede ser mayor al Total.</v>
      </c>
      <c r="CB127" s="1723" t="str">
        <f>IF(AND(D127&gt;0,AS127="")," No olvide digitar la variable Migrantes. Digite cero si no tiene.",IF(AS127&gt;D127," *  La variable Migrantes no puede ser mayor al Total.",""))</f>
        <v xml:space="preserve"> *  La variable Migrantes no puede ser mayor al Total.</v>
      </c>
      <c r="CC127" s="1723"/>
      <c r="CD127" s="1723"/>
      <c r="CE127" s="1723"/>
      <c r="CG127" s="1725">
        <f>IF(AND(D127&gt;0,AO127=""),1,IF(AO127&gt;D127,1,0))</f>
        <v>1</v>
      </c>
      <c r="CH127" s="1725">
        <f>IF(AND(D127&gt;0,AP127=""),1,IF(AP127&gt;D127,1,0))</f>
        <v>1</v>
      </c>
      <c r="CI127" s="1725">
        <f>IF(AND(D127&gt;0,AQ127=""),1,IF(AQ127&gt;D127,1,0))</f>
        <v>1</v>
      </c>
      <c r="CJ127" s="1725">
        <f>IF(AND(D127&gt;0,AR127=""),1,IF(AR127&gt;D127,1,0))</f>
        <v>1</v>
      </c>
      <c r="CK127" s="1725">
        <f>IF(AND(D127&gt;0,AS127=""),1,IF(AS127&gt;D127,1,0))</f>
        <v>1</v>
      </c>
    </row>
    <row r="128" spans="1:89" x14ac:dyDescent="0.3">
      <c r="A128" s="6234" t="s">
        <v>4603</v>
      </c>
      <c r="B128" s="7111"/>
      <c r="C128" s="4999" t="s">
        <v>186</v>
      </c>
      <c r="D128" s="2381" t="s">
        <v>5292</v>
      </c>
      <c r="E128" s="2382" t="s">
        <v>5293</v>
      </c>
      <c r="F128" s="5000" t="s">
        <v>5294</v>
      </c>
      <c r="G128" s="1095" t="s">
        <v>5295</v>
      </c>
      <c r="H128" s="1099" t="s">
        <v>5296</v>
      </c>
      <c r="I128" s="1095" t="s">
        <v>5297</v>
      </c>
      <c r="J128" s="1099" t="s">
        <v>5298</v>
      </c>
      <c r="K128" s="1095" t="s">
        <v>5299</v>
      </c>
      <c r="L128" s="1099" t="s">
        <v>5300</v>
      </c>
      <c r="M128" s="1095" t="s">
        <v>5301</v>
      </c>
      <c r="N128" s="1099" t="s">
        <v>5302</v>
      </c>
      <c r="O128" s="1095" t="s">
        <v>5303</v>
      </c>
      <c r="P128" s="1099" t="s">
        <v>5304</v>
      </c>
      <c r="Q128" s="1095" t="s">
        <v>5305</v>
      </c>
      <c r="R128" s="1099" t="s">
        <v>5306</v>
      </c>
      <c r="S128" s="1095" t="s">
        <v>5307</v>
      </c>
      <c r="T128" s="1099" t="s">
        <v>5308</v>
      </c>
      <c r="U128" s="1095" t="s">
        <v>5309</v>
      </c>
      <c r="V128" s="1099" t="s">
        <v>5310</v>
      </c>
      <c r="W128" s="1095" t="s">
        <v>5311</v>
      </c>
      <c r="X128" s="1099" t="s">
        <v>5312</v>
      </c>
      <c r="Y128" s="1095" t="s">
        <v>5313</v>
      </c>
      <c r="Z128" s="1099" t="s">
        <v>5314</v>
      </c>
      <c r="AA128" s="1095" t="s">
        <v>5315</v>
      </c>
      <c r="AB128" s="1099" t="s">
        <v>5316</v>
      </c>
      <c r="AC128" s="1095" t="s">
        <v>5317</v>
      </c>
      <c r="AD128" s="1099" t="s">
        <v>5318</v>
      </c>
      <c r="AE128" s="1095" t="s">
        <v>5319</v>
      </c>
      <c r="AF128" s="1099" t="s">
        <v>5320</v>
      </c>
      <c r="AG128" s="1095" t="s">
        <v>5321</v>
      </c>
      <c r="AH128" s="1099" t="s">
        <v>5322</v>
      </c>
      <c r="AI128" s="1095" t="s">
        <v>5323</v>
      </c>
      <c r="AJ128" s="1099" t="s">
        <v>5324</v>
      </c>
      <c r="AK128" s="1095" t="s">
        <v>5325</v>
      </c>
      <c r="AL128" s="1099" t="s">
        <v>5326</v>
      </c>
      <c r="AM128" s="1095" t="s">
        <v>5327</v>
      </c>
      <c r="AN128" s="1100" t="s">
        <v>5328</v>
      </c>
      <c r="AO128" s="3930" t="s">
        <v>5329</v>
      </c>
      <c r="AP128" s="3930" t="s">
        <v>5330</v>
      </c>
      <c r="AQ128" s="3930" t="s">
        <v>5331</v>
      </c>
      <c r="AR128" s="3926" t="s">
        <v>5332</v>
      </c>
      <c r="AS128" s="3930" t="s">
        <v>5333</v>
      </c>
      <c r="AT128" t="str">
        <f t="shared" ref="AT128:AT129" si="46">BX128&amp;BY128&amp;BZ128&amp;CA128&amp;CB128&amp;CC128&amp;CD128</f>
        <v xml:space="preserve"> *  La variable Beneficiarios no puede ser mayor al Total. *  La variable Niños, Niñas, adolescentes y jóvenes SENAME no puede ser mayor al Total. *  La variable Niños, Niñas, adolescentes y jóvenes mejor Niñez no puede ser mayor al Total. *  La variable Pueblos originarios no puede ser mayor al Total. *  La variable Migrantes no puede ser mayor al Total.</v>
      </c>
      <c r="BX128" s="1723" t="str">
        <f t="shared" ref="BX128:BX129" si="47">IF(AND(D128&gt;0,AO128="")," No olvide digitar la variable Beneficiarios. Digite cero si no tiene.",IF(AO128&gt;D128," *  La variable Beneficiarios no puede ser mayor al Total.",""))</f>
        <v xml:space="preserve"> *  La variable Beneficiarios no puede ser mayor al Total.</v>
      </c>
      <c r="BY128" s="1723" t="str">
        <f t="shared" ref="BY128:BY129" si="48">IF(AND(D128&gt;0,AP128="")," No olvide digitar la variable Niños, Niñas, adolescentes y jóvenes SENAME. Digite cero si no tiene.",IF(AP128&gt;D128," *  La variable Niños, Niñas, adolescentes y jóvenes SENAME no puede ser mayor al Total.",""))</f>
        <v xml:space="preserve"> *  La variable Niños, Niñas, adolescentes y jóvenes SENAME no puede ser mayor al Total.</v>
      </c>
      <c r="BZ128" s="1723" t="str">
        <f t="shared" ref="BZ128:BZ129" si="49">IF(AND(D128&gt;0,AQ128="")," No olvide digitar la variable Niños, Niñas, adolescentes y jóvenes mejor Niñez. Digite cero si no tiene.",IF(AQ128&gt;D128," *  La variable Niños, Niñas, adolescentes y jóvenes mejor Niñez no puede ser mayor al Total.",""))</f>
        <v xml:space="preserve"> *  La variable Niños, Niñas, adolescentes y jóvenes mejor Niñez no puede ser mayor al Total.</v>
      </c>
      <c r="CA128" s="1723" t="str">
        <f t="shared" ref="CA128:CA129" si="50">IF(AND(D128&gt;0,AR128="")," No olvide digitar la variable Pueblos originarios. Digite cero si no tiene.",IF(AR128&gt;D128," *  La variable Pueblos originarios no puede ser mayor al Total.",""))</f>
        <v xml:space="preserve"> *  La variable Pueblos originarios no puede ser mayor al Total.</v>
      </c>
      <c r="CB128" s="1723" t="str">
        <f t="shared" ref="CB128:CB129" si="51">IF(AND(D128&gt;0,AS128="")," No olvide digitar la variable Migrantes. Digite cero si no tiene.",IF(AS128&gt;D128," *  La variable Migrantes no puede ser mayor al Total.",""))</f>
        <v xml:space="preserve"> *  La variable Migrantes no puede ser mayor al Total.</v>
      </c>
      <c r="CC128" s="1723"/>
      <c r="CD128" s="1723"/>
      <c r="CE128" s="1723"/>
      <c r="CG128" s="1725">
        <f t="shared" ref="CG128:CG129" si="52">IF(AND(D128&gt;0,AO128=""),1,IF(AO128&gt;D128,1,0))</f>
        <v>1</v>
      </c>
      <c r="CH128" s="1725">
        <f t="shared" ref="CH128:CH129" si="53">IF(AND(D128&gt;0,AP128=""),1,IF(AP128&gt;D128,1,0))</f>
        <v>1</v>
      </c>
      <c r="CI128" s="1725">
        <f t="shared" ref="CI128:CI129" si="54">IF(AND(D128&gt;0,AQ128=""),1,IF(AQ128&gt;D128,1,0))</f>
        <v>1</v>
      </c>
      <c r="CJ128" s="1725">
        <f t="shared" ref="CJ128:CJ129" si="55">IF(AND(D128&gt;0,AR128=""),1,IF(AR128&gt;D128,1,0))</f>
        <v>1</v>
      </c>
      <c r="CK128" s="1725">
        <f t="shared" ref="CK128:CK129" si="56">IF(AND(D128&gt;0,AS128=""),1,IF(AS128&gt;D128,1,0))</f>
        <v>1</v>
      </c>
    </row>
    <row r="129" spans="1:89" x14ac:dyDescent="0.3">
      <c r="A129" s="6234" t="s">
        <v>4604</v>
      </c>
      <c r="B129" s="7111"/>
      <c r="C129" s="4999" t="s">
        <v>187</v>
      </c>
      <c r="D129" s="2381" t="s">
        <v>5292</v>
      </c>
      <c r="E129" s="2382" t="s">
        <v>5293</v>
      </c>
      <c r="F129" s="5000" t="s">
        <v>5294</v>
      </c>
      <c r="G129" s="4303" t="s">
        <v>5295</v>
      </c>
      <c r="H129" s="3948" t="s">
        <v>5296</v>
      </c>
      <c r="I129" s="4303" t="s">
        <v>5297</v>
      </c>
      <c r="J129" s="3948" t="s">
        <v>5298</v>
      </c>
      <c r="K129" s="4303" t="s">
        <v>5299</v>
      </c>
      <c r="L129" s="3948" t="s">
        <v>5300</v>
      </c>
      <c r="M129" s="4303" t="s">
        <v>5301</v>
      </c>
      <c r="N129" s="3948" t="s">
        <v>5302</v>
      </c>
      <c r="O129" s="4303" t="s">
        <v>5303</v>
      </c>
      <c r="P129" s="3948" t="s">
        <v>5304</v>
      </c>
      <c r="Q129" s="4303" t="s">
        <v>5305</v>
      </c>
      <c r="R129" s="3948" t="s">
        <v>5306</v>
      </c>
      <c r="S129" s="4303" t="s">
        <v>5307</v>
      </c>
      <c r="T129" s="3948" t="s">
        <v>5308</v>
      </c>
      <c r="U129" s="4303" t="s">
        <v>5309</v>
      </c>
      <c r="V129" s="3948" t="s">
        <v>5310</v>
      </c>
      <c r="W129" s="4303" t="s">
        <v>5311</v>
      </c>
      <c r="X129" s="3948" t="s">
        <v>5312</v>
      </c>
      <c r="Y129" s="4303" t="s">
        <v>5313</v>
      </c>
      <c r="Z129" s="3948" t="s">
        <v>5314</v>
      </c>
      <c r="AA129" s="4303" t="s">
        <v>5315</v>
      </c>
      <c r="AB129" s="3948" t="s">
        <v>5316</v>
      </c>
      <c r="AC129" s="4303" t="s">
        <v>5317</v>
      </c>
      <c r="AD129" s="3948" t="s">
        <v>5318</v>
      </c>
      <c r="AE129" s="4303" t="s">
        <v>5319</v>
      </c>
      <c r="AF129" s="3948" t="s">
        <v>5320</v>
      </c>
      <c r="AG129" s="4303" t="s">
        <v>5321</v>
      </c>
      <c r="AH129" s="3948" t="s">
        <v>5322</v>
      </c>
      <c r="AI129" s="4303" t="s">
        <v>5323</v>
      </c>
      <c r="AJ129" s="3948" t="s">
        <v>5324</v>
      </c>
      <c r="AK129" s="4303" t="s">
        <v>5325</v>
      </c>
      <c r="AL129" s="3948" t="s">
        <v>5326</v>
      </c>
      <c r="AM129" s="4303" t="s">
        <v>5327</v>
      </c>
      <c r="AN129" s="3949" t="s">
        <v>5328</v>
      </c>
      <c r="AO129" s="12" t="s">
        <v>5329</v>
      </c>
      <c r="AP129" s="12" t="s">
        <v>5330</v>
      </c>
      <c r="AQ129" s="12" t="s">
        <v>5331</v>
      </c>
      <c r="AR129" s="30" t="s">
        <v>5332</v>
      </c>
      <c r="AS129" s="12" t="s">
        <v>5333</v>
      </c>
      <c r="AT129" t="str">
        <f t="shared" si="46"/>
        <v xml:space="preserve"> *  La variable Beneficiarios no puede ser mayor al Total. *  La variable Niños, Niñas, adolescentes y jóvenes SENAME no puede ser mayor al Total. *  La variable Niños, Niñas, adolescentes y jóvenes mejor Niñez no puede ser mayor al Total. *  La variable Pueblos originarios no puede ser mayor al Total. *  La variable Migrantes no puede ser mayor al Total.</v>
      </c>
      <c r="BX129" s="1723" t="str">
        <f t="shared" si="47"/>
        <v xml:space="preserve"> *  La variable Beneficiarios no puede ser mayor al Total.</v>
      </c>
      <c r="BY129" s="1723" t="str">
        <f t="shared" si="48"/>
        <v xml:space="preserve"> *  La variable Niños, Niñas, adolescentes y jóvenes SENAME no puede ser mayor al Total.</v>
      </c>
      <c r="BZ129" s="1723" t="str">
        <f t="shared" si="49"/>
        <v xml:space="preserve"> *  La variable Niños, Niñas, adolescentes y jóvenes mejor Niñez no puede ser mayor al Total.</v>
      </c>
      <c r="CA129" s="1723" t="str">
        <f t="shared" si="50"/>
        <v xml:space="preserve"> *  La variable Pueblos originarios no puede ser mayor al Total.</v>
      </c>
      <c r="CB129" s="1723" t="str">
        <f t="shared" si="51"/>
        <v xml:space="preserve"> *  La variable Migrantes no puede ser mayor al Total.</v>
      </c>
      <c r="CC129" s="1723"/>
      <c r="CD129" s="1723"/>
      <c r="CE129" s="1723"/>
      <c r="CG129" s="1725">
        <f t="shared" si="52"/>
        <v>1</v>
      </c>
      <c r="CH129" s="1725">
        <f t="shared" si="53"/>
        <v>1</v>
      </c>
      <c r="CI129" s="1725">
        <f t="shared" si="54"/>
        <v>1</v>
      </c>
      <c r="CJ129" s="1725">
        <f t="shared" si="55"/>
        <v>1</v>
      </c>
      <c r="CK129" s="1725">
        <f t="shared" si="56"/>
        <v>1</v>
      </c>
    </row>
    <row r="130" spans="1:89" x14ac:dyDescent="0.3">
      <c r="A130" s="6235"/>
      <c r="B130" s="7112"/>
      <c r="C130" s="4825" t="s">
        <v>24</v>
      </c>
      <c r="D130" s="4826">
        <f>SUM(E130+F130)</f>
        <v>0</v>
      </c>
      <c r="E130" s="4827">
        <f t="shared" ref="E127:F130" si="57">SUM(G130+I130+K130+M130+O130+Q130+S130+U130+W130+Y130+AA130+AC130+AE130+AG130+AI130+AK130+AM130)</f>
        <v>0</v>
      </c>
      <c r="F130" s="4828">
        <f t="shared" si="57"/>
        <v>0</v>
      </c>
      <c r="G130" s="4829">
        <f>SUM(G127:G129)</f>
        <v>0</v>
      </c>
      <c r="H130" s="4830">
        <f t="shared" ref="H130:AS130" si="58">SUM(H127:H129)</f>
        <v>0</v>
      </c>
      <c r="I130" s="4829">
        <f t="shared" si="58"/>
        <v>0</v>
      </c>
      <c r="J130" s="4830">
        <f t="shared" si="58"/>
        <v>0</v>
      </c>
      <c r="K130" s="4829">
        <f t="shared" si="58"/>
        <v>0</v>
      </c>
      <c r="L130" s="4831">
        <f t="shared" si="58"/>
        <v>0</v>
      </c>
      <c r="M130" s="4829">
        <f t="shared" si="58"/>
        <v>0</v>
      </c>
      <c r="N130" s="4831">
        <f t="shared" si="58"/>
        <v>0</v>
      </c>
      <c r="O130" s="4829">
        <f t="shared" si="58"/>
        <v>0</v>
      </c>
      <c r="P130" s="4831">
        <f t="shared" si="58"/>
        <v>0</v>
      </c>
      <c r="Q130" s="4829">
        <f t="shared" si="58"/>
        <v>0</v>
      </c>
      <c r="R130" s="4831">
        <f t="shared" si="58"/>
        <v>0</v>
      </c>
      <c r="S130" s="4829">
        <f t="shared" si="58"/>
        <v>0</v>
      </c>
      <c r="T130" s="4831">
        <f t="shared" si="58"/>
        <v>0</v>
      </c>
      <c r="U130" s="4829">
        <f t="shared" si="58"/>
        <v>0</v>
      </c>
      <c r="V130" s="4831">
        <f t="shared" si="58"/>
        <v>0</v>
      </c>
      <c r="W130" s="4829">
        <f t="shared" si="58"/>
        <v>0</v>
      </c>
      <c r="X130" s="4831">
        <f t="shared" si="58"/>
        <v>0</v>
      </c>
      <c r="Y130" s="4829">
        <f t="shared" si="58"/>
        <v>0</v>
      </c>
      <c r="Z130" s="4831">
        <f t="shared" si="58"/>
        <v>0</v>
      </c>
      <c r="AA130" s="4829">
        <f t="shared" si="58"/>
        <v>0</v>
      </c>
      <c r="AB130" s="4831">
        <f t="shared" si="58"/>
        <v>0</v>
      </c>
      <c r="AC130" s="4829">
        <f t="shared" si="58"/>
        <v>0</v>
      </c>
      <c r="AD130" s="4831">
        <f t="shared" si="58"/>
        <v>0</v>
      </c>
      <c r="AE130" s="4829">
        <f t="shared" si="58"/>
        <v>0</v>
      </c>
      <c r="AF130" s="4831">
        <f t="shared" si="58"/>
        <v>0</v>
      </c>
      <c r="AG130" s="4829">
        <f t="shared" si="58"/>
        <v>0</v>
      </c>
      <c r="AH130" s="4831">
        <f t="shared" si="58"/>
        <v>0</v>
      </c>
      <c r="AI130" s="4829">
        <f t="shared" si="58"/>
        <v>0</v>
      </c>
      <c r="AJ130" s="4831">
        <f t="shared" si="58"/>
        <v>0</v>
      </c>
      <c r="AK130" s="4829">
        <f t="shared" si="58"/>
        <v>0</v>
      </c>
      <c r="AL130" s="4831">
        <f t="shared" si="58"/>
        <v>0</v>
      </c>
      <c r="AM130" s="4832">
        <f t="shared" si="58"/>
        <v>0</v>
      </c>
      <c r="AN130" s="4833">
        <f t="shared" si="58"/>
        <v>0</v>
      </c>
      <c r="AO130" s="4830">
        <f t="shared" si="58"/>
        <v>0</v>
      </c>
      <c r="AP130" s="4830">
        <f t="shared" si="58"/>
        <v>0</v>
      </c>
      <c r="AQ130" s="4830">
        <f>SUM(AQ127:AQ129)</f>
        <v>0</v>
      </c>
      <c r="AR130" s="4868">
        <f t="shared" si="58"/>
        <v>0</v>
      </c>
      <c r="AS130" s="4830">
        <f t="shared" si="58"/>
        <v>0</v>
      </c>
    </row>
    <row r="131" spans="1:89" s="17" customFormat="1" ht="18" customHeight="1" x14ac:dyDescent="0.25">
      <c r="B131" s="5001" t="s">
        <v>188</v>
      </c>
      <c r="C131" s="5001"/>
      <c r="D131" s="5001"/>
      <c r="E131" s="5001"/>
      <c r="F131" s="5001"/>
      <c r="G131" s="5001"/>
      <c r="H131" s="5001"/>
      <c r="I131" s="5002"/>
      <c r="J131" s="15"/>
    </row>
    <row r="132" spans="1:89" ht="15" customHeight="1" x14ac:dyDescent="0.3">
      <c r="B132" s="7029" t="s">
        <v>12</v>
      </c>
      <c r="C132" s="7041" t="s">
        <v>189</v>
      </c>
      <c r="D132" s="7089"/>
      <c r="E132" s="7089"/>
      <c r="F132" s="7089"/>
      <c r="G132" s="7049"/>
      <c r="H132" s="7113" t="s">
        <v>196</v>
      </c>
      <c r="I132" s="7116" t="s">
        <v>3748</v>
      </c>
      <c r="J132" s="7085"/>
    </row>
    <row r="133" spans="1:89" ht="15" customHeight="1" x14ac:dyDescent="0.3">
      <c r="B133" s="7030"/>
      <c r="C133" s="7050" t="s">
        <v>24</v>
      </c>
      <c r="D133" s="7041" t="s">
        <v>1212</v>
      </c>
      <c r="E133" s="7089"/>
      <c r="F133" s="7089"/>
      <c r="G133" s="7049"/>
      <c r="H133" s="7114"/>
      <c r="I133" s="7117"/>
      <c r="J133" s="7085"/>
    </row>
    <row r="134" spans="1:89" ht="20.399999999999999" x14ac:dyDescent="0.3">
      <c r="B134" s="7087"/>
      <c r="C134" s="6794"/>
      <c r="D134" s="4809" t="s">
        <v>191</v>
      </c>
      <c r="E134" s="4898" t="s">
        <v>192</v>
      </c>
      <c r="F134" s="4860" t="s">
        <v>193</v>
      </c>
      <c r="G134" s="4989" t="s">
        <v>194</v>
      </c>
      <c r="H134" s="7115"/>
      <c r="I134" s="4805" t="s">
        <v>195</v>
      </c>
      <c r="J134" s="4806" t="s">
        <v>196</v>
      </c>
    </row>
    <row r="135" spans="1:89" ht="15" customHeight="1" x14ac:dyDescent="0.3">
      <c r="A135" s="6234" t="s">
        <v>4605</v>
      </c>
      <c r="B135" s="5003" t="s">
        <v>3727</v>
      </c>
      <c r="C135" s="5004" t="s">
        <v>5292</v>
      </c>
      <c r="D135" s="1095" t="s">
        <v>5293</v>
      </c>
      <c r="E135" s="3941" t="s">
        <v>5294</v>
      </c>
      <c r="F135" s="1426" t="s">
        <v>5295</v>
      </c>
      <c r="G135" s="1099" t="s">
        <v>5296</v>
      </c>
      <c r="H135" s="4392" t="s">
        <v>5297</v>
      </c>
      <c r="I135" s="1424" t="s">
        <v>5298</v>
      </c>
      <c r="J135" s="3926" t="s">
        <v>5299</v>
      </c>
    </row>
    <row r="136" spans="1:89" ht="15" customHeight="1" x14ac:dyDescent="0.3">
      <c r="A136" s="6234" t="s">
        <v>4606</v>
      </c>
      <c r="B136" s="5003" t="s">
        <v>37</v>
      </c>
      <c r="C136" s="5004" t="s">
        <v>5292</v>
      </c>
      <c r="D136" s="1095" t="s">
        <v>5293</v>
      </c>
      <c r="E136" s="3941" t="s">
        <v>5294</v>
      </c>
      <c r="F136" s="1426" t="s">
        <v>5295</v>
      </c>
      <c r="G136" s="1099" t="s">
        <v>5296</v>
      </c>
      <c r="H136" s="4392" t="s">
        <v>5297</v>
      </c>
      <c r="I136" s="1424" t="s">
        <v>5298</v>
      </c>
      <c r="J136" s="3926" t="s">
        <v>5299</v>
      </c>
    </row>
    <row r="137" spans="1:89" ht="15" customHeight="1" x14ac:dyDescent="0.3">
      <c r="A137" s="6234" t="s">
        <v>4607</v>
      </c>
      <c r="B137" s="5005" t="s">
        <v>38</v>
      </c>
      <c r="C137" s="5004" t="s">
        <v>5292</v>
      </c>
      <c r="D137" s="1095" t="s">
        <v>5293</v>
      </c>
      <c r="E137" s="3941" t="s">
        <v>5294</v>
      </c>
      <c r="F137" s="1426" t="s">
        <v>5295</v>
      </c>
      <c r="G137" s="1099" t="s">
        <v>5296</v>
      </c>
      <c r="H137" s="4392" t="s">
        <v>5297</v>
      </c>
      <c r="I137" s="1424" t="s">
        <v>5298</v>
      </c>
      <c r="J137" s="3926" t="s">
        <v>5299</v>
      </c>
    </row>
    <row r="138" spans="1:89" ht="15" customHeight="1" x14ac:dyDescent="0.3">
      <c r="A138" s="6234" t="s">
        <v>4608</v>
      </c>
      <c r="B138" s="5005" t="s">
        <v>4</v>
      </c>
      <c r="C138" s="5004" t="s">
        <v>5292</v>
      </c>
      <c r="D138" s="1095" t="s">
        <v>5293</v>
      </c>
      <c r="E138" s="3941" t="s">
        <v>5294</v>
      </c>
      <c r="F138" s="1426" t="s">
        <v>5295</v>
      </c>
      <c r="G138" s="1099" t="s">
        <v>5296</v>
      </c>
      <c r="H138" s="4392" t="s">
        <v>5297</v>
      </c>
      <c r="I138" s="1424" t="s">
        <v>5298</v>
      </c>
      <c r="J138" s="3926" t="s">
        <v>5299</v>
      </c>
    </row>
    <row r="139" spans="1:89" ht="15" customHeight="1" x14ac:dyDescent="0.3">
      <c r="A139" s="6234" t="s">
        <v>4609</v>
      </c>
      <c r="B139" s="5003" t="s">
        <v>5</v>
      </c>
      <c r="C139" s="5004" t="s">
        <v>5292</v>
      </c>
      <c r="D139" s="1095" t="s">
        <v>5293</v>
      </c>
      <c r="E139" s="3941" t="s">
        <v>5294</v>
      </c>
      <c r="F139" s="1426" t="s">
        <v>5295</v>
      </c>
      <c r="G139" s="1099" t="s">
        <v>5296</v>
      </c>
      <c r="H139" s="4392" t="s">
        <v>5297</v>
      </c>
      <c r="I139" s="1424" t="s">
        <v>5298</v>
      </c>
      <c r="J139" s="3926" t="s">
        <v>5299</v>
      </c>
    </row>
    <row r="140" spans="1:89" ht="15" customHeight="1" x14ac:dyDescent="0.3">
      <c r="A140" s="6234" t="s">
        <v>4610</v>
      </c>
      <c r="B140" s="5003" t="s">
        <v>3720</v>
      </c>
      <c r="C140" s="5004" t="s">
        <v>5292</v>
      </c>
      <c r="D140" s="1095" t="s">
        <v>5293</v>
      </c>
      <c r="E140" s="3941" t="s">
        <v>5294</v>
      </c>
      <c r="F140" s="1426" t="s">
        <v>5295</v>
      </c>
      <c r="G140" s="1099" t="s">
        <v>5296</v>
      </c>
      <c r="H140" s="4392" t="s">
        <v>5297</v>
      </c>
      <c r="I140" s="1424" t="s">
        <v>5298</v>
      </c>
      <c r="J140" s="3926" t="s">
        <v>5299</v>
      </c>
    </row>
    <row r="141" spans="1:89" ht="15" customHeight="1" x14ac:dyDescent="0.3">
      <c r="A141" s="6234" t="s">
        <v>4611</v>
      </c>
      <c r="B141" s="3982" t="s">
        <v>3749</v>
      </c>
      <c r="C141" s="72" t="s">
        <v>5292</v>
      </c>
      <c r="D141" s="9" t="s">
        <v>5293</v>
      </c>
      <c r="E141" s="24" t="s">
        <v>5294</v>
      </c>
      <c r="F141" s="10" t="s">
        <v>5295</v>
      </c>
      <c r="G141" s="25" t="s">
        <v>5296</v>
      </c>
      <c r="H141" s="48" t="s">
        <v>5297</v>
      </c>
      <c r="I141" s="26" t="s">
        <v>5298</v>
      </c>
      <c r="J141" s="27" t="s">
        <v>5299</v>
      </c>
    </row>
    <row r="142" spans="1:89" ht="15" customHeight="1" x14ac:dyDescent="0.3">
      <c r="A142" s="6234" t="s">
        <v>4612</v>
      </c>
      <c r="B142" s="5006" t="s">
        <v>32</v>
      </c>
      <c r="C142" s="73" t="s">
        <v>5292</v>
      </c>
      <c r="D142" s="4303" t="s">
        <v>5293</v>
      </c>
      <c r="E142" s="21" t="s">
        <v>5294</v>
      </c>
      <c r="F142" s="5007" t="s">
        <v>5295</v>
      </c>
      <c r="G142" s="3948" t="s">
        <v>5296</v>
      </c>
      <c r="H142" s="22" t="s">
        <v>5297</v>
      </c>
      <c r="I142" s="4391" t="s">
        <v>5298</v>
      </c>
      <c r="J142" s="30" t="s">
        <v>5299</v>
      </c>
    </row>
    <row r="143" spans="1:89" x14ac:dyDescent="0.3">
      <c r="B143" s="1451" t="s">
        <v>3760</v>
      </c>
    </row>
    <row r="144" spans="1:89" s="17" customFormat="1" ht="18" customHeight="1" x14ac:dyDescent="0.25">
      <c r="B144" s="5008" t="s">
        <v>197</v>
      </c>
      <c r="C144" s="19"/>
      <c r="D144" s="19"/>
    </row>
    <row r="145" spans="1:91" ht="20.399999999999999" x14ac:dyDescent="0.3">
      <c r="B145" s="5009" t="s">
        <v>198</v>
      </c>
      <c r="C145" s="5010" t="s">
        <v>199</v>
      </c>
      <c r="D145" s="5010" t="s">
        <v>200</v>
      </c>
    </row>
    <row r="146" spans="1:91" ht="20.399999999999999" x14ac:dyDescent="0.3">
      <c r="A146" s="6234" t="s">
        <v>4613</v>
      </c>
      <c r="B146" s="5011" t="s">
        <v>201</v>
      </c>
      <c r="C146" s="3930" t="s">
        <v>5292</v>
      </c>
      <c r="D146" s="3926" t="s">
        <v>5293</v>
      </c>
    </row>
    <row r="147" spans="1:91" x14ac:dyDescent="0.3">
      <c r="A147" s="6234" t="s">
        <v>4614</v>
      </c>
      <c r="B147" s="75" t="s">
        <v>202</v>
      </c>
      <c r="C147" s="12" t="s">
        <v>5292</v>
      </c>
      <c r="D147" s="30" t="s">
        <v>5293</v>
      </c>
    </row>
    <row r="148" spans="1:91" s="17" customFormat="1" ht="18" customHeight="1" x14ac:dyDescent="0.25">
      <c r="B148" s="7095" t="s">
        <v>203</v>
      </c>
      <c r="C148" s="7095"/>
      <c r="D148" s="7095"/>
      <c r="E148" s="7095"/>
      <c r="F148" s="7095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63"/>
      <c r="R148" s="163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  <c r="AT148" s="101"/>
    </row>
    <row r="149" spans="1:91" x14ac:dyDescent="0.3">
      <c r="B149" s="7096" t="s">
        <v>58</v>
      </c>
      <c r="C149" s="7096" t="s">
        <v>61</v>
      </c>
      <c r="D149" s="7099" t="s">
        <v>3708</v>
      </c>
      <c r="E149" s="7100"/>
      <c r="F149" s="7101"/>
      <c r="G149" s="7105" t="s">
        <v>30</v>
      </c>
      <c r="H149" s="7105"/>
      <c r="I149" s="7105"/>
      <c r="J149" s="7105"/>
      <c r="K149" s="7105"/>
      <c r="L149" s="7105"/>
      <c r="M149" s="7105"/>
      <c r="N149" s="7106"/>
      <c r="O149" s="7107" t="s">
        <v>205</v>
      </c>
      <c r="P149" s="7107" t="s">
        <v>3709</v>
      </c>
      <c r="Q149" s="7107" t="s">
        <v>3769</v>
      </c>
      <c r="R149" s="7119" t="s">
        <v>204</v>
      </c>
      <c r="S149" s="7101" t="s">
        <v>67</v>
      </c>
      <c r="T149" s="7034" t="s">
        <v>45</v>
      </c>
      <c r="U149" s="7107" t="s">
        <v>1389</v>
      </c>
      <c r="V149" s="7107" t="s">
        <v>2</v>
      </c>
      <c r="W149" s="7107" t="s">
        <v>3</v>
      </c>
      <c r="X149" s="6648" t="s">
        <v>48</v>
      </c>
      <c r="Y149" s="7118"/>
    </row>
    <row r="150" spans="1:91" x14ac:dyDescent="0.3">
      <c r="B150" s="7097"/>
      <c r="C150" s="7097"/>
      <c r="D150" s="7102"/>
      <c r="E150" s="7103"/>
      <c r="F150" s="7104"/>
      <c r="G150" s="7105" t="s">
        <v>491</v>
      </c>
      <c r="H150" s="7105"/>
      <c r="I150" s="7105" t="s">
        <v>1302</v>
      </c>
      <c r="J150" s="7105"/>
      <c r="K150" s="7105" t="s">
        <v>3710</v>
      </c>
      <c r="L150" s="7105"/>
      <c r="M150" s="7105" t="s">
        <v>3711</v>
      </c>
      <c r="N150" s="7106"/>
      <c r="O150" s="7108"/>
      <c r="P150" s="7108"/>
      <c r="Q150" s="7108"/>
      <c r="R150" s="7120"/>
      <c r="S150" s="6324"/>
      <c r="T150" s="6831"/>
      <c r="U150" s="7108"/>
      <c r="V150" s="7108"/>
      <c r="W150" s="7108"/>
      <c r="X150" s="7107" t="s">
        <v>41</v>
      </c>
      <c r="Y150" s="7107" t="s">
        <v>42</v>
      </c>
    </row>
    <row r="151" spans="1:91" ht="23.25" customHeight="1" x14ac:dyDescent="0.3">
      <c r="B151" s="7098"/>
      <c r="C151" s="7098"/>
      <c r="D151" s="4638" t="s">
        <v>26</v>
      </c>
      <c r="E151" s="5016" t="s">
        <v>22</v>
      </c>
      <c r="F151" s="2988" t="s">
        <v>27</v>
      </c>
      <c r="G151" s="5587" t="s">
        <v>22</v>
      </c>
      <c r="H151" s="5585" t="s">
        <v>27</v>
      </c>
      <c r="I151" s="5587" t="s">
        <v>22</v>
      </c>
      <c r="J151" s="5585" t="s">
        <v>27</v>
      </c>
      <c r="K151" s="5587" t="s">
        <v>22</v>
      </c>
      <c r="L151" s="5585" t="s">
        <v>27</v>
      </c>
      <c r="M151" s="5587" t="s">
        <v>22</v>
      </c>
      <c r="N151" s="5743" t="s">
        <v>27</v>
      </c>
      <c r="O151" s="7109"/>
      <c r="P151" s="7109"/>
      <c r="Q151" s="7109"/>
      <c r="R151" s="7121"/>
      <c r="S151" s="7104"/>
      <c r="T151" s="7086"/>
      <c r="U151" s="7109"/>
      <c r="V151" s="7109"/>
      <c r="W151" s="7109"/>
      <c r="X151" s="7109"/>
      <c r="Y151" s="7109"/>
    </row>
    <row r="152" spans="1:91" x14ac:dyDescent="0.3">
      <c r="A152" s="6241" t="s">
        <v>4615</v>
      </c>
      <c r="B152" s="7122" t="s">
        <v>216</v>
      </c>
      <c r="C152" s="5018" t="s">
        <v>74</v>
      </c>
      <c r="D152" s="5019" t="s">
        <v>5292</v>
      </c>
      <c r="E152" s="5020" t="s">
        <v>5293</v>
      </c>
      <c r="F152" s="5021" t="s">
        <v>5294</v>
      </c>
      <c r="G152" s="5687" t="s">
        <v>5295</v>
      </c>
      <c r="H152" s="5689" t="s">
        <v>5296</v>
      </c>
      <c r="I152" s="5687" t="s">
        <v>5297</v>
      </c>
      <c r="J152" s="5689" t="s">
        <v>5298</v>
      </c>
      <c r="K152" s="5687" t="s">
        <v>5299</v>
      </c>
      <c r="L152" s="5689" t="s">
        <v>5300</v>
      </c>
      <c r="M152" s="5687" t="s">
        <v>5301</v>
      </c>
      <c r="N152" s="5758" t="s">
        <v>5302</v>
      </c>
      <c r="O152" s="4685" t="s">
        <v>5303</v>
      </c>
      <c r="P152" s="4685" t="s">
        <v>5304</v>
      </c>
      <c r="Q152" s="4685" t="s">
        <v>5305</v>
      </c>
      <c r="R152" s="4744" t="s">
        <v>5306</v>
      </c>
      <c r="S152" s="4685" t="s">
        <v>5307</v>
      </c>
      <c r="T152" s="4685" t="s">
        <v>5308</v>
      </c>
      <c r="U152" s="4685" t="s">
        <v>5309</v>
      </c>
      <c r="V152" s="4685" t="s">
        <v>5310</v>
      </c>
      <c r="W152" s="4685" t="s">
        <v>5311</v>
      </c>
      <c r="X152" s="4685" t="s">
        <v>5312</v>
      </c>
      <c r="Y152" s="4685" t="s">
        <v>5313</v>
      </c>
      <c r="Z152" t="str">
        <f>BX152&amp;BY152&amp;BZ152&amp;CA152&amp;CB152&amp;CC152&amp;CD152</f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2" s="1723" t="str">
        <f>IF(AND(D152&gt;0,S152="")," * No olvide digitar la variable Beneficiarios. Digite cero si no tiene.",IF(S152&gt;D152," * La variable Beneficiarios no puede ser mayor al Total.",""))</f>
        <v xml:space="preserve"> * La variable Beneficiarios no puede ser mayor al Total.</v>
      </c>
      <c r="BY152" s="1723" t="str">
        <f>IF(AND(D152&gt;0,T152="")," * No olvide digitar la variable Niños, Niñas, Adolescentes y Jóvenes Mejor Niñez. Digite cero si no tiene.",IF(T152&gt;D152," * La variable Niños, Niñas, Adolescentes y Jóvenes Mejor Niñez no puede ser mayor al Total.",""))</f>
        <v xml:space="preserve"> * La variable Niños, Niñas, Adolescentes y Jóvenes Mejor Niñez no puede ser mayor al Total.</v>
      </c>
      <c r="BZ152" s="1723" t="str">
        <f>IF(AND(D152&gt;0,U152="")," * No olvide digitar la variable Niños, Niñas, Adolescentes y Jóvenes SENAME. Digite cero si no tiene.",IF(U152&gt;D152," * La variable Niños, Niñas, Adolescentes y Jóvenes SENAME no puede ser mayor al Total.",""))</f>
        <v xml:space="preserve"> * La variable Niños, Niñas, Adolescentes y Jóvenes SENAME no puede ser mayor al Total.</v>
      </c>
      <c r="CA152" s="1723" t="str">
        <f>IF(AND(D152&gt;0,V152="")," * No olvide digitar la variable Pueblos Originarios. Digite cero si no tiene.",IF(V152&gt;D152," * La variable Pueblos Originarios no puede ser mayor al Total.",""))</f>
        <v xml:space="preserve"> * La variable Pueblos Originarios no puede ser mayor al Total.</v>
      </c>
      <c r="CB152" s="1723" t="str">
        <f>IF(AND(D152&gt;0,W152="")," * No olvide digitar la variable Migrantes. Digite cero si no tiene.",IF(W152&gt;D152," * La variable Migrantes no puede ser mayor al Total.",""))</f>
        <v xml:space="preserve"> * La variable Migrantes no puede ser mayor al Total.</v>
      </c>
      <c r="CC152" s="1723" t="str">
        <f>IF(AND(F152&gt;0,OR(X152=""))," * No olvide digitar la variable Trans (Masculino). Digite cero si no tiene.",IF((X152)&gt;F152," * La variable Trans (Masculino) no puede ser mayor al Total Mujeres.",""))</f>
        <v xml:space="preserve"> * La variable Trans (Masculino) no puede ser mayor al Total Mujeres.</v>
      </c>
      <c r="CD152" s="1723" t="str">
        <f>IF(AND(E152&gt;0,OR(Y152=""))," * No olvide digitar la variable Trans (Femenino). Digite cero si no tiene.",IF((Y152)&gt;E152," * La variable Trans (Femenino) no puede ser mayor al Total Hombres.",""))</f>
        <v xml:space="preserve"> * La variable Trans (Femenino) no puede ser mayor al Total Hombres.</v>
      </c>
      <c r="CG152" s="1725">
        <f>IF(AND(D152&gt;0,S152=""),1,IF(S152&gt;D152,1,0))</f>
        <v>1</v>
      </c>
      <c r="CH152" s="1725">
        <f>IF(AND(D152&gt;0,T152=""),1,IF(T152&gt;D152,1,0))</f>
        <v>1</v>
      </c>
      <c r="CI152" s="1725">
        <f>IF(AND(D152&gt;0,U152=""),1,IF(U152&gt;D152,1,0))</f>
        <v>1</v>
      </c>
      <c r="CJ152" s="1725">
        <f>IF(AND(D152&gt;0,V152=""),1,IF(V152&gt;D152,1,0))</f>
        <v>1</v>
      </c>
      <c r="CK152" s="1725">
        <f>IF(AND(D152&gt;0,W152=""),1,IF(W152&gt;D152,1,0))</f>
        <v>1</v>
      </c>
      <c r="CL152" s="1725">
        <f>IF(AND(F152&gt;0,OR(X152="")),1,IF((X152)&gt;F152,1,0))</f>
        <v>1</v>
      </c>
      <c r="CM152" s="1725">
        <f>IF(AND(E152&gt;0,OR(Y152="")),1,IF((Y152)&gt;E152,1,0))</f>
        <v>1</v>
      </c>
    </row>
    <row r="153" spans="1:91" x14ac:dyDescent="0.3">
      <c r="A153" s="6241" t="s">
        <v>4616</v>
      </c>
      <c r="B153" s="7122"/>
      <c r="C153" s="3261" t="s">
        <v>2080</v>
      </c>
      <c r="D153" s="1037" t="s">
        <v>5292</v>
      </c>
      <c r="E153" s="955" t="s">
        <v>5293</v>
      </c>
      <c r="F153" s="1926" t="s">
        <v>5294</v>
      </c>
      <c r="G153" s="616" t="s">
        <v>5295</v>
      </c>
      <c r="H153" s="3143" t="s">
        <v>5296</v>
      </c>
      <c r="I153" s="616" t="s">
        <v>5297</v>
      </c>
      <c r="J153" s="3143" t="s">
        <v>5298</v>
      </c>
      <c r="K153" s="616" t="s">
        <v>5299</v>
      </c>
      <c r="L153" s="3143" t="s">
        <v>5300</v>
      </c>
      <c r="M153" s="616" t="s">
        <v>5301</v>
      </c>
      <c r="N153" s="3144" t="s">
        <v>5302</v>
      </c>
      <c r="O153" s="3077" t="s">
        <v>5303</v>
      </c>
      <c r="P153" s="3077" t="s">
        <v>5304</v>
      </c>
      <c r="Q153" s="3077" t="s">
        <v>5305</v>
      </c>
      <c r="R153" s="3147" t="s">
        <v>5306</v>
      </c>
      <c r="S153" s="3077" t="s">
        <v>5307</v>
      </c>
      <c r="T153" s="3077" t="s">
        <v>5308</v>
      </c>
      <c r="U153" s="3077" t="s">
        <v>5309</v>
      </c>
      <c r="V153" s="3077" t="s">
        <v>5310</v>
      </c>
      <c r="W153" s="3077" t="s">
        <v>5311</v>
      </c>
      <c r="X153" s="3077" t="s">
        <v>5312</v>
      </c>
      <c r="Y153" s="3077" t="s">
        <v>5313</v>
      </c>
      <c r="Z153" t="str">
        <f t="shared" ref="Z153:Z158" si="59">BX153&amp;BY153&amp;BZ153&amp;CA153&amp;CB153&amp;CC153&amp;CD153</f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3" s="1723" t="str">
        <f t="shared" ref="BX153:BX154" si="60">IF(AND(D153&gt;0,S153="")," * No olvide digitar la variable Beneficiarios. Digite cero si no tiene.",IF(S153&gt;D153," * La variable Beneficiarios no puede ser mayor al Total.",""))</f>
        <v xml:space="preserve"> * La variable Beneficiarios no puede ser mayor al Total.</v>
      </c>
      <c r="BY153" s="1723" t="str">
        <f t="shared" ref="BY153:BY154" si="61">IF(AND(D153&gt;0,T153="")," * No olvide digitar la variable Niños, Niñas, Adolescentes y Jóvenes Mejor Niñez. Digite cero si no tiene.",IF(T153&gt;D153," * La variable Niños, Niñas, Adolescentes y Jóvenes Mejor Niñez no puede ser mayor al Total.",""))</f>
        <v xml:space="preserve"> * La variable Niños, Niñas, Adolescentes y Jóvenes Mejor Niñez no puede ser mayor al Total.</v>
      </c>
      <c r="BZ153" s="1723" t="str">
        <f t="shared" ref="BZ153:BZ154" si="62">IF(AND(D153&gt;0,U153="")," * No olvide digitar la variable Niños, Niñas, Adolescentes y Jóvenes SENAME. Digite cero si no tiene.",IF(U153&gt;D153," * La variable Niños, Niñas, Adolescentes y Jóvenes SENAME no puede ser mayor al Total.",""))</f>
        <v xml:space="preserve"> * La variable Niños, Niñas, Adolescentes y Jóvenes SENAME no puede ser mayor al Total.</v>
      </c>
      <c r="CA153" s="1723" t="str">
        <f t="shared" ref="CA153:CA154" si="63">IF(AND(D153&gt;0,V153="")," * No olvide digitar la variable Pueblos Originarios. Digite cero si no tiene.",IF(V153&gt;D153," * La variable Pueblos Originarios no puede ser mayor al Total.",""))</f>
        <v xml:space="preserve"> * La variable Pueblos Originarios no puede ser mayor al Total.</v>
      </c>
      <c r="CB153" s="1723" t="str">
        <f t="shared" ref="CB153:CB154" si="64">IF(AND(D153&gt;0,W153="")," * No olvide digitar la variable Migrantes. Digite cero si no tiene.",IF(W153&gt;D153," * La variable Migrantes no puede ser mayor al Total.",""))</f>
        <v xml:space="preserve"> * La variable Migrantes no puede ser mayor al Total.</v>
      </c>
      <c r="CC153" s="1723" t="str">
        <f t="shared" ref="CC153:CC154" si="65">IF(AND(F153&gt;0,OR(X153=""))," * No olvide digitar la variable Trans (Masculino). Digite cero si no tiene.",IF((X153)&gt;F153," * La variable Trans (Masculino) no puede ser mayor al Total Mujeres.",""))</f>
        <v xml:space="preserve"> * La variable Trans (Masculino) no puede ser mayor al Total Mujeres.</v>
      </c>
      <c r="CD153" s="1723" t="str">
        <f t="shared" ref="CD153:CD154" si="66">IF(AND(E153&gt;0,OR(Y153=""))," * No olvide digitar la variable Trans (Femenino). Digite cero si no tiene.",IF((Y153)&gt;E153," * La variable Trans (Femenino) no puede ser mayor al Total Hombres.",""))</f>
        <v xml:space="preserve"> * La variable Trans (Femenino) no puede ser mayor al Total Hombres.</v>
      </c>
      <c r="CG153" s="1725">
        <f t="shared" ref="CG153:CG154" si="67">IF(AND(D153&gt;0,S153=""),1,IF(S153&gt;D153,1,0))</f>
        <v>1</v>
      </c>
      <c r="CH153" s="1725">
        <f t="shared" ref="CH153:CH154" si="68">IF(AND(D153&gt;0,T153=""),1,IF(T153&gt;D153,1,0))</f>
        <v>1</v>
      </c>
      <c r="CI153" s="1725">
        <f t="shared" ref="CI153:CI154" si="69">IF(AND(D153&gt;0,U153=""),1,IF(U153&gt;D153,1,0))</f>
        <v>1</v>
      </c>
      <c r="CJ153" s="1725">
        <f t="shared" ref="CJ153:CJ154" si="70">IF(AND(D153&gt;0,V153=""),1,IF(V153&gt;D153,1,0))</f>
        <v>1</v>
      </c>
      <c r="CK153" s="1725">
        <f t="shared" ref="CK153:CK154" si="71">IF(AND(D153&gt;0,W153=""),1,IF(W153&gt;D153,1,0))</f>
        <v>1</v>
      </c>
      <c r="CL153" s="1725">
        <f t="shared" ref="CL153:CL154" si="72">IF(AND(F153&gt;0,OR(X153="")),1,IF((X153)&gt;F153,1,0))</f>
        <v>1</v>
      </c>
      <c r="CM153" s="1725">
        <f t="shared" ref="CM153:CM154" si="73">IF(AND(E153&gt;0,OR(Y153="")),1,IF((Y153)&gt;E153,1,0))</f>
        <v>1</v>
      </c>
    </row>
    <row r="154" spans="1:91" x14ac:dyDescent="0.3">
      <c r="A154" s="6241" t="s">
        <v>4617</v>
      </c>
      <c r="B154" s="7122"/>
      <c r="C154" s="3261" t="s">
        <v>192</v>
      </c>
      <c r="D154" s="3217" t="s">
        <v>5292</v>
      </c>
      <c r="E154" s="3243" t="s">
        <v>5293</v>
      </c>
      <c r="F154" s="3523" t="s">
        <v>5294</v>
      </c>
      <c r="G154" s="616" t="s">
        <v>5295</v>
      </c>
      <c r="H154" s="3143" t="s">
        <v>5296</v>
      </c>
      <c r="I154" s="616" t="s">
        <v>5297</v>
      </c>
      <c r="J154" s="3143" t="s">
        <v>5298</v>
      </c>
      <c r="K154" s="616" t="s">
        <v>5299</v>
      </c>
      <c r="L154" s="3143" t="s">
        <v>5300</v>
      </c>
      <c r="M154" s="616" t="s">
        <v>5301</v>
      </c>
      <c r="N154" s="3144" t="s">
        <v>5302</v>
      </c>
      <c r="O154" s="3077" t="s">
        <v>5303</v>
      </c>
      <c r="P154" s="3077" t="s">
        <v>5304</v>
      </c>
      <c r="Q154" s="3077" t="s">
        <v>5305</v>
      </c>
      <c r="R154" s="3147" t="s">
        <v>5306</v>
      </c>
      <c r="S154" s="3077" t="s">
        <v>5307</v>
      </c>
      <c r="T154" s="3077" t="s">
        <v>5308</v>
      </c>
      <c r="U154" s="3077" t="s">
        <v>5309</v>
      </c>
      <c r="V154" s="3077" t="s">
        <v>5310</v>
      </c>
      <c r="W154" s="3077" t="s">
        <v>5311</v>
      </c>
      <c r="X154" s="3077" t="s">
        <v>5312</v>
      </c>
      <c r="Y154" s="3077" t="s">
        <v>5313</v>
      </c>
      <c r="Z154" t="str">
        <f t="shared" si="59"/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4" s="1723" t="str">
        <f t="shared" si="60"/>
        <v xml:space="preserve"> * La variable Beneficiarios no puede ser mayor al Total.</v>
      </c>
      <c r="BY154" s="1723" t="str">
        <f t="shared" si="61"/>
        <v xml:space="preserve"> * La variable Niños, Niñas, Adolescentes y Jóvenes Mejor Niñez no puede ser mayor al Total.</v>
      </c>
      <c r="BZ154" s="1723" t="str">
        <f t="shared" si="62"/>
        <v xml:space="preserve"> * La variable Niños, Niñas, Adolescentes y Jóvenes SENAME no puede ser mayor al Total.</v>
      </c>
      <c r="CA154" s="1723" t="str">
        <f t="shared" si="63"/>
        <v xml:space="preserve"> * La variable Pueblos Originarios no puede ser mayor al Total.</v>
      </c>
      <c r="CB154" s="1723" t="str">
        <f t="shared" si="64"/>
        <v xml:space="preserve"> * La variable Migrantes no puede ser mayor al Total.</v>
      </c>
      <c r="CC154" s="1723" t="str">
        <f t="shared" si="65"/>
        <v xml:space="preserve"> * La variable Trans (Masculino) no puede ser mayor al Total Mujeres.</v>
      </c>
      <c r="CD154" s="1723" t="str">
        <f t="shared" si="66"/>
        <v xml:space="preserve"> * La variable Trans (Femenino) no puede ser mayor al Total Hombres.</v>
      </c>
      <c r="CG154" s="1725">
        <f t="shared" si="67"/>
        <v>1</v>
      </c>
      <c r="CH154" s="1725">
        <f t="shared" si="68"/>
        <v>1</v>
      </c>
      <c r="CI154" s="1725">
        <f t="shared" si="69"/>
        <v>1</v>
      </c>
      <c r="CJ154" s="1725">
        <f t="shared" si="70"/>
        <v>1</v>
      </c>
      <c r="CK154" s="1725">
        <f t="shared" si="71"/>
        <v>1</v>
      </c>
      <c r="CL154" s="1725">
        <f t="shared" si="72"/>
        <v>1</v>
      </c>
      <c r="CM154" s="1725">
        <f t="shared" si="73"/>
        <v>1</v>
      </c>
    </row>
    <row r="155" spans="1:91" x14ac:dyDescent="0.3">
      <c r="A155" s="6235"/>
      <c r="B155" s="5023"/>
      <c r="C155" s="5024" t="s">
        <v>24</v>
      </c>
      <c r="D155" s="5025">
        <v>0</v>
      </c>
      <c r="E155" s="5026">
        <v>0</v>
      </c>
      <c r="F155" s="5027">
        <v>0</v>
      </c>
      <c r="G155" s="5607">
        <v>0</v>
      </c>
      <c r="H155" s="5678">
        <v>0</v>
      </c>
      <c r="I155" s="5607">
        <v>0</v>
      </c>
      <c r="J155" s="5678">
        <v>0</v>
      </c>
      <c r="K155" s="5607">
        <v>0</v>
      </c>
      <c r="L155" s="5678">
        <v>0</v>
      </c>
      <c r="M155" s="5607">
        <v>0</v>
      </c>
      <c r="N155" s="5759">
        <v>0</v>
      </c>
      <c r="O155" s="5029">
        <v>0</v>
      </c>
      <c r="P155" s="5029">
        <v>0</v>
      </c>
      <c r="Q155" s="5029">
        <v>0</v>
      </c>
      <c r="R155" s="4745">
        <v>0</v>
      </c>
      <c r="S155" s="5029">
        <v>0</v>
      </c>
      <c r="T155" s="5029">
        <v>0</v>
      </c>
      <c r="U155" s="5029">
        <v>0</v>
      </c>
      <c r="V155" s="5029">
        <v>0</v>
      </c>
      <c r="W155" s="5029">
        <v>0</v>
      </c>
      <c r="X155" s="5029">
        <v>0</v>
      </c>
      <c r="Y155" s="5029">
        <v>0</v>
      </c>
    </row>
    <row r="156" spans="1:91" x14ac:dyDescent="0.3">
      <c r="A156" s="6241" t="s">
        <v>4618</v>
      </c>
      <c r="B156" s="7122" t="s">
        <v>215</v>
      </c>
      <c r="C156" s="5018" t="s">
        <v>74</v>
      </c>
      <c r="D156" s="145" t="s">
        <v>5292</v>
      </c>
      <c r="E156" s="5030" t="s">
        <v>5293</v>
      </c>
      <c r="F156" s="5031" t="s">
        <v>5294</v>
      </c>
      <c r="G156" s="5687" t="s">
        <v>5295</v>
      </c>
      <c r="H156" s="5689" t="s">
        <v>5296</v>
      </c>
      <c r="I156" s="5687" t="s">
        <v>5297</v>
      </c>
      <c r="J156" s="5689" t="s">
        <v>5298</v>
      </c>
      <c r="K156" s="5687" t="s">
        <v>5299</v>
      </c>
      <c r="L156" s="5689" t="s">
        <v>5300</v>
      </c>
      <c r="M156" s="5687" t="s">
        <v>5301</v>
      </c>
      <c r="N156" s="5758" t="s">
        <v>5302</v>
      </c>
      <c r="O156" s="3077" t="s">
        <v>5303</v>
      </c>
      <c r="P156" s="3077" t="s">
        <v>5304</v>
      </c>
      <c r="Q156" s="3077" t="s">
        <v>5305</v>
      </c>
      <c r="R156" s="3147" t="s">
        <v>5306</v>
      </c>
      <c r="S156" s="3077" t="s">
        <v>5307</v>
      </c>
      <c r="T156" s="3077" t="s">
        <v>5308</v>
      </c>
      <c r="U156" s="3077" t="s">
        <v>5309</v>
      </c>
      <c r="V156" s="3077" t="s">
        <v>5310</v>
      </c>
      <c r="W156" s="3077" t="s">
        <v>5311</v>
      </c>
      <c r="X156" s="3077" t="s">
        <v>5312</v>
      </c>
      <c r="Y156" s="3077" t="s">
        <v>5313</v>
      </c>
      <c r="Z156" t="str">
        <f t="shared" si="59"/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6" s="1723" t="str">
        <f t="shared" ref="BX156:BX158" si="74">IF(AND(D156&gt;0,S156="")," * No olvide digitar la variable Beneficiarios. Digite cero si no tiene.",IF(S156&gt;D156," * La variable Beneficiarios no puede ser mayor al Total.",""))</f>
        <v xml:space="preserve"> * La variable Beneficiarios no puede ser mayor al Total.</v>
      </c>
      <c r="BY156" s="1723" t="str">
        <f t="shared" ref="BY156:BY158" si="75">IF(AND(D156&gt;0,T156="")," * No olvide digitar la variable Niños, Niñas, Adolescentes y Jóvenes Mejor Niñez. Digite cero si no tiene.",IF(T156&gt;D156," * La variable Niños, Niñas, Adolescentes y Jóvenes Mejor Niñez no puede ser mayor al Total.",""))</f>
        <v xml:space="preserve"> * La variable Niños, Niñas, Adolescentes y Jóvenes Mejor Niñez no puede ser mayor al Total.</v>
      </c>
      <c r="BZ156" s="1723" t="str">
        <f t="shared" ref="BZ156:BZ158" si="76">IF(AND(D156&gt;0,U156="")," * No olvide digitar la variable Niños, Niñas, Adolescentes y Jóvenes SENAME. Digite cero si no tiene.",IF(U156&gt;D156," * La variable Niños, Niñas, Adolescentes y Jóvenes SENAME no puede ser mayor al Total.",""))</f>
        <v xml:space="preserve"> * La variable Niños, Niñas, Adolescentes y Jóvenes SENAME no puede ser mayor al Total.</v>
      </c>
      <c r="CA156" s="1723" t="str">
        <f t="shared" ref="CA156:CA158" si="77">IF(AND(D156&gt;0,V156="")," * No olvide digitar la variable Pueblos Originarios. Digite cero si no tiene.",IF(V156&gt;D156," * La variable Pueblos Originarios no puede ser mayor al Total.",""))</f>
        <v xml:space="preserve"> * La variable Pueblos Originarios no puede ser mayor al Total.</v>
      </c>
      <c r="CB156" s="1723" t="str">
        <f t="shared" ref="CB156:CB158" si="78">IF(AND(D156&gt;0,W156="")," * No olvide digitar la variable Migrantes. Digite cero si no tiene.",IF(W156&gt;D156," * La variable Migrantes no puede ser mayor al Total.",""))</f>
        <v xml:space="preserve"> * La variable Migrantes no puede ser mayor al Total.</v>
      </c>
      <c r="CC156" s="1723" t="str">
        <f t="shared" ref="CC156:CC158" si="79">IF(AND(F156&gt;0,OR(X156=""))," * No olvide digitar la variable Trans (Masculino). Digite cero si no tiene.",IF((X156)&gt;F156," * La variable Trans (Masculino) no puede ser mayor al Total Mujeres.",""))</f>
        <v xml:space="preserve"> * La variable Trans (Masculino) no puede ser mayor al Total Mujeres.</v>
      </c>
      <c r="CD156" s="1723" t="str">
        <f t="shared" ref="CD156:CD158" si="80">IF(AND(E156&gt;0,OR(Y156=""))," * No olvide digitar la variable Trans (Femenino). Digite cero si no tiene.",IF((Y156)&gt;E156," * La variable Trans (Femenino) no puede ser mayor al Total Hombres.",""))</f>
        <v xml:space="preserve"> * La variable Trans (Femenino) no puede ser mayor al Total Hombres.</v>
      </c>
      <c r="CG156" s="1725">
        <f t="shared" ref="CG156:CG158" si="81">IF(AND(D156&gt;0,S156=""),1,IF(S156&gt;D156,1,0))</f>
        <v>1</v>
      </c>
      <c r="CH156" s="1725">
        <f t="shared" ref="CH156:CH158" si="82">IF(AND(D156&gt;0,T156=""),1,IF(T156&gt;D156,1,0))</f>
        <v>1</v>
      </c>
      <c r="CI156" s="1725">
        <f t="shared" ref="CI156:CI158" si="83">IF(AND(D156&gt;0,U156=""),1,IF(U156&gt;D156,1,0))</f>
        <v>1</v>
      </c>
      <c r="CJ156" s="1725">
        <f t="shared" ref="CJ156:CJ158" si="84">IF(AND(D156&gt;0,V156=""),1,IF(V156&gt;D156,1,0))</f>
        <v>1</v>
      </c>
      <c r="CK156" s="1725">
        <f t="shared" ref="CK156:CK158" si="85">IF(AND(D156&gt;0,W156=""),1,IF(W156&gt;D156,1,0))</f>
        <v>1</v>
      </c>
      <c r="CL156" s="1725">
        <f t="shared" ref="CL156:CL158" si="86">IF(AND(F156&gt;0,OR(X156="")),1,IF((X156)&gt;F156,1,0))</f>
        <v>1</v>
      </c>
      <c r="CM156" s="1725">
        <f t="shared" ref="CM156:CM158" si="87">IF(AND(E156&gt;0,OR(Y156="")),1,IF((Y156)&gt;E156,1,0))</f>
        <v>1</v>
      </c>
    </row>
    <row r="157" spans="1:91" x14ac:dyDescent="0.3">
      <c r="A157" s="6241" t="s">
        <v>4619</v>
      </c>
      <c r="B157" s="7122"/>
      <c r="C157" s="3261" t="s">
        <v>2080</v>
      </c>
      <c r="D157" s="1037" t="s">
        <v>5292</v>
      </c>
      <c r="E157" s="955" t="s">
        <v>5293</v>
      </c>
      <c r="F157" s="1926" t="s">
        <v>5294</v>
      </c>
      <c r="G157" s="616" t="s">
        <v>5295</v>
      </c>
      <c r="H157" s="3143" t="s">
        <v>5296</v>
      </c>
      <c r="I157" s="616" t="s">
        <v>5297</v>
      </c>
      <c r="J157" s="3143" t="s">
        <v>5298</v>
      </c>
      <c r="K157" s="616" t="s">
        <v>5299</v>
      </c>
      <c r="L157" s="3143" t="s">
        <v>5300</v>
      </c>
      <c r="M157" s="616" t="s">
        <v>5301</v>
      </c>
      <c r="N157" s="3144" t="s">
        <v>5302</v>
      </c>
      <c r="O157" s="3077" t="s">
        <v>5303</v>
      </c>
      <c r="P157" s="3077" t="s">
        <v>5304</v>
      </c>
      <c r="Q157" s="3077" t="s">
        <v>5305</v>
      </c>
      <c r="R157" s="3147" t="s">
        <v>5306</v>
      </c>
      <c r="S157" s="3077" t="s">
        <v>5307</v>
      </c>
      <c r="T157" s="3077" t="s">
        <v>5308</v>
      </c>
      <c r="U157" s="3077" t="s">
        <v>5309</v>
      </c>
      <c r="V157" s="3077" t="s">
        <v>5310</v>
      </c>
      <c r="W157" s="3077" t="s">
        <v>5311</v>
      </c>
      <c r="X157" s="3077" t="s">
        <v>5312</v>
      </c>
      <c r="Y157" s="3077" t="s">
        <v>5313</v>
      </c>
      <c r="Z157" t="str">
        <f t="shared" si="59"/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7" s="1723" t="str">
        <f t="shared" si="74"/>
        <v xml:space="preserve"> * La variable Beneficiarios no puede ser mayor al Total.</v>
      </c>
      <c r="BY157" s="1723" t="str">
        <f t="shared" si="75"/>
        <v xml:space="preserve"> * La variable Niños, Niñas, Adolescentes y Jóvenes Mejor Niñez no puede ser mayor al Total.</v>
      </c>
      <c r="BZ157" s="1723" t="str">
        <f t="shared" si="76"/>
        <v xml:space="preserve"> * La variable Niños, Niñas, Adolescentes y Jóvenes SENAME no puede ser mayor al Total.</v>
      </c>
      <c r="CA157" s="1723" t="str">
        <f t="shared" si="77"/>
        <v xml:space="preserve"> * La variable Pueblos Originarios no puede ser mayor al Total.</v>
      </c>
      <c r="CB157" s="1723" t="str">
        <f t="shared" si="78"/>
        <v xml:space="preserve"> * La variable Migrantes no puede ser mayor al Total.</v>
      </c>
      <c r="CC157" s="1723" t="str">
        <f t="shared" si="79"/>
        <v xml:space="preserve"> * La variable Trans (Masculino) no puede ser mayor al Total Mujeres.</v>
      </c>
      <c r="CD157" s="1723" t="str">
        <f t="shared" si="80"/>
        <v xml:space="preserve"> * La variable Trans (Femenino) no puede ser mayor al Total Hombres.</v>
      </c>
      <c r="CG157" s="1725">
        <f t="shared" si="81"/>
        <v>1</v>
      </c>
      <c r="CH157" s="1725">
        <f t="shared" si="82"/>
        <v>1</v>
      </c>
      <c r="CI157" s="1725">
        <f t="shared" si="83"/>
        <v>1</v>
      </c>
      <c r="CJ157" s="1725">
        <f t="shared" si="84"/>
        <v>1</v>
      </c>
      <c r="CK157" s="1725">
        <f t="shared" si="85"/>
        <v>1</v>
      </c>
      <c r="CL157" s="1725">
        <f t="shared" si="86"/>
        <v>1</v>
      </c>
      <c r="CM157" s="1725">
        <f t="shared" si="87"/>
        <v>1</v>
      </c>
    </row>
    <row r="158" spans="1:91" x14ac:dyDescent="0.3">
      <c r="A158" s="6241" t="s">
        <v>4620</v>
      </c>
      <c r="B158" s="7122"/>
      <c r="C158" s="3261" t="s">
        <v>192</v>
      </c>
      <c r="D158" s="3217" t="s">
        <v>5292</v>
      </c>
      <c r="E158" s="3243" t="s">
        <v>5293</v>
      </c>
      <c r="F158" s="3523" t="s">
        <v>5294</v>
      </c>
      <c r="G158" s="616" t="s">
        <v>5295</v>
      </c>
      <c r="H158" s="3143" t="s">
        <v>5296</v>
      </c>
      <c r="I158" s="616" t="s">
        <v>5297</v>
      </c>
      <c r="J158" s="3143" t="s">
        <v>5298</v>
      </c>
      <c r="K158" s="616" t="s">
        <v>5299</v>
      </c>
      <c r="L158" s="3143" t="s">
        <v>5300</v>
      </c>
      <c r="M158" s="616" t="s">
        <v>5301</v>
      </c>
      <c r="N158" s="3144" t="s">
        <v>5302</v>
      </c>
      <c r="O158" s="3077" t="s">
        <v>5303</v>
      </c>
      <c r="P158" s="3077" t="s">
        <v>5304</v>
      </c>
      <c r="Q158" s="3077" t="s">
        <v>5305</v>
      </c>
      <c r="R158" s="3147" t="s">
        <v>5306</v>
      </c>
      <c r="S158" s="3077" t="s">
        <v>5307</v>
      </c>
      <c r="T158" s="3077" t="s">
        <v>5308</v>
      </c>
      <c r="U158" s="3077" t="s">
        <v>5309</v>
      </c>
      <c r="V158" s="3077" t="s">
        <v>5310</v>
      </c>
      <c r="W158" s="3077" t="s">
        <v>5311</v>
      </c>
      <c r="X158" s="3077" t="s">
        <v>5312</v>
      </c>
      <c r="Y158" s="3077" t="s">
        <v>5313</v>
      </c>
      <c r="Z158" t="str">
        <f t="shared" si="59"/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58" s="1723" t="str">
        <f t="shared" si="74"/>
        <v xml:space="preserve"> * La variable Beneficiarios no puede ser mayor al Total.</v>
      </c>
      <c r="BY158" s="1723" t="str">
        <f t="shared" si="75"/>
        <v xml:space="preserve"> * La variable Niños, Niñas, Adolescentes y Jóvenes Mejor Niñez no puede ser mayor al Total.</v>
      </c>
      <c r="BZ158" s="1723" t="str">
        <f t="shared" si="76"/>
        <v xml:space="preserve"> * La variable Niños, Niñas, Adolescentes y Jóvenes SENAME no puede ser mayor al Total.</v>
      </c>
      <c r="CA158" s="1723" t="str">
        <f t="shared" si="77"/>
        <v xml:space="preserve"> * La variable Pueblos Originarios no puede ser mayor al Total.</v>
      </c>
      <c r="CB158" s="1723" t="str">
        <f t="shared" si="78"/>
        <v xml:space="preserve"> * La variable Migrantes no puede ser mayor al Total.</v>
      </c>
      <c r="CC158" s="1723" t="str">
        <f t="shared" si="79"/>
        <v xml:space="preserve"> * La variable Trans (Masculino) no puede ser mayor al Total Mujeres.</v>
      </c>
      <c r="CD158" s="1723" t="str">
        <f t="shared" si="80"/>
        <v xml:space="preserve"> * La variable Trans (Femenino) no puede ser mayor al Total Hombres.</v>
      </c>
      <c r="CG158" s="1725">
        <f t="shared" si="81"/>
        <v>1</v>
      </c>
      <c r="CH158" s="1725">
        <f t="shared" si="82"/>
        <v>1</v>
      </c>
      <c r="CI158" s="1725">
        <f t="shared" si="83"/>
        <v>1</v>
      </c>
      <c r="CJ158" s="1725">
        <f t="shared" si="84"/>
        <v>1</v>
      </c>
      <c r="CK158" s="1725">
        <f t="shared" si="85"/>
        <v>1</v>
      </c>
      <c r="CL158" s="1725">
        <f t="shared" si="86"/>
        <v>1</v>
      </c>
      <c r="CM158" s="1725">
        <f t="shared" si="87"/>
        <v>1</v>
      </c>
    </row>
    <row r="159" spans="1:91" x14ac:dyDescent="0.3">
      <c r="A159" s="6235"/>
      <c r="B159" s="5023"/>
      <c r="C159" s="5024" t="s">
        <v>24</v>
      </c>
      <c r="D159" s="3217">
        <v>0</v>
      </c>
      <c r="E159" s="3243">
        <v>0</v>
      </c>
      <c r="F159" s="3523">
        <v>0</v>
      </c>
      <c r="G159" s="5607">
        <v>0</v>
      </c>
      <c r="H159" s="5678">
        <v>0</v>
      </c>
      <c r="I159" s="5607">
        <v>0</v>
      </c>
      <c r="J159" s="5678">
        <v>0</v>
      </c>
      <c r="K159" s="5607">
        <v>0</v>
      </c>
      <c r="L159" s="5678">
        <v>0</v>
      </c>
      <c r="M159" s="5607">
        <v>0</v>
      </c>
      <c r="N159" s="5759">
        <v>0</v>
      </c>
      <c r="O159" s="5029">
        <v>0</v>
      </c>
      <c r="P159" s="5029">
        <v>0</v>
      </c>
      <c r="Q159" s="5029">
        <v>0</v>
      </c>
      <c r="R159" s="4745">
        <v>0</v>
      </c>
      <c r="S159" s="5029">
        <v>0</v>
      </c>
      <c r="T159" s="5029">
        <v>0</v>
      </c>
      <c r="U159" s="5029">
        <v>0</v>
      </c>
      <c r="V159" s="5029">
        <v>0</v>
      </c>
      <c r="W159" s="5029">
        <v>0</v>
      </c>
      <c r="X159" s="5029">
        <v>0</v>
      </c>
      <c r="Y159" s="5029">
        <v>0</v>
      </c>
    </row>
    <row r="160" spans="1:91" x14ac:dyDescent="0.3">
      <c r="A160" s="6234" t="s">
        <v>4621</v>
      </c>
      <c r="B160" s="7122" t="s">
        <v>83</v>
      </c>
      <c r="C160" s="7122"/>
      <c r="D160" s="3217" t="s">
        <v>5292</v>
      </c>
      <c r="E160" s="3243" t="s">
        <v>5293</v>
      </c>
      <c r="F160" s="3523" t="s">
        <v>5294</v>
      </c>
      <c r="G160" s="5761" t="s">
        <v>5295</v>
      </c>
      <c r="H160" s="5757" t="s">
        <v>5296</v>
      </c>
      <c r="I160" s="5761" t="s">
        <v>5297</v>
      </c>
      <c r="J160" s="5757" t="s">
        <v>5298</v>
      </c>
      <c r="K160" s="5761" t="s">
        <v>5299</v>
      </c>
      <c r="L160" s="5757" t="s">
        <v>5300</v>
      </c>
      <c r="M160" s="5761" t="s">
        <v>5301</v>
      </c>
      <c r="N160" s="5760" t="s">
        <v>5302</v>
      </c>
      <c r="O160" s="5032" t="s">
        <v>5303</v>
      </c>
      <c r="P160" s="5032" t="s">
        <v>5304</v>
      </c>
      <c r="Q160" s="5032" t="s">
        <v>5305</v>
      </c>
      <c r="R160" s="4746" t="s">
        <v>5306</v>
      </c>
      <c r="S160" s="5032" t="s">
        <v>5307</v>
      </c>
      <c r="T160" s="5032" t="s">
        <v>5308</v>
      </c>
      <c r="U160" s="5032" t="s">
        <v>5309</v>
      </c>
      <c r="V160" s="5032" t="s">
        <v>5310</v>
      </c>
      <c r="W160" s="5032" t="s">
        <v>5311</v>
      </c>
      <c r="X160" s="5032" t="s">
        <v>5312</v>
      </c>
      <c r="Y160" s="5032" t="s">
        <v>5313</v>
      </c>
      <c r="Z160" t="str">
        <f>BX160&amp;BY160&amp;BZ160&amp;CA160&amp;CB160&amp;CC160&amp;CD160</f>
        <v xml:space="preserve"> * La variable Beneficiarios no puede ser mayor al Total. * La variable Niños, Niñas, Adolescentes y Jóvenes Mejor Niñez no puede ser mayor al Total. * La variable Niños, Niñas, Adolescentes y Jóvenes SENAME no puede ser mayor al Total. * La variable Pueblos Originarios no puede ser mayor al Total. * La variable Migrantes no puede ser mayor al Total. * La variable Trans (Masculino) no puede ser mayor al Total Mujeres. * La variable Trans (Femenino) no puede ser mayor al Total Hombres.</v>
      </c>
      <c r="BX160" s="1723" t="str">
        <f>IF(AND(D160&gt;0,S160="")," * No olvide digitar la variable Beneficiarios. Digite cero si no tiene.",IF(S160&gt;D160," * La variable Beneficiarios no puede ser mayor al Total.",""))</f>
        <v xml:space="preserve"> * La variable Beneficiarios no puede ser mayor al Total.</v>
      </c>
      <c r="BY160" s="1723" t="str">
        <f>IF(AND(D160&gt;0,T160="")," * No olvide digitar la variable Niños, Niñas, Adolescentes y Jóvenes Mejor Niñez. Digite cero si no tiene.",IF(T160&gt;D160," * La variable Niños, Niñas, Adolescentes y Jóvenes Mejor Niñez no puede ser mayor al Total.",""))</f>
        <v xml:space="preserve"> * La variable Niños, Niñas, Adolescentes y Jóvenes Mejor Niñez no puede ser mayor al Total.</v>
      </c>
      <c r="BZ160" s="1723" t="str">
        <f>IF(AND(D160&gt;0,U160="")," * No olvide digitar la variable Niños, Niñas, Adolescentes y Jóvenes SENAME. Digite cero si no tiene.",IF(U160&gt;D160," * La variable Niños, Niñas, Adolescentes y Jóvenes SENAME no puede ser mayor al Total.",""))</f>
        <v xml:space="preserve"> * La variable Niños, Niñas, Adolescentes y Jóvenes SENAME no puede ser mayor al Total.</v>
      </c>
      <c r="CA160" s="1723" t="str">
        <f>IF(AND(D160&gt;0,V160="")," * No olvide digitar la variable Pueblos Originarios. Digite cero si no tiene.",IF(V160&gt;D160," * La variable Pueblos Originarios no puede ser mayor al Total.",""))</f>
        <v xml:space="preserve"> * La variable Pueblos Originarios no puede ser mayor al Total.</v>
      </c>
      <c r="CB160" s="1723" t="str">
        <f>IF(AND(D160&gt;0,W160="")," * No olvide digitar la variable Migrantes. Digite cero si no tiene.",IF(W160&gt;D160," * La variable Migrantes no puede ser mayor al Total.",""))</f>
        <v xml:space="preserve"> * La variable Migrantes no puede ser mayor al Total.</v>
      </c>
      <c r="CC160" s="1723" t="str">
        <f>IF(AND(F160&gt;0,OR(X160=""))," * No olvide digitar la variable Trans (Masculino). Digite cero si no tiene.",IF((X160)&gt;F160," * La variable Trans (Masculino) no puede ser mayor al Total Mujeres.",""))</f>
        <v xml:space="preserve"> * La variable Trans (Masculino) no puede ser mayor al Total Mujeres.</v>
      </c>
      <c r="CD160" s="1723" t="str">
        <f>IF(AND(E160&gt;0,OR(Y160=""))," * No olvide digitar la variable Trans (Femenino). Digite cero si no tiene.",IF((Y160)&gt;E160," * La variable Trans (Femenino) no puede ser mayor al Total Hombres.",""))</f>
        <v xml:space="preserve"> * La variable Trans (Femenino) no puede ser mayor al Total Hombres.</v>
      </c>
      <c r="CG160" s="1725">
        <f>IF(AND(D160&gt;0,S160=""),1,IF(S160&gt;D160,1,0))</f>
        <v>1</v>
      </c>
      <c r="CH160" s="1725">
        <f>IF(AND(D160&gt;0,T160=""),1,IF(T160&gt;D160,1,0))</f>
        <v>1</v>
      </c>
      <c r="CI160" s="1725">
        <f>IF(AND(D160&gt;0,U160=""),1,IF(U160&gt;D160,1,0))</f>
        <v>1</v>
      </c>
      <c r="CJ160" s="1725">
        <f>IF(AND(D160&gt;0,V160=""),1,IF(V160&gt;D160,1,0))</f>
        <v>1</v>
      </c>
      <c r="CK160" s="1725">
        <f>IF(AND(D160&gt;0,W160=""),1,IF(W160&gt;D160,1,0))</f>
        <v>1</v>
      </c>
      <c r="CL160" s="1725">
        <f>IF(AND(F160&gt;0,OR(X160="")),1,IF((X160)&gt;F160,1,0))</f>
        <v>1</v>
      </c>
      <c r="CM160" s="1725">
        <f>IF(AND(E160&gt;0,OR(Y160="")),1,IF((Y160)&gt;E160,1,0))</f>
        <v>1</v>
      </c>
    </row>
    <row r="161" spans="1:5" x14ac:dyDescent="0.3">
      <c r="B161" s="122" t="s">
        <v>3712</v>
      </c>
      <c r="C161" s="5033"/>
      <c r="D161" s="5033"/>
      <c r="E161" s="5033"/>
    </row>
    <row r="162" spans="1:5" x14ac:dyDescent="0.3">
      <c r="B162" s="7107" t="s">
        <v>137</v>
      </c>
      <c r="C162" s="7107" t="s">
        <v>138</v>
      </c>
      <c r="D162" s="7123" t="s">
        <v>3713</v>
      </c>
      <c r="E162" s="6651" t="s">
        <v>3714</v>
      </c>
    </row>
    <row r="163" spans="1:5" x14ac:dyDescent="0.3">
      <c r="B163" s="7109"/>
      <c r="C163" s="7109"/>
      <c r="D163" s="7124"/>
      <c r="E163" s="6652"/>
    </row>
    <row r="164" spans="1:5" x14ac:dyDescent="0.3">
      <c r="A164" s="6241" t="s">
        <v>4622</v>
      </c>
      <c r="B164" s="5034" t="s">
        <v>141</v>
      </c>
      <c r="C164" s="5035" t="s">
        <v>5292</v>
      </c>
      <c r="D164" s="5036" t="s">
        <v>5293</v>
      </c>
      <c r="E164" s="5037" t="s">
        <v>5294</v>
      </c>
    </row>
    <row r="165" spans="1:5" x14ac:dyDescent="0.3">
      <c r="A165" s="6241" t="s">
        <v>4623</v>
      </c>
      <c r="B165" s="3508" t="s">
        <v>3715</v>
      </c>
      <c r="C165" s="4304" t="s">
        <v>5292</v>
      </c>
      <c r="D165" s="5038" t="s">
        <v>5293</v>
      </c>
      <c r="E165" s="3511" t="s">
        <v>5294</v>
      </c>
    </row>
    <row r="166" spans="1:5" x14ac:dyDescent="0.3">
      <c r="A166" s="6241" t="s">
        <v>4624</v>
      </c>
      <c r="B166" s="584" t="s">
        <v>3716</v>
      </c>
      <c r="C166" s="274" t="s">
        <v>5292</v>
      </c>
      <c r="D166" s="3492" t="s">
        <v>5293</v>
      </c>
      <c r="E166" s="290" t="s">
        <v>5294</v>
      </c>
    </row>
    <row r="169" spans="1:5" x14ac:dyDescent="0.3">
      <c r="A169" t="s">
        <v>4625</v>
      </c>
    </row>
    <row r="170" spans="1:5" x14ac:dyDescent="0.3">
      <c r="A170" s="6234" t="s">
        <v>4626</v>
      </c>
    </row>
    <row r="171" spans="1:5" x14ac:dyDescent="0.3">
      <c r="A171" s="6234" t="s">
        <v>4627</v>
      </c>
    </row>
    <row r="172" spans="1:5" x14ac:dyDescent="0.3">
      <c r="A172" s="6234" t="s">
        <v>4628</v>
      </c>
    </row>
    <row r="173" spans="1:5" x14ac:dyDescent="0.3">
      <c r="A173" s="6234" t="s">
        <v>4629</v>
      </c>
    </row>
    <row r="174" spans="1:5" x14ac:dyDescent="0.3">
      <c r="A174" s="6234" t="s">
        <v>4630</v>
      </c>
    </row>
    <row r="175" spans="1:5" x14ac:dyDescent="0.3">
      <c r="A175" s="6234" t="s">
        <v>4631</v>
      </c>
    </row>
    <row r="176" spans="1:5" x14ac:dyDescent="0.3">
      <c r="A176" s="6234" t="s">
        <v>4632</v>
      </c>
    </row>
    <row r="177" spans="1:1" x14ac:dyDescent="0.3">
      <c r="A177" s="6234" t="s">
        <v>4633</v>
      </c>
    </row>
    <row r="178" spans="1:1" x14ac:dyDescent="0.3">
      <c r="A178" s="6234" t="s">
        <v>4634</v>
      </c>
    </row>
    <row r="179" spans="1:1" x14ac:dyDescent="0.3">
      <c r="A179" s="6234" t="s">
        <v>4635</v>
      </c>
    </row>
    <row r="180" spans="1:1" x14ac:dyDescent="0.3">
      <c r="A180" s="6234" t="s">
        <v>4636</v>
      </c>
    </row>
    <row r="182" spans="1:1" x14ac:dyDescent="0.3">
      <c r="A182" s="6234" t="s">
        <v>4637</v>
      </c>
    </row>
    <row r="183" spans="1:1" x14ac:dyDescent="0.3">
      <c r="A183" s="6241" t="s">
        <v>4615</v>
      </c>
    </row>
    <row r="184" spans="1:1" x14ac:dyDescent="0.3">
      <c r="A184" s="6241" t="s">
        <v>4616</v>
      </c>
    </row>
    <row r="185" spans="1:1" x14ac:dyDescent="0.3">
      <c r="A185" s="6241" t="s">
        <v>4617</v>
      </c>
    </row>
    <row r="186" spans="1:1" x14ac:dyDescent="0.3">
      <c r="A186" s="6241" t="s">
        <v>4618</v>
      </c>
    </row>
    <row r="187" spans="1:1" x14ac:dyDescent="0.3">
      <c r="A187" s="6241" t="s">
        <v>4619</v>
      </c>
    </row>
    <row r="188" spans="1:1" x14ac:dyDescent="0.3">
      <c r="A188" s="6241" t="s">
        <v>4620</v>
      </c>
    </row>
    <row r="189" spans="1:1" x14ac:dyDescent="0.3">
      <c r="A189" s="6241" t="s">
        <v>4622</v>
      </c>
    </row>
    <row r="190" spans="1:1" x14ac:dyDescent="0.3">
      <c r="A190" s="6241" t="s">
        <v>4623</v>
      </c>
    </row>
    <row r="191" spans="1:1" x14ac:dyDescent="0.3">
      <c r="A191" s="6241" t="s">
        <v>4624</v>
      </c>
    </row>
    <row r="197" spans="2:3" ht="14.25" hidden="1" customHeight="1" x14ac:dyDescent="0.3">
      <c r="B197" s="4463">
        <f>SUM(D12:D26,C30:C32,F30:F32,C36:C38,F36:F38,D41:D44,D49:D50,D55:D76,C80:J83,C86:E92,C101:G101,C106:C108,C112:F112,C116:C118,C122,D127:D130,C135:C142,C146:D147,D152:D160,C164:E166)</f>
        <v>0</v>
      </c>
      <c r="C197" s="4437">
        <f>SUM(CG12:CN160)</f>
        <v>244</v>
      </c>
    </row>
  </sheetData>
  <mergeCells count="212">
    <mergeCell ref="Y150:Y151"/>
    <mergeCell ref="P149:P151"/>
    <mergeCell ref="Q149:Q151"/>
    <mergeCell ref="R149:R151"/>
    <mergeCell ref="S149:S151"/>
    <mergeCell ref="T149:T151"/>
    <mergeCell ref="U149:U151"/>
    <mergeCell ref="E162:E163"/>
    <mergeCell ref="B152:B154"/>
    <mergeCell ref="B156:B158"/>
    <mergeCell ref="B160:C160"/>
    <mergeCell ref="B162:B163"/>
    <mergeCell ref="C162:C163"/>
    <mergeCell ref="D162:D163"/>
    <mergeCell ref="V149:V151"/>
    <mergeCell ref="W149:W151"/>
    <mergeCell ref="AQ124:AQ126"/>
    <mergeCell ref="AR124:AR126"/>
    <mergeCell ref="AS124:AS126"/>
    <mergeCell ref="AO124:AO126"/>
    <mergeCell ref="AP124:AP126"/>
    <mergeCell ref="B148:F148"/>
    <mergeCell ref="B149:B151"/>
    <mergeCell ref="C149:C151"/>
    <mergeCell ref="D149:F150"/>
    <mergeCell ref="G149:N149"/>
    <mergeCell ref="O149:O151"/>
    <mergeCell ref="B127:B130"/>
    <mergeCell ref="B132:B134"/>
    <mergeCell ref="C132:G132"/>
    <mergeCell ref="H132:H134"/>
    <mergeCell ref="I132:J133"/>
    <mergeCell ref="C133:C134"/>
    <mergeCell ref="D133:G133"/>
    <mergeCell ref="X149:Y149"/>
    <mergeCell ref="G150:H150"/>
    <mergeCell ref="I150:J150"/>
    <mergeCell ref="K150:L150"/>
    <mergeCell ref="M150:N150"/>
    <mergeCell ref="X150:X151"/>
    <mergeCell ref="G125:H125"/>
    <mergeCell ref="I125:J125"/>
    <mergeCell ref="K125:L125"/>
    <mergeCell ref="M125:N125"/>
    <mergeCell ref="O125:P125"/>
    <mergeCell ref="Q125:R125"/>
    <mergeCell ref="S125:T125"/>
    <mergeCell ref="B124:B126"/>
    <mergeCell ref="C124:C126"/>
    <mergeCell ref="D124:F125"/>
    <mergeCell ref="G124:AN124"/>
    <mergeCell ref="U125:V125"/>
    <mergeCell ref="W125:X125"/>
    <mergeCell ref="Y125:Z125"/>
    <mergeCell ref="AA125:AB125"/>
    <mergeCell ref="AC125:AD125"/>
    <mergeCell ref="AE125:AF125"/>
    <mergeCell ref="AG125:AH125"/>
    <mergeCell ref="AI125:AJ125"/>
    <mergeCell ref="AK125:AL125"/>
    <mergeCell ref="AM125:AN125"/>
    <mergeCell ref="H114:I114"/>
    <mergeCell ref="J114:K114"/>
    <mergeCell ref="B120:B121"/>
    <mergeCell ref="C120:C121"/>
    <mergeCell ref="D120:E120"/>
    <mergeCell ref="F120:G120"/>
    <mergeCell ref="H120:J120"/>
    <mergeCell ref="B110:B111"/>
    <mergeCell ref="C110:E110"/>
    <mergeCell ref="F110:F111"/>
    <mergeCell ref="B114:B115"/>
    <mergeCell ref="C114:E114"/>
    <mergeCell ref="F114:G114"/>
    <mergeCell ref="P103:P105"/>
    <mergeCell ref="Q103:Q105"/>
    <mergeCell ref="F104:G104"/>
    <mergeCell ref="H104:I104"/>
    <mergeCell ref="J104:K104"/>
    <mergeCell ref="L104:M104"/>
    <mergeCell ref="N104:O104"/>
    <mergeCell ref="B94:B95"/>
    <mergeCell ref="C94:C95"/>
    <mergeCell ref="D94:D95"/>
    <mergeCell ref="E94:E95"/>
    <mergeCell ref="F94:G94"/>
    <mergeCell ref="B103:B105"/>
    <mergeCell ref="C103:E104"/>
    <mergeCell ref="F103:N103"/>
    <mergeCell ref="B78:B79"/>
    <mergeCell ref="C78:D78"/>
    <mergeCell ref="E78:F78"/>
    <mergeCell ref="G78:H78"/>
    <mergeCell ref="I78:J78"/>
    <mergeCell ref="B55:B60"/>
    <mergeCell ref="B61:B62"/>
    <mergeCell ref="B63:B66"/>
    <mergeCell ref="B67:B68"/>
    <mergeCell ref="B69:B70"/>
    <mergeCell ref="B71:B76"/>
    <mergeCell ref="AM52:AM54"/>
    <mergeCell ref="AN52:AN54"/>
    <mergeCell ref="G53:H53"/>
    <mergeCell ref="I53:J53"/>
    <mergeCell ref="K53:L53"/>
    <mergeCell ref="M53:N53"/>
    <mergeCell ref="O53:P53"/>
    <mergeCell ref="Q53:R53"/>
    <mergeCell ref="S53:T53"/>
    <mergeCell ref="U53:V53"/>
    <mergeCell ref="B51:N51"/>
    <mergeCell ref="B52:C54"/>
    <mergeCell ref="D52:F53"/>
    <mergeCell ref="G52:AL52"/>
    <mergeCell ref="W53:X53"/>
    <mergeCell ref="Y53:Z53"/>
    <mergeCell ref="S47:T47"/>
    <mergeCell ref="U47:V47"/>
    <mergeCell ref="W47:X47"/>
    <mergeCell ref="Y47:Z47"/>
    <mergeCell ref="AA47:AB47"/>
    <mergeCell ref="AC47:AD47"/>
    <mergeCell ref="AA53:AB53"/>
    <mergeCell ref="AC53:AD53"/>
    <mergeCell ref="AE53:AF53"/>
    <mergeCell ref="AG53:AH53"/>
    <mergeCell ref="AI53:AJ53"/>
    <mergeCell ref="AK53:AL53"/>
    <mergeCell ref="G46:AL46"/>
    <mergeCell ref="AM46:AM48"/>
    <mergeCell ref="AN46:AN48"/>
    <mergeCell ref="AO46:AO48"/>
    <mergeCell ref="G47:H47"/>
    <mergeCell ref="I47:J47"/>
    <mergeCell ref="K47:L47"/>
    <mergeCell ref="M47:N47"/>
    <mergeCell ref="O47:P47"/>
    <mergeCell ref="Q47:R47"/>
    <mergeCell ref="AE47:AF47"/>
    <mergeCell ref="AG47:AH47"/>
    <mergeCell ref="AI47:AJ47"/>
    <mergeCell ref="AK47:AL47"/>
    <mergeCell ref="B41:B42"/>
    <mergeCell ref="B43:B44"/>
    <mergeCell ref="B46:C48"/>
    <mergeCell ref="D46:F47"/>
    <mergeCell ref="AT28:AT29"/>
    <mergeCell ref="AU28:AU29"/>
    <mergeCell ref="AV28:AV29"/>
    <mergeCell ref="B34:B35"/>
    <mergeCell ref="C34:C35"/>
    <mergeCell ref="D34:E34"/>
    <mergeCell ref="F34:H34"/>
    <mergeCell ref="I34:N34"/>
    <mergeCell ref="AK28:AL28"/>
    <mergeCell ref="AM28:AN28"/>
    <mergeCell ref="AO28:AP28"/>
    <mergeCell ref="AQ28:AQ29"/>
    <mergeCell ref="AR28:AR29"/>
    <mergeCell ref="AS28:AS29"/>
    <mergeCell ref="Y28:Z28"/>
    <mergeCell ref="AA28:AB28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B28:B29"/>
    <mergeCell ref="C28:C29"/>
    <mergeCell ref="D28:E28"/>
    <mergeCell ref="F28:H28"/>
    <mergeCell ref="I28:J28"/>
    <mergeCell ref="K28:L28"/>
    <mergeCell ref="AU10:AU11"/>
    <mergeCell ref="AV10:AV11"/>
    <mergeCell ref="B12:B22"/>
    <mergeCell ref="B23:C23"/>
    <mergeCell ref="B25:B26"/>
    <mergeCell ref="AA10:AB10"/>
    <mergeCell ref="AC10:AD10"/>
    <mergeCell ref="AE10:AF10"/>
    <mergeCell ref="AG10:AH10"/>
    <mergeCell ref="AI10:AJ10"/>
    <mergeCell ref="AK10:AL10"/>
    <mergeCell ref="O10:P10"/>
    <mergeCell ref="Q10:R10"/>
    <mergeCell ref="S10:T10"/>
    <mergeCell ref="U10:V10"/>
    <mergeCell ref="W10:X10"/>
    <mergeCell ref="Y10:Z10"/>
    <mergeCell ref="AP9:AP11"/>
    <mergeCell ref="AQ9:AQ11"/>
    <mergeCell ref="AR9:AR11"/>
    <mergeCell ref="AS9:AS11"/>
    <mergeCell ref="AT9:AT11"/>
    <mergeCell ref="AU9:AV9"/>
    <mergeCell ref="B6:X6"/>
    <mergeCell ref="B9:B11"/>
    <mergeCell ref="C9:C11"/>
    <mergeCell ref="D9:F10"/>
    <mergeCell ref="G9:AN9"/>
    <mergeCell ref="AO9:AO11"/>
    <mergeCell ref="G10:H10"/>
    <mergeCell ref="I10:J10"/>
    <mergeCell ref="K10:L10"/>
    <mergeCell ref="M10:N10"/>
    <mergeCell ref="AM10:AN10"/>
  </mergeCells>
  <dataValidations count="2">
    <dataValidation type="whole" allowBlank="1" showInputMessage="1" showErrorMessage="1" sqref="G148:AT148 T149" xr:uid="{00000000-0002-0000-0600-000000000000}">
      <formula1>0</formula1>
      <formula2>1E+30</formula2>
    </dataValidation>
    <dataValidation type="whole" operator="greaterThanOrEqual" allowBlank="1" showInputMessage="1" showErrorMessage="1" sqref="D30:AV31 D36:N37 D41:D44 G55:AN76 C80:J83 C86:E92 C96:G100 F106:Q108 C112:F112 F116:K118 D122:J122 G127:AS129 D135:J142 C146:D147 G12:AV26 G49:AO50 G152:Y154 G156:Y158 G160:Y160 C164:E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L249"/>
  <sheetViews>
    <sheetView showGridLines="0" workbookViewId="0"/>
  </sheetViews>
  <sheetFormatPr baseColWidth="10" defaultColWidth="11.44140625" defaultRowHeight="14.4" x14ac:dyDescent="0.3"/>
  <cols>
    <col min="1" max="1" width="19.44140625" customWidth="1"/>
    <col min="2" max="2" width="52.88671875" customWidth="1"/>
    <col min="3" max="3" width="31.5546875" customWidth="1"/>
    <col min="4" max="4" width="12.109375" customWidth="1"/>
    <col min="5" max="5" width="11.6640625" customWidth="1"/>
    <col min="6" max="19" width="11.33203125" customWidth="1"/>
    <col min="20" max="20" width="13.5546875" customWidth="1"/>
    <col min="21" max="21" width="13.109375" customWidth="1"/>
    <col min="22" max="25" width="11.44140625" customWidth="1"/>
    <col min="26" max="26" width="13.6640625" customWidth="1"/>
    <col min="27" max="29" width="11.44140625" customWidth="1"/>
    <col min="30" max="30" width="13.5546875" customWidth="1"/>
    <col min="31" max="33" width="11.44140625" customWidth="1"/>
    <col min="37" max="37" width="12" bestFit="1" customWidth="1"/>
    <col min="38" max="38" width="14.33203125" customWidth="1"/>
    <col min="39" max="39" width="16.109375" customWidth="1"/>
    <col min="40" max="40" width="13.88671875" customWidth="1"/>
    <col min="41" max="41" width="11.44140625" bestFit="1" customWidth="1"/>
    <col min="42" max="42" width="14" customWidth="1"/>
    <col min="43" max="43" width="14.88671875" customWidth="1"/>
    <col min="46" max="46" width="13.44140625" customWidth="1"/>
    <col min="47" max="47" width="13.88671875" customWidth="1"/>
    <col min="48" max="56" width="14.44140625" customWidth="1"/>
    <col min="57" max="57" width="11.44140625" hidden="1" customWidth="1"/>
    <col min="58" max="58" width="14" hidden="1" customWidth="1"/>
    <col min="59" max="59" width="11.44140625" hidden="1" customWidth="1"/>
    <col min="60" max="63" width="13.44140625" hidden="1" customWidth="1"/>
    <col min="64" max="72" width="11.44140625" hidden="1" customWidth="1"/>
    <col min="90" max="90" width="11.109375" customWidth="1"/>
    <col min="91" max="142" width="11.44140625" customWidth="1"/>
  </cols>
  <sheetData>
    <row r="1" spans="1:142" x14ac:dyDescent="0.3">
      <c r="B1" s="774" t="s">
        <v>3879</v>
      </c>
    </row>
    <row r="2" spans="1:142" x14ac:dyDescent="0.3">
      <c r="B2" s="774" t="str">
        <f>CONCATENATE("COMUNA: ",NOMBRE!B2," - ","( ",NOMBRE!C2,NOMBRE!D2,NOMBRE!E2,NOMBRE!F2,NOMBRE!G2," )")</f>
        <v>COMUNA:  - (  )</v>
      </c>
    </row>
    <row r="3" spans="1:142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42" x14ac:dyDescent="0.3">
      <c r="B4" s="774" t="str">
        <f>CONCATENATE("MES: ",NOMBRE!B6," - ","( ",NOMBRE!C6,NOMBRE!D6," )")</f>
        <v>MES:  - (  )</v>
      </c>
    </row>
    <row r="5" spans="1:142" x14ac:dyDescent="0.3">
      <c r="B5" s="774" t="str">
        <f>CONCATENATE("AÑO: ",NOMBRE!B7)</f>
        <v>AÑO: 2024</v>
      </c>
    </row>
    <row r="6" spans="1:142" s="103" customFormat="1" ht="18" customHeight="1" x14ac:dyDescent="0.3">
      <c r="B6" s="7125" t="s">
        <v>2116</v>
      </c>
      <c r="C6" s="7125"/>
      <c r="D6" s="7125"/>
      <c r="E6" s="7125"/>
      <c r="F6" s="7125"/>
      <c r="G6" s="7125"/>
      <c r="H6" s="7125"/>
      <c r="I6" s="7125"/>
      <c r="J6" s="7125"/>
      <c r="K6" s="7125"/>
      <c r="L6" s="7125"/>
      <c r="M6" s="7125"/>
      <c r="N6" s="7125"/>
      <c r="O6" s="7125"/>
      <c r="P6" s="7125"/>
      <c r="Q6" s="7125"/>
      <c r="R6" s="7125"/>
      <c r="S6" s="7125"/>
      <c r="T6" s="7125"/>
      <c r="U6" s="7125"/>
      <c r="V6" s="7125"/>
      <c r="W6" s="7125"/>
      <c r="X6" s="7125"/>
      <c r="Y6" s="7125"/>
      <c r="Z6" s="7125"/>
      <c r="AA6" s="7125"/>
      <c r="AB6" s="7125"/>
      <c r="AC6" s="7125"/>
      <c r="AD6" s="7125"/>
      <c r="AE6" s="7125"/>
      <c r="AF6" s="102"/>
      <c r="AG6" s="102"/>
      <c r="AH6" s="102"/>
      <c r="AI6" s="2388"/>
      <c r="AJ6" s="102"/>
      <c r="AK6" s="102"/>
      <c r="AL6" s="2388"/>
      <c r="AM6" s="102"/>
      <c r="AN6" s="102"/>
      <c r="AO6" s="2389"/>
      <c r="AQ6"/>
      <c r="AR6"/>
      <c r="AS6"/>
      <c r="BF6" s="777"/>
      <c r="BG6" s="777"/>
      <c r="BH6" s="777"/>
      <c r="BI6" s="777"/>
      <c r="BJ6" s="777"/>
      <c r="BK6" s="777"/>
      <c r="BL6" s="777"/>
      <c r="BM6" s="777"/>
      <c r="BN6" s="777"/>
      <c r="BO6" s="777"/>
      <c r="CJ6" s="104"/>
      <c r="CK6" s="104"/>
      <c r="CL6" s="104"/>
      <c r="CM6" s="2572"/>
      <c r="CN6" s="2572"/>
      <c r="CO6" s="2572"/>
      <c r="CP6" s="2572"/>
      <c r="CQ6" s="2572"/>
      <c r="CR6" s="2572"/>
      <c r="CS6"/>
      <c r="CT6"/>
      <c r="CU6"/>
      <c r="CV6"/>
      <c r="CW6"/>
      <c r="CX6"/>
      <c r="CY6"/>
      <c r="CZ6"/>
      <c r="DA6"/>
      <c r="DB6"/>
      <c r="DC6"/>
      <c r="DD6"/>
      <c r="DE6" s="777"/>
      <c r="DF6" s="777"/>
      <c r="DG6" s="777"/>
      <c r="DH6" s="777"/>
      <c r="DI6" s="777"/>
      <c r="DJ6" s="777"/>
      <c r="DK6" s="777"/>
      <c r="DL6" s="777"/>
      <c r="DM6" s="2572"/>
      <c r="DN6" s="2572"/>
      <c r="DO6" s="2572"/>
      <c r="DP6" s="2572"/>
      <c r="DQ6" s="2572"/>
      <c r="DR6" s="777"/>
      <c r="DS6" s="777"/>
      <c r="DT6" s="777"/>
      <c r="DU6" s="777"/>
      <c r="DV6" s="777"/>
      <c r="DW6" s="777"/>
      <c r="DX6" s="777"/>
      <c r="DY6" s="777"/>
      <c r="DZ6" s="777"/>
      <c r="EA6" s="777"/>
      <c r="EB6" s="777"/>
      <c r="EC6" s="777"/>
      <c r="ED6" s="777"/>
      <c r="EE6" s="777"/>
      <c r="EF6" s="777"/>
      <c r="EG6" s="777"/>
      <c r="EH6" s="777"/>
      <c r="EI6" s="777"/>
      <c r="EJ6" s="777"/>
      <c r="EK6" s="777"/>
      <c r="EL6" s="777"/>
    </row>
    <row r="8" spans="1:142" s="17" customFormat="1" ht="18" customHeight="1" x14ac:dyDescent="0.25">
      <c r="B8" s="122" t="s">
        <v>3868</v>
      </c>
      <c r="C8" s="123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2390"/>
      <c r="AF8" s="101"/>
      <c r="AG8" s="101"/>
    </row>
    <row r="9" spans="1:142" x14ac:dyDescent="0.3">
      <c r="B9" s="7099" t="s">
        <v>2117</v>
      </c>
      <c r="C9" s="7126" t="s">
        <v>3925</v>
      </c>
      <c r="D9" s="7127"/>
      <c r="E9" s="7127"/>
      <c r="F9" s="7127"/>
      <c r="G9" s="7127"/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8"/>
      <c r="X9" s="7099" t="s">
        <v>2118</v>
      </c>
      <c r="Y9" s="7100"/>
      <c r="Z9" s="7100"/>
      <c r="AA9" s="7100"/>
      <c r="AB9" s="7100"/>
      <c r="AC9" s="7100"/>
      <c r="AD9" s="7100"/>
      <c r="AE9" s="7101"/>
      <c r="AF9" s="7129" t="s">
        <v>2119</v>
      </c>
      <c r="AG9" s="7129"/>
    </row>
    <row r="10" spans="1:142" ht="15" customHeight="1" x14ac:dyDescent="0.3">
      <c r="B10" s="6590"/>
      <c r="C10" s="7107" t="s">
        <v>59</v>
      </c>
      <c r="D10" s="7099" t="s">
        <v>12</v>
      </c>
      <c r="E10" s="7100"/>
      <c r="F10" s="7100"/>
      <c r="G10" s="7100"/>
      <c r="H10" s="7100"/>
      <c r="I10" s="7100"/>
      <c r="J10" s="7100"/>
      <c r="K10" s="7100"/>
      <c r="L10" s="7100"/>
      <c r="M10" s="7100"/>
      <c r="N10" s="7100"/>
      <c r="O10" s="7100"/>
      <c r="P10" s="7100"/>
      <c r="Q10" s="7100"/>
      <c r="R10" s="7100"/>
      <c r="S10" s="7100"/>
      <c r="T10" s="7101"/>
      <c r="U10" s="7107" t="s">
        <v>67</v>
      </c>
      <c r="V10" s="7130" t="s">
        <v>2120</v>
      </c>
      <c r="W10" s="7131"/>
      <c r="X10" s="7132" t="s">
        <v>218</v>
      </c>
      <c r="Y10" s="7132"/>
      <c r="Z10" s="7132"/>
      <c r="AA10" s="7131"/>
      <c r="AB10" s="7130" t="s">
        <v>219</v>
      </c>
      <c r="AC10" s="7132"/>
      <c r="AD10" s="7132"/>
      <c r="AE10" s="7131"/>
      <c r="AF10" s="7129"/>
      <c r="AG10" s="7129"/>
    </row>
    <row r="11" spans="1:142" ht="32.25" customHeight="1" x14ac:dyDescent="0.3">
      <c r="B11" s="7102"/>
      <c r="C11" s="7109"/>
      <c r="D11" s="5042" t="s">
        <v>36</v>
      </c>
      <c r="E11" s="4558" t="s">
        <v>37</v>
      </c>
      <c r="F11" s="4785" t="s">
        <v>38</v>
      </c>
      <c r="G11" s="4785" t="s">
        <v>4</v>
      </c>
      <c r="H11" s="4785" t="s">
        <v>5</v>
      </c>
      <c r="I11" s="4724" t="s">
        <v>6</v>
      </c>
      <c r="J11" s="4724" t="s">
        <v>7</v>
      </c>
      <c r="K11" s="4724" t="s">
        <v>8</v>
      </c>
      <c r="L11" s="4724" t="s">
        <v>9</v>
      </c>
      <c r="M11" s="4724" t="s">
        <v>10</v>
      </c>
      <c r="N11" s="4724" t="s">
        <v>11</v>
      </c>
      <c r="O11" s="4724" t="s">
        <v>18</v>
      </c>
      <c r="P11" s="4724" t="s">
        <v>19</v>
      </c>
      <c r="Q11" s="4724" t="s">
        <v>20</v>
      </c>
      <c r="R11" s="4724" t="s">
        <v>70</v>
      </c>
      <c r="S11" s="4724" t="s">
        <v>71</v>
      </c>
      <c r="T11" s="5043" t="s">
        <v>32</v>
      </c>
      <c r="U11" s="7104"/>
      <c r="V11" s="4799" t="s">
        <v>22</v>
      </c>
      <c r="W11" s="5043" t="s">
        <v>27</v>
      </c>
      <c r="X11" s="5041" t="s">
        <v>50</v>
      </c>
      <c r="Y11" s="4622" t="s">
        <v>220</v>
      </c>
      <c r="Z11" s="4785" t="s">
        <v>2121</v>
      </c>
      <c r="AA11" s="5043" t="s">
        <v>2122</v>
      </c>
      <c r="AB11" s="4622" t="s">
        <v>50</v>
      </c>
      <c r="AC11" s="4622" t="s">
        <v>220</v>
      </c>
      <c r="AD11" s="4785" t="s">
        <v>2121</v>
      </c>
      <c r="AE11" s="5043" t="s">
        <v>221</v>
      </c>
      <c r="AF11" s="5042" t="s">
        <v>222</v>
      </c>
      <c r="AG11" s="5043" t="s">
        <v>223</v>
      </c>
    </row>
    <row r="12" spans="1:142" x14ac:dyDescent="0.3">
      <c r="A12" s="6258" t="s">
        <v>4638</v>
      </c>
      <c r="B12" s="1939" t="s">
        <v>224</v>
      </c>
      <c r="C12" s="1692" t="s">
        <v>5292</v>
      </c>
      <c r="D12" s="5022" t="s">
        <v>5293</v>
      </c>
      <c r="E12" s="5044" t="s">
        <v>5294</v>
      </c>
      <c r="F12" s="5044" t="s">
        <v>5295</v>
      </c>
      <c r="G12" s="5044" t="s">
        <v>5296</v>
      </c>
      <c r="H12" s="5045" t="s">
        <v>5297</v>
      </c>
      <c r="I12" s="5045" t="s">
        <v>5298</v>
      </c>
      <c r="J12" s="5045" t="s">
        <v>5299</v>
      </c>
      <c r="K12" s="5045" t="s">
        <v>5300</v>
      </c>
      <c r="L12" s="5045" t="s">
        <v>5301</v>
      </c>
      <c r="M12" s="5045" t="s">
        <v>5302</v>
      </c>
      <c r="N12" s="5045" t="s">
        <v>5303</v>
      </c>
      <c r="O12" s="5045" t="s">
        <v>5304</v>
      </c>
      <c r="P12" s="5045" t="s">
        <v>5305</v>
      </c>
      <c r="Q12" s="5045" t="s">
        <v>5306</v>
      </c>
      <c r="R12" s="5045" t="s">
        <v>5307</v>
      </c>
      <c r="S12" s="5045" t="s">
        <v>5308</v>
      </c>
      <c r="T12" s="5046" t="s">
        <v>5309</v>
      </c>
      <c r="U12" s="4424" t="s">
        <v>5310</v>
      </c>
      <c r="V12" s="106" t="s">
        <v>5311</v>
      </c>
      <c r="W12" s="5047" t="s">
        <v>5312</v>
      </c>
      <c r="X12" s="1939" t="s">
        <v>5313</v>
      </c>
      <c r="Y12" s="106" t="s">
        <v>5314</v>
      </c>
      <c r="Z12" s="5048" t="s">
        <v>5315</v>
      </c>
      <c r="AA12" s="5047" t="s">
        <v>5316</v>
      </c>
      <c r="AB12" s="5049" t="s">
        <v>5317</v>
      </c>
      <c r="AC12" s="106" t="s">
        <v>5318</v>
      </c>
      <c r="AD12" s="5048" t="s">
        <v>5319</v>
      </c>
      <c r="AE12" s="5047" t="s">
        <v>5320</v>
      </c>
      <c r="AF12" s="3240" t="s">
        <v>5321</v>
      </c>
      <c r="AG12" s="1060" t="s">
        <v>5322</v>
      </c>
      <c r="AH12" t="e">
        <f>BF12&amp;BG12&amp;BH12</f>
        <v>#VALUE!</v>
      </c>
      <c r="BF12" s="1723" t="e">
        <f>IF(V12+W12&lt;&gt;C12," * Las consultas según sexo NO DEBEN ser diferente al Total de Consultas","")</f>
        <v>#VALUE!</v>
      </c>
      <c r="BG12" s="1723" t="str">
        <f>IF(AND(C12&gt;0,U12="")," * No olvide digitar la columna Beneficiarios (Digite CERO si no tiene)",IF(U12&gt;C12," * La variable beneficiarios No puede ser mayor al Total.",""))</f>
        <v xml:space="preserve"> * La variable beneficiarios No puede ser mayor al Total.</v>
      </c>
      <c r="BH12" s="1723" t="e">
        <f>IF((X12+AB12)&gt;C12," * La suma del Total de Consultas Nuevas NO DEBE ser MAYOR que el total de Consultas y Controles médicos.","")</f>
        <v>#VALUE!</v>
      </c>
      <c r="BM12" s="1725" t="e">
        <f>IF(V12+W12&lt;&gt;C12,1,0)</f>
        <v>#VALUE!</v>
      </c>
      <c r="BN12" s="1725">
        <f>IF(AND(C12&gt;0,U12=""),1,IF(U12&gt;C12,1,0))</f>
        <v>1</v>
      </c>
      <c r="BO12" s="1725" t="e">
        <f>IF((X12+AB12)&gt;C12,1,0)</f>
        <v>#VALUE!</v>
      </c>
    </row>
    <row r="13" spans="1:142" x14ac:dyDescent="0.3">
      <c r="A13" s="6258" t="s">
        <v>4639</v>
      </c>
      <c r="B13" s="3381" t="s">
        <v>225</v>
      </c>
      <c r="C13" s="1692" t="s">
        <v>5292</v>
      </c>
      <c r="D13" s="1072" t="s">
        <v>5293</v>
      </c>
      <c r="E13" s="1073" t="s">
        <v>5294</v>
      </c>
      <c r="F13" s="1073" t="s">
        <v>5295</v>
      </c>
      <c r="G13" s="1073" t="s">
        <v>5296</v>
      </c>
      <c r="H13" s="1073" t="s">
        <v>5297</v>
      </c>
      <c r="I13" s="1073" t="s">
        <v>5298</v>
      </c>
      <c r="J13" s="1073" t="s">
        <v>5299</v>
      </c>
      <c r="K13" s="1073" t="s">
        <v>5300</v>
      </c>
      <c r="L13" s="1073" t="s">
        <v>5301</v>
      </c>
      <c r="M13" s="1073" t="s">
        <v>5302</v>
      </c>
      <c r="N13" s="1073" t="s">
        <v>5303</v>
      </c>
      <c r="O13" s="1073" t="s">
        <v>5304</v>
      </c>
      <c r="P13" s="1073" t="s">
        <v>5305</v>
      </c>
      <c r="Q13" s="1073" t="s">
        <v>5306</v>
      </c>
      <c r="R13" s="1073" t="s">
        <v>5307</v>
      </c>
      <c r="S13" s="1073" t="s">
        <v>5308</v>
      </c>
      <c r="T13" s="1060" t="s">
        <v>5309</v>
      </c>
      <c r="U13" s="3077" t="s">
        <v>5310</v>
      </c>
      <c r="V13" s="1072" t="s">
        <v>5311</v>
      </c>
      <c r="W13" s="1060" t="s">
        <v>5312</v>
      </c>
      <c r="X13" s="3381" t="s">
        <v>5313</v>
      </c>
      <c r="Y13" s="1072" t="s">
        <v>5314</v>
      </c>
      <c r="Z13" s="1073" t="s">
        <v>5315</v>
      </c>
      <c r="AA13" s="1060" t="s">
        <v>5316</v>
      </c>
      <c r="AB13" s="3046" t="s">
        <v>5317</v>
      </c>
      <c r="AC13" s="1072" t="s">
        <v>5318</v>
      </c>
      <c r="AD13" s="3143" t="s">
        <v>5319</v>
      </c>
      <c r="AE13" s="1060" t="s">
        <v>5320</v>
      </c>
      <c r="AF13" s="3240" t="s">
        <v>5321</v>
      </c>
      <c r="AG13" s="1060" t="s">
        <v>5322</v>
      </c>
      <c r="AH13" t="e">
        <f t="shared" ref="AH13:AH70" si="0">BF13&amp;BG13&amp;BH13</f>
        <v>#VALUE!</v>
      </c>
      <c r="BF13" s="1723" t="e">
        <f t="shared" ref="BF13:BF71" si="1">IF(V13+W13&lt;&gt;C13," * Las consultas según sexo NO DEBEN ser diferente al Total de Consultas","")</f>
        <v>#VALUE!</v>
      </c>
      <c r="BG13" s="1723" t="str">
        <f t="shared" ref="BG13:BG71" si="2">IF(AND(C13&gt;0,U13="")," * No olvide digitar la columna Beneficiarios (Digite CERO si no tiene)",IF(U13&gt;C13," * La variable beneficiarios No puede ser mayor al Total.",""))</f>
        <v xml:space="preserve"> * La variable beneficiarios No puede ser mayor al Total.</v>
      </c>
      <c r="BH13" s="1723" t="e">
        <f t="shared" ref="BH13:BH71" si="3">IF((X13+AB13)&gt;C13," * La suma del Total de Consultas Nuevas NO DEBE ser MAYOR que el total de Consultas y Controles médicos.","")</f>
        <v>#VALUE!</v>
      </c>
      <c r="BM13" s="1725" t="e">
        <f t="shared" ref="BM13:BM71" si="4">IF(V13+W13&lt;&gt;C13,1,0)</f>
        <v>#VALUE!</v>
      </c>
      <c r="BN13" s="1725">
        <f t="shared" ref="BN13:BN71" si="5">IF(AND(C13&gt;0,U13=""),1,IF(U13&gt;C13,1,0))</f>
        <v>1</v>
      </c>
      <c r="BO13" s="1725" t="e">
        <f t="shared" ref="BO13:BO71" si="6">IF((X13+AB13)&gt;C13,1,0)</f>
        <v>#VALUE!</v>
      </c>
    </row>
    <row r="14" spans="1:142" x14ac:dyDescent="0.3">
      <c r="A14" s="6258" t="s">
        <v>4640</v>
      </c>
      <c r="B14" s="3381" t="s">
        <v>226</v>
      </c>
      <c r="C14" s="1692" t="s">
        <v>5292</v>
      </c>
      <c r="D14" s="1072" t="s">
        <v>5293</v>
      </c>
      <c r="E14" s="2392" t="s">
        <v>5294</v>
      </c>
      <c r="F14" s="2392" t="s">
        <v>5295</v>
      </c>
      <c r="G14" s="2392" t="s">
        <v>5296</v>
      </c>
      <c r="H14" s="2392" t="s">
        <v>5297</v>
      </c>
      <c r="I14" s="2392" t="s">
        <v>5298</v>
      </c>
      <c r="J14" s="2392" t="s">
        <v>5299</v>
      </c>
      <c r="K14" s="2392" t="s">
        <v>5300</v>
      </c>
      <c r="L14" s="2392" t="s">
        <v>5301</v>
      </c>
      <c r="M14" s="2392" t="s">
        <v>5302</v>
      </c>
      <c r="N14" s="2392" t="s">
        <v>5303</v>
      </c>
      <c r="O14" s="2392" t="s">
        <v>5304</v>
      </c>
      <c r="P14" s="2392" t="s">
        <v>5305</v>
      </c>
      <c r="Q14" s="2392" t="s">
        <v>5306</v>
      </c>
      <c r="R14" s="2392" t="s">
        <v>5307</v>
      </c>
      <c r="S14" s="2392" t="s">
        <v>5308</v>
      </c>
      <c r="T14" s="1071" t="s">
        <v>5309</v>
      </c>
      <c r="U14" s="3077" t="s">
        <v>5310</v>
      </c>
      <c r="V14" s="1072" t="s">
        <v>5311</v>
      </c>
      <c r="W14" s="1060" t="s">
        <v>5312</v>
      </c>
      <c r="X14" s="3381" t="s">
        <v>5313</v>
      </c>
      <c r="Y14" s="1072" t="s">
        <v>5314</v>
      </c>
      <c r="Z14" s="1073" t="s">
        <v>5315</v>
      </c>
      <c r="AA14" s="1060" t="s">
        <v>5316</v>
      </c>
      <c r="AB14" s="3046" t="s">
        <v>5317</v>
      </c>
      <c r="AC14" s="1072" t="s">
        <v>5318</v>
      </c>
      <c r="AD14" s="3143" t="s">
        <v>5319</v>
      </c>
      <c r="AE14" s="1060" t="s">
        <v>5320</v>
      </c>
      <c r="AF14" s="3240" t="s">
        <v>5321</v>
      </c>
      <c r="AG14" s="1060" t="s">
        <v>5322</v>
      </c>
      <c r="AH14" t="e">
        <f t="shared" si="0"/>
        <v>#VALUE!</v>
      </c>
      <c r="BF14" s="1723" t="e">
        <f t="shared" si="1"/>
        <v>#VALUE!</v>
      </c>
      <c r="BG14" s="1723" t="str">
        <f t="shared" si="2"/>
        <v xml:space="preserve"> * La variable beneficiarios No puede ser mayor al Total.</v>
      </c>
      <c r="BH14" s="1723" t="e">
        <f t="shared" si="3"/>
        <v>#VALUE!</v>
      </c>
      <c r="BM14" s="1725" t="e">
        <f t="shared" si="4"/>
        <v>#VALUE!</v>
      </c>
      <c r="BN14" s="1725">
        <f t="shared" si="5"/>
        <v>1</v>
      </c>
      <c r="BO14" s="1725" t="e">
        <f t="shared" si="6"/>
        <v>#VALUE!</v>
      </c>
    </row>
    <row r="15" spans="1:142" x14ac:dyDescent="0.3">
      <c r="A15" s="6258" t="s">
        <v>4641</v>
      </c>
      <c r="B15" s="3381" t="s">
        <v>2123</v>
      </c>
      <c r="C15" s="1692" t="s">
        <v>5292</v>
      </c>
      <c r="D15" s="1072" t="s">
        <v>5293</v>
      </c>
      <c r="E15" s="1073" t="s">
        <v>5294</v>
      </c>
      <c r="F15" s="1073" t="s">
        <v>5295</v>
      </c>
      <c r="G15" s="1073" t="s">
        <v>5296</v>
      </c>
      <c r="H15" s="1073" t="s">
        <v>5297</v>
      </c>
      <c r="I15" s="1073" t="s">
        <v>5298</v>
      </c>
      <c r="J15" s="1073" t="s">
        <v>5299</v>
      </c>
      <c r="K15" s="1073" t="s">
        <v>5300</v>
      </c>
      <c r="L15" s="1073" t="s">
        <v>5301</v>
      </c>
      <c r="M15" s="1073" t="s">
        <v>5302</v>
      </c>
      <c r="N15" s="1073" t="s">
        <v>5303</v>
      </c>
      <c r="O15" s="1073" t="s">
        <v>5304</v>
      </c>
      <c r="P15" s="1073" t="s">
        <v>5305</v>
      </c>
      <c r="Q15" s="1073" t="s">
        <v>5306</v>
      </c>
      <c r="R15" s="1073" t="s">
        <v>5307</v>
      </c>
      <c r="S15" s="1073" t="s">
        <v>5308</v>
      </c>
      <c r="T15" s="1060" t="s">
        <v>5309</v>
      </c>
      <c r="U15" s="3077" t="s">
        <v>5310</v>
      </c>
      <c r="V15" s="1072" t="s">
        <v>5311</v>
      </c>
      <c r="W15" s="1060" t="s">
        <v>5312</v>
      </c>
      <c r="X15" s="3381" t="s">
        <v>5313</v>
      </c>
      <c r="Y15" s="1072" t="s">
        <v>5314</v>
      </c>
      <c r="Z15" s="1073" t="s">
        <v>5315</v>
      </c>
      <c r="AA15" s="1060" t="s">
        <v>5316</v>
      </c>
      <c r="AB15" s="3046" t="s">
        <v>5317</v>
      </c>
      <c r="AC15" s="1072" t="s">
        <v>5318</v>
      </c>
      <c r="AD15" s="3143" t="s">
        <v>5319</v>
      </c>
      <c r="AE15" s="1060" t="s">
        <v>5320</v>
      </c>
      <c r="AF15" s="3240" t="s">
        <v>5321</v>
      </c>
      <c r="AG15" s="1060" t="s">
        <v>5322</v>
      </c>
      <c r="AH15" t="e">
        <f t="shared" si="0"/>
        <v>#VALUE!</v>
      </c>
      <c r="BF15" s="1723" t="e">
        <f t="shared" si="1"/>
        <v>#VALUE!</v>
      </c>
      <c r="BG15" s="1723" t="str">
        <f t="shared" si="2"/>
        <v xml:space="preserve"> * La variable beneficiarios No puede ser mayor al Total.</v>
      </c>
      <c r="BH15" s="1723" t="e">
        <f t="shared" si="3"/>
        <v>#VALUE!</v>
      </c>
      <c r="BM15" s="1725" t="e">
        <f t="shared" si="4"/>
        <v>#VALUE!</v>
      </c>
      <c r="BN15" s="1725">
        <f t="shared" si="5"/>
        <v>1</v>
      </c>
      <c r="BO15" s="1725" t="e">
        <f t="shared" si="6"/>
        <v>#VALUE!</v>
      </c>
    </row>
    <row r="16" spans="1:142" x14ac:dyDescent="0.3">
      <c r="A16" s="6258" t="s">
        <v>4642</v>
      </c>
      <c r="B16" s="3381" t="s">
        <v>2124</v>
      </c>
      <c r="C16" s="1692" t="s">
        <v>5292</v>
      </c>
      <c r="D16" s="1072" t="s">
        <v>5293</v>
      </c>
      <c r="E16" s="1073" t="s">
        <v>5294</v>
      </c>
      <c r="F16" s="1073" t="s">
        <v>5295</v>
      </c>
      <c r="G16" s="1073" t="s">
        <v>5296</v>
      </c>
      <c r="H16" s="1073" t="s">
        <v>5297</v>
      </c>
      <c r="I16" s="1073" t="s">
        <v>5298</v>
      </c>
      <c r="J16" s="1073" t="s">
        <v>5299</v>
      </c>
      <c r="K16" s="1073" t="s">
        <v>5300</v>
      </c>
      <c r="L16" s="1073" t="s">
        <v>5301</v>
      </c>
      <c r="M16" s="1073" t="s">
        <v>5302</v>
      </c>
      <c r="N16" s="1073" t="s">
        <v>5303</v>
      </c>
      <c r="O16" s="1073" t="s">
        <v>5304</v>
      </c>
      <c r="P16" s="1073" t="s">
        <v>5305</v>
      </c>
      <c r="Q16" s="1073" t="s">
        <v>5306</v>
      </c>
      <c r="R16" s="1073" t="s">
        <v>5307</v>
      </c>
      <c r="S16" s="1073" t="s">
        <v>5308</v>
      </c>
      <c r="T16" s="1060" t="s">
        <v>5309</v>
      </c>
      <c r="U16" s="3077" t="s">
        <v>5310</v>
      </c>
      <c r="V16" s="1072" t="s">
        <v>5311</v>
      </c>
      <c r="W16" s="1060" t="s">
        <v>5312</v>
      </c>
      <c r="X16" s="3381" t="s">
        <v>5313</v>
      </c>
      <c r="Y16" s="1072" t="s">
        <v>5314</v>
      </c>
      <c r="Z16" s="1073" t="s">
        <v>5315</v>
      </c>
      <c r="AA16" s="1060" t="s">
        <v>5316</v>
      </c>
      <c r="AB16" s="1113" t="s">
        <v>5317</v>
      </c>
      <c r="AC16" s="1072" t="s">
        <v>5318</v>
      </c>
      <c r="AD16" s="3143" t="s">
        <v>5319</v>
      </c>
      <c r="AE16" s="1060" t="s">
        <v>5320</v>
      </c>
      <c r="AF16" s="3240" t="s">
        <v>5321</v>
      </c>
      <c r="AG16" s="1060" t="s">
        <v>5322</v>
      </c>
      <c r="AH16" t="e">
        <f t="shared" si="0"/>
        <v>#VALUE!</v>
      </c>
      <c r="BF16" s="1723" t="e">
        <f t="shared" si="1"/>
        <v>#VALUE!</v>
      </c>
      <c r="BG16" s="1723" t="str">
        <f t="shared" si="2"/>
        <v xml:space="preserve"> * La variable beneficiarios No puede ser mayor al Total.</v>
      </c>
      <c r="BH16" s="1723" t="e">
        <f t="shared" si="3"/>
        <v>#VALUE!</v>
      </c>
      <c r="BM16" s="1725" t="e">
        <f t="shared" si="4"/>
        <v>#VALUE!</v>
      </c>
      <c r="BN16" s="1725">
        <f t="shared" si="5"/>
        <v>1</v>
      </c>
      <c r="BO16" s="1725" t="e">
        <f t="shared" si="6"/>
        <v>#VALUE!</v>
      </c>
    </row>
    <row r="17" spans="1:67" x14ac:dyDescent="0.3">
      <c r="A17" s="6259" t="s">
        <v>4643</v>
      </c>
      <c r="B17" s="3381" t="s">
        <v>2125</v>
      </c>
      <c r="C17" s="1692" t="s">
        <v>5292</v>
      </c>
      <c r="D17" s="1072" t="s">
        <v>5293</v>
      </c>
      <c r="E17" s="1073" t="s">
        <v>5294</v>
      </c>
      <c r="F17" s="1073" t="s">
        <v>5295</v>
      </c>
      <c r="G17" s="1073" t="s">
        <v>5296</v>
      </c>
      <c r="H17" s="1073" t="s">
        <v>5297</v>
      </c>
      <c r="I17" s="1073" t="s">
        <v>5298</v>
      </c>
      <c r="J17" s="1073" t="s">
        <v>5299</v>
      </c>
      <c r="K17" s="1073" t="s">
        <v>5300</v>
      </c>
      <c r="L17" s="1073" t="s">
        <v>5301</v>
      </c>
      <c r="M17" s="1073" t="s">
        <v>5302</v>
      </c>
      <c r="N17" s="1073" t="s">
        <v>5303</v>
      </c>
      <c r="O17" s="1073" t="s">
        <v>5304</v>
      </c>
      <c r="P17" s="1073" t="s">
        <v>5305</v>
      </c>
      <c r="Q17" s="1073" t="s">
        <v>5306</v>
      </c>
      <c r="R17" s="1073" t="s">
        <v>5307</v>
      </c>
      <c r="S17" s="1073" t="s">
        <v>5308</v>
      </c>
      <c r="T17" s="1060" t="s">
        <v>5309</v>
      </c>
      <c r="U17" s="3077" t="s">
        <v>5310</v>
      </c>
      <c r="V17" s="1072" t="s">
        <v>5311</v>
      </c>
      <c r="W17" s="1060" t="s">
        <v>5312</v>
      </c>
      <c r="X17" s="3381" t="s">
        <v>5313</v>
      </c>
      <c r="Y17" s="1072" t="s">
        <v>5314</v>
      </c>
      <c r="Z17" s="1073" t="s">
        <v>5315</v>
      </c>
      <c r="AA17" s="1060" t="s">
        <v>5316</v>
      </c>
      <c r="AB17" s="1113" t="s">
        <v>5317</v>
      </c>
      <c r="AC17" s="1072" t="s">
        <v>5318</v>
      </c>
      <c r="AD17" s="3143" t="s">
        <v>5319</v>
      </c>
      <c r="AE17" s="1060" t="s">
        <v>5320</v>
      </c>
      <c r="AF17" s="3240" t="s">
        <v>5321</v>
      </c>
      <c r="AG17" s="1060" t="s">
        <v>5322</v>
      </c>
      <c r="AH17" t="e">
        <f t="shared" si="0"/>
        <v>#VALUE!</v>
      </c>
      <c r="BF17" s="1723" t="e">
        <f t="shared" si="1"/>
        <v>#VALUE!</v>
      </c>
      <c r="BG17" s="1723" t="str">
        <f t="shared" si="2"/>
        <v xml:space="preserve"> * La variable beneficiarios No puede ser mayor al Total.</v>
      </c>
      <c r="BH17" s="1723" t="e">
        <f t="shared" si="3"/>
        <v>#VALUE!</v>
      </c>
      <c r="BM17" s="1725" t="e">
        <f t="shared" si="4"/>
        <v>#VALUE!</v>
      </c>
      <c r="BN17" s="1725">
        <f t="shared" si="5"/>
        <v>1</v>
      </c>
      <c r="BO17" s="1725" t="e">
        <f t="shared" si="6"/>
        <v>#VALUE!</v>
      </c>
    </row>
    <row r="18" spans="1:67" x14ac:dyDescent="0.3">
      <c r="A18" s="6258" t="s">
        <v>4644</v>
      </c>
      <c r="B18" s="3381" t="s">
        <v>2126</v>
      </c>
      <c r="C18" s="1692" t="s">
        <v>5292</v>
      </c>
      <c r="D18" s="1072" t="s">
        <v>5293</v>
      </c>
      <c r="E18" s="1073" t="s">
        <v>5294</v>
      </c>
      <c r="F18" s="1073" t="s">
        <v>5295</v>
      </c>
      <c r="G18" s="1073" t="s">
        <v>5296</v>
      </c>
      <c r="H18" s="1073" t="s">
        <v>5297</v>
      </c>
      <c r="I18" s="1073" t="s">
        <v>5298</v>
      </c>
      <c r="J18" s="1073" t="s">
        <v>5299</v>
      </c>
      <c r="K18" s="1073" t="s">
        <v>5300</v>
      </c>
      <c r="L18" s="1073" t="s">
        <v>5301</v>
      </c>
      <c r="M18" s="1073" t="s">
        <v>5302</v>
      </c>
      <c r="N18" s="1073" t="s">
        <v>5303</v>
      </c>
      <c r="O18" s="1073" t="s">
        <v>5304</v>
      </c>
      <c r="P18" s="1073" t="s">
        <v>5305</v>
      </c>
      <c r="Q18" s="1073" t="s">
        <v>5306</v>
      </c>
      <c r="R18" s="1073" t="s">
        <v>5307</v>
      </c>
      <c r="S18" s="1073" t="s">
        <v>5308</v>
      </c>
      <c r="T18" s="1060" t="s">
        <v>5309</v>
      </c>
      <c r="U18" s="3077" t="s">
        <v>5310</v>
      </c>
      <c r="V18" s="1072" t="s">
        <v>5311</v>
      </c>
      <c r="W18" s="1060" t="s">
        <v>5312</v>
      </c>
      <c r="X18" s="3381" t="s">
        <v>5313</v>
      </c>
      <c r="Y18" s="1072" t="s">
        <v>5314</v>
      </c>
      <c r="Z18" s="1073" t="s">
        <v>5315</v>
      </c>
      <c r="AA18" s="1060" t="s">
        <v>5316</v>
      </c>
      <c r="AB18" s="1113" t="s">
        <v>5317</v>
      </c>
      <c r="AC18" s="1072" t="s">
        <v>5318</v>
      </c>
      <c r="AD18" s="3143" t="s">
        <v>5319</v>
      </c>
      <c r="AE18" s="1060" t="s">
        <v>5320</v>
      </c>
      <c r="AF18" s="3240" t="s">
        <v>5321</v>
      </c>
      <c r="AG18" s="1060" t="s">
        <v>5322</v>
      </c>
      <c r="AH18" t="e">
        <f t="shared" si="0"/>
        <v>#VALUE!</v>
      </c>
      <c r="BF18" s="1723" t="e">
        <f t="shared" si="1"/>
        <v>#VALUE!</v>
      </c>
      <c r="BG18" s="1723" t="str">
        <f t="shared" si="2"/>
        <v xml:space="preserve"> * La variable beneficiarios No puede ser mayor al Total.</v>
      </c>
      <c r="BH18" s="1723" t="e">
        <f t="shared" si="3"/>
        <v>#VALUE!</v>
      </c>
      <c r="BM18" s="1725" t="e">
        <f t="shared" si="4"/>
        <v>#VALUE!</v>
      </c>
      <c r="BN18" s="1725">
        <f t="shared" si="5"/>
        <v>1</v>
      </c>
      <c r="BO18" s="1725" t="e">
        <f t="shared" si="6"/>
        <v>#VALUE!</v>
      </c>
    </row>
    <row r="19" spans="1:67" x14ac:dyDescent="0.3">
      <c r="A19" s="6258" t="s">
        <v>4645</v>
      </c>
      <c r="B19" s="3381" t="s">
        <v>2127</v>
      </c>
      <c r="C19" s="1692" t="s">
        <v>5292</v>
      </c>
      <c r="D19" s="1072" t="s">
        <v>5293</v>
      </c>
      <c r="E19" s="1073" t="s">
        <v>5294</v>
      </c>
      <c r="F19" s="1073" t="s">
        <v>5295</v>
      </c>
      <c r="G19" s="1073" t="s">
        <v>5296</v>
      </c>
      <c r="H19" s="1073" t="s">
        <v>5297</v>
      </c>
      <c r="I19" s="1073" t="s">
        <v>5298</v>
      </c>
      <c r="J19" s="1073" t="s">
        <v>5299</v>
      </c>
      <c r="K19" s="1073" t="s">
        <v>5300</v>
      </c>
      <c r="L19" s="1073" t="s">
        <v>5301</v>
      </c>
      <c r="M19" s="1073" t="s">
        <v>5302</v>
      </c>
      <c r="N19" s="1073" t="s">
        <v>5303</v>
      </c>
      <c r="O19" s="1073" t="s">
        <v>5304</v>
      </c>
      <c r="P19" s="1073" t="s">
        <v>5305</v>
      </c>
      <c r="Q19" s="1073" t="s">
        <v>5306</v>
      </c>
      <c r="R19" s="1073" t="s">
        <v>5307</v>
      </c>
      <c r="S19" s="1073" t="s">
        <v>5308</v>
      </c>
      <c r="T19" s="1060" t="s">
        <v>5309</v>
      </c>
      <c r="U19" s="3077" t="s">
        <v>5310</v>
      </c>
      <c r="V19" s="1072" t="s">
        <v>5311</v>
      </c>
      <c r="W19" s="1060" t="s">
        <v>5312</v>
      </c>
      <c r="X19" s="3381" t="s">
        <v>5313</v>
      </c>
      <c r="Y19" s="1072" t="s">
        <v>5314</v>
      </c>
      <c r="Z19" s="1073" t="s">
        <v>5315</v>
      </c>
      <c r="AA19" s="1060" t="s">
        <v>5316</v>
      </c>
      <c r="AB19" s="1113" t="s">
        <v>5317</v>
      </c>
      <c r="AC19" s="1072" t="s">
        <v>5318</v>
      </c>
      <c r="AD19" s="3143" t="s">
        <v>5319</v>
      </c>
      <c r="AE19" s="1060" t="s">
        <v>5320</v>
      </c>
      <c r="AF19" s="3240" t="s">
        <v>5321</v>
      </c>
      <c r="AG19" s="1060" t="s">
        <v>5322</v>
      </c>
      <c r="AH19" t="e">
        <f t="shared" si="0"/>
        <v>#VALUE!</v>
      </c>
      <c r="BF19" s="1723" t="e">
        <f t="shared" si="1"/>
        <v>#VALUE!</v>
      </c>
      <c r="BG19" s="1723" t="str">
        <f t="shared" si="2"/>
        <v xml:space="preserve"> * La variable beneficiarios No puede ser mayor al Total.</v>
      </c>
      <c r="BH19" s="1723" t="e">
        <f t="shared" si="3"/>
        <v>#VALUE!</v>
      </c>
      <c r="BM19" s="1725" t="e">
        <f t="shared" si="4"/>
        <v>#VALUE!</v>
      </c>
      <c r="BN19" s="1725">
        <f t="shared" si="5"/>
        <v>1</v>
      </c>
      <c r="BO19" s="1725" t="e">
        <f t="shared" si="6"/>
        <v>#VALUE!</v>
      </c>
    </row>
    <row r="20" spans="1:67" x14ac:dyDescent="0.3">
      <c r="A20" s="6258" t="s">
        <v>4646</v>
      </c>
      <c r="B20" s="3381" t="s">
        <v>2128</v>
      </c>
      <c r="C20" s="1692" t="s">
        <v>5292</v>
      </c>
      <c r="D20" s="1072" t="s">
        <v>5293</v>
      </c>
      <c r="E20" s="1073" t="s">
        <v>5294</v>
      </c>
      <c r="F20" s="1073" t="s">
        <v>5295</v>
      </c>
      <c r="G20" s="1073" t="s">
        <v>5296</v>
      </c>
      <c r="H20" s="1073" t="s">
        <v>5297</v>
      </c>
      <c r="I20" s="1073" t="s">
        <v>5298</v>
      </c>
      <c r="J20" s="1073" t="s">
        <v>5299</v>
      </c>
      <c r="K20" s="1073" t="s">
        <v>5300</v>
      </c>
      <c r="L20" s="1073" t="s">
        <v>5301</v>
      </c>
      <c r="M20" s="1073" t="s">
        <v>5302</v>
      </c>
      <c r="N20" s="1073" t="s">
        <v>5303</v>
      </c>
      <c r="O20" s="1073" t="s">
        <v>5304</v>
      </c>
      <c r="P20" s="1073" t="s">
        <v>5305</v>
      </c>
      <c r="Q20" s="1073" t="s">
        <v>5306</v>
      </c>
      <c r="R20" s="1073" t="s">
        <v>5307</v>
      </c>
      <c r="S20" s="1073" t="s">
        <v>5308</v>
      </c>
      <c r="T20" s="1060" t="s">
        <v>5309</v>
      </c>
      <c r="U20" s="3077" t="s">
        <v>5310</v>
      </c>
      <c r="V20" s="1072" t="s">
        <v>5311</v>
      </c>
      <c r="W20" s="1060" t="s">
        <v>5312</v>
      </c>
      <c r="X20" s="3381" t="s">
        <v>5313</v>
      </c>
      <c r="Y20" s="1072" t="s">
        <v>5314</v>
      </c>
      <c r="Z20" s="1073" t="s">
        <v>5315</v>
      </c>
      <c r="AA20" s="1060" t="s">
        <v>5316</v>
      </c>
      <c r="AB20" s="1113" t="s">
        <v>5317</v>
      </c>
      <c r="AC20" s="1072" t="s">
        <v>5318</v>
      </c>
      <c r="AD20" s="3143" t="s">
        <v>5319</v>
      </c>
      <c r="AE20" s="1060" t="s">
        <v>5320</v>
      </c>
      <c r="AF20" s="3240" t="s">
        <v>5321</v>
      </c>
      <c r="AG20" s="1060" t="s">
        <v>5322</v>
      </c>
      <c r="AH20" t="e">
        <f t="shared" si="0"/>
        <v>#VALUE!</v>
      </c>
      <c r="BF20" s="1723" t="e">
        <f t="shared" si="1"/>
        <v>#VALUE!</v>
      </c>
      <c r="BG20" s="1723" t="str">
        <f t="shared" si="2"/>
        <v xml:space="preserve"> * La variable beneficiarios No puede ser mayor al Total.</v>
      </c>
      <c r="BH20" s="1723" t="e">
        <f t="shared" si="3"/>
        <v>#VALUE!</v>
      </c>
      <c r="BM20" s="1725" t="e">
        <f t="shared" si="4"/>
        <v>#VALUE!</v>
      </c>
      <c r="BN20" s="1725">
        <f t="shared" si="5"/>
        <v>1</v>
      </c>
      <c r="BO20" s="1725" t="e">
        <f t="shared" si="6"/>
        <v>#VALUE!</v>
      </c>
    </row>
    <row r="21" spans="1:67" x14ac:dyDescent="0.3">
      <c r="A21" s="6258" t="s">
        <v>4647</v>
      </c>
      <c r="B21" s="3381" t="s">
        <v>2129</v>
      </c>
      <c r="C21" s="1692" t="s">
        <v>5292</v>
      </c>
      <c r="D21" s="1072" t="s">
        <v>5293</v>
      </c>
      <c r="E21" s="1073" t="s">
        <v>5294</v>
      </c>
      <c r="F21" s="1073" t="s">
        <v>5295</v>
      </c>
      <c r="G21" s="1073" t="s">
        <v>5296</v>
      </c>
      <c r="H21" s="1073" t="s">
        <v>5297</v>
      </c>
      <c r="I21" s="1073" t="s">
        <v>5298</v>
      </c>
      <c r="J21" s="1073" t="s">
        <v>5299</v>
      </c>
      <c r="K21" s="1073" t="s">
        <v>5300</v>
      </c>
      <c r="L21" s="1073" t="s">
        <v>5301</v>
      </c>
      <c r="M21" s="1073" t="s">
        <v>5302</v>
      </c>
      <c r="N21" s="1073" t="s">
        <v>5303</v>
      </c>
      <c r="O21" s="1073" t="s">
        <v>5304</v>
      </c>
      <c r="P21" s="1073" t="s">
        <v>5305</v>
      </c>
      <c r="Q21" s="1073" t="s">
        <v>5306</v>
      </c>
      <c r="R21" s="1073" t="s">
        <v>5307</v>
      </c>
      <c r="S21" s="1073" t="s">
        <v>5308</v>
      </c>
      <c r="T21" s="1060" t="s">
        <v>5309</v>
      </c>
      <c r="U21" s="3077" t="s">
        <v>5310</v>
      </c>
      <c r="V21" s="1072" t="s">
        <v>5311</v>
      </c>
      <c r="W21" s="1060" t="s">
        <v>5312</v>
      </c>
      <c r="X21" s="3381" t="s">
        <v>5313</v>
      </c>
      <c r="Y21" s="1072" t="s">
        <v>5314</v>
      </c>
      <c r="Z21" s="1073" t="s">
        <v>5315</v>
      </c>
      <c r="AA21" s="1060" t="s">
        <v>5316</v>
      </c>
      <c r="AB21" s="1113" t="s">
        <v>5317</v>
      </c>
      <c r="AC21" s="1072" t="s">
        <v>5318</v>
      </c>
      <c r="AD21" s="3143" t="s">
        <v>5319</v>
      </c>
      <c r="AE21" s="1060" t="s">
        <v>5320</v>
      </c>
      <c r="AF21" s="3240" t="s">
        <v>5321</v>
      </c>
      <c r="AG21" s="1060" t="s">
        <v>5322</v>
      </c>
      <c r="AH21" t="e">
        <f t="shared" si="0"/>
        <v>#VALUE!</v>
      </c>
      <c r="BF21" s="1723" t="e">
        <f t="shared" si="1"/>
        <v>#VALUE!</v>
      </c>
      <c r="BG21" s="1723" t="str">
        <f t="shared" si="2"/>
        <v xml:space="preserve"> * La variable beneficiarios No puede ser mayor al Total.</v>
      </c>
      <c r="BH21" s="1723" t="e">
        <f t="shared" si="3"/>
        <v>#VALUE!</v>
      </c>
      <c r="BM21" s="1725" t="e">
        <f t="shared" si="4"/>
        <v>#VALUE!</v>
      </c>
      <c r="BN21" s="1725">
        <f t="shared" si="5"/>
        <v>1</v>
      </c>
      <c r="BO21" s="1725" t="e">
        <f t="shared" si="6"/>
        <v>#VALUE!</v>
      </c>
    </row>
    <row r="22" spans="1:67" x14ac:dyDescent="0.3">
      <c r="A22" s="6258" t="s">
        <v>4648</v>
      </c>
      <c r="B22" s="3381" t="s">
        <v>2130</v>
      </c>
      <c r="C22" s="1692" t="s">
        <v>5292</v>
      </c>
      <c r="D22" s="1072" t="s">
        <v>5293</v>
      </c>
      <c r="E22" s="1073" t="s">
        <v>5294</v>
      </c>
      <c r="F22" s="1073" t="s">
        <v>5295</v>
      </c>
      <c r="G22" s="1073" t="s">
        <v>5296</v>
      </c>
      <c r="H22" s="1073" t="s">
        <v>5297</v>
      </c>
      <c r="I22" s="1073" t="s">
        <v>5298</v>
      </c>
      <c r="J22" s="1073" t="s">
        <v>5299</v>
      </c>
      <c r="K22" s="1073" t="s">
        <v>5300</v>
      </c>
      <c r="L22" s="1073" t="s">
        <v>5301</v>
      </c>
      <c r="M22" s="1073" t="s">
        <v>5302</v>
      </c>
      <c r="N22" s="1073" t="s">
        <v>5303</v>
      </c>
      <c r="O22" s="1073" t="s">
        <v>5304</v>
      </c>
      <c r="P22" s="1073" t="s">
        <v>5305</v>
      </c>
      <c r="Q22" s="1073" t="s">
        <v>5306</v>
      </c>
      <c r="R22" s="1073" t="s">
        <v>5307</v>
      </c>
      <c r="S22" s="1073" t="s">
        <v>5308</v>
      </c>
      <c r="T22" s="1060" t="s">
        <v>5309</v>
      </c>
      <c r="U22" s="3077" t="s">
        <v>5310</v>
      </c>
      <c r="V22" s="1072" t="s">
        <v>5311</v>
      </c>
      <c r="W22" s="1060" t="s">
        <v>5312</v>
      </c>
      <c r="X22" s="3381" t="s">
        <v>5313</v>
      </c>
      <c r="Y22" s="1072" t="s">
        <v>5314</v>
      </c>
      <c r="Z22" s="1073" t="s">
        <v>5315</v>
      </c>
      <c r="AA22" s="1060" t="s">
        <v>5316</v>
      </c>
      <c r="AB22" s="1113" t="s">
        <v>5317</v>
      </c>
      <c r="AC22" s="1072" t="s">
        <v>5318</v>
      </c>
      <c r="AD22" s="3143" t="s">
        <v>5319</v>
      </c>
      <c r="AE22" s="1060" t="s">
        <v>5320</v>
      </c>
      <c r="AF22" s="3240" t="s">
        <v>5321</v>
      </c>
      <c r="AG22" s="1060" t="s">
        <v>5322</v>
      </c>
      <c r="AH22" t="e">
        <f t="shared" si="0"/>
        <v>#VALUE!</v>
      </c>
      <c r="BF22" s="1723" t="e">
        <f t="shared" si="1"/>
        <v>#VALUE!</v>
      </c>
      <c r="BG22" s="1723" t="str">
        <f t="shared" si="2"/>
        <v xml:space="preserve"> * La variable beneficiarios No puede ser mayor al Total.</v>
      </c>
      <c r="BH22" s="1723" t="e">
        <f t="shared" si="3"/>
        <v>#VALUE!</v>
      </c>
      <c r="BM22" s="1725" t="e">
        <f t="shared" si="4"/>
        <v>#VALUE!</v>
      </c>
      <c r="BN22" s="1725">
        <f t="shared" si="5"/>
        <v>1</v>
      </c>
      <c r="BO22" s="1725" t="e">
        <f t="shared" si="6"/>
        <v>#VALUE!</v>
      </c>
    </row>
    <row r="23" spans="1:67" x14ac:dyDescent="0.3">
      <c r="A23" s="6258" t="s">
        <v>4649</v>
      </c>
      <c r="B23" s="3381" t="s">
        <v>2131</v>
      </c>
      <c r="C23" s="1692" t="s">
        <v>5292</v>
      </c>
      <c r="D23" s="1072" t="s">
        <v>5293</v>
      </c>
      <c r="E23" s="1073" t="s">
        <v>5294</v>
      </c>
      <c r="F23" s="1073" t="s">
        <v>5295</v>
      </c>
      <c r="G23" s="1073" t="s">
        <v>5296</v>
      </c>
      <c r="H23" s="1073" t="s">
        <v>5297</v>
      </c>
      <c r="I23" s="1073" t="s">
        <v>5298</v>
      </c>
      <c r="J23" s="1073" t="s">
        <v>5299</v>
      </c>
      <c r="K23" s="1073" t="s">
        <v>5300</v>
      </c>
      <c r="L23" s="1073" t="s">
        <v>5301</v>
      </c>
      <c r="M23" s="1073" t="s">
        <v>5302</v>
      </c>
      <c r="N23" s="1073" t="s">
        <v>5303</v>
      </c>
      <c r="O23" s="1073" t="s">
        <v>5304</v>
      </c>
      <c r="P23" s="1073" t="s">
        <v>5305</v>
      </c>
      <c r="Q23" s="1073" t="s">
        <v>5306</v>
      </c>
      <c r="R23" s="1073" t="s">
        <v>5307</v>
      </c>
      <c r="S23" s="1073" t="s">
        <v>5308</v>
      </c>
      <c r="T23" s="1060" t="s">
        <v>5309</v>
      </c>
      <c r="U23" s="3077" t="s">
        <v>5310</v>
      </c>
      <c r="V23" s="1072" t="s">
        <v>5311</v>
      </c>
      <c r="W23" s="1060" t="s">
        <v>5312</v>
      </c>
      <c r="X23" s="3381" t="s">
        <v>5313</v>
      </c>
      <c r="Y23" s="1072" t="s">
        <v>5314</v>
      </c>
      <c r="Z23" s="1073" t="s">
        <v>5315</v>
      </c>
      <c r="AA23" s="1060" t="s">
        <v>5316</v>
      </c>
      <c r="AB23" s="1113" t="s">
        <v>5317</v>
      </c>
      <c r="AC23" s="1072" t="s">
        <v>5318</v>
      </c>
      <c r="AD23" s="3143" t="s">
        <v>5319</v>
      </c>
      <c r="AE23" s="1060" t="s">
        <v>5320</v>
      </c>
      <c r="AF23" s="3240" t="s">
        <v>5321</v>
      </c>
      <c r="AG23" s="1060" t="s">
        <v>5322</v>
      </c>
      <c r="AH23" t="e">
        <f t="shared" si="0"/>
        <v>#VALUE!</v>
      </c>
      <c r="BF23" s="1723" t="e">
        <f t="shared" si="1"/>
        <v>#VALUE!</v>
      </c>
      <c r="BG23" s="1723" t="str">
        <f t="shared" si="2"/>
        <v xml:space="preserve"> * La variable beneficiarios No puede ser mayor al Total.</v>
      </c>
      <c r="BH23" s="1723" t="e">
        <f t="shared" si="3"/>
        <v>#VALUE!</v>
      </c>
      <c r="BM23" s="1725" t="e">
        <f t="shared" si="4"/>
        <v>#VALUE!</v>
      </c>
      <c r="BN23" s="1725">
        <f t="shared" si="5"/>
        <v>1</v>
      </c>
      <c r="BO23" s="1725" t="e">
        <f t="shared" si="6"/>
        <v>#VALUE!</v>
      </c>
    </row>
    <row r="24" spans="1:67" x14ac:dyDescent="0.3">
      <c r="A24" s="6258" t="s">
        <v>4650</v>
      </c>
      <c r="B24" s="3381" t="s">
        <v>2132</v>
      </c>
      <c r="C24" s="1692" t="s">
        <v>5292</v>
      </c>
      <c r="D24" s="1072" t="s">
        <v>5293</v>
      </c>
      <c r="E24" s="1073" t="s">
        <v>5294</v>
      </c>
      <c r="F24" s="1073" t="s">
        <v>5295</v>
      </c>
      <c r="G24" s="1073" t="s">
        <v>5296</v>
      </c>
      <c r="H24" s="1073" t="s">
        <v>5297</v>
      </c>
      <c r="I24" s="1073" t="s">
        <v>5298</v>
      </c>
      <c r="J24" s="1073" t="s">
        <v>5299</v>
      </c>
      <c r="K24" s="1073" t="s">
        <v>5300</v>
      </c>
      <c r="L24" s="1073" t="s">
        <v>5301</v>
      </c>
      <c r="M24" s="1073" t="s">
        <v>5302</v>
      </c>
      <c r="N24" s="1073" t="s">
        <v>5303</v>
      </c>
      <c r="O24" s="1073" t="s">
        <v>5304</v>
      </c>
      <c r="P24" s="1073" t="s">
        <v>5305</v>
      </c>
      <c r="Q24" s="1073" t="s">
        <v>5306</v>
      </c>
      <c r="R24" s="1073" t="s">
        <v>5307</v>
      </c>
      <c r="S24" s="1073" t="s">
        <v>5308</v>
      </c>
      <c r="T24" s="1060" t="s">
        <v>5309</v>
      </c>
      <c r="U24" s="3077" t="s">
        <v>5310</v>
      </c>
      <c r="V24" s="1072" t="s">
        <v>5311</v>
      </c>
      <c r="W24" s="1060" t="s">
        <v>5312</v>
      </c>
      <c r="X24" s="3381" t="s">
        <v>5313</v>
      </c>
      <c r="Y24" s="1072" t="s">
        <v>5314</v>
      </c>
      <c r="Z24" s="1073" t="s">
        <v>5315</v>
      </c>
      <c r="AA24" s="1060" t="s">
        <v>5316</v>
      </c>
      <c r="AB24" s="1113" t="s">
        <v>5317</v>
      </c>
      <c r="AC24" s="1072" t="s">
        <v>5318</v>
      </c>
      <c r="AD24" s="3143" t="s">
        <v>5319</v>
      </c>
      <c r="AE24" s="1060" t="s">
        <v>5320</v>
      </c>
      <c r="AF24" s="3240" t="s">
        <v>5321</v>
      </c>
      <c r="AG24" s="1060" t="s">
        <v>5322</v>
      </c>
      <c r="AH24" t="e">
        <f t="shared" si="0"/>
        <v>#VALUE!</v>
      </c>
      <c r="BF24" s="1723" t="e">
        <f t="shared" si="1"/>
        <v>#VALUE!</v>
      </c>
      <c r="BG24" s="1723" t="str">
        <f t="shared" si="2"/>
        <v xml:space="preserve"> * La variable beneficiarios No puede ser mayor al Total.</v>
      </c>
      <c r="BH24" s="1723" t="e">
        <f t="shared" si="3"/>
        <v>#VALUE!</v>
      </c>
      <c r="BM24" s="1725" t="e">
        <f t="shared" si="4"/>
        <v>#VALUE!</v>
      </c>
      <c r="BN24" s="1725">
        <f t="shared" si="5"/>
        <v>1</v>
      </c>
      <c r="BO24" s="1725" t="e">
        <f t="shared" si="6"/>
        <v>#VALUE!</v>
      </c>
    </row>
    <row r="25" spans="1:67" x14ac:dyDescent="0.3">
      <c r="A25" s="6258" t="s">
        <v>4651</v>
      </c>
      <c r="B25" s="3381" t="s">
        <v>2133</v>
      </c>
      <c r="C25" s="1692" t="s">
        <v>5292</v>
      </c>
      <c r="D25" s="1072" t="s">
        <v>5293</v>
      </c>
      <c r="E25" s="1073" t="s">
        <v>5294</v>
      </c>
      <c r="F25" s="1073" t="s">
        <v>5295</v>
      </c>
      <c r="G25" s="1073" t="s">
        <v>5296</v>
      </c>
      <c r="H25" s="1073" t="s">
        <v>5297</v>
      </c>
      <c r="I25" s="1073" t="s">
        <v>5298</v>
      </c>
      <c r="J25" s="1073" t="s">
        <v>5299</v>
      </c>
      <c r="K25" s="1073" t="s">
        <v>5300</v>
      </c>
      <c r="L25" s="1073" t="s">
        <v>5301</v>
      </c>
      <c r="M25" s="1073" t="s">
        <v>5302</v>
      </c>
      <c r="N25" s="1073" t="s">
        <v>5303</v>
      </c>
      <c r="O25" s="1073" t="s">
        <v>5304</v>
      </c>
      <c r="P25" s="1073" t="s">
        <v>5305</v>
      </c>
      <c r="Q25" s="1073" t="s">
        <v>5306</v>
      </c>
      <c r="R25" s="1073" t="s">
        <v>5307</v>
      </c>
      <c r="S25" s="1073" t="s">
        <v>5308</v>
      </c>
      <c r="T25" s="1060" t="s">
        <v>5309</v>
      </c>
      <c r="U25" s="3077" t="s">
        <v>5310</v>
      </c>
      <c r="V25" s="1072" t="s">
        <v>5311</v>
      </c>
      <c r="W25" s="1060" t="s">
        <v>5312</v>
      </c>
      <c r="X25" s="3381" t="s">
        <v>5313</v>
      </c>
      <c r="Y25" s="1072" t="s">
        <v>5314</v>
      </c>
      <c r="Z25" s="1073" t="s">
        <v>5315</v>
      </c>
      <c r="AA25" s="1060" t="s">
        <v>5316</v>
      </c>
      <c r="AB25" s="1113" t="s">
        <v>5317</v>
      </c>
      <c r="AC25" s="1072" t="s">
        <v>5318</v>
      </c>
      <c r="AD25" s="3143" t="s">
        <v>5319</v>
      </c>
      <c r="AE25" s="1060" t="s">
        <v>5320</v>
      </c>
      <c r="AF25" s="3240" t="s">
        <v>5321</v>
      </c>
      <c r="AG25" s="1060" t="s">
        <v>5322</v>
      </c>
      <c r="AH25" t="e">
        <f t="shared" si="0"/>
        <v>#VALUE!</v>
      </c>
      <c r="BF25" s="1723" t="e">
        <f t="shared" si="1"/>
        <v>#VALUE!</v>
      </c>
      <c r="BG25" s="1723" t="str">
        <f t="shared" si="2"/>
        <v xml:space="preserve"> * La variable beneficiarios No puede ser mayor al Total.</v>
      </c>
      <c r="BH25" s="1723" t="e">
        <f t="shared" si="3"/>
        <v>#VALUE!</v>
      </c>
      <c r="BM25" s="1725" t="e">
        <f t="shared" si="4"/>
        <v>#VALUE!</v>
      </c>
      <c r="BN25" s="1725">
        <f t="shared" si="5"/>
        <v>1</v>
      </c>
      <c r="BO25" s="1725" t="e">
        <f t="shared" si="6"/>
        <v>#VALUE!</v>
      </c>
    </row>
    <row r="26" spans="1:67" x14ac:dyDescent="0.3">
      <c r="A26" s="6258" t="s">
        <v>4652</v>
      </c>
      <c r="B26" s="3381" t="s">
        <v>2134</v>
      </c>
      <c r="C26" s="1692" t="s">
        <v>5292</v>
      </c>
      <c r="D26" s="1072" t="s">
        <v>5293</v>
      </c>
      <c r="E26" s="1073" t="s">
        <v>5294</v>
      </c>
      <c r="F26" s="1073" t="s">
        <v>5295</v>
      </c>
      <c r="G26" s="1073" t="s">
        <v>5296</v>
      </c>
      <c r="H26" s="1073" t="s">
        <v>5297</v>
      </c>
      <c r="I26" s="1073" t="s">
        <v>5298</v>
      </c>
      <c r="J26" s="1073" t="s">
        <v>5299</v>
      </c>
      <c r="K26" s="1073" t="s">
        <v>5300</v>
      </c>
      <c r="L26" s="1073" t="s">
        <v>5301</v>
      </c>
      <c r="M26" s="1073" t="s">
        <v>5302</v>
      </c>
      <c r="N26" s="1073" t="s">
        <v>5303</v>
      </c>
      <c r="O26" s="1073" t="s">
        <v>5304</v>
      </c>
      <c r="P26" s="1073" t="s">
        <v>5305</v>
      </c>
      <c r="Q26" s="1073" t="s">
        <v>5306</v>
      </c>
      <c r="R26" s="1073" t="s">
        <v>5307</v>
      </c>
      <c r="S26" s="1073" t="s">
        <v>5308</v>
      </c>
      <c r="T26" s="1060" t="s">
        <v>5309</v>
      </c>
      <c r="U26" s="3077" t="s">
        <v>5310</v>
      </c>
      <c r="V26" s="1072" t="s">
        <v>5311</v>
      </c>
      <c r="W26" s="1060" t="s">
        <v>5312</v>
      </c>
      <c r="X26" s="3381" t="s">
        <v>5313</v>
      </c>
      <c r="Y26" s="1072" t="s">
        <v>5314</v>
      </c>
      <c r="Z26" s="1073" t="s">
        <v>5315</v>
      </c>
      <c r="AA26" s="1060" t="s">
        <v>5316</v>
      </c>
      <c r="AB26" s="1113" t="s">
        <v>5317</v>
      </c>
      <c r="AC26" s="1072" t="s">
        <v>5318</v>
      </c>
      <c r="AD26" s="3143" t="s">
        <v>5319</v>
      </c>
      <c r="AE26" s="1060" t="s">
        <v>5320</v>
      </c>
      <c r="AF26" s="3240" t="s">
        <v>5321</v>
      </c>
      <c r="AG26" s="1060" t="s">
        <v>5322</v>
      </c>
      <c r="AH26" t="e">
        <f t="shared" si="0"/>
        <v>#VALUE!</v>
      </c>
      <c r="BF26" s="1723" t="e">
        <f t="shared" si="1"/>
        <v>#VALUE!</v>
      </c>
      <c r="BG26" s="1723" t="str">
        <f t="shared" si="2"/>
        <v xml:space="preserve"> * La variable beneficiarios No puede ser mayor al Total.</v>
      </c>
      <c r="BH26" s="1723" t="e">
        <f t="shared" si="3"/>
        <v>#VALUE!</v>
      </c>
      <c r="BM26" s="1725" t="e">
        <f t="shared" si="4"/>
        <v>#VALUE!</v>
      </c>
      <c r="BN26" s="1725">
        <f t="shared" si="5"/>
        <v>1</v>
      </c>
      <c r="BO26" s="1725" t="e">
        <f t="shared" si="6"/>
        <v>#VALUE!</v>
      </c>
    </row>
    <row r="27" spans="1:67" x14ac:dyDescent="0.3">
      <c r="A27" s="6258" t="s">
        <v>4653</v>
      </c>
      <c r="B27" s="3381" t="s">
        <v>2135</v>
      </c>
      <c r="C27" s="1692" t="s">
        <v>5292</v>
      </c>
      <c r="D27" s="1072" t="s">
        <v>5293</v>
      </c>
      <c r="E27" s="1073" t="s">
        <v>5294</v>
      </c>
      <c r="F27" s="1073" t="s">
        <v>5295</v>
      </c>
      <c r="G27" s="1073" t="s">
        <v>5296</v>
      </c>
      <c r="H27" s="1073" t="s">
        <v>5297</v>
      </c>
      <c r="I27" s="1073" t="s">
        <v>5298</v>
      </c>
      <c r="J27" s="1073" t="s">
        <v>5299</v>
      </c>
      <c r="K27" s="1073" t="s">
        <v>5300</v>
      </c>
      <c r="L27" s="1073" t="s">
        <v>5301</v>
      </c>
      <c r="M27" s="1073" t="s">
        <v>5302</v>
      </c>
      <c r="N27" s="1073" t="s">
        <v>5303</v>
      </c>
      <c r="O27" s="1073" t="s">
        <v>5304</v>
      </c>
      <c r="P27" s="1073" t="s">
        <v>5305</v>
      </c>
      <c r="Q27" s="1073" t="s">
        <v>5306</v>
      </c>
      <c r="R27" s="1073" t="s">
        <v>5307</v>
      </c>
      <c r="S27" s="1073" t="s">
        <v>5308</v>
      </c>
      <c r="T27" s="1060" t="s">
        <v>5309</v>
      </c>
      <c r="U27" s="3077" t="s">
        <v>5310</v>
      </c>
      <c r="V27" s="1072" t="s">
        <v>5311</v>
      </c>
      <c r="W27" s="1060" t="s">
        <v>5312</v>
      </c>
      <c r="X27" s="3381" t="s">
        <v>5313</v>
      </c>
      <c r="Y27" s="1072" t="s">
        <v>5314</v>
      </c>
      <c r="Z27" s="1073" t="s">
        <v>5315</v>
      </c>
      <c r="AA27" s="1060" t="s">
        <v>5316</v>
      </c>
      <c r="AB27" s="1113" t="s">
        <v>5317</v>
      </c>
      <c r="AC27" s="1072" t="s">
        <v>5318</v>
      </c>
      <c r="AD27" s="3143" t="s">
        <v>5319</v>
      </c>
      <c r="AE27" s="1060" t="s">
        <v>5320</v>
      </c>
      <c r="AF27" s="3240" t="s">
        <v>5321</v>
      </c>
      <c r="AG27" s="1060" t="s">
        <v>5322</v>
      </c>
      <c r="AH27" t="e">
        <f t="shared" si="0"/>
        <v>#VALUE!</v>
      </c>
      <c r="BF27" s="1723" t="e">
        <f t="shared" si="1"/>
        <v>#VALUE!</v>
      </c>
      <c r="BG27" s="1723" t="str">
        <f t="shared" si="2"/>
        <v xml:space="preserve"> * La variable beneficiarios No puede ser mayor al Total.</v>
      </c>
      <c r="BH27" s="1723" t="e">
        <f t="shared" si="3"/>
        <v>#VALUE!</v>
      </c>
      <c r="BM27" s="1725" t="e">
        <f t="shared" si="4"/>
        <v>#VALUE!</v>
      </c>
      <c r="BN27" s="1725">
        <f t="shared" si="5"/>
        <v>1</v>
      </c>
      <c r="BO27" s="1725" t="e">
        <f t="shared" si="6"/>
        <v>#VALUE!</v>
      </c>
    </row>
    <row r="28" spans="1:67" x14ac:dyDescent="0.3">
      <c r="A28" s="6258" t="s">
        <v>4654</v>
      </c>
      <c r="B28" s="3381" t="s">
        <v>2136</v>
      </c>
      <c r="C28" s="1692" t="s">
        <v>5292</v>
      </c>
      <c r="D28" s="1072" t="s">
        <v>5293</v>
      </c>
      <c r="E28" s="1073" t="s">
        <v>5294</v>
      </c>
      <c r="F28" s="1073" t="s">
        <v>5295</v>
      </c>
      <c r="G28" s="1073" t="s">
        <v>5296</v>
      </c>
      <c r="H28" s="1073" t="s">
        <v>5297</v>
      </c>
      <c r="I28" s="1073" t="s">
        <v>5298</v>
      </c>
      <c r="J28" s="1073" t="s">
        <v>5299</v>
      </c>
      <c r="K28" s="1073" t="s">
        <v>5300</v>
      </c>
      <c r="L28" s="1073" t="s">
        <v>5301</v>
      </c>
      <c r="M28" s="1073" t="s">
        <v>5302</v>
      </c>
      <c r="N28" s="1073" t="s">
        <v>5303</v>
      </c>
      <c r="O28" s="1073" t="s">
        <v>5304</v>
      </c>
      <c r="P28" s="1073" t="s">
        <v>5305</v>
      </c>
      <c r="Q28" s="1073" t="s">
        <v>5306</v>
      </c>
      <c r="R28" s="1073" t="s">
        <v>5307</v>
      </c>
      <c r="S28" s="1073" t="s">
        <v>5308</v>
      </c>
      <c r="T28" s="1060" t="s">
        <v>5309</v>
      </c>
      <c r="U28" s="3077" t="s">
        <v>5310</v>
      </c>
      <c r="V28" s="1072" t="s">
        <v>5311</v>
      </c>
      <c r="W28" s="1060" t="s">
        <v>5312</v>
      </c>
      <c r="X28" s="3381" t="s">
        <v>5313</v>
      </c>
      <c r="Y28" s="1072" t="s">
        <v>5314</v>
      </c>
      <c r="Z28" s="1073" t="s">
        <v>5315</v>
      </c>
      <c r="AA28" s="1060" t="s">
        <v>5316</v>
      </c>
      <c r="AB28" s="1113" t="s">
        <v>5317</v>
      </c>
      <c r="AC28" s="1072" t="s">
        <v>5318</v>
      </c>
      <c r="AD28" s="3143" t="s">
        <v>5319</v>
      </c>
      <c r="AE28" s="1060" t="s">
        <v>5320</v>
      </c>
      <c r="AF28" s="3240" t="s">
        <v>5321</v>
      </c>
      <c r="AG28" s="1060" t="s">
        <v>5322</v>
      </c>
      <c r="AH28" t="e">
        <f t="shared" si="0"/>
        <v>#VALUE!</v>
      </c>
      <c r="BF28" s="1723" t="e">
        <f t="shared" si="1"/>
        <v>#VALUE!</v>
      </c>
      <c r="BG28" s="1723" t="str">
        <f t="shared" si="2"/>
        <v xml:space="preserve"> * La variable beneficiarios No puede ser mayor al Total.</v>
      </c>
      <c r="BH28" s="1723" t="e">
        <f t="shared" si="3"/>
        <v>#VALUE!</v>
      </c>
      <c r="BM28" s="1725" t="e">
        <f t="shared" si="4"/>
        <v>#VALUE!</v>
      </c>
      <c r="BN28" s="1725">
        <f t="shared" si="5"/>
        <v>1</v>
      </c>
      <c r="BO28" s="1725" t="e">
        <f t="shared" si="6"/>
        <v>#VALUE!</v>
      </c>
    </row>
    <row r="29" spans="1:67" x14ac:dyDescent="0.3">
      <c r="A29" s="6258" t="s">
        <v>4655</v>
      </c>
      <c r="B29" s="3381" t="s">
        <v>2137</v>
      </c>
      <c r="C29" s="1692" t="s">
        <v>5292</v>
      </c>
      <c r="D29" s="1072" t="s">
        <v>5293</v>
      </c>
      <c r="E29" s="1073" t="s">
        <v>5294</v>
      </c>
      <c r="F29" s="1073" t="s">
        <v>5295</v>
      </c>
      <c r="G29" s="1073" t="s">
        <v>5296</v>
      </c>
      <c r="H29" s="1073" t="s">
        <v>5297</v>
      </c>
      <c r="I29" s="1073" t="s">
        <v>5298</v>
      </c>
      <c r="J29" s="1073" t="s">
        <v>5299</v>
      </c>
      <c r="K29" s="1073" t="s">
        <v>5300</v>
      </c>
      <c r="L29" s="1073" t="s">
        <v>5301</v>
      </c>
      <c r="M29" s="1073" t="s">
        <v>5302</v>
      </c>
      <c r="N29" s="1073" t="s">
        <v>5303</v>
      </c>
      <c r="O29" s="1073" t="s">
        <v>5304</v>
      </c>
      <c r="P29" s="1073" t="s">
        <v>5305</v>
      </c>
      <c r="Q29" s="1073" t="s">
        <v>5306</v>
      </c>
      <c r="R29" s="1073" t="s">
        <v>5307</v>
      </c>
      <c r="S29" s="1073" t="s">
        <v>5308</v>
      </c>
      <c r="T29" s="1060" t="s">
        <v>5309</v>
      </c>
      <c r="U29" s="3077" t="s">
        <v>5310</v>
      </c>
      <c r="V29" s="1072" t="s">
        <v>5311</v>
      </c>
      <c r="W29" s="1060" t="s">
        <v>5312</v>
      </c>
      <c r="X29" s="3381" t="s">
        <v>5313</v>
      </c>
      <c r="Y29" s="1072" t="s">
        <v>5314</v>
      </c>
      <c r="Z29" s="1073" t="s">
        <v>5315</v>
      </c>
      <c r="AA29" s="1060" t="s">
        <v>5316</v>
      </c>
      <c r="AB29" s="1113" t="s">
        <v>5317</v>
      </c>
      <c r="AC29" s="1072" t="s">
        <v>5318</v>
      </c>
      <c r="AD29" s="3143" t="s">
        <v>5319</v>
      </c>
      <c r="AE29" s="1060" t="s">
        <v>5320</v>
      </c>
      <c r="AF29" s="3240" t="s">
        <v>5321</v>
      </c>
      <c r="AG29" s="1060" t="s">
        <v>5322</v>
      </c>
      <c r="AH29" t="e">
        <f t="shared" si="0"/>
        <v>#VALUE!</v>
      </c>
      <c r="BF29" s="1723" t="e">
        <f t="shared" si="1"/>
        <v>#VALUE!</v>
      </c>
      <c r="BG29" s="1723" t="str">
        <f t="shared" si="2"/>
        <v xml:space="preserve"> * La variable beneficiarios No puede ser mayor al Total.</v>
      </c>
      <c r="BH29" s="1723" t="e">
        <f t="shared" si="3"/>
        <v>#VALUE!</v>
      </c>
      <c r="BM29" s="1725" t="e">
        <f t="shared" si="4"/>
        <v>#VALUE!</v>
      </c>
      <c r="BN29" s="1725">
        <f t="shared" si="5"/>
        <v>1</v>
      </c>
      <c r="BO29" s="1725" t="e">
        <f t="shared" si="6"/>
        <v>#VALUE!</v>
      </c>
    </row>
    <row r="30" spans="1:67" x14ac:dyDescent="0.3">
      <c r="A30" s="6258" t="s">
        <v>4656</v>
      </c>
      <c r="B30" s="3381" t="s">
        <v>2138</v>
      </c>
      <c r="C30" s="1692" t="s">
        <v>5292</v>
      </c>
      <c r="D30" s="1072" t="s">
        <v>5293</v>
      </c>
      <c r="E30" s="1073" t="s">
        <v>5294</v>
      </c>
      <c r="F30" s="1073" t="s">
        <v>5295</v>
      </c>
      <c r="G30" s="1073" t="s">
        <v>5296</v>
      </c>
      <c r="H30" s="1073" t="s">
        <v>5297</v>
      </c>
      <c r="I30" s="1073" t="s">
        <v>5298</v>
      </c>
      <c r="J30" s="1073" t="s">
        <v>5299</v>
      </c>
      <c r="K30" s="1073" t="s">
        <v>5300</v>
      </c>
      <c r="L30" s="1073" t="s">
        <v>5301</v>
      </c>
      <c r="M30" s="1073" t="s">
        <v>5302</v>
      </c>
      <c r="N30" s="1073" t="s">
        <v>5303</v>
      </c>
      <c r="O30" s="1073" t="s">
        <v>5304</v>
      </c>
      <c r="P30" s="1073" t="s">
        <v>5305</v>
      </c>
      <c r="Q30" s="1073" t="s">
        <v>5306</v>
      </c>
      <c r="R30" s="1073" t="s">
        <v>5307</v>
      </c>
      <c r="S30" s="1073" t="s">
        <v>5308</v>
      </c>
      <c r="T30" s="1060" t="s">
        <v>5309</v>
      </c>
      <c r="U30" s="3077" t="s">
        <v>5310</v>
      </c>
      <c r="V30" s="1072" t="s">
        <v>5311</v>
      </c>
      <c r="W30" s="1060" t="s">
        <v>5312</v>
      </c>
      <c r="X30" s="3381" t="s">
        <v>5313</v>
      </c>
      <c r="Y30" s="1072" t="s">
        <v>5314</v>
      </c>
      <c r="Z30" s="1073" t="s">
        <v>5315</v>
      </c>
      <c r="AA30" s="1060" t="s">
        <v>5316</v>
      </c>
      <c r="AB30" s="1113" t="s">
        <v>5317</v>
      </c>
      <c r="AC30" s="1072" t="s">
        <v>5318</v>
      </c>
      <c r="AD30" s="3143" t="s">
        <v>5319</v>
      </c>
      <c r="AE30" s="1060" t="s">
        <v>5320</v>
      </c>
      <c r="AF30" s="3240" t="s">
        <v>5321</v>
      </c>
      <c r="AG30" s="1060" t="s">
        <v>5322</v>
      </c>
      <c r="AH30" t="e">
        <f t="shared" si="0"/>
        <v>#VALUE!</v>
      </c>
      <c r="BF30" s="1723" t="e">
        <f t="shared" si="1"/>
        <v>#VALUE!</v>
      </c>
      <c r="BG30" s="1723" t="str">
        <f t="shared" si="2"/>
        <v xml:space="preserve"> * La variable beneficiarios No puede ser mayor al Total.</v>
      </c>
      <c r="BH30" s="1723" t="e">
        <f t="shared" si="3"/>
        <v>#VALUE!</v>
      </c>
      <c r="BM30" s="1725" t="e">
        <f t="shared" si="4"/>
        <v>#VALUE!</v>
      </c>
      <c r="BN30" s="1725">
        <f t="shared" si="5"/>
        <v>1</v>
      </c>
      <c r="BO30" s="1725" t="e">
        <f t="shared" si="6"/>
        <v>#VALUE!</v>
      </c>
    </row>
    <row r="31" spans="1:67" x14ac:dyDescent="0.3">
      <c r="A31" s="6258" t="s">
        <v>4657</v>
      </c>
      <c r="B31" s="3381" t="s">
        <v>2139</v>
      </c>
      <c r="C31" s="1692" t="s">
        <v>5292</v>
      </c>
      <c r="D31" s="1072" t="s">
        <v>5293</v>
      </c>
      <c r="E31" s="1073" t="s">
        <v>5294</v>
      </c>
      <c r="F31" s="1073" t="s">
        <v>5295</v>
      </c>
      <c r="G31" s="1073" t="s">
        <v>5296</v>
      </c>
      <c r="H31" s="1073" t="s">
        <v>5297</v>
      </c>
      <c r="I31" s="1073" t="s">
        <v>5298</v>
      </c>
      <c r="J31" s="1073" t="s">
        <v>5299</v>
      </c>
      <c r="K31" s="1073" t="s">
        <v>5300</v>
      </c>
      <c r="L31" s="1073" t="s">
        <v>5301</v>
      </c>
      <c r="M31" s="1073" t="s">
        <v>5302</v>
      </c>
      <c r="N31" s="1073" t="s">
        <v>5303</v>
      </c>
      <c r="O31" s="1073" t="s">
        <v>5304</v>
      </c>
      <c r="P31" s="1073" t="s">
        <v>5305</v>
      </c>
      <c r="Q31" s="1073" t="s">
        <v>5306</v>
      </c>
      <c r="R31" s="1073" t="s">
        <v>5307</v>
      </c>
      <c r="S31" s="1073" t="s">
        <v>5308</v>
      </c>
      <c r="T31" s="1060" t="s">
        <v>5309</v>
      </c>
      <c r="U31" s="3077" t="s">
        <v>5310</v>
      </c>
      <c r="V31" s="1072" t="s">
        <v>5311</v>
      </c>
      <c r="W31" s="1060" t="s">
        <v>5312</v>
      </c>
      <c r="X31" s="3381" t="s">
        <v>5313</v>
      </c>
      <c r="Y31" s="1072" t="s">
        <v>5314</v>
      </c>
      <c r="Z31" s="1073" t="s">
        <v>5315</v>
      </c>
      <c r="AA31" s="1060" t="s">
        <v>5316</v>
      </c>
      <c r="AB31" s="1113" t="s">
        <v>5317</v>
      </c>
      <c r="AC31" s="1072" t="s">
        <v>5318</v>
      </c>
      <c r="AD31" s="3143" t="s">
        <v>5319</v>
      </c>
      <c r="AE31" s="1060" t="s">
        <v>5320</v>
      </c>
      <c r="AF31" s="3240" t="s">
        <v>5321</v>
      </c>
      <c r="AG31" s="1060" t="s">
        <v>5322</v>
      </c>
      <c r="AH31" t="e">
        <f t="shared" si="0"/>
        <v>#VALUE!</v>
      </c>
      <c r="BF31" s="1723" t="e">
        <f t="shared" si="1"/>
        <v>#VALUE!</v>
      </c>
      <c r="BG31" s="1723" t="str">
        <f t="shared" si="2"/>
        <v xml:space="preserve"> * La variable beneficiarios No puede ser mayor al Total.</v>
      </c>
      <c r="BH31" s="1723" t="e">
        <f t="shared" si="3"/>
        <v>#VALUE!</v>
      </c>
      <c r="BM31" s="1725" t="e">
        <f t="shared" si="4"/>
        <v>#VALUE!</v>
      </c>
      <c r="BN31" s="1725">
        <f t="shared" si="5"/>
        <v>1</v>
      </c>
      <c r="BO31" s="1725" t="e">
        <f t="shared" si="6"/>
        <v>#VALUE!</v>
      </c>
    </row>
    <row r="32" spans="1:67" x14ac:dyDescent="0.3">
      <c r="A32" s="6258" t="s">
        <v>4658</v>
      </c>
      <c r="B32" s="3381" t="s">
        <v>227</v>
      </c>
      <c r="C32" s="1692" t="s">
        <v>5292</v>
      </c>
      <c r="D32" s="1072" t="s">
        <v>5293</v>
      </c>
      <c r="E32" s="1073" t="s">
        <v>5294</v>
      </c>
      <c r="F32" s="1073" t="s">
        <v>5295</v>
      </c>
      <c r="G32" s="1073" t="s">
        <v>5296</v>
      </c>
      <c r="H32" s="1073" t="s">
        <v>5297</v>
      </c>
      <c r="I32" s="1073" t="s">
        <v>5298</v>
      </c>
      <c r="J32" s="1073" t="s">
        <v>5299</v>
      </c>
      <c r="K32" s="1073" t="s">
        <v>5300</v>
      </c>
      <c r="L32" s="1073" t="s">
        <v>5301</v>
      </c>
      <c r="M32" s="1073" t="s">
        <v>5302</v>
      </c>
      <c r="N32" s="1073" t="s">
        <v>5303</v>
      </c>
      <c r="O32" s="1073" t="s">
        <v>5304</v>
      </c>
      <c r="P32" s="1073" t="s">
        <v>5305</v>
      </c>
      <c r="Q32" s="1073" t="s">
        <v>5306</v>
      </c>
      <c r="R32" s="1073" t="s">
        <v>5307</v>
      </c>
      <c r="S32" s="1073" t="s">
        <v>5308</v>
      </c>
      <c r="T32" s="1060" t="s">
        <v>5309</v>
      </c>
      <c r="U32" s="3077" t="s">
        <v>5310</v>
      </c>
      <c r="V32" s="1072" t="s">
        <v>5311</v>
      </c>
      <c r="W32" s="1060" t="s">
        <v>5312</v>
      </c>
      <c r="X32" s="3381" t="s">
        <v>5313</v>
      </c>
      <c r="Y32" s="1072" t="s">
        <v>5314</v>
      </c>
      <c r="Z32" s="1073" t="s">
        <v>5315</v>
      </c>
      <c r="AA32" s="1060" t="s">
        <v>5316</v>
      </c>
      <c r="AB32" s="1113" t="s">
        <v>5317</v>
      </c>
      <c r="AC32" s="1072" t="s">
        <v>5318</v>
      </c>
      <c r="AD32" s="3143" t="s">
        <v>5319</v>
      </c>
      <c r="AE32" s="1060" t="s">
        <v>5320</v>
      </c>
      <c r="AF32" s="3240" t="s">
        <v>5321</v>
      </c>
      <c r="AG32" s="1060" t="s">
        <v>5322</v>
      </c>
      <c r="AH32" t="e">
        <f t="shared" si="0"/>
        <v>#VALUE!</v>
      </c>
      <c r="BF32" s="1723" t="e">
        <f t="shared" si="1"/>
        <v>#VALUE!</v>
      </c>
      <c r="BG32" s="1723" t="str">
        <f t="shared" si="2"/>
        <v xml:space="preserve"> * La variable beneficiarios No puede ser mayor al Total.</v>
      </c>
      <c r="BH32" s="1723" t="e">
        <f t="shared" si="3"/>
        <v>#VALUE!</v>
      </c>
      <c r="BM32" s="1725" t="e">
        <f t="shared" si="4"/>
        <v>#VALUE!</v>
      </c>
      <c r="BN32" s="1725">
        <f t="shared" si="5"/>
        <v>1</v>
      </c>
      <c r="BO32" s="1725" t="e">
        <f t="shared" si="6"/>
        <v>#VALUE!</v>
      </c>
    </row>
    <row r="33" spans="1:67" x14ac:dyDescent="0.3">
      <c r="A33" s="6258" t="s">
        <v>4659</v>
      </c>
      <c r="B33" s="3381" t="s">
        <v>2140</v>
      </c>
      <c r="C33" s="1692" t="s">
        <v>5292</v>
      </c>
      <c r="D33" s="1072" t="s">
        <v>5293</v>
      </c>
      <c r="E33" s="1073" t="s">
        <v>5294</v>
      </c>
      <c r="F33" s="1073" t="s">
        <v>5295</v>
      </c>
      <c r="G33" s="1073" t="s">
        <v>5296</v>
      </c>
      <c r="H33" s="1073" t="s">
        <v>5297</v>
      </c>
      <c r="I33" s="1073" t="s">
        <v>5298</v>
      </c>
      <c r="J33" s="1073" t="s">
        <v>5299</v>
      </c>
      <c r="K33" s="1073" t="s">
        <v>5300</v>
      </c>
      <c r="L33" s="1073" t="s">
        <v>5301</v>
      </c>
      <c r="M33" s="1073" t="s">
        <v>5302</v>
      </c>
      <c r="N33" s="1073" t="s">
        <v>5303</v>
      </c>
      <c r="O33" s="1073" t="s">
        <v>5304</v>
      </c>
      <c r="P33" s="1073" t="s">
        <v>5305</v>
      </c>
      <c r="Q33" s="1073" t="s">
        <v>5306</v>
      </c>
      <c r="R33" s="1073" t="s">
        <v>5307</v>
      </c>
      <c r="S33" s="1073" t="s">
        <v>5308</v>
      </c>
      <c r="T33" s="1060" t="s">
        <v>5309</v>
      </c>
      <c r="U33" s="3077" t="s">
        <v>5310</v>
      </c>
      <c r="V33" s="1072" t="s">
        <v>5311</v>
      </c>
      <c r="W33" s="1060" t="s">
        <v>5312</v>
      </c>
      <c r="X33" s="3381" t="s">
        <v>5313</v>
      </c>
      <c r="Y33" s="1072" t="s">
        <v>5314</v>
      </c>
      <c r="Z33" s="1073" t="s">
        <v>5315</v>
      </c>
      <c r="AA33" s="1060" t="s">
        <v>5316</v>
      </c>
      <c r="AB33" s="1113" t="s">
        <v>5317</v>
      </c>
      <c r="AC33" s="1072" t="s">
        <v>5318</v>
      </c>
      <c r="AD33" s="3143" t="s">
        <v>5319</v>
      </c>
      <c r="AE33" s="1060" t="s">
        <v>5320</v>
      </c>
      <c r="AF33" s="3240" t="s">
        <v>5321</v>
      </c>
      <c r="AG33" s="1060" t="s">
        <v>5322</v>
      </c>
      <c r="AH33" t="e">
        <f t="shared" si="0"/>
        <v>#VALUE!</v>
      </c>
      <c r="BF33" s="1723" t="e">
        <f t="shared" si="1"/>
        <v>#VALUE!</v>
      </c>
      <c r="BG33" s="1723" t="str">
        <f t="shared" si="2"/>
        <v xml:space="preserve"> * La variable beneficiarios No puede ser mayor al Total.</v>
      </c>
      <c r="BH33" s="1723" t="e">
        <f t="shared" si="3"/>
        <v>#VALUE!</v>
      </c>
      <c r="BM33" s="1725" t="e">
        <f t="shared" si="4"/>
        <v>#VALUE!</v>
      </c>
      <c r="BN33" s="1725">
        <f t="shared" si="5"/>
        <v>1</v>
      </c>
      <c r="BO33" s="1725" t="e">
        <f t="shared" si="6"/>
        <v>#VALUE!</v>
      </c>
    </row>
    <row r="34" spans="1:67" x14ac:dyDescent="0.3">
      <c r="A34" s="6258" t="s">
        <v>4660</v>
      </c>
      <c r="B34" s="3381" t="s">
        <v>2141</v>
      </c>
      <c r="C34" s="1692" t="s">
        <v>5292</v>
      </c>
      <c r="D34" s="1072" t="s">
        <v>5293</v>
      </c>
      <c r="E34" s="1073" t="s">
        <v>5294</v>
      </c>
      <c r="F34" s="1073" t="s">
        <v>5295</v>
      </c>
      <c r="G34" s="1073" t="s">
        <v>5296</v>
      </c>
      <c r="H34" s="1073" t="s">
        <v>5297</v>
      </c>
      <c r="I34" s="1073" t="s">
        <v>5298</v>
      </c>
      <c r="J34" s="1073" t="s">
        <v>5299</v>
      </c>
      <c r="K34" s="1073" t="s">
        <v>5300</v>
      </c>
      <c r="L34" s="1073" t="s">
        <v>5301</v>
      </c>
      <c r="M34" s="1073" t="s">
        <v>5302</v>
      </c>
      <c r="N34" s="1073" t="s">
        <v>5303</v>
      </c>
      <c r="O34" s="1073" t="s">
        <v>5304</v>
      </c>
      <c r="P34" s="1073" t="s">
        <v>5305</v>
      </c>
      <c r="Q34" s="1073" t="s">
        <v>5306</v>
      </c>
      <c r="R34" s="1073" t="s">
        <v>5307</v>
      </c>
      <c r="S34" s="1073" t="s">
        <v>5308</v>
      </c>
      <c r="T34" s="1060" t="s">
        <v>5309</v>
      </c>
      <c r="U34" s="3077" t="s">
        <v>5310</v>
      </c>
      <c r="V34" s="1072" t="s">
        <v>5311</v>
      </c>
      <c r="W34" s="1060" t="s">
        <v>5312</v>
      </c>
      <c r="X34" s="3381" t="s">
        <v>5313</v>
      </c>
      <c r="Y34" s="1072" t="s">
        <v>5314</v>
      </c>
      <c r="Z34" s="1073" t="s">
        <v>5315</v>
      </c>
      <c r="AA34" s="1060" t="s">
        <v>5316</v>
      </c>
      <c r="AB34" s="1113" t="s">
        <v>5317</v>
      </c>
      <c r="AC34" s="1072" t="s">
        <v>5318</v>
      </c>
      <c r="AD34" s="3143" t="s">
        <v>5319</v>
      </c>
      <c r="AE34" s="1060" t="s">
        <v>5320</v>
      </c>
      <c r="AF34" s="3240" t="s">
        <v>5321</v>
      </c>
      <c r="AG34" s="1060" t="s">
        <v>5322</v>
      </c>
      <c r="AH34" t="e">
        <f t="shared" si="0"/>
        <v>#VALUE!</v>
      </c>
      <c r="BF34" s="1723" t="e">
        <f t="shared" si="1"/>
        <v>#VALUE!</v>
      </c>
      <c r="BG34" s="1723" t="str">
        <f t="shared" si="2"/>
        <v xml:space="preserve"> * La variable beneficiarios No puede ser mayor al Total.</v>
      </c>
      <c r="BH34" s="1723" t="e">
        <f t="shared" si="3"/>
        <v>#VALUE!</v>
      </c>
      <c r="BM34" s="1725" t="e">
        <f t="shared" si="4"/>
        <v>#VALUE!</v>
      </c>
      <c r="BN34" s="1725">
        <f t="shared" si="5"/>
        <v>1</v>
      </c>
      <c r="BO34" s="1725" t="e">
        <f t="shared" si="6"/>
        <v>#VALUE!</v>
      </c>
    </row>
    <row r="35" spans="1:67" x14ac:dyDescent="0.3">
      <c r="A35" s="6258" t="s">
        <v>4661</v>
      </c>
      <c r="B35" s="3381" t="s">
        <v>228</v>
      </c>
      <c r="C35" s="1692" t="s">
        <v>5292</v>
      </c>
      <c r="D35" s="1072" t="s">
        <v>5293</v>
      </c>
      <c r="E35" s="1073" t="s">
        <v>5294</v>
      </c>
      <c r="F35" s="1073" t="s">
        <v>5295</v>
      </c>
      <c r="G35" s="1073" t="s">
        <v>5296</v>
      </c>
      <c r="H35" s="1073" t="s">
        <v>5297</v>
      </c>
      <c r="I35" s="1073" t="s">
        <v>5298</v>
      </c>
      <c r="J35" s="1073" t="s">
        <v>5299</v>
      </c>
      <c r="K35" s="1073" t="s">
        <v>5300</v>
      </c>
      <c r="L35" s="1073" t="s">
        <v>5301</v>
      </c>
      <c r="M35" s="1073" t="s">
        <v>5302</v>
      </c>
      <c r="N35" s="1073" t="s">
        <v>5303</v>
      </c>
      <c r="O35" s="1073" t="s">
        <v>5304</v>
      </c>
      <c r="P35" s="1073" t="s">
        <v>5305</v>
      </c>
      <c r="Q35" s="1073" t="s">
        <v>5306</v>
      </c>
      <c r="R35" s="1073" t="s">
        <v>5307</v>
      </c>
      <c r="S35" s="1073" t="s">
        <v>5308</v>
      </c>
      <c r="T35" s="1060" t="s">
        <v>5309</v>
      </c>
      <c r="U35" s="3077" t="s">
        <v>5310</v>
      </c>
      <c r="V35" s="1072" t="s">
        <v>5311</v>
      </c>
      <c r="W35" s="1060" t="s">
        <v>5312</v>
      </c>
      <c r="X35" s="3381" t="s">
        <v>5313</v>
      </c>
      <c r="Y35" s="1072" t="s">
        <v>5314</v>
      </c>
      <c r="Z35" s="1073" t="s">
        <v>5315</v>
      </c>
      <c r="AA35" s="1060" t="s">
        <v>5316</v>
      </c>
      <c r="AB35" s="1113" t="s">
        <v>5317</v>
      </c>
      <c r="AC35" s="1072" t="s">
        <v>5318</v>
      </c>
      <c r="AD35" s="3143" t="s">
        <v>5319</v>
      </c>
      <c r="AE35" s="1060" t="s">
        <v>5320</v>
      </c>
      <c r="AF35" s="3240" t="s">
        <v>5321</v>
      </c>
      <c r="AG35" s="1060" t="s">
        <v>5322</v>
      </c>
      <c r="AH35" t="e">
        <f t="shared" si="0"/>
        <v>#VALUE!</v>
      </c>
      <c r="BF35" s="1723" t="e">
        <f t="shared" si="1"/>
        <v>#VALUE!</v>
      </c>
      <c r="BG35" s="1723" t="str">
        <f t="shared" si="2"/>
        <v xml:space="preserve"> * La variable beneficiarios No puede ser mayor al Total.</v>
      </c>
      <c r="BH35" s="1723" t="e">
        <f t="shared" si="3"/>
        <v>#VALUE!</v>
      </c>
      <c r="BM35" s="1725" t="e">
        <f t="shared" si="4"/>
        <v>#VALUE!</v>
      </c>
      <c r="BN35" s="1725">
        <f t="shared" si="5"/>
        <v>1</v>
      </c>
      <c r="BO35" s="1725" t="e">
        <f t="shared" si="6"/>
        <v>#VALUE!</v>
      </c>
    </row>
    <row r="36" spans="1:67" x14ac:dyDescent="0.3">
      <c r="A36" s="6260" t="s">
        <v>4662</v>
      </c>
      <c r="B36" s="3381" t="s">
        <v>229</v>
      </c>
      <c r="C36" s="1692" t="s">
        <v>5292</v>
      </c>
      <c r="D36" s="1070" t="s">
        <v>5293</v>
      </c>
      <c r="E36" s="2392" t="s">
        <v>5294</v>
      </c>
      <c r="F36" s="2392" t="s">
        <v>5295</v>
      </c>
      <c r="G36" s="2392" t="s">
        <v>5296</v>
      </c>
      <c r="H36" s="2392" t="s">
        <v>5297</v>
      </c>
      <c r="I36" s="2392" t="s">
        <v>5298</v>
      </c>
      <c r="J36" s="2392" t="s">
        <v>5299</v>
      </c>
      <c r="K36" s="2392" t="s">
        <v>5300</v>
      </c>
      <c r="L36" s="2392" t="s">
        <v>5301</v>
      </c>
      <c r="M36" s="2392" t="s">
        <v>5302</v>
      </c>
      <c r="N36" s="2392" t="s">
        <v>5303</v>
      </c>
      <c r="O36" s="2392" t="s">
        <v>5304</v>
      </c>
      <c r="P36" s="1073" t="s">
        <v>5305</v>
      </c>
      <c r="Q36" s="1073" t="s">
        <v>5306</v>
      </c>
      <c r="R36" s="1073" t="s">
        <v>5307</v>
      </c>
      <c r="S36" s="1073" t="s">
        <v>5308</v>
      </c>
      <c r="T36" s="1060" t="s">
        <v>5309</v>
      </c>
      <c r="U36" s="3077" t="s">
        <v>5310</v>
      </c>
      <c r="V36" s="1072" t="s">
        <v>5311</v>
      </c>
      <c r="W36" s="1060" t="s">
        <v>5312</v>
      </c>
      <c r="X36" s="3381" t="s">
        <v>5313</v>
      </c>
      <c r="Y36" s="1072" t="s">
        <v>5314</v>
      </c>
      <c r="Z36" s="1073" t="s">
        <v>5315</v>
      </c>
      <c r="AA36" s="1060" t="s">
        <v>5316</v>
      </c>
      <c r="AB36" s="1113" t="s">
        <v>5317</v>
      </c>
      <c r="AC36" s="1072" t="s">
        <v>5318</v>
      </c>
      <c r="AD36" s="3143" t="s">
        <v>5319</v>
      </c>
      <c r="AE36" s="1060" t="s">
        <v>5320</v>
      </c>
      <c r="AF36" s="3240" t="s">
        <v>5321</v>
      </c>
      <c r="AG36" s="1060" t="s">
        <v>5322</v>
      </c>
      <c r="AH36" t="e">
        <f t="shared" si="0"/>
        <v>#VALUE!</v>
      </c>
      <c r="BF36" s="1723" t="e">
        <f t="shared" si="1"/>
        <v>#VALUE!</v>
      </c>
      <c r="BG36" s="1723" t="str">
        <f t="shared" si="2"/>
        <v xml:space="preserve"> * La variable beneficiarios No puede ser mayor al Total.</v>
      </c>
      <c r="BH36" s="1723" t="e">
        <f t="shared" si="3"/>
        <v>#VALUE!</v>
      </c>
      <c r="BM36" s="1725" t="e">
        <f t="shared" si="4"/>
        <v>#VALUE!</v>
      </c>
      <c r="BN36" s="1725">
        <f t="shared" si="5"/>
        <v>1</v>
      </c>
      <c r="BO36" s="1725" t="e">
        <f t="shared" si="6"/>
        <v>#VALUE!</v>
      </c>
    </row>
    <row r="37" spans="1:67" x14ac:dyDescent="0.3">
      <c r="A37" s="6258" t="s">
        <v>4663</v>
      </c>
      <c r="B37" s="3381" t="s">
        <v>2142</v>
      </c>
      <c r="C37" s="1692" t="s">
        <v>5292</v>
      </c>
      <c r="D37" s="1072" t="s">
        <v>5293</v>
      </c>
      <c r="E37" s="1073" t="s">
        <v>5294</v>
      </c>
      <c r="F37" s="1073" t="s">
        <v>5295</v>
      </c>
      <c r="G37" s="5050" t="s">
        <v>5296</v>
      </c>
      <c r="H37" s="5050" t="s">
        <v>5297</v>
      </c>
      <c r="I37" s="5050" t="s">
        <v>5298</v>
      </c>
      <c r="J37" s="5050" t="s">
        <v>5299</v>
      </c>
      <c r="K37" s="5050" t="s">
        <v>5300</v>
      </c>
      <c r="L37" s="5050" t="s">
        <v>5301</v>
      </c>
      <c r="M37" s="1073" t="s">
        <v>5302</v>
      </c>
      <c r="N37" s="1073" t="s">
        <v>5303</v>
      </c>
      <c r="O37" s="1073" t="s">
        <v>5304</v>
      </c>
      <c r="P37" s="1073" t="s">
        <v>5305</v>
      </c>
      <c r="Q37" s="1073" t="s">
        <v>5306</v>
      </c>
      <c r="R37" s="1073" t="s">
        <v>5307</v>
      </c>
      <c r="S37" s="1073" t="s">
        <v>5308</v>
      </c>
      <c r="T37" s="1060" t="s">
        <v>5309</v>
      </c>
      <c r="U37" s="3077" t="s">
        <v>5310</v>
      </c>
      <c r="V37" s="1072" t="s">
        <v>5311</v>
      </c>
      <c r="W37" s="1060" t="s">
        <v>5312</v>
      </c>
      <c r="X37" s="3381" t="s">
        <v>5313</v>
      </c>
      <c r="Y37" s="1072" t="s">
        <v>5314</v>
      </c>
      <c r="Z37" s="1073" t="s">
        <v>5315</v>
      </c>
      <c r="AA37" s="1060" t="s">
        <v>5316</v>
      </c>
      <c r="AB37" s="1113" t="s">
        <v>5317</v>
      </c>
      <c r="AC37" s="1072" t="s">
        <v>5318</v>
      </c>
      <c r="AD37" s="3143" t="s">
        <v>5319</v>
      </c>
      <c r="AE37" s="1060" t="s">
        <v>5320</v>
      </c>
      <c r="AF37" s="3240" t="s">
        <v>5321</v>
      </c>
      <c r="AG37" s="1060" t="s">
        <v>5322</v>
      </c>
      <c r="AH37" t="e">
        <f t="shared" si="0"/>
        <v>#VALUE!</v>
      </c>
      <c r="BF37" s="1723" t="e">
        <f t="shared" si="1"/>
        <v>#VALUE!</v>
      </c>
      <c r="BG37" s="1723" t="str">
        <f t="shared" si="2"/>
        <v xml:space="preserve"> * La variable beneficiarios No puede ser mayor al Total.</v>
      </c>
      <c r="BH37" s="1723" t="e">
        <f t="shared" si="3"/>
        <v>#VALUE!</v>
      </c>
      <c r="BM37" s="1725" t="e">
        <f t="shared" si="4"/>
        <v>#VALUE!</v>
      </c>
      <c r="BN37" s="1725">
        <f t="shared" si="5"/>
        <v>1</v>
      </c>
      <c r="BO37" s="1725" t="e">
        <f t="shared" si="6"/>
        <v>#VALUE!</v>
      </c>
    </row>
    <row r="38" spans="1:67" x14ac:dyDescent="0.3">
      <c r="A38" s="6258" t="s">
        <v>4664</v>
      </c>
      <c r="B38" s="3381" t="s">
        <v>2143</v>
      </c>
      <c r="C38" s="1692" t="s">
        <v>5292</v>
      </c>
      <c r="D38" s="5051" t="s">
        <v>5293</v>
      </c>
      <c r="E38" s="5050" t="s">
        <v>5294</v>
      </c>
      <c r="F38" s="5050" t="s">
        <v>5295</v>
      </c>
      <c r="G38" s="5050" t="s">
        <v>5296</v>
      </c>
      <c r="H38" s="1073" t="s">
        <v>5297</v>
      </c>
      <c r="I38" s="1073" t="s">
        <v>5298</v>
      </c>
      <c r="J38" s="1073" t="s">
        <v>5299</v>
      </c>
      <c r="K38" s="1073" t="s">
        <v>5300</v>
      </c>
      <c r="L38" s="1073" t="s">
        <v>5301</v>
      </c>
      <c r="M38" s="1073" t="s">
        <v>5302</v>
      </c>
      <c r="N38" s="1073" t="s">
        <v>5303</v>
      </c>
      <c r="O38" s="1073" t="s">
        <v>5304</v>
      </c>
      <c r="P38" s="1073" t="s">
        <v>5305</v>
      </c>
      <c r="Q38" s="1073" t="s">
        <v>5306</v>
      </c>
      <c r="R38" s="1073" t="s">
        <v>5307</v>
      </c>
      <c r="S38" s="1073" t="s">
        <v>5308</v>
      </c>
      <c r="T38" s="1060" t="s">
        <v>5309</v>
      </c>
      <c r="U38" s="3077" t="s">
        <v>5310</v>
      </c>
      <c r="V38" s="1072" t="s">
        <v>5311</v>
      </c>
      <c r="W38" s="1060" t="s">
        <v>5312</v>
      </c>
      <c r="X38" s="3381" t="s">
        <v>5313</v>
      </c>
      <c r="Y38" s="1072" t="s">
        <v>5314</v>
      </c>
      <c r="Z38" s="1073" t="s">
        <v>5315</v>
      </c>
      <c r="AA38" s="1060" t="s">
        <v>5316</v>
      </c>
      <c r="AB38" s="1113" t="s">
        <v>5317</v>
      </c>
      <c r="AC38" s="1072" t="s">
        <v>5318</v>
      </c>
      <c r="AD38" s="3143" t="s">
        <v>5319</v>
      </c>
      <c r="AE38" s="1060" t="s">
        <v>5320</v>
      </c>
      <c r="AF38" s="3240" t="s">
        <v>5321</v>
      </c>
      <c r="AG38" s="1060" t="s">
        <v>5322</v>
      </c>
      <c r="AH38" t="e">
        <f t="shared" si="0"/>
        <v>#VALUE!</v>
      </c>
      <c r="BF38" s="1723" t="e">
        <f t="shared" si="1"/>
        <v>#VALUE!</v>
      </c>
      <c r="BG38" s="1723" t="str">
        <f t="shared" si="2"/>
        <v xml:space="preserve"> * La variable beneficiarios No puede ser mayor al Total.</v>
      </c>
      <c r="BH38" s="1723" t="e">
        <f t="shared" si="3"/>
        <v>#VALUE!</v>
      </c>
      <c r="BM38" s="1725" t="e">
        <f t="shared" si="4"/>
        <v>#VALUE!</v>
      </c>
      <c r="BN38" s="1725">
        <f t="shared" si="5"/>
        <v>1</v>
      </c>
      <c r="BO38" s="1725" t="e">
        <f t="shared" si="6"/>
        <v>#VALUE!</v>
      </c>
    </row>
    <row r="39" spans="1:67" x14ac:dyDescent="0.3">
      <c r="A39" s="6258" t="s">
        <v>4665</v>
      </c>
      <c r="B39" s="3381" t="s">
        <v>230</v>
      </c>
      <c r="C39" s="1692" t="s">
        <v>5292</v>
      </c>
      <c r="D39" s="5051" t="s">
        <v>5293</v>
      </c>
      <c r="E39" s="5050" t="s">
        <v>5294</v>
      </c>
      <c r="F39" s="5050" t="s">
        <v>5295</v>
      </c>
      <c r="G39" s="5050" t="s">
        <v>5296</v>
      </c>
      <c r="H39" s="5050" t="s">
        <v>5297</v>
      </c>
      <c r="I39" s="5050" t="s">
        <v>5298</v>
      </c>
      <c r="J39" s="5050" t="s">
        <v>5299</v>
      </c>
      <c r="K39" s="5050" t="s">
        <v>5300</v>
      </c>
      <c r="L39" s="5050" t="s">
        <v>5301</v>
      </c>
      <c r="M39" s="1073" t="s">
        <v>5302</v>
      </c>
      <c r="N39" s="1073" t="s">
        <v>5303</v>
      </c>
      <c r="O39" s="1073" t="s">
        <v>5304</v>
      </c>
      <c r="P39" s="1073" t="s">
        <v>5305</v>
      </c>
      <c r="Q39" s="1073" t="s">
        <v>5306</v>
      </c>
      <c r="R39" s="1073" t="s">
        <v>5307</v>
      </c>
      <c r="S39" s="1073" t="s">
        <v>5308</v>
      </c>
      <c r="T39" s="1060" t="s">
        <v>5309</v>
      </c>
      <c r="U39" s="3077" t="s">
        <v>5310</v>
      </c>
      <c r="V39" s="1072" t="s">
        <v>5311</v>
      </c>
      <c r="W39" s="1060" t="s">
        <v>5312</v>
      </c>
      <c r="X39" s="3381" t="s">
        <v>5313</v>
      </c>
      <c r="Y39" s="1072" t="s">
        <v>5314</v>
      </c>
      <c r="Z39" s="1073" t="s">
        <v>5315</v>
      </c>
      <c r="AA39" s="1060" t="s">
        <v>5316</v>
      </c>
      <c r="AB39" s="1113" t="s">
        <v>5317</v>
      </c>
      <c r="AC39" s="1072" t="s">
        <v>5318</v>
      </c>
      <c r="AD39" s="3143" t="s">
        <v>5319</v>
      </c>
      <c r="AE39" s="1060" t="s">
        <v>5320</v>
      </c>
      <c r="AF39" s="3240" t="s">
        <v>5321</v>
      </c>
      <c r="AG39" s="1060" t="s">
        <v>5322</v>
      </c>
      <c r="AH39" t="e">
        <f t="shared" si="0"/>
        <v>#VALUE!</v>
      </c>
      <c r="BF39" s="1723" t="e">
        <f t="shared" si="1"/>
        <v>#VALUE!</v>
      </c>
      <c r="BG39" s="1723" t="str">
        <f t="shared" si="2"/>
        <v xml:space="preserve"> * La variable beneficiarios No puede ser mayor al Total.</v>
      </c>
      <c r="BH39" s="1723" t="e">
        <f t="shared" si="3"/>
        <v>#VALUE!</v>
      </c>
      <c r="BM39" s="1725" t="e">
        <f t="shared" si="4"/>
        <v>#VALUE!</v>
      </c>
      <c r="BN39" s="1725">
        <f t="shared" si="5"/>
        <v>1</v>
      </c>
      <c r="BO39" s="1725" t="e">
        <f t="shared" si="6"/>
        <v>#VALUE!</v>
      </c>
    </row>
    <row r="40" spans="1:67" x14ac:dyDescent="0.3">
      <c r="A40" s="6260" t="s">
        <v>4666</v>
      </c>
      <c r="B40" s="3381" t="s">
        <v>2144</v>
      </c>
      <c r="C40" s="1692" t="s">
        <v>5292</v>
      </c>
      <c r="D40" s="5051" t="s">
        <v>5293</v>
      </c>
      <c r="E40" s="5050" t="s">
        <v>5294</v>
      </c>
      <c r="F40" s="5050" t="s">
        <v>5295</v>
      </c>
      <c r="G40" s="1073" t="s">
        <v>5296</v>
      </c>
      <c r="H40" s="1073" t="s">
        <v>5297</v>
      </c>
      <c r="I40" s="1073" t="s">
        <v>5298</v>
      </c>
      <c r="J40" s="1073" t="s">
        <v>5299</v>
      </c>
      <c r="K40" s="1073" t="s">
        <v>5300</v>
      </c>
      <c r="L40" s="1073" t="s">
        <v>5301</v>
      </c>
      <c r="M40" s="1073" t="s">
        <v>5302</v>
      </c>
      <c r="N40" s="1073" t="s">
        <v>5303</v>
      </c>
      <c r="O40" s="1073" t="s">
        <v>5304</v>
      </c>
      <c r="P40" s="1073" t="s">
        <v>5305</v>
      </c>
      <c r="Q40" s="1073" t="s">
        <v>5306</v>
      </c>
      <c r="R40" s="1073" t="s">
        <v>5307</v>
      </c>
      <c r="S40" s="1073" t="s">
        <v>5308</v>
      </c>
      <c r="T40" s="1060" t="s">
        <v>5309</v>
      </c>
      <c r="U40" s="3077" t="s">
        <v>5310</v>
      </c>
      <c r="V40" s="1072" t="s">
        <v>5311</v>
      </c>
      <c r="W40" s="1060" t="s">
        <v>5312</v>
      </c>
      <c r="X40" s="3381" t="s">
        <v>5313</v>
      </c>
      <c r="Y40" s="1072" t="s">
        <v>5314</v>
      </c>
      <c r="Z40" s="1073" t="s">
        <v>5315</v>
      </c>
      <c r="AA40" s="1060" t="s">
        <v>5316</v>
      </c>
      <c r="AB40" s="1113" t="s">
        <v>5317</v>
      </c>
      <c r="AC40" s="1072" t="s">
        <v>5318</v>
      </c>
      <c r="AD40" s="3143" t="s">
        <v>5319</v>
      </c>
      <c r="AE40" s="1060" t="s">
        <v>5320</v>
      </c>
      <c r="AF40" s="3240" t="s">
        <v>5321</v>
      </c>
      <c r="AG40" s="1060" t="s">
        <v>5322</v>
      </c>
      <c r="AH40" t="e">
        <f t="shared" si="0"/>
        <v>#VALUE!</v>
      </c>
      <c r="BF40" s="1723" t="e">
        <f t="shared" si="1"/>
        <v>#VALUE!</v>
      </c>
      <c r="BG40" s="1723" t="str">
        <f t="shared" si="2"/>
        <v xml:space="preserve"> * La variable beneficiarios No puede ser mayor al Total.</v>
      </c>
      <c r="BH40" s="1723" t="e">
        <f t="shared" si="3"/>
        <v>#VALUE!</v>
      </c>
      <c r="BM40" s="1725" t="e">
        <f t="shared" si="4"/>
        <v>#VALUE!</v>
      </c>
      <c r="BN40" s="1725">
        <f t="shared" si="5"/>
        <v>1</v>
      </c>
      <c r="BO40" s="1725" t="e">
        <f t="shared" si="6"/>
        <v>#VALUE!</v>
      </c>
    </row>
    <row r="41" spans="1:67" x14ac:dyDescent="0.3">
      <c r="A41" s="6258" t="s">
        <v>4667</v>
      </c>
      <c r="B41" s="3381" t="s">
        <v>2145</v>
      </c>
      <c r="C41" s="1692" t="s">
        <v>5292</v>
      </c>
      <c r="D41" s="5051" t="s">
        <v>5293</v>
      </c>
      <c r="E41" s="5050" t="s">
        <v>5294</v>
      </c>
      <c r="F41" s="5050" t="s">
        <v>5295</v>
      </c>
      <c r="G41" s="1073" t="s">
        <v>5296</v>
      </c>
      <c r="H41" s="1073" t="s">
        <v>5297</v>
      </c>
      <c r="I41" s="1073" t="s">
        <v>5298</v>
      </c>
      <c r="J41" s="1073" t="s">
        <v>5299</v>
      </c>
      <c r="K41" s="1073" t="s">
        <v>5300</v>
      </c>
      <c r="L41" s="1073" t="s">
        <v>5301</v>
      </c>
      <c r="M41" s="1073" t="s">
        <v>5302</v>
      </c>
      <c r="N41" s="1073" t="s">
        <v>5303</v>
      </c>
      <c r="O41" s="1073" t="s">
        <v>5304</v>
      </c>
      <c r="P41" s="1073" t="s">
        <v>5305</v>
      </c>
      <c r="Q41" s="1073" t="s">
        <v>5306</v>
      </c>
      <c r="R41" s="1073" t="s">
        <v>5307</v>
      </c>
      <c r="S41" s="1073" t="s">
        <v>5308</v>
      </c>
      <c r="T41" s="1060" t="s">
        <v>5309</v>
      </c>
      <c r="U41" s="3077" t="s">
        <v>5310</v>
      </c>
      <c r="V41" s="1072" t="s">
        <v>5311</v>
      </c>
      <c r="W41" s="1060" t="s">
        <v>5312</v>
      </c>
      <c r="X41" s="3381" t="s">
        <v>5313</v>
      </c>
      <c r="Y41" s="1072" t="s">
        <v>5314</v>
      </c>
      <c r="Z41" s="1073" t="s">
        <v>5315</v>
      </c>
      <c r="AA41" s="1060" t="s">
        <v>5316</v>
      </c>
      <c r="AB41" s="1113" t="s">
        <v>5317</v>
      </c>
      <c r="AC41" s="1072" t="s">
        <v>5318</v>
      </c>
      <c r="AD41" s="3143" t="s">
        <v>5319</v>
      </c>
      <c r="AE41" s="1060" t="s">
        <v>5320</v>
      </c>
      <c r="AF41" s="3240" t="s">
        <v>5321</v>
      </c>
      <c r="AG41" s="1060" t="s">
        <v>5322</v>
      </c>
      <c r="AH41" t="e">
        <f t="shared" si="0"/>
        <v>#VALUE!</v>
      </c>
      <c r="BF41" s="1723" t="e">
        <f t="shared" si="1"/>
        <v>#VALUE!</v>
      </c>
      <c r="BG41" s="1723" t="str">
        <f t="shared" si="2"/>
        <v xml:space="preserve"> * La variable beneficiarios No puede ser mayor al Total.</v>
      </c>
      <c r="BH41" s="1723" t="e">
        <f t="shared" si="3"/>
        <v>#VALUE!</v>
      </c>
      <c r="BM41" s="1725" t="e">
        <f t="shared" si="4"/>
        <v>#VALUE!</v>
      </c>
      <c r="BN41" s="1725">
        <f t="shared" si="5"/>
        <v>1</v>
      </c>
      <c r="BO41" s="1725" t="e">
        <f t="shared" si="6"/>
        <v>#VALUE!</v>
      </c>
    </row>
    <row r="42" spans="1:67" x14ac:dyDescent="0.3">
      <c r="A42" s="6258" t="s">
        <v>4668</v>
      </c>
      <c r="B42" s="3381" t="s">
        <v>2146</v>
      </c>
      <c r="C42" s="1692" t="s">
        <v>5292</v>
      </c>
      <c r="D42" s="5051" t="s">
        <v>5293</v>
      </c>
      <c r="E42" s="5050" t="s">
        <v>5294</v>
      </c>
      <c r="F42" s="5050" t="s">
        <v>5295</v>
      </c>
      <c r="G42" s="1073" t="s">
        <v>5296</v>
      </c>
      <c r="H42" s="1073" t="s">
        <v>5297</v>
      </c>
      <c r="I42" s="1073" t="s">
        <v>5298</v>
      </c>
      <c r="J42" s="1073" t="s">
        <v>5299</v>
      </c>
      <c r="K42" s="1073" t="s">
        <v>5300</v>
      </c>
      <c r="L42" s="1073" t="s">
        <v>5301</v>
      </c>
      <c r="M42" s="1073" t="s">
        <v>5302</v>
      </c>
      <c r="N42" s="1073" t="s">
        <v>5303</v>
      </c>
      <c r="O42" s="1073" t="s">
        <v>5304</v>
      </c>
      <c r="P42" s="1073" t="s">
        <v>5305</v>
      </c>
      <c r="Q42" s="1073" t="s">
        <v>5306</v>
      </c>
      <c r="R42" s="1073" t="s">
        <v>5307</v>
      </c>
      <c r="S42" s="1073" t="s">
        <v>5308</v>
      </c>
      <c r="T42" s="1060" t="s">
        <v>5309</v>
      </c>
      <c r="U42" s="3077" t="s">
        <v>5310</v>
      </c>
      <c r="V42" s="1072" t="s">
        <v>5311</v>
      </c>
      <c r="W42" s="1060" t="s">
        <v>5312</v>
      </c>
      <c r="X42" s="3381" t="s">
        <v>5313</v>
      </c>
      <c r="Y42" s="1072" t="s">
        <v>5314</v>
      </c>
      <c r="Z42" s="1073" t="s">
        <v>5315</v>
      </c>
      <c r="AA42" s="1060" t="s">
        <v>5316</v>
      </c>
      <c r="AB42" s="1113" t="s">
        <v>5317</v>
      </c>
      <c r="AC42" s="1072" t="s">
        <v>5318</v>
      </c>
      <c r="AD42" s="3143" t="s">
        <v>5319</v>
      </c>
      <c r="AE42" s="1060" t="s">
        <v>5320</v>
      </c>
      <c r="AF42" s="3240" t="s">
        <v>5321</v>
      </c>
      <c r="AG42" s="1060" t="s">
        <v>5322</v>
      </c>
      <c r="AH42" t="e">
        <f t="shared" si="0"/>
        <v>#VALUE!</v>
      </c>
      <c r="BF42" s="1723" t="e">
        <f t="shared" si="1"/>
        <v>#VALUE!</v>
      </c>
      <c r="BG42" s="1723" t="str">
        <f t="shared" si="2"/>
        <v xml:space="preserve"> * La variable beneficiarios No puede ser mayor al Total.</v>
      </c>
      <c r="BH42" s="1723" t="e">
        <f t="shared" si="3"/>
        <v>#VALUE!</v>
      </c>
      <c r="BM42" s="1725" t="e">
        <f t="shared" si="4"/>
        <v>#VALUE!</v>
      </c>
      <c r="BN42" s="1725">
        <f t="shared" si="5"/>
        <v>1</v>
      </c>
      <c r="BO42" s="1725" t="e">
        <f t="shared" si="6"/>
        <v>#VALUE!</v>
      </c>
    </row>
    <row r="43" spans="1:67" x14ac:dyDescent="0.3">
      <c r="A43" s="6258" t="s">
        <v>4669</v>
      </c>
      <c r="B43" s="3381" t="s">
        <v>2147</v>
      </c>
      <c r="C43" s="1692" t="s">
        <v>5292</v>
      </c>
      <c r="D43" s="1072" t="s">
        <v>5293</v>
      </c>
      <c r="E43" s="1073" t="s">
        <v>5294</v>
      </c>
      <c r="F43" s="1073" t="s">
        <v>5295</v>
      </c>
      <c r="G43" s="1073" t="s">
        <v>5296</v>
      </c>
      <c r="H43" s="1073" t="s">
        <v>5297</v>
      </c>
      <c r="I43" s="1073" t="s">
        <v>5298</v>
      </c>
      <c r="J43" s="1073" t="s">
        <v>5299</v>
      </c>
      <c r="K43" s="1073" t="s">
        <v>5300</v>
      </c>
      <c r="L43" s="1073" t="s">
        <v>5301</v>
      </c>
      <c r="M43" s="1073" t="s">
        <v>5302</v>
      </c>
      <c r="N43" s="1073" t="s">
        <v>5303</v>
      </c>
      <c r="O43" s="1073" t="s">
        <v>5304</v>
      </c>
      <c r="P43" s="1073" t="s">
        <v>5305</v>
      </c>
      <c r="Q43" s="1073" t="s">
        <v>5306</v>
      </c>
      <c r="R43" s="1073" t="s">
        <v>5307</v>
      </c>
      <c r="S43" s="1073" t="s">
        <v>5308</v>
      </c>
      <c r="T43" s="1060" t="s">
        <v>5309</v>
      </c>
      <c r="U43" s="3077" t="s">
        <v>5310</v>
      </c>
      <c r="V43" s="1072" t="s">
        <v>5311</v>
      </c>
      <c r="W43" s="1060" t="s">
        <v>5312</v>
      </c>
      <c r="X43" s="3381" t="s">
        <v>5313</v>
      </c>
      <c r="Y43" s="1072" t="s">
        <v>5314</v>
      </c>
      <c r="Z43" s="1073" t="s">
        <v>5315</v>
      </c>
      <c r="AA43" s="1060" t="s">
        <v>5316</v>
      </c>
      <c r="AB43" s="1113" t="s">
        <v>5317</v>
      </c>
      <c r="AC43" s="1072" t="s">
        <v>5318</v>
      </c>
      <c r="AD43" s="3143" t="s">
        <v>5319</v>
      </c>
      <c r="AE43" s="1060" t="s">
        <v>5320</v>
      </c>
      <c r="AF43" s="3240" t="s">
        <v>5321</v>
      </c>
      <c r="AG43" s="1060" t="s">
        <v>5322</v>
      </c>
      <c r="AH43" t="e">
        <f t="shared" si="0"/>
        <v>#VALUE!</v>
      </c>
      <c r="BF43" s="1723" t="e">
        <f t="shared" si="1"/>
        <v>#VALUE!</v>
      </c>
      <c r="BG43" s="1723" t="str">
        <f t="shared" si="2"/>
        <v xml:space="preserve"> * La variable beneficiarios No puede ser mayor al Total.</v>
      </c>
      <c r="BH43" s="1723" t="e">
        <f t="shared" si="3"/>
        <v>#VALUE!</v>
      </c>
      <c r="BM43" s="1725" t="e">
        <f t="shared" si="4"/>
        <v>#VALUE!</v>
      </c>
      <c r="BN43" s="1725">
        <f t="shared" si="5"/>
        <v>1</v>
      </c>
      <c r="BO43" s="1725" t="e">
        <f t="shared" si="6"/>
        <v>#VALUE!</v>
      </c>
    </row>
    <row r="44" spans="1:67" x14ac:dyDescent="0.3">
      <c r="A44" s="6258" t="s">
        <v>4670</v>
      </c>
      <c r="B44" s="3381" t="s">
        <v>231</v>
      </c>
      <c r="C44" s="1692" t="s">
        <v>5292</v>
      </c>
      <c r="D44" s="1072" t="s">
        <v>5293</v>
      </c>
      <c r="E44" s="1073" t="s">
        <v>5294</v>
      </c>
      <c r="F44" s="1073" t="s">
        <v>5295</v>
      </c>
      <c r="G44" s="1073" t="s">
        <v>5296</v>
      </c>
      <c r="H44" s="1073" t="s">
        <v>5297</v>
      </c>
      <c r="I44" s="1073" t="s">
        <v>5298</v>
      </c>
      <c r="J44" s="1073" t="s">
        <v>5299</v>
      </c>
      <c r="K44" s="1073" t="s">
        <v>5300</v>
      </c>
      <c r="L44" s="1073" t="s">
        <v>5301</v>
      </c>
      <c r="M44" s="1073" t="s">
        <v>5302</v>
      </c>
      <c r="N44" s="1073" t="s">
        <v>5303</v>
      </c>
      <c r="O44" s="1073" t="s">
        <v>5304</v>
      </c>
      <c r="P44" s="1073" t="s">
        <v>5305</v>
      </c>
      <c r="Q44" s="1073" t="s">
        <v>5306</v>
      </c>
      <c r="R44" s="1073" t="s">
        <v>5307</v>
      </c>
      <c r="S44" s="1073" t="s">
        <v>5308</v>
      </c>
      <c r="T44" s="1060" t="s">
        <v>5309</v>
      </c>
      <c r="U44" s="3077" t="s">
        <v>5310</v>
      </c>
      <c r="V44" s="1072" t="s">
        <v>5311</v>
      </c>
      <c r="W44" s="1060" t="s">
        <v>5312</v>
      </c>
      <c r="X44" s="3381" t="s">
        <v>5313</v>
      </c>
      <c r="Y44" s="1072" t="s">
        <v>5314</v>
      </c>
      <c r="Z44" s="1073" t="s">
        <v>5315</v>
      </c>
      <c r="AA44" s="1060" t="s">
        <v>5316</v>
      </c>
      <c r="AB44" s="1113" t="s">
        <v>5317</v>
      </c>
      <c r="AC44" s="1072" t="s">
        <v>5318</v>
      </c>
      <c r="AD44" s="3143" t="s">
        <v>5319</v>
      </c>
      <c r="AE44" s="1060" t="s">
        <v>5320</v>
      </c>
      <c r="AF44" s="3240" t="s">
        <v>5321</v>
      </c>
      <c r="AG44" s="1060" t="s">
        <v>5322</v>
      </c>
      <c r="AH44" t="e">
        <f t="shared" si="0"/>
        <v>#VALUE!</v>
      </c>
      <c r="BF44" s="1723" t="e">
        <f t="shared" si="1"/>
        <v>#VALUE!</v>
      </c>
      <c r="BG44" s="1723" t="str">
        <f t="shared" si="2"/>
        <v xml:space="preserve"> * La variable beneficiarios No puede ser mayor al Total.</v>
      </c>
      <c r="BH44" s="1723" t="e">
        <f t="shared" si="3"/>
        <v>#VALUE!</v>
      </c>
      <c r="BM44" s="1725" t="e">
        <f t="shared" si="4"/>
        <v>#VALUE!</v>
      </c>
      <c r="BN44" s="1725">
        <f t="shared" si="5"/>
        <v>1</v>
      </c>
      <c r="BO44" s="1725" t="e">
        <f t="shared" si="6"/>
        <v>#VALUE!</v>
      </c>
    </row>
    <row r="45" spans="1:67" x14ac:dyDescent="0.3">
      <c r="A45" s="6258" t="s">
        <v>4671</v>
      </c>
      <c r="B45" s="3381" t="s">
        <v>2148</v>
      </c>
      <c r="C45" s="1692" t="s">
        <v>5292</v>
      </c>
      <c r="D45" s="1072" t="s">
        <v>5293</v>
      </c>
      <c r="E45" s="1073" t="s">
        <v>5294</v>
      </c>
      <c r="F45" s="1073" t="s">
        <v>5295</v>
      </c>
      <c r="G45" s="1073" t="s">
        <v>5296</v>
      </c>
      <c r="H45" s="1073" t="s">
        <v>5297</v>
      </c>
      <c r="I45" s="1073" t="s">
        <v>5298</v>
      </c>
      <c r="J45" s="1073" t="s">
        <v>5299</v>
      </c>
      <c r="K45" s="1073" t="s">
        <v>5300</v>
      </c>
      <c r="L45" s="1073" t="s">
        <v>5301</v>
      </c>
      <c r="M45" s="1073" t="s">
        <v>5302</v>
      </c>
      <c r="N45" s="1073" t="s">
        <v>5303</v>
      </c>
      <c r="O45" s="1073" t="s">
        <v>5304</v>
      </c>
      <c r="P45" s="1073" t="s">
        <v>5305</v>
      </c>
      <c r="Q45" s="1073" t="s">
        <v>5306</v>
      </c>
      <c r="R45" s="1073" t="s">
        <v>5307</v>
      </c>
      <c r="S45" s="1073" t="s">
        <v>5308</v>
      </c>
      <c r="T45" s="1060" t="s">
        <v>5309</v>
      </c>
      <c r="U45" s="3077" t="s">
        <v>5310</v>
      </c>
      <c r="V45" s="1072" t="s">
        <v>5311</v>
      </c>
      <c r="W45" s="1060" t="s">
        <v>5312</v>
      </c>
      <c r="X45" s="3381" t="s">
        <v>5313</v>
      </c>
      <c r="Y45" s="1072" t="s">
        <v>5314</v>
      </c>
      <c r="Z45" s="1073" t="s">
        <v>5315</v>
      </c>
      <c r="AA45" s="1060" t="s">
        <v>5316</v>
      </c>
      <c r="AB45" s="1113" t="s">
        <v>5317</v>
      </c>
      <c r="AC45" s="1072" t="s">
        <v>5318</v>
      </c>
      <c r="AD45" s="3143" t="s">
        <v>5319</v>
      </c>
      <c r="AE45" s="1060" t="s">
        <v>5320</v>
      </c>
      <c r="AF45" s="3240" t="s">
        <v>5321</v>
      </c>
      <c r="AG45" s="1060" t="s">
        <v>5322</v>
      </c>
      <c r="AH45" t="e">
        <f t="shared" si="0"/>
        <v>#VALUE!</v>
      </c>
      <c r="BF45" s="1723" t="e">
        <f t="shared" si="1"/>
        <v>#VALUE!</v>
      </c>
      <c r="BG45" s="1723" t="str">
        <f t="shared" si="2"/>
        <v xml:space="preserve"> * La variable beneficiarios No puede ser mayor al Total.</v>
      </c>
      <c r="BH45" s="1723" t="e">
        <f t="shared" si="3"/>
        <v>#VALUE!</v>
      </c>
      <c r="BM45" s="1725" t="e">
        <f t="shared" si="4"/>
        <v>#VALUE!</v>
      </c>
      <c r="BN45" s="1725">
        <f t="shared" si="5"/>
        <v>1</v>
      </c>
      <c r="BO45" s="1725" t="e">
        <f t="shared" si="6"/>
        <v>#VALUE!</v>
      </c>
    </row>
    <row r="46" spans="1:67" x14ac:dyDescent="0.3">
      <c r="A46" s="6261" t="s">
        <v>4672</v>
      </c>
      <c r="B46" s="112" t="s">
        <v>2149</v>
      </c>
      <c r="C46" s="1692" t="s">
        <v>5292</v>
      </c>
      <c r="D46" s="5051" t="s">
        <v>5293</v>
      </c>
      <c r="E46" s="5050" t="s">
        <v>5294</v>
      </c>
      <c r="F46" s="5050" t="s">
        <v>5295</v>
      </c>
      <c r="G46" s="5050" t="s">
        <v>5296</v>
      </c>
      <c r="H46" s="1073" t="s">
        <v>5297</v>
      </c>
      <c r="I46" s="1073" t="s">
        <v>5298</v>
      </c>
      <c r="J46" s="1073" t="s">
        <v>5299</v>
      </c>
      <c r="K46" s="1073" t="s">
        <v>5300</v>
      </c>
      <c r="L46" s="1073" t="s">
        <v>5301</v>
      </c>
      <c r="M46" s="1073" t="s">
        <v>5302</v>
      </c>
      <c r="N46" s="1073" t="s">
        <v>5303</v>
      </c>
      <c r="O46" s="1073" t="s">
        <v>5304</v>
      </c>
      <c r="P46" s="1073" t="s">
        <v>5305</v>
      </c>
      <c r="Q46" s="1073" t="s">
        <v>5306</v>
      </c>
      <c r="R46" s="1073" t="s">
        <v>5307</v>
      </c>
      <c r="S46" s="1073" t="s">
        <v>5308</v>
      </c>
      <c r="T46" s="1060" t="s">
        <v>5309</v>
      </c>
      <c r="U46" s="3077" t="s">
        <v>5310</v>
      </c>
      <c r="V46" s="1072" t="s">
        <v>5311</v>
      </c>
      <c r="W46" s="1060" t="s">
        <v>5312</v>
      </c>
      <c r="X46" s="3381" t="s">
        <v>5313</v>
      </c>
      <c r="Y46" s="1072" t="s">
        <v>5314</v>
      </c>
      <c r="Z46" s="1073" t="s">
        <v>5315</v>
      </c>
      <c r="AA46" s="1060" t="s">
        <v>5316</v>
      </c>
      <c r="AB46" s="1113" t="s">
        <v>5317</v>
      </c>
      <c r="AC46" s="1072" t="s">
        <v>5318</v>
      </c>
      <c r="AD46" s="3143" t="s">
        <v>5319</v>
      </c>
      <c r="AE46" s="1060" t="s">
        <v>5320</v>
      </c>
      <c r="AF46" s="3240" t="s">
        <v>5321</v>
      </c>
      <c r="AG46" s="1060" t="s">
        <v>5322</v>
      </c>
      <c r="AH46" t="e">
        <f t="shared" si="0"/>
        <v>#VALUE!</v>
      </c>
      <c r="BF46" s="1723" t="e">
        <f t="shared" si="1"/>
        <v>#VALUE!</v>
      </c>
      <c r="BG46" s="1723" t="str">
        <f t="shared" si="2"/>
        <v xml:space="preserve"> * La variable beneficiarios No puede ser mayor al Total.</v>
      </c>
      <c r="BH46" s="1723" t="e">
        <f t="shared" si="3"/>
        <v>#VALUE!</v>
      </c>
      <c r="BM46" s="1725" t="e">
        <f t="shared" si="4"/>
        <v>#VALUE!</v>
      </c>
      <c r="BN46" s="1725">
        <f t="shared" si="5"/>
        <v>1</v>
      </c>
      <c r="BO46" s="1725" t="e">
        <f t="shared" si="6"/>
        <v>#VALUE!</v>
      </c>
    </row>
    <row r="47" spans="1:67" x14ac:dyDescent="0.3">
      <c r="A47" s="6258" t="s">
        <v>4673</v>
      </c>
      <c r="B47" s="3611" t="s">
        <v>251</v>
      </c>
      <c r="C47" s="1692" t="s">
        <v>5292</v>
      </c>
      <c r="D47" s="5051" t="s">
        <v>5293</v>
      </c>
      <c r="E47" s="5050" t="s">
        <v>5294</v>
      </c>
      <c r="F47" s="5050" t="s">
        <v>5295</v>
      </c>
      <c r="G47" s="5050" t="s">
        <v>5296</v>
      </c>
      <c r="H47" s="1073" t="s">
        <v>5297</v>
      </c>
      <c r="I47" s="1073" t="s">
        <v>5298</v>
      </c>
      <c r="J47" s="1073" t="s">
        <v>5299</v>
      </c>
      <c r="K47" s="1073" t="s">
        <v>5300</v>
      </c>
      <c r="L47" s="1073" t="s">
        <v>5301</v>
      </c>
      <c r="M47" s="1073" t="s">
        <v>5302</v>
      </c>
      <c r="N47" s="1073" t="s">
        <v>5303</v>
      </c>
      <c r="O47" s="1073" t="s">
        <v>5304</v>
      </c>
      <c r="P47" s="1073" t="s">
        <v>5305</v>
      </c>
      <c r="Q47" s="1073" t="s">
        <v>5306</v>
      </c>
      <c r="R47" s="1073" t="s">
        <v>5307</v>
      </c>
      <c r="S47" s="1073" t="s">
        <v>5308</v>
      </c>
      <c r="T47" s="1060" t="s">
        <v>5309</v>
      </c>
      <c r="U47" s="3077" t="s">
        <v>5310</v>
      </c>
      <c r="V47" s="1072" t="s">
        <v>5311</v>
      </c>
      <c r="W47" s="1060" t="s">
        <v>5312</v>
      </c>
      <c r="X47" s="3381" t="s">
        <v>5313</v>
      </c>
      <c r="Y47" s="1072" t="s">
        <v>5314</v>
      </c>
      <c r="Z47" s="1073" t="s">
        <v>5315</v>
      </c>
      <c r="AA47" s="1060" t="s">
        <v>5316</v>
      </c>
      <c r="AB47" s="1113" t="s">
        <v>5317</v>
      </c>
      <c r="AC47" s="1072" t="s">
        <v>5318</v>
      </c>
      <c r="AD47" s="3143" t="s">
        <v>5319</v>
      </c>
      <c r="AE47" s="1060" t="s">
        <v>5320</v>
      </c>
      <c r="AF47" s="3240" t="s">
        <v>5321</v>
      </c>
      <c r="AG47" s="1060" t="s">
        <v>5322</v>
      </c>
      <c r="AH47" t="e">
        <f t="shared" si="0"/>
        <v>#VALUE!</v>
      </c>
      <c r="BF47" s="1723" t="e">
        <f t="shared" si="1"/>
        <v>#VALUE!</v>
      </c>
      <c r="BG47" s="1723" t="str">
        <f t="shared" si="2"/>
        <v xml:space="preserve"> * La variable beneficiarios No puede ser mayor al Total.</v>
      </c>
      <c r="BH47" s="1723" t="e">
        <f t="shared" si="3"/>
        <v>#VALUE!</v>
      </c>
      <c r="BM47" s="1725" t="e">
        <f t="shared" si="4"/>
        <v>#VALUE!</v>
      </c>
      <c r="BN47" s="1725">
        <f t="shared" si="5"/>
        <v>1</v>
      </c>
      <c r="BO47" s="1725" t="e">
        <f t="shared" si="6"/>
        <v>#VALUE!</v>
      </c>
    </row>
    <row r="48" spans="1:67" x14ac:dyDescent="0.3">
      <c r="A48" s="6258" t="s">
        <v>4674</v>
      </c>
      <c r="B48" s="3381" t="s">
        <v>2150</v>
      </c>
      <c r="C48" s="1692" t="s">
        <v>5292</v>
      </c>
      <c r="D48" s="5051" t="s">
        <v>5293</v>
      </c>
      <c r="E48" s="5050" t="s">
        <v>5294</v>
      </c>
      <c r="F48" s="5050" t="s">
        <v>5295</v>
      </c>
      <c r="G48" s="5050" t="s">
        <v>5296</v>
      </c>
      <c r="H48" s="5050" t="s">
        <v>5297</v>
      </c>
      <c r="I48" s="5050" t="s">
        <v>5298</v>
      </c>
      <c r="J48" s="5050" t="s">
        <v>5299</v>
      </c>
      <c r="K48" s="5050" t="s">
        <v>5300</v>
      </c>
      <c r="L48" s="5050" t="s">
        <v>5301</v>
      </c>
      <c r="M48" s="1073" t="s">
        <v>5302</v>
      </c>
      <c r="N48" s="1073" t="s">
        <v>5303</v>
      </c>
      <c r="O48" s="1073" t="s">
        <v>5304</v>
      </c>
      <c r="P48" s="1073" t="s">
        <v>5305</v>
      </c>
      <c r="Q48" s="1073" t="s">
        <v>5306</v>
      </c>
      <c r="R48" s="1073" t="s">
        <v>5307</v>
      </c>
      <c r="S48" s="1073" t="s">
        <v>5308</v>
      </c>
      <c r="T48" s="1060" t="s">
        <v>5309</v>
      </c>
      <c r="U48" s="3077" t="s">
        <v>5310</v>
      </c>
      <c r="V48" s="1072" t="s">
        <v>5311</v>
      </c>
      <c r="W48" s="1060" t="s">
        <v>5312</v>
      </c>
      <c r="X48" s="3381" t="s">
        <v>5313</v>
      </c>
      <c r="Y48" s="1072" t="s">
        <v>5314</v>
      </c>
      <c r="Z48" s="1073" t="s">
        <v>5315</v>
      </c>
      <c r="AA48" s="1060" t="s">
        <v>5316</v>
      </c>
      <c r="AB48" s="1113" t="s">
        <v>5317</v>
      </c>
      <c r="AC48" s="1072" t="s">
        <v>5318</v>
      </c>
      <c r="AD48" s="3143" t="s">
        <v>5319</v>
      </c>
      <c r="AE48" s="1060" t="s">
        <v>5320</v>
      </c>
      <c r="AF48" s="3240" t="s">
        <v>5321</v>
      </c>
      <c r="AG48" s="1060" t="s">
        <v>5322</v>
      </c>
      <c r="AH48" t="e">
        <f t="shared" si="0"/>
        <v>#VALUE!</v>
      </c>
      <c r="BF48" s="1723" t="e">
        <f t="shared" si="1"/>
        <v>#VALUE!</v>
      </c>
      <c r="BG48" s="1723" t="str">
        <f t="shared" si="2"/>
        <v xml:space="preserve"> * La variable beneficiarios No puede ser mayor al Total.</v>
      </c>
      <c r="BH48" s="1723" t="e">
        <f t="shared" si="3"/>
        <v>#VALUE!</v>
      </c>
      <c r="BM48" s="1725" t="e">
        <f t="shared" si="4"/>
        <v>#VALUE!</v>
      </c>
      <c r="BN48" s="1725">
        <f t="shared" si="5"/>
        <v>1</v>
      </c>
      <c r="BO48" s="1725" t="e">
        <f t="shared" si="6"/>
        <v>#VALUE!</v>
      </c>
    </row>
    <row r="49" spans="1:67" x14ac:dyDescent="0.3">
      <c r="A49" s="6258" t="s">
        <v>4675</v>
      </c>
      <c r="B49" s="3381" t="s">
        <v>2151</v>
      </c>
      <c r="C49" s="1692" t="s">
        <v>5292</v>
      </c>
      <c r="D49" s="5051" t="s">
        <v>5293</v>
      </c>
      <c r="E49" s="5050" t="s">
        <v>5294</v>
      </c>
      <c r="F49" s="5050" t="s">
        <v>5295</v>
      </c>
      <c r="G49" s="5050" t="s">
        <v>5296</v>
      </c>
      <c r="H49" s="1073" t="s">
        <v>5297</v>
      </c>
      <c r="I49" s="1073" t="s">
        <v>5298</v>
      </c>
      <c r="J49" s="1073" t="s">
        <v>5299</v>
      </c>
      <c r="K49" s="1073" t="s">
        <v>5300</v>
      </c>
      <c r="L49" s="1073" t="s">
        <v>5301</v>
      </c>
      <c r="M49" s="1073" t="s">
        <v>5302</v>
      </c>
      <c r="N49" s="1073" t="s">
        <v>5303</v>
      </c>
      <c r="O49" s="1073" t="s">
        <v>5304</v>
      </c>
      <c r="P49" s="1073" t="s">
        <v>5305</v>
      </c>
      <c r="Q49" s="1073" t="s">
        <v>5306</v>
      </c>
      <c r="R49" s="1073" t="s">
        <v>5307</v>
      </c>
      <c r="S49" s="1073" t="s">
        <v>5308</v>
      </c>
      <c r="T49" s="1060" t="s">
        <v>5309</v>
      </c>
      <c r="U49" s="4424" t="s">
        <v>5310</v>
      </c>
      <c r="V49" s="106" t="s">
        <v>5311</v>
      </c>
      <c r="W49" s="5047" t="s">
        <v>5312</v>
      </c>
      <c r="X49" s="1939" t="s">
        <v>5313</v>
      </c>
      <c r="Y49" s="1072" t="s">
        <v>5314</v>
      </c>
      <c r="Z49" s="1073" t="s">
        <v>5315</v>
      </c>
      <c r="AA49" s="1060" t="s">
        <v>5316</v>
      </c>
      <c r="AB49" s="1113" t="s">
        <v>5317</v>
      </c>
      <c r="AC49" s="1072" t="s">
        <v>5318</v>
      </c>
      <c r="AD49" s="3143" t="s">
        <v>5319</v>
      </c>
      <c r="AE49" s="1060" t="s">
        <v>5320</v>
      </c>
      <c r="AF49" s="3240" t="s">
        <v>5321</v>
      </c>
      <c r="AG49" s="1060" t="s">
        <v>5322</v>
      </c>
      <c r="AH49" t="e">
        <f t="shared" si="0"/>
        <v>#VALUE!</v>
      </c>
      <c r="BF49" s="1723" t="e">
        <f t="shared" si="1"/>
        <v>#VALUE!</v>
      </c>
      <c r="BG49" s="1723" t="str">
        <f t="shared" si="2"/>
        <v xml:space="preserve"> * La variable beneficiarios No puede ser mayor al Total.</v>
      </c>
      <c r="BH49" s="1723" t="e">
        <f t="shared" si="3"/>
        <v>#VALUE!</v>
      </c>
      <c r="BM49" s="1725" t="e">
        <f t="shared" si="4"/>
        <v>#VALUE!</v>
      </c>
      <c r="BN49" s="1725">
        <f t="shared" si="5"/>
        <v>1</v>
      </c>
      <c r="BO49" s="1725" t="e">
        <f t="shared" si="6"/>
        <v>#VALUE!</v>
      </c>
    </row>
    <row r="50" spans="1:67" x14ac:dyDescent="0.3">
      <c r="A50" s="6258" t="s">
        <v>4676</v>
      </c>
      <c r="B50" s="3381" t="s">
        <v>2152</v>
      </c>
      <c r="C50" s="1692" t="s">
        <v>5292</v>
      </c>
      <c r="D50" s="1072" t="s">
        <v>5293</v>
      </c>
      <c r="E50" s="1073" t="s">
        <v>5294</v>
      </c>
      <c r="F50" s="1073" t="s">
        <v>5295</v>
      </c>
      <c r="G50" s="1073" t="s">
        <v>5296</v>
      </c>
      <c r="H50" s="1073" t="s">
        <v>5297</v>
      </c>
      <c r="I50" s="1073" t="s">
        <v>5298</v>
      </c>
      <c r="J50" s="1073" t="s">
        <v>5299</v>
      </c>
      <c r="K50" s="1073" t="s">
        <v>5300</v>
      </c>
      <c r="L50" s="1073" t="s">
        <v>5301</v>
      </c>
      <c r="M50" s="1073" t="s">
        <v>5302</v>
      </c>
      <c r="N50" s="1073" t="s">
        <v>5303</v>
      </c>
      <c r="O50" s="1073" t="s">
        <v>5304</v>
      </c>
      <c r="P50" s="1073" t="s">
        <v>5305</v>
      </c>
      <c r="Q50" s="1073" t="s">
        <v>5306</v>
      </c>
      <c r="R50" s="1073" t="s">
        <v>5307</v>
      </c>
      <c r="S50" s="1073" t="s">
        <v>5308</v>
      </c>
      <c r="T50" s="1060" t="s">
        <v>5309</v>
      </c>
      <c r="U50" s="3077" t="s">
        <v>5310</v>
      </c>
      <c r="V50" s="1072" t="s">
        <v>5311</v>
      </c>
      <c r="W50" s="1060" t="s">
        <v>5312</v>
      </c>
      <c r="X50" s="3381" t="s">
        <v>5313</v>
      </c>
      <c r="Y50" s="1072" t="s">
        <v>5314</v>
      </c>
      <c r="Z50" s="1073" t="s">
        <v>5315</v>
      </c>
      <c r="AA50" s="1060" t="s">
        <v>5316</v>
      </c>
      <c r="AB50" s="1113" t="s">
        <v>5317</v>
      </c>
      <c r="AC50" s="1072" t="s">
        <v>5318</v>
      </c>
      <c r="AD50" s="3143" t="s">
        <v>5319</v>
      </c>
      <c r="AE50" s="1060" t="s">
        <v>5320</v>
      </c>
      <c r="AF50" s="3240" t="s">
        <v>5321</v>
      </c>
      <c r="AG50" s="1060" t="s">
        <v>5322</v>
      </c>
      <c r="AH50" t="e">
        <f t="shared" si="0"/>
        <v>#VALUE!</v>
      </c>
      <c r="BF50" s="1723" t="e">
        <f t="shared" si="1"/>
        <v>#VALUE!</v>
      </c>
      <c r="BG50" s="1723" t="str">
        <f t="shared" si="2"/>
        <v xml:space="preserve"> * La variable beneficiarios No puede ser mayor al Total.</v>
      </c>
      <c r="BH50" s="1723" t="e">
        <f t="shared" si="3"/>
        <v>#VALUE!</v>
      </c>
      <c r="BM50" s="1725" t="e">
        <f t="shared" si="4"/>
        <v>#VALUE!</v>
      </c>
      <c r="BN50" s="1725">
        <f t="shared" si="5"/>
        <v>1</v>
      </c>
      <c r="BO50" s="1725" t="e">
        <f t="shared" si="6"/>
        <v>#VALUE!</v>
      </c>
    </row>
    <row r="51" spans="1:67" x14ac:dyDescent="0.3">
      <c r="A51" s="6258" t="s">
        <v>4677</v>
      </c>
      <c r="B51" s="3381" t="s">
        <v>232</v>
      </c>
      <c r="C51" s="1692" t="s">
        <v>5292</v>
      </c>
      <c r="D51" s="1072" t="s">
        <v>5293</v>
      </c>
      <c r="E51" s="1073" t="s">
        <v>5294</v>
      </c>
      <c r="F51" s="1073" t="s">
        <v>5295</v>
      </c>
      <c r="G51" s="1073" t="s">
        <v>5296</v>
      </c>
      <c r="H51" s="1073" t="s">
        <v>5297</v>
      </c>
      <c r="I51" s="1073" t="s">
        <v>5298</v>
      </c>
      <c r="J51" s="1073" t="s">
        <v>5299</v>
      </c>
      <c r="K51" s="1073" t="s">
        <v>5300</v>
      </c>
      <c r="L51" s="1073" t="s">
        <v>5301</v>
      </c>
      <c r="M51" s="1073" t="s">
        <v>5302</v>
      </c>
      <c r="N51" s="1073" t="s">
        <v>5303</v>
      </c>
      <c r="O51" s="1073" t="s">
        <v>5304</v>
      </c>
      <c r="P51" s="1073" t="s">
        <v>5305</v>
      </c>
      <c r="Q51" s="1073" t="s">
        <v>5306</v>
      </c>
      <c r="R51" s="1073" t="s">
        <v>5307</v>
      </c>
      <c r="S51" s="1073" t="s">
        <v>5308</v>
      </c>
      <c r="T51" s="1060" t="s">
        <v>5309</v>
      </c>
      <c r="U51" s="3077" t="s">
        <v>5310</v>
      </c>
      <c r="V51" s="1072" t="s">
        <v>5311</v>
      </c>
      <c r="W51" s="1060" t="s">
        <v>5312</v>
      </c>
      <c r="X51" s="3381" t="s">
        <v>5313</v>
      </c>
      <c r="Y51" s="1072" t="s">
        <v>5314</v>
      </c>
      <c r="Z51" s="1073" t="s">
        <v>5315</v>
      </c>
      <c r="AA51" s="1060" t="s">
        <v>5316</v>
      </c>
      <c r="AB51" s="1113" t="s">
        <v>5317</v>
      </c>
      <c r="AC51" s="1072" t="s">
        <v>5318</v>
      </c>
      <c r="AD51" s="3143" t="s">
        <v>5319</v>
      </c>
      <c r="AE51" s="1060" t="s">
        <v>5320</v>
      </c>
      <c r="AF51" s="3240" t="s">
        <v>5321</v>
      </c>
      <c r="AG51" s="1060" t="s">
        <v>5322</v>
      </c>
      <c r="AH51" t="e">
        <f t="shared" si="0"/>
        <v>#VALUE!</v>
      </c>
      <c r="BF51" s="1723" t="e">
        <f t="shared" si="1"/>
        <v>#VALUE!</v>
      </c>
      <c r="BG51" s="1723" t="str">
        <f t="shared" si="2"/>
        <v xml:space="preserve"> * La variable beneficiarios No puede ser mayor al Total.</v>
      </c>
      <c r="BH51" s="1723" t="e">
        <f t="shared" si="3"/>
        <v>#VALUE!</v>
      </c>
      <c r="BM51" s="1725" t="e">
        <f t="shared" si="4"/>
        <v>#VALUE!</v>
      </c>
      <c r="BN51" s="1725">
        <f t="shared" si="5"/>
        <v>1</v>
      </c>
      <c r="BO51" s="1725" t="e">
        <f t="shared" si="6"/>
        <v>#VALUE!</v>
      </c>
    </row>
    <row r="52" spans="1:67" x14ac:dyDescent="0.3">
      <c r="A52" s="6258" t="s">
        <v>4678</v>
      </c>
      <c r="B52" s="3381" t="s">
        <v>233</v>
      </c>
      <c r="C52" s="1692" t="s">
        <v>5292</v>
      </c>
      <c r="D52" s="1072" t="s">
        <v>5293</v>
      </c>
      <c r="E52" s="1073" t="s">
        <v>5294</v>
      </c>
      <c r="F52" s="1073" t="s">
        <v>5295</v>
      </c>
      <c r="G52" s="1073" t="s">
        <v>5296</v>
      </c>
      <c r="H52" s="1073" t="s">
        <v>5297</v>
      </c>
      <c r="I52" s="1073" t="s">
        <v>5298</v>
      </c>
      <c r="J52" s="1073" t="s">
        <v>5299</v>
      </c>
      <c r="K52" s="1073" t="s">
        <v>5300</v>
      </c>
      <c r="L52" s="1073" t="s">
        <v>5301</v>
      </c>
      <c r="M52" s="1073" t="s">
        <v>5302</v>
      </c>
      <c r="N52" s="1073" t="s">
        <v>5303</v>
      </c>
      <c r="O52" s="1073" t="s">
        <v>5304</v>
      </c>
      <c r="P52" s="1073" t="s">
        <v>5305</v>
      </c>
      <c r="Q52" s="1073" t="s">
        <v>5306</v>
      </c>
      <c r="R52" s="1073" t="s">
        <v>5307</v>
      </c>
      <c r="S52" s="1073" t="s">
        <v>5308</v>
      </c>
      <c r="T52" s="1060" t="s">
        <v>5309</v>
      </c>
      <c r="U52" s="3077" t="s">
        <v>5310</v>
      </c>
      <c r="V52" s="1072" t="s">
        <v>5311</v>
      </c>
      <c r="W52" s="1060" t="s">
        <v>5312</v>
      </c>
      <c r="X52" s="3381" t="s">
        <v>5313</v>
      </c>
      <c r="Y52" s="1072" t="s">
        <v>5314</v>
      </c>
      <c r="Z52" s="1073" t="s">
        <v>5315</v>
      </c>
      <c r="AA52" s="1060" t="s">
        <v>5316</v>
      </c>
      <c r="AB52" s="1113" t="s">
        <v>5317</v>
      </c>
      <c r="AC52" s="1072" t="s">
        <v>5318</v>
      </c>
      <c r="AD52" s="3143" t="s">
        <v>5319</v>
      </c>
      <c r="AE52" s="1060" t="s">
        <v>5320</v>
      </c>
      <c r="AF52" s="3240" t="s">
        <v>5321</v>
      </c>
      <c r="AG52" s="1060" t="s">
        <v>5322</v>
      </c>
      <c r="AH52" t="e">
        <f t="shared" si="0"/>
        <v>#VALUE!</v>
      </c>
      <c r="BF52" s="1723" t="e">
        <f t="shared" si="1"/>
        <v>#VALUE!</v>
      </c>
      <c r="BG52" s="1723" t="str">
        <f t="shared" si="2"/>
        <v xml:space="preserve"> * La variable beneficiarios No puede ser mayor al Total.</v>
      </c>
      <c r="BH52" s="1723" t="e">
        <f t="shared" si="3"/>
        <v>#VALUE!</v>
      </c>
      <c r="BM52" s="1725" t="e">
        <f t="shared" si="4"/>
        <v>#VALUE!</v>
      </c>
      <c r="BN52" s="1725">
        <f t="shared" si="5"/>
        <v>1</v>
      </c>
      <c r="BO52" s="1725" t="e">
        <f t="shared" si="6"/>
        <v>#VALUE!</v>
      </c>
    </row>
    <row r="53" spans="1:67" x14ac:dyDescent="0.3">
      <c r="A53" s="6260" t="s">
        <v>4679</v>
      </c>
      <c r="B53" s="3381" t="s">
        <v>234</v>
      </c>
      <c r="C53" s="1692" t="s">
        <v>5292</v>
      </c>
      <c r="D53" s="1072" t="s">
        <v>5293</v>
      </c>
      <c r="E53" s="1073" t="s">
        <v>5294</v>
      </c>
      <c r="F53" s="1073" t="s">
        <v>5295</v>
      </c>
      <c r="G53" s="1073" t="s">
        <v>5296</v>
      </c>
      <c r="H53" s="1073" t="s">
        <v>5297</v>
      </c>
      <c r="I53" s="1073" t="s">
        <v>5298</v>
      </c>
      <c r="J53" s="1073" t="s">
        <v>5299</v>
      </c>
      <c r="K53" s="1073" t="s">
        <v>5300</v>
      </c>
      <c r="L53" s="1073" t="s">
        <v>5301</v>
      </c>
      <c r="M53" s="1073" t="s">
        <v>5302</v>
      </c>
      <c r="N53" s="1073" t="s">
        <v>5303</v>
      </c>
      <c r="O53" s="1073" t="s">
        <v>5304</v>
      </c>
      <c r="P53" s="1073" t="s">
        <v>5305</v>
      </c>
      <c r="Q53" s="1073" t="s">
        <v>5306</v>
      </c>
      <c r="R53" s="1073" t="s">
        <v>5307</v>
      </c>
      <c r="S53" s="1073" t="s">
        <v>5308</v>
      </c>
      <c r="T53" s="1060" t="s">
        <v>5309</v>
      </c>
      <c r="U53" s="3077" t="s">
        <v>5310</v>
      </c>
      <c r="V53" s="1072" t="s">
        <v>5311</v>
      </c>
      <c r="W53" s="1060" t="s">
        <v>5312</v>
      </c>
      <c r="X53" s="3381" t="s">
        <v>5313</v>
      </c>
      <c r="Y53" s="1072" t="s">
        <v>5314</v>
      </c>
      <c r="Z53" s="1073" t="s">
        <v>5315</v>
      </c>
      <c r="AA53" s="1060" t="s">
        <v>5316</v>
      </c>
      <c r="AB53" s="1113" t="s">
        <v>5317</v>
      </c>
      <c r="AC53" s="1072" t="s">
        <v>5318</v>
      </c>
      <c r="AD53" s="3143" t="s">
        <v>5319</v>
      </c>
      <c r="AE53" s="1060" t="s">
        <v>5320</v>
      </c>
      <c r="AF53" s="3240" t="s">
        <v>5321</v>
      </c>
      <c r="AG53" s="1060" t="s">
        <v>5322</v>
      </c>
      <c r="AH53" t="e">
        <f t="shared" si="0"/>
        <v>#VALUE!</v>
      </c>
      <c r="BF53" s="1723" t="e">
        <f t="shared" si="1"/>
        <v>#VALUE!</v>
      </c>
      <c r="BG53" s="1723" t="str">
        <f t="shared" si="2"/>
        <v xml:space="preserve"> * La variable beneficiarios No puede ser mayor al Total.</v>
      </c>
      <c r="BH53" s="1723" t="e">
        <f t="shared" si="3"/>
        <v>#VALUE!</v>
      </c>
      <c r="BM53" s="1725" t="e">
        <f t="shared" si="4"/>
        <v>#VALUE!</v>
      </c>
      <c r="BN53" s="1725">
        <f t="shared" si="5"/>
        <v>1</v>
      </c>
      <c r="BO53" s="1725" t="e">
        <f t="shared" si="6"/>
        <v>#VALUE!</v>
      </c>
    </row>
    <row r="54" spans="1:67" x14ac:dyDescent="0.3">
      <c r="A54" s="6258" t="s">
        <v>4680</v>
      </c>
      <c r="B54" s="3381" t="s">
        <v>235</v>
      </c>
      <c r="C54" s="1692" t="s">
        <v>5292</v>
      </c>
      <c r="D54" s="1072" t="s">
        <v>5293</v>
      </c>
      <c r="E54" s="1073" t="s">
        <v>5294</v>
      </c>
      <c r="F54" s="1073" t="s">
        <v>5295</v>
      </c>
      <c r="G54" s="1073" t="s">
        <v>5296</v>
      </c>
      <c r="H54" s="1073" t="s">
        <v>5297</v>
      </c>
      <c r="I54" s="1073" t="s">
        <v>5298</v>
      </c>
      <c r="J54" s="1073" t="s">
        <v>5299</v>
      </c>
      <c r="K54" s="1073" t="s">
        <v>5300</v>
      </c>
      <c r="L54" s="1073" t="s">
        <v>5301</v>
      </c>
      <c r="M54" s="1073" t="s">
        <v>5302</v>
      </c>
      <c r="N54" s="1073" t="s">
        <v>5303</v>
      </c>
      <c r="O54" s="1073" t="s">
        <v>5304</v>
      </c>
      <c r="P54" s="1073" t="s">
        <v>5305</v>
      </c>
      <c r="Q54" s="1073" t="s">
        <v>5306</v>
      </c>
      <c r="R54" s="1073" t="s">
        <v>5307</v>
      </c>
      <c r="S54" s="1073" t="s">
        <v>5308</v>
      </c>
      <c r="T54" s="1060" t="s">
        <v>5309</v>
      </c>
      <c r="U54" s="3077" t="s">
        <v>5310</v>
      </c>
      <c r="V54" s="1072" t="s">
        <v>5311</v>
      </c>
      <c r="W54" s="1060" t="s">
        <v>5312</v>
      </c>
      <c r="X54" s="3381" t="s">
        <v>5313</v>
      </c>
      <c r="Y54" s="1072" t="s">
        <v>5314</v>
      </c>
      <c r="Z54" s="1073" t="s">
        <v>5315</v>
      </c>
      <c r="AA54" s="1060" t="s">
        <v>5316</v>
      </c>
      <c r="AB54" s="1113" t="s">
        <v>5317</v>
      </c>
      <c r="AC54" s="1072" t="s">
        <v>5318</v>
      </c>
      <c r="AD54" s="3143" t="s">
        <v>5319</v>
      </c>
      <c r="AE54" s="1060" t="s">
        <v>5320</v>
      </c>
      <c r="AF54" s="3240" t="s">
        <v>5321</v>
      </c>
      <c r="AG54" s="1060" t="s">
        <v>5322</v>
      </c>
      <c r="AH54" t="e">
        <f t="shared" si="0"/>
        <v>#VALUE!</v>
      </c>
      <c r="BF54" s="1723" t="e">
        <f t="shared" si="1"/>
        <v>#VALUE!</v>
      </c>
      <c r="BG54" s="1723" t="str">
        <f t="shared" si="2"/>
        <v xml:space="preserve"> * La variable beneficiarios No puede ser mayor al Total.</v>
      </c>
      <c r="BH54" s="1723" t="e">
        <f t="shared" si="3"/>
        <v>#VALUE!</v>
      </c>
      <c r="BM54" s="1725" t="e">
        <f t="shared" si="4"/>
        <v>#VALUE!</v>
      </c>
      <c r="BN54" s="1725">
        <f t="shared" si="5"/>
        <v>1</v>
      </c>
      <c r="BO54" s="1725" t="e">
        <f t="shared" si="6"/>
        <v>#VALUE!</v>
      </c>
    </row>
    <row r="55" spans="1:67" x14ac:dyDescent="0.3">
      <c r="A55" s="6258" t="s">
        <v>4681</v>
      </c>
      <c r="B55" s="1939" t="s">
        <v>236</v>
      </c>
      <c r="C55" s="1692" t="s">
        <v>5292</v>
      </c>
      <c r="D55" s="1072" t="s">
        <v>5293</v>
      </c>
      <c r="E55" s="1073" t="s">
        <v>5294</v>
      </c>
      <c r="F55" s="1073" t="s">
        <v>5295</v>
      </c>
      <c r="G55" s="1073" t="s">
        <v>5296</v>
      </c>
      <c r="H55" s="1073" t="s">
        <v>5297</v>
      </c>
      <c r="I55" s="1073" t="s">
        <v>5298</v>
      </c>
      <c r="J55" s="1073" t="s">
        <v>5299</v>
      </c>
      <c r="K55" s="1073" t="s">
        <v>5300</v>
      </c>
      <c r="L55" s="1073" t="s">
        <v>5301</v>
      </c>
      <c r="M55" s="1073" t="s">
        <v>5302</v>
      </c>
      <c r="N55" s="1073" t="s">
        <v>5303</v>
      </c>
      <c r="O55" s="1073" t="s">
        <v>5304</v>
      </c>
      <c r="P55" s="1073" t="s">
        <v>5305</v>
      </c>
      <c r="Q55" s="1073" t="s">
        <v>5306</v>
      </c>
      <c r="R55" s="1073" t="s">
        <v>5307</v>
      </c>
      <c r="S55" s="1073" t="s">
        <v>5308</v>
      </c>
      <c r="T55" s="1060" t="s">
        <v>5309</v>
      </c>
      <c r="U55" s="3077" t="s">
        <v>5310</v>
      </c>
      <c r="V55" s="1072" t="s">
        <v>5311</v>
      </c>
      <c r="W55" s="1060" t="s">
        <v>5312</v>
      </c>
      <c r="X55" s="3381" t="s">
        <v>5313</v>
      </c>
      <c r="Y55" s="1072" t="s">
        <v>5314</v>
      </c>
      <c r="Z55" s="1073" t="s">
        <v>5315</v>
      </c>
      <c r="AA55" s="1060" t="s">
        <v>5316</v>
      </c>
      <c r="AB55" s="1113" t="s">
        <v>5317</v>
      </c>
      <c r="AC55" s="1072" t="s">
        <v>5318</v>
      </c>
      <c r="AD55" s="3143" t="s">
        <v>5319</v>
      </c>
      <c r="AE55" s="1060" t="s">
        <v>5320</v>
      </c>
      <c r="AF55" s="3240" t="s">
        <v>5321</v>
      </c>
      <c r="AG55" s="1060" t="s">
        <v>5322</v>
      </c>
      <c r="AH55" t="e">
        <f t="shared" si="0"/>
        <v>#VALUE!</v>
      </c>
      <c r="BF55" s="1723" t="e">
        <f t="shared" si="1"/>
        <v>#VALUE!</v>
      </c>
      <c r="BG55" s="1723" t="str">
        <f t="shared" si="2"/>
        <v xml:space="preserve"> * La variable beneficiarios No puede ser mayor al Total.</v>
      </c>
      <c r="BH55" s="1723" t="e">
        <f t="shared" si="3"/>
        <v>#VALUE!</v>
      </c>
      <c r="BM55" s="1725" t="e">
        <f t="shared" si="4"/>
        <v>#VALUE!</v>
      </c>
      <c r="BN55" s="1725">
        <f t="shared" si="5"/>
        <v>1</v>
      </c>
      <c r="BO55" s="1725" t="e">
        <f t="shared" si="6"/>
        <v>#VALUE!</v>
      </c>
    </row>
    <row r="56" spans="1:67" x14ac:dyDescent="0.3">
      <c r="A56" s="6258" t="s">
        <v>4682</v>
      </c>
      <c r="B56" s="3611" t="s">
        <v>237</v>
      </c>
      <c r="C56" s="1692" t="s">
        <v>5292</v>
      </c>
      <c r="D56" s="1072" t="s">
        <v>5293</v>
      </c>
      <c r="E56" s="1073" t="s">
        <v>5294</v>
      </c>
      <c r="F56" s="1073" t="s">
        <v>5295</v>
      </c>
      <c r="G56" s="1073" t="s">
        <v>5296</v>
      </c>
      <c r="H56" s="1073" t="s">
        <v>5297</v>
      </c>
      <c r="I56" s="1073" t="s">
        <v>5298</v>
      </c>
      <c r="J56" s="1073" t="s">
        <v>5299</v>
      </c>
      <c r="K56" s="1073" t="s">
        <v>5300</v>
      </c>
      <c r="L56" s="1073" t="s">
        <v>5301</v>
      </c>
      <c r="M56" s="1073" t="s">
        <v>5302</v>
      </c>
      <c r="N56" s="1073" t="s">
        <v>5303</v>
      </c>
      <c r="O56" s="1073" t="s">
        <v>5304</v>
      </c>
      <c r="P56" s="1073" t="s">
        <v>5305</v>
      </c>
      <c r="Q56" s="1073" t="s">
        <v>5306</v>
      </c>
      <c r="R56" s="1073" t="s">
        <v>5307</v>
      </c>
      <c r="S56" s="1073" t="s">
        <v>5308</v>
      </c>
      <c r="T56" s="1060" t="s">
        <v>5309</v>
      </c>
      <c r="U56" s="3077" t="s">
        <v>5310</v>
      </c>
      <c r="V56" s="1072" t="s">
        <v>5311</v>
      </c>
      <c r="W56" s="1060" t="s">
        <v>5312</v>
      </c>
      <c r="X56" s="3381" t="s">
        <v>5313</v>
      </c>
      <c r="Y56" s="1072" t="s">
        <v>5314</v>
      </c>
      <c r="Z56" s="1073" t="s">
        <v>5315</v>
      </c>
      <c r="AA56" s="1060" t="s">
        <v>5316</v>
      </c>
      <c r="AB56" s="1113" t="s">
        <v>5317</v>
      </c>
      <c r="AC56" s="1072" t="s">
        <v>5318</v>
      </c>
      <c r="AD56" s="3143" t="s">
        <v>5319</v>
      </c>
      <c r="AE56" s="1060" t="s">
        <v>5320</v>
      </c>
      <c r="AF56" s="3240" t="s">
        <v>5321</v>
      </c>
      <c r="AG56" s="1060" t="s">
        <v>5322</v>
      </c>
      <c r="AH56" t="e">
        <f t="shared" si="0"/>
        <v>#VALUE!</v>
      </c>
      <c r="BF56" s="1723" t="e">
        <f t="shared" si="1"/>
        <v>#VALUE!</v>
      </c>
      <c r="BG56" s="1723" t="str">
        <f t="shared" si="2"/>
        <v xml:space="preserve"> * La variable beneficiarios No puede ser mayor al Total.</v>
      </c>
      <c r="BH56" s="1723" t="e">
        <f t="shared" si="3"/>
        <v>#VALUE!</v>
      </c>
      <c r="BM56" s="1725" t="e">
        <f t="shared" si="4"/>
        <v>#VALUE!</v>
      </c>
      <c r="BN56" s="1725">
        <f t="shared" si="5"/>
        <v>1</v>
      </c>
      <c r="BO56" s="1725" t="e">
        <f t="shared" si="6"/>
        <v>#VALUE!</v>
      </c>
    </row>
    <row r="57" spans="1:67" x14ac:dyDescent="0.3">
      <c r="A57" s="6258" t="s">
        <v>4683</v>
      </c>
      <c r="B57" s="3611" t="s">
        <v>2153</v>
      </c>
      <c r="C57" s="1692" t="s">
        <v>5292</v>
      </c>
      <c r="D57" s="1072" t="s">
        <v>5293</v>
      </c>
      <c r="E57" s="1073" t="s">
        <v>5294</v>
      </c>
      <c r="F57" s="1073" t="s">
        <v>5295</v>
      </c>
      <c r="G57" s="1073" t="s">
        <v>5296</v>
      </c>
      <c r="H57" s="1073" t="s">
        <v>5297</v>
      </c>
      <c r="I57" s="1073" t="s">
        <v>5298</v>
      </c>
      <c r="J57" s="1073" t="s">
        <v>5299</v>
      </c>
      <c r="K57" s="1073" t="s">
        <v>5300</v>
      </c>
      <c r="L57" s="1073" t="s">
        <v>5301</v>
      </c>
      <c r="M57" s="1073" t="s">
        <v>5302</v>
      </c>
      <c r="N57" s="1073" t="s">
        <v>5303</v>
      </c>
      <c r="O57" s="1073" t="s">
        <v>5304</v>
      </c>
      <c r="P57" s="1073" t="s">
        <v>5305</v>
      </c>
      <c r="Q57" s="1073" t="s">
        <v>5306</v>
      </c>
      <c r="R57" s="1073" t="s">
        <v>5307</v>
      </c>
      <c r="S57" s="1073" t="s">
        <v>5308</v>
      </c>
      <c r="T57" s="1060" t="s">
        <v>5309</v>
      </c>
      <c r="U57" s="3077" t="s">
        <v>5310</v>
      </c>
      <c r="V57" s="1072" t="s">
        <v>5311</v>
      </c>
      <c r="W57" s="1060" t="s">
        <v>5312</v>
      </c>
      <c r="X57" s="3381" t="s">
        <v>5313</v>
      </c>
      <c r="Y57" s="1072" t="s">
        <v>5314</v>
      </c>
      <c r="Z57" s="1073" t="s">
        <v>5315</v>
      </c>
      <c r="AA57" s="1060" t="s">
        <v>5316</v>
      </c>
      <c r="AB57" s="1113" t="s">
        <v>5317</v>
      </c>
      <c r="AC57" s="1072" t="s">
        <v>5318</v>
      </c>
      <c r="AD57" s="3143" t="s">
        <v>5319</v>
      </c>
      <c r="AE57" s="1060" t="s">
        <v>5320</v>
      </c>
      <c r="AF57" s="3240" t="s">
        <v>5321</v>
      </c>
      <c r="AG57" s="1060" t="s">
        <v>5322</v>
      </c>
      <c r="AH57" t="e">
        <f t="shared" si="0"/>
        <v>#VALUE!</v>
      </c>
      <c r="BF57" s="1723" t="e">
        <f t="shared" si="1"/>
        <v>#VALUE!</v>
      </c>
      <c r="BG57" s="1723" t="str">
        <f t="shared" si="2"/>
        <v xml:space="preserve"> * La variable beneficiarios No puede ser mayor al Total.</v>
      </c>
      <c r="BH57" s="1723" t="e">
        <f t="shared" si="3"/>
        <v>#VALUE!</v>
      </c>
      <c r="BM57" s="1725" t="e">
        <f t="shared" si="4"/>
        <v>#VALUE!</v>
      </c>
      <c r="BN57" s="1725">
        <f t="shared" si="5"/>
        <v>1</v>
      </c>
      <c r="BO57" s="1725" t="e">
        <f t="shared" si="6"/>
        <v>#VALUE!</v>
      </c>
    </row>
    <row r="58" spans="1:67" x14ac:dyDescent="0.3">
      <c r="A58" s="6258" t="s">
        <v>4684</v>
      </c>
      <c r="B58" s="3611" t="s">
        <v>2154</v>
      </c>
      <c r="C58" s="1692" t="s">
        <v>5292</v>
      </c>
      <c r="D58" s="1072" t="s">
        <v>5293</v>
      </c>
      <c r="E58" s="1073" t="s">
        <v>5294</v>
      </c>
      <c r="F58" s="1073" t="s">
        <v>5295</v>
      </c>
      <c r="G58" s="1073" t="s">
        <v>5296</v>
      </c>
      <c r="H58" s="1073" t="s">
        <v>5297</v>
      </c>
      <c r="I58" s="1073" t="s">
        <v>5298</v>
      </c>
      <c r="J58" s="1073" t="s">
        <v>5299</v>
      </c>
      <c r="K58" s="1073" t="s">
        <v>5300</v>
      </c>
      <c r="L58" s="1073" t="s">
        <v>5301</v>
      </c>
      <c r="M58" s="1073" t="s">
        <v>5302</v>
      </c>
      <c r="N58" s="1073" t="s">
        <v>5303</v>
      </c>
      <c r="O58" s="1073" t="s">
        <v>5304</v>
      </c>
      <c r="P58" s="1073" t="s">
        <v>5305</v>
      </c>
      <c r="Q58" s="1073" t="s">
        <v>5306</v>
      </c>
      <c r="R58" s="1073" t="s">
        <v>5307</v>
      </c>
      <c r="S58" s="1073" t="s">
        <v>5308</v>
      </c>
      <c r="T58" s="1060" t="s">
        <v>5309</v>
      </c>
      <c r="U58" s="3077" t="s">
        <v>5310</v>
      </c>
      <c r="V58" s="1072" t="s">
        <v>5311</v>
      </c>
      <c r="W58" s="1060" t="s">
        <v>5312</v>
      </c>
      <c r="X58" s="3381" t="s">
        <v>5313</v>
      </c>
      <c r="Y58" s="1072" t="s">
        <v>5314</v>
      </c>
      <c r="Z58" s="1073" t="s">
        <v>5315</v>
      </c>
      <c r="AA58" s="1060" t="s">
        <v>5316</v>
      </c>
      <c r="AB58" s="1113" t="s">
        <v>5317</v>
      </c>
      <c r="AC58" s="1072" t="s">
        <v>5318</v>
      </c>
      <c r="AD58" s="3143" t="s">
        <v>5319</v>
      </c>
      <c r="AE58" s="1060" t="s">
        <v>5320</v>
      </c>
      <c r="AF58" s="3240" t="s">
        <v>5321</v>
      </c>
      <c r="AG58" s="1060" t="s">
        <v>5322</v>
      </c>
      <c r="AH58" t="e">
        <f t="shared" si="0"/>
        <v>#VALUE!</v>
      </c>
      <c r="BF58" s="1723" t="e">
        <f t="shared" si="1"/>
        <v>#VALUE!</v>
      </c>
      <c r="BG58" s="1723" t="str">
        <f t="shared" si="2"/>
        <v xml:space="preserve"> * La variable beneficiarios No puede ser mayor al Total.</v>
      </c>
      <c r="BH58" s="1723" t="e">
        <f t="shared" si="3"/>
        <v>#VALUE!</v>
      </c>
      <c r="BM58" s="1725" t="e">
        <f t="shared" si="4"/>
        <v>#VALUE!</v>
      </c>
      <c r="BN58" s="1725">
        <f t="shared" si="5"/>
        <v>1</v>
      </c>
      <c r="BO58" s="1725" t="e">
        <f t="shared" si="6"/>
        <v>#VALUE!</v>
      </c>
    </row>
    <row r="59" spans="1:67" x14ac:dyDescent="0.3">
      <c r="A59" s="6258" t="s">
        <v>4685</v>
      </c>
      <c r="B59" s="3381" t="s">
        <v>238</v>
      </c>
      <c r="C59" s="1692" t="s">
        <v>5292</v>
      </c>
      <c r="D59" s="1072" t="s">
        <v>5293</v>
      </c>
      <c r="E59" s="1073" t="s">
        <v>5294</v>
      </c>
      <c r="F59" s="1073" t="s">
        <v>5295</v>
      </c>
      <c r="G59" s="1073" t="s">
        <v>5296</v>
      </c>
      <c r="H59" s="1073" t="s">
        <v>5297</v>
      </c>
      <c r="I59" s="1073" t="s">
        <v>5298</v>
      </c>
      <c r="J59" s="1073" t="s">
        <v>5299</v>
      </c>
      <c r="K59" s="1073" t="s">
        <v>5300</v>
      </c>
      <c r="L59" s="1073" t="s">
        <v>5301</v>
      </c>
      <c r="M59" s="1073" t="s">
        <v>5302</v>
      </c>
      <c r="N59" s="1073" t="s">
        <v>5303</v>
      </c>
      <c r="O59" s="1073" t="s">
        <v>5304</v>
      </c>
      <c r="P59" s="1073" t="s">
        <v>5305</v>
      </c>
      <c r="Q59" s="1073" t="s">
        <v>5306</v>
      </c>
      <c r="R59" s="1073" t="s">
        <v>5307</v>
      </c>
      <c r="S59" s="1073" t="s">
        <v>5308</v>
      </c>
      <c r="T59" s="1060" t="s">
        <v>5309</v>
      </c>
      <c r="U59" s="3077" t="s">
        <v>5310</v>
      </c>
      <c r="V59" s="1072" t="s">
        <v>5311</v>
      </c>
      <c r="W59" s="1060" t="s">
        <v>5312</v>
      </c>
      <c r="X59" s="3381" t="s">
        <v>5313</v>
      </c>
      <c r="Y59" s="1072" t="s">
        <v>5314</v>
      </c>
      <c r="Z59" s="1073" t="s">
        <v>5315</v>
      </c>
      <c r="AA59" s="1060" t="s">
        <v>5316</v>
      </c>
      <c r="AB59" s="1113" t="s">
        <v>5317</v>
      </c>
      <c r="AC59" s="1072" t="s">
        <v>5318</v>
      </c>
      <c r="AD59" s="3143" t="s">
        <v>5319</v>
      </c>
      <c r="AE59" s="1060" t="s">
        <v>5320</v>
      </c>
      <c r="AF59" s="3240" t="s">
        <v>5321</v>
      </c>
      <c r="AG59" s="1060" t="s">
        <v>5322</v>
      </c>
      <c r="AH59" t="e">
        <f t="shared" si="0"/>
        <v>#VALUE!</v>
      </c>
      <c r="BF59" s="1723" t="e">
        <f t="shared" si="1"/>
        <v>#VALUE!</v>
      </c>
      <c r="BG59" s="1723" t="str">
        <f t="shared" si="2"/>
        <v xml:space="preserve"> * La variable beneficiarios No puede ser mayor al Total.</v>
      </c>
      <c r="BH59" s="1723" t="e">
        <f t="shared" si="3"/>
        <v>#VALUE!</v>
      </c>
      <c r="BM59" s="1725" t="e">
        <f t="shared" si="4"/>
        <v>#VALUE!</v>
      </c>
      <c r="BN59" s="1725">
        <f t="shared" si="5"/>
        <v>1</v>
      </c>
      <c r="BO59" s="1725" t="e">
        <f t="shared" si="6"/>
        <v>#VALUE!</v>
      </c>
    </row>
    <row r="60" spans="1:67" x14ac:dyDescent="0.3">
      <c r="A60" s="6258" t="s">
        <v>4686</v>
      </c>
      <c r="B60" s="3381" t="s">
        <v>239</v>
      </c>
      <c r="C60" s="1692" t="s">
        <v>5292</v>
      </c>
      <c r="D60" s="1072" t="s">
        <v>5293</v>
      </c>
      <c r="E60" s="1073" t="s">
        <v>5294</v>
      </c>
      <c r="F60" s="1073" t="s">
        <v>5295</v>
      </c>
      <c r="G60" s="1073" t="s">
        <v>5296</v>
      </c>
      <c r="H60" s="1073" t="s">
        <v>5297</v>
      </c>
      <c r="I60" s="1073" t="s">
        <v>5298</v>
      </c>
      <c r="J60" s="1073" t="s">
        <v>5299</v>
      </c>
      <c r="K60" s="1073" t="s">
        <v>5300</v>
      </c>
      <c r="L60" s="1073" t="s">
        <v>5301</v>
      </c>
      <c r="M60" s="1073" t="s">
        <v>5302</v>
      </c>
      <c r="N60" s="1073" t="s">
        <v>5303</v>
      </c>
      <c r="O60" s="1073" t="s">
        <v>5304</v>
      </c>
      <c r="P60" s="1073" t="s">
        <v>5305</v>
      </c>
      <c r="Q60" s="1073" t="s">
        <v>5306</v>
      </c>
      <c r="R60" s="1073" t="s">
        <v>5307</v>
      </c>
      <c r="S60" s="1073" t="s">
        <v>5308</v>
      </c>
      <c r="T60" s="1060" t="s">
        <v>5309</v>
      </c>
      <c r="U60" s="3077" t="s">
        <v>5310</v>
      </c>
      <c r="V60" s="1072" t="s">
        <v>5311</v>
      </c>
      <c r="W60" s="1060" t="s">
        <v>5312</v>
      </c>
      <c r="X60" s="3381" t="s">
        <v>5313</v>
      </c>
      <c r="Y60" s="1072" t="s">
        <v>5314</v>
      </c>
      <c r="Z60" s="1073" t="s">
        <v>5315</v>
      </c>
      <c r="AA60" s="1060" t="s">
        <v>5316</v>
      </c>
      <c r="AB60" s="1113" t="s">
        <v>5317</v>
      </c>
      <c r="AC60" s="1072" t="s">
        <v>5318</v>
      </c>
      <c r="AD60" s="3143" t="s">
        <v>5319</v>
      </c>
      <c r="AE60" s="1060" t="s">
        <v>5320</v>
      </c>
      <c r="AF60" s="3240" t="s">
        <v>5321</v>
      </c>
      <c r="AG60" s="1060" t="s">
        <v>5322</v>
      </c>
      <c r="AH60" t="e">
        <f t="shared" si="0"/>
        <v>#VALUE!</v>
      </c>
      <c r="BF60" s="1723" t="e">
        <f t="shared" si="1"/>
        <v>#VALUE!</v>
      </c>
      <c r="BG60" s="1723" t="str">
        <f t="shared" si="2"/>
        <v xml:space="preserve"> * La variable beneficiarios No puede ser mayor al Total.</v>
      </c>
      <c r="BH60" s="1723" t="e">
        <f t="shared" si="3"/>
        <v>#VALUE!</v>
      </c>
      <c r="BM60" s="1725" t="e">
        <f t="shared" si="4"/>
        <v>#VALUE!</v>
      </c>
      <c r="BN60" s="1725">
        <f t="shared" si="5"/>
        <v>1</v>
      </c>
      <c r="BO60" s="1725" t="e">
        <f t="shared" si="6"/>
        <v>#VALUE!</v>
      </c>
    </row>
    <row r="61" spans="1:67" x14ac:dyDescent="0.3">
      <c r="A61" s="6258" t="s">
        <v>4687</v>
      </c>
      <c r="B61" s="3381" t="s">
        <v>2155</v>
      </c>
      <c r="C61" s="1692" t="s">
        <v>5292</v>
      </c>
      <c r="D61" s="1072" t="s">
        <v>5293</v>
      </c>
      <c r="E61" s="1073" t="s">
        <v>5294</v>
      </c>
      <c r="F61" s="1073" t="s">
        <v>5295</v>
      </c>
      <c r="G61" s="1073" t="s">
        <v>5296</v>
      </c>
      <c r="H61" s="1073" t="s">
        <v>5297</v>
      </c>
      <c r="I61" s="1073" t="s">
        <v>5298</v>
      </c>
      <c r="J61" s="1073" t="s">
        <v>5299</v>
      </c>
      <c r="K61" s="1073" t="s">
        <v>5300</v>
      </c>
      <c r="L61" s="1073" t="s">
        <v>5301</v>
      </c>
      <c r="M61" s="1073" t="s">
        <v>5302</v>
      </c>
      <c r="N61" s="1073" t="s">
        <v>5303</v>
      </c>
      <c r="O61" s="1073" t="s">
        <v>5304</v>
      </c>
      <c r="P61" s="1073" t="s">
        <v>5305</v>
      </c>
      <c r="Q61" s="1073" t="s">
        <v>5306</v>
      </c>
      <c r="R61" s="1073" t="s">
        <v>5307</v>
      </c>
      <c r="S61" s="1073" t="s">
        <v>5308</v>
      </c>
      <c r="T61" s="1060" t="s">
        <v>5309</v>
      </c>
      <c r="U61" s="3077" t="s">
        <v>5310</v>
      </c>
      <c r="V61" s="1072" t="s">
        <v>5311</v>
      </c>
      <c r="W61" s="1060" t="s">
        <v>5312</v>
      </c>
      <c r="X61" s="3381" t="s">
        <v>5313</v>
      </c>
      <c r="Y61" s="1072" t="s">
        <v>5314</v>
      </c>
      <c r="Z61" s="1073" t="s">
        <v>5315</v>
      </c>
      <c r="AA61" s="1060" t="s">
        <v>5316</v>
      </c>
      <c r="AB61" s="1113" t="s">
        <v>5317</v>
      </c>
      <c r="AC61" s="1072" t="s">
        <v>5318</v>
      </c>
      <c r="AD61" s="3143" t="s">
        <v>5319</v>
      </c>
      <c r="AE61" s="1060" t="s">
        <v>5320</v>
      </c>
      <c r="AF61" s="3240" t="s">
        <v>5321</v>
      </c>
      <c r="AG61" s="1060" t="s">
        <v>5322</v>
      </c>
      <c r="AH61" t="e">
        <f t="shared" si="0"/>
        <v>#VALUE!</v>
      </c>
      <c r="BF61" s="1723" t="e">
        <f t="shared" si="1"/>
        <v>#VALUE!</v>
      </c>
      <c r="BG61" s="1723" t="str">
        <f t="shared" si="2"/>
        <v xml:space="preserve"> * La variable beneficiarios No puede ser mayor al Total.</v>
      </c>
      <c r="BH61" s="1723" t="e">
        <f t="shared" si="3"/>
        <v>#VALUE!</v>
      </c>
      <c r="BM61" s="1725" t="e">
        <f t="shared" si="4"/>
        <v>#VALUE!</v>
      </c>
      <c r="BN61" s="1725">
        <f t="shared" si="5"/>
        <v>1</v>
      </c>
      <c r="BO61" s="1725" t="e">
        <f t="shared" si="6"/>
        <v>#VALUE!</v>
      </c>
    </row>
    <row r="62" spans="1:67" x14ac:dyDescent="0.3">
      <c r="A62" s="6258" t="s">
        <v>4688</v>
      </c>
      <c r="B62" s="3381" t="s">
        <v>2156</v>
      </c>
      <c r="C62" s="1692" t="s">
        <v>5292</v>
      </c>
      <c r="D62" s="1072" t="s">
        <v>5293</v>
      </c>
      <c r="E62" s="1073" t="s">
        <v>5294</v>
      </c>
      <c r="F62" s="1073" t="s">
        <v>5295</v>
      </c>
      <c r="G62" s="1073" t="s">
        <v>5296</v>
      </c>
      <c r="H62" s="1073" t="s">
        <v>5297</v>
      </c>
      <c r="I62" s="1073" t="s">
        <v>5298</v>
      </c>
      <c r="J62" s="1073" t="s">
        <v>5299</v>
      </c>
      <c r="K62" s="1073" t="s">
        <v>5300</v>
      </c>
      <c r="L62" s="1073" t="s">
        <v>5301</v>
      </c>
      <c r="M62" s="1073" t="s">
        <v>5302</v>
      </c>
      <c r="N62" s="1073" t="s">
        <v>5303</v>
      </c>
      <c r="O62" s="1073" t="s">
        <v>5304</v>
      </c>
      <c r="P62" s="1073" t="s">
        <v>5305</v>
      </c>
      <c r="Q62" s="1073" t="s">
        <v>5306</v>
      </c>
      <c r="R62" s="1073" t="s">
        <v>5307</v>
      </c>
      <c r="S62" s="1073" t="s">
        <v>5308</v>
      </c>
      <c r="T62" s="1060" t="s">
        <v>5309</v>
      </c>
      <c r="U62" s="3077" t="s">
        <v>5310</v>
      </c>
      <c r="V62" s="1072" t="s">
        <v>5311</v>
      </c>
      <c r="W62" s="1060" t="s">
        <v>5312</v>
      </c>
      <c r="X62" s="3381" t="s">
        <v>5313</v>
      </c>
      <c r="Y62" s="1072" t="s">
        <v>5314</v>
      </c>
      <c r="Z62" s="1073" t="s">
        <v>5315</v>
      </c>
      <c r="AA62" s="1060" t="s">
        <v>5316</v>
      </c>
      <c r="AB62" s="1113" t="s">
        <v>5317</v>
      </c>
      <c r="AC62" s="1072" t="s">
        <v>5318</v>
      </c>
      <c r="AD62" s="3143" t="s">
        <v>5319</v>
      </c>
      <c r="AE62" s="1060" t="s">
        <v>5320</v>
      </c>
      <c r="AF62" s="3240" t="s">
        <v>5321</v>
      </c>
      <c r="AG62" s="1060" t="s">
        <v>5322</v>
      </c>
      <c r="AH62" t="e">
        <f t="shared" si="0"/>
        <v>#VALUE!</v>
      </c>
      <c r="BF62" s="1723" t="e">
        <f t="shared" si="1"/>
        <v>#VALUE!</v>
      </c>
      <c r="BG62" s="1723" t="str">
        <f t="shared" si="2"/>
        <v xml:space="preserve"> * La variable beneficiarios No puede ser mayor al Total.</v>
      </c>
      <c r="BH62" s="1723" t="e">
        <f t="shared" si="3"/>
        <v>#VALUE!</v>
      </c>
      <c r="BM62" s="1725" t="e">
        <f t="shared" si="4"/>
        <v>#VALUE!</v>
      </c>
      <c r="BN62" s="1725">
        <f t="shared" si="5"/>
        <v>1</v>
      </c>
      <c r="BO62" s="1725" t="e">
        <f t="shared" si="6"/>
        <v>#VALUE!</v>
      </c>
    </row>
    <row r="63" spans="1:67" x14ac:dyDescent="0.3">
      <c r="A63" s="6258" t="s">
        <v>4689</v>
      </c>
      <c r="B63" s="3381" t="s">
        <v>2157</v>
      </c>
      <c r="C63" s="1692" t="s">
        <v>5292</v>
      </c>
      <c r="D63" s="1072" t="s">
        <v>5293</v>
      </c>
      <c r="E63" s="1073" t="s">
        <v>5294</v>
      </c>
      <c r="F63" s="1073" t="s">
        <v>5295</v>
      </c>
      <c r="G63" s="1073" t="s">
        <v>5296</v>
      </c>
      <c r="H63" s="1073" t="s">
        <v>5297</v>
      </c>
      <c r="I63" s="1073" t="s">
        <v>5298</v>
      </c>
      <c r="J63" s="1073" t="s">
        <v>5299</v>
      </c>
      <c r="K63" s="1073" t="s">
        <v>5300</v>
      </c>
      <c r="L63" s="1073" t="s">
        <v>5301</v>
      </c>
      <c r="M63" s="1073" t="s">
        <v>5302</v>
      </c>
      <c r="N63" s="1073" t="s">
        <v>5303</v>
      </c>
      <c r="O63" s="1073" t="s">
        <v>5304</v>
      </c>
      <c r="P63" s="1073" t="s">
        <v>5305</v>
      </c>
      <c r="Q63" s="1073" t="s">
        <v>5306</v>
      </c>
      <c r="R63" s="1073" t="s">
        <v>5307</v>
      </c>
      <c r="S63" s="1073" t="s">
        <v>5308</v>
      </c>
      <c r="T63" s="1060" t="s">
        <v>5309</v>
      </c>
      <c r="U63" s="3077" t="s">
        <v>5310</v>
      </c>
      <c r="V63" s="1072" t="s">
        <v>5311</v>
      </c>
      <c r="W63" s="1060" t="s">
        <v>5312</v>
      </c>
      <c r="X63" s="3381" t="s">
        <v>5313</v>
      </c>
      <c r="Y63" s="1072" t="s">
        <v>5314</v>
      </c>
      <c r="Z63" s="1073" t="s">
        <v>5315</v>
      </c>
      <c r="AA63" s="1060" t="s">
        <v>5316</v>
      </c>
      <c r="AB63" s="1113" t="s">
        <v>5317</v>
      </c>
      <c r="AC63" s="1072" t="s">
        <v>5318</v>
      </c>
      <c r="AD63" s="3143" t="s">
        <v>5319</v>
      </c>
      <c r="AE63" s="1060" t="s">
        <v>5320</v>
      </c>
      <c r="AF63" s="3240" t="s">
        <v>5321</v>
      </c>
      <c r="AG63" s="1060" t="s">
        <v>5322</v>
      </c>
      <c r="AH63" t="e">
        <f t="shared" si="0"/>
        <v>#VALUE!</v>
      </c>
      <c r="BF63" s="1723" t="e">
        <f t="shared" si="1"/>
        <v>#VALUE!</v>
      </c>
      <c r="BG63" s="1723" t="str">
        <f t="shared" si="2"/>
        <v xml:space="preserve"> * La variable beneficiarios No puede ser mayor al Total.</v>
      </c>
      <c r="BH63" s="1723" t="e">
        <f t="shared" si="3"/>
        <v>#VALUE!</v>
      </c>
      <c r="BM63" s="1725" t="e">
        <f t="shared" si="4"/>
        <v>#VALUE!</v>
      </c>
      <c r="BN63" s="1725">
        <f t="shared" si="5"/>
        <v>1</v>
      </c>
      <c r="BO63" s="1725" t="e">
        <f t="shared" si="6"/>
        <v>#VALUE!</v>
      </c>
    </row>
    <row r="64" spans="1:67" x14ac:dyDescent="0.3">
      <c r="A64" s="6258" t="s">
        <v>4690</v>
      </c>
      <c r="B64" s="3381" t="s">
        <v>2158</v>
      </c>
      <c r="C64" s="1692" t="s">
        <v>5292</v>
      </c>
      <c r="D64" s="1072" t="s">
        <v>5293</v>
      </c>
      <c r="E64" s="1073" t="s">
        <v>5294</v>
      </c>
      <c r="F64" s="1073" t="s">
        <v>5295</v>
      </c>
      <c r="G64" s="1073" t="s">
        <v>5296</v>
      </c>
      <c r="H64" s="1073" t="s">
        <v>5297</v>
      </c>
      <c r="I64" s="1073" t="s">
        <v>5298</v>
      </c>
      <c r="J64" s="1073" t="s">
        <v>5299</v>
      </c>
      <c r="K64" s="1073" t="s">
        <v>5300</v>
      </c>
      <c r="L64" s="1073" t="s">
        <v>5301</v>
      </c>
      <c r="M64" s="1073" t="s">
        <v>5302</v>
      </c>
      <c r="N64" s="1073" t="s">
        <v>5303</v>
      </c>
      <c r="O64" s="1073" t="s">
        <v>5304</v>
      </c>
      <c r="P64" s="1073" t="s">
        <v>5305</v>
      </c>
      <c r="Q64" s="1073" t="s">
        <v>5306</v>
      </c>
      <c r="R64" s="1073" t="s">
        <v>5307</v>
      </c>
      <c r="S64" s="1073" t="s">
        <v>5308</v>
      </c>
      <c r="T64" s="1060" t="s">
        <v>5309</v>
      </c>
      <c r="U64" s="3077" t="s">
        <v>5310</v>
      </c>
      <c r="V64" s="1072" t="s">
        <v>5311</v>
      </c>
      <c r="W64" s="1060" t="s">
        <v>5312</v>
      </c>
      <c r="X64" s="3381" t="s">
        <v>5313</v>
      </c>
      <c r="Y64" s="1072" t="s">
        <v>5314</v>
      </c>
      <c r="Z64" s="1073" t="s">
        <v>5315</v>
      </c>
      <c r="AA64" s="1060" t="s">
        <v>5316</v>
      </c>
      <c r="AB64" s="1113" t="s">
        <v>5317</v>
      </c>
      <c r="AC64" s="1072" t="s">
        <v>5318</v>
      </c>
      <c r="AD64" s="3143" t="s">
        <v>5319</v>
      </c>
      <c r="AE64" s="1060" t="s">
        <v>5320</v>
      </c>
      <c r="AF64" s="3240" t="s">
        <v>5321</v>
      </c>
      <c r="AG64" s="1060" t="s">
        <v>5322</v>
      </c>
      <c r="AH64" t="e">
        <f t="shared" si="0"/>
        <v>#VALUE!</v>
      </c>
      <c r="BF64" s="1723" t="e">
        <f t="shared" si="1"/>
        <v>#VALUE!</v>
      </c>
      <c r="BG64" s="1723" t="str">
        <f t="shared" si="2"/>
        <v xml:space="preserve"> * La variable beneficiarios No puede ser mayor al Total.</v>
      </c>
      <c r="BH64" s="1723" t="e">
        <f t="shared" si="3"/>
        <v>#VALUE!</v>
      </c>
      <c r="BM64" s="1725" t="e">
        <f t="shared" si="4"/>
        <v>#VALUE!</v>
      </c>
      <c r="BN64" s="1725">
        <f t="shared" si="5"/>
        <v>1</v>
      </c>
      <c r="BO64" s="1725" t="e">
        <f t="shared" si="6"/>
        <v>#VALUE!</v>
      </c>
    </row>
    <row r="65" spans="1:67" x14ac:dyDescent="0.3">
      <c r="A65" s="6258" t="s">
        <v>4691</v>
      </c>
      <c r="B65" s="3381" t="s">
        <v>2159</v>
      </c>
      <c r="C65" s="1692" t="s">
        <v>5292</v>
      </c>
      <c r="D65" s="1072" t="s">
        <v>5293</v>
      </c>
      <c r="E65" s="1073" t="s">
        <v>5294</v>
      </c>
      <c r="F65" s="1073" t="s">
        <v>5295</v>
      </c>
      <c r="G65" s="1073" t="s">
        <v>5296</v>
      </c>
      <c r="H65" s="1073" t="s">
        <v>5297</v>
      </c>
      <c r="I65" s="1073" t="s">
        <v>5298</v>
      </c>
      <c r="J65" s="1073" t="s">
        <v>5299</v>
      </c>
      <c r="K65" s="1073" t="s">
        <v>5300</v>
      </c>
      <c r="L65" s="1073" t="s">
        <v>5301</v>
      </c>
      <c r="M65" s="1073" t="s">
        <v>5302</v>
      </c>
      <c r="N65" s="1073" t="s">
        <v>5303</v>
      </c>
      <c r="O65" s="1073" t="s">
        <v>5304</v>
      </c>
      <c r="P65" s="1073" t="s">
        <v>5305</v>
      </c>
      <c r="Q65" s="1073" t="s">
        <v>5306</v>
      </c>
      <c r="R65" s="1073" t="s">
        <v>5307</v>
      </c>
      <c r="S65" s="1073" t="s">
        <v>5308</v>
      </c>
      <c r="T65" s="1060" t="s">
        <v>5309</v>
      </c>
      <c r="U65" s="3077" t="s">
        <v>5310</v>
      </c>
      <c r="V65" s="1072" t="s">
        <v>5311</v>
      </c>
      <c r="W65" s="1060" t="s">
        <v>5312</v>
      </c>
      <c r="X65" s="3381" t="s">
        <v>5313</v>
      </c>
      <c r="Y65" s="1072" t="s">
        <v>5314</v>
      </c>
      <c r="Z65" s="1073" t="s">
        <v>5315</v>
      </c>
      <c r="AA65" s="1060" t="s">
        <v>5316</v>
      </c>
      <c r="AB65" s="1113" t="s">
        <v>5317</v>
      </c>
      <c r="AC65" s="1072" t="s">
        <v>5318</v>
      </c>
      <c r="AD65" s="3143" t="s">
        <v>5319</v>
      </c>
      <c r="AE65" s="1060" t="s">
        <v>5320</v>
      </c>
      <c r="AF65" s="3240" t="s">
        <v>5321</v>
      </c>
      <c r="AG65" s="1060" t="s">
        <v>5322</v>
      </c>
      <c r="AH65" t="e">
        <f t="shared" si="0"/>
        <v>#VALUE!</v>
      </c>
      <c r="BF65" s="1723" t="e">
        <f t="shared" si="1"/>
        <v>#VALUE!</v>
      </c>
      <c r="BG65" s="1723" t="str">
        <f t="shared" si="2"/>
        <v xml:space="preserve"> * La variable beneficiarios No puede ser mayor al Total.</v>
      </c>
      <c r="BH65" s="1723" t="e">
        <f t="shared" si="3"/>
        <v>#VALUE!</v>
      </c>
      <c r="BM65" s="1725" t="e">
        <f t="shared" si="4"/>
        <v>#VALUE!</v>
      </c>
      <c r="BN65" s="1725">
        <f t="shared" si="5"/>
        <v>1</v>
      </c>
      <c r="BO65" s="1725" t="e">
        <f t="shared" si="6"/>
        <v>#VALUE!</v>
      </c>
    </row>
    <row r="66" spans="1:67" x14ac:dyDescent="0.3">
      <c r="A66" s="6258" t="s">
        <v>4692</v>
      </c>
      <c r="B66" s="3381" t="s">
        <v>2160</v>
      </c>
      <c r="C66" s="1692" t="s">
        <v>5292</v>
      </c>
      <c r="D66" s="1072" t="s">
        <v>5293</v>
      </c>
      <c r="E66" s="1073" t="s">
        <v>5294</v>
      </c>
      <c r="F66" s="1073" t="s">
        <v>5295</v>
      </c>
      <c r="G66" s="1073" t="s">
        <v>5296</v>
      </c>
      <c r="H66" s="1073" t="s">
        <v>5297</v>
      </c>
      <c r="I66" s="1073" t="s">
        <v>5298</v>
      </c>
      <c r="J66" s="1073" t="s">
        <v>5299</v>
      </c>
      <c r="K66" s="1073" t="s">
        <v>5300</v>
      </c>
      <c r="L66" s="1073" t="s">
        <v>5301</v>
      </c>
      <c r="M66" s="1073" t="s">
        <v>5302</v>
      </c>
      <c r="N66" s="1073" t="s">
        <v>5303</v>
      </c>
      <c r="O66" s="1073" t="s">
        <v>5304</v>
      </c>
      <c r="P66" s="1073" t="s">
        <v>5305</v>
      </c>
      <c r="Q66" s="1073" t="s">
        <v>5306</v>
      </c>
      <c r="R66" s="1073" t="s">
        <v>5307</v>
      </c>
      <c r="S66" s="1073" t="s">
        <v>5308</v>
      </c>
      <c r="T66" s="1060" t="s">
        <v>5309</v>
      </c>
      <c r="U66" s="3077" t="s">
        <v>5310</v>
      </c>
      <c r="V66" s="1072" t="s">
        <v>5311</v>
      </c>
      <c r="W66" s="1060" t="s">
        <v>5312</v>
      </c>
      <c r="X66" s="3381" t="s">
        <v>5313</v>
      </c>
      <c r="Y66" s="1072" t="s">
        <v>5314</v>
      </c>
      <c r="Z66" s="1073" t="s">
        <v>5315</v>
      </c>
      <c r="AA66" s="1060" t="s">
        <v>5316</v>
      </c>
      <c r="AB66" s="1113" t="s">
        <v>5317</v>
      </c>
      <c r="AC66" s="1072" t="s">
        <v>5318</v>
      </c>
      <c r="AD66" s="3143" t="s">
        <v>5319</v>
      </c>
      <c r="AE66" s="1060" t="s">
        <v>5320</v>
      </c>
      <c r="AF66" s="3240" t="s">
        <v>5321</v>
      </c>
      <c r="AG66" s="1060" t="s">
        <v>5322</v>
      </c>
      <c r="AH66" t="e">
        <f t="shared" si="0"/>
        <v>#VALUE!</v>
      </c>
      <c r="BF66" s="1723" t="e">
        <f t="shared" si="1"/>
        <v>#VALUE!</v>
      </c>
      <c r="BG66" s="1723" t="str">
        <f t="shared" si="2"/>
        <v xml:space="preserve"> * La variable beneficiarios No puede ser mayor al Total.</v>
      </c>
      <c r="BH66" s="1723" t="e">
        <f t="shared" si="3"/>
        <v>#VALUE!</v>
      </c>
      <c r="BM66" s="1725" t="e">
        <f t="shared" si="4"/>
        <v>#VALUE!</v>
      </c>
      <c r="BN66" s="1725">
        <f t="shared" si="5"/>
        <v>1</v>
      </c>
      <c r="BO66" s="1725" t="e">
        <f t="shared" si="6"/>
        <v>#VALUE!</v>
      </c>
    </row>
    <row r="67" spans="1:67" x14ac:dyDescent="0.3">
      <c r="A67" s="6258" t="s">
        <v>4693</v>
      </c>
      <c r="B67" s="3381" t="s">
        <v>2161</v>
      </c>
      <c r="C67" s="1692" t="s">
        <v>5292</v>
      </c>
      <c r="D67" s="2393" t="s">
        <v>5293</v>
      </c>
      <c r="E67" s="2394" t="s">
        <v>5294</v>
      </c>
      <c r="F67" s="2394" t="s">
        <v>5295</v>
      </c>
      <c r="G67" s="2394" t="s">
        <v>5296</v>
      </c>
      <c r="H67" s="2394" t="s">
        <v>5297</v>
      </c>
      <c r="I67" s="2394" t="s">
        <v>5298</v>
      </c>
      <c r="J67" s="2394" t="s">
        <v>5299</v>
      </c>
      <c r="K67" s="2394" t="s">
        <v>5300</v>
      </c>
      <c r="L67" s="2394" t="s">
        <v>5301</v>
      </c>
      <c r="M67" s="1073" t="s">
        <v>5302</v>
      </c>
      <c r="N67" s="1073" t="s">
        <v>5303</v>
      </c>
      <c r="O67" s="1073" t="s">
        <v>5304</v>
      </c>
      <c r="P67" s="1073" t="s">
        <v>5305</v>
      </c>
      <c r="Q67" s="1073" t="s">
        <v>5306</v>
      </c>
      <c r="R67" s="1073" t="s">
        <v>5307</v>
      </c>
      <c r="S67" s="1073" t="s">
        <v>5308</v>
      </c>
      <c r="T67" s="1060" t="s">
        <v>5309</v>
      </c>
      <c r="U67" s="3077" t="s">
        <v>5310</v>
      </c>
      <c r="V67" s="1072" t="s">
        <v>5311</v>
      </c>
      <c r="W67" s="1060" t="s">
        <v>5312</v>
      </c>
      <c r="X67" s="3381" t="s">
        <v>5313</v>
      </c>
      <c r="Y67" s="1072" t="s">
        <v>5314</v>
      </c>
      <c r="Z67" s="1073" t="s">
        <v>5315</v>
      </c>
      <c r="AA67" s="1060" t="s">
        <v>5316</v>
      </c>
      <c r="AB67" s="1113" t="s">
        <v>5317</v>
      </c>
      <c r="AC67" s="1072" t="s">
        <v>5318</v>
      </c>
      <c r="AD67" s="3143" t="s">
        <v>5319</v>
      </c>
      <c r="AE67" s="1060" t="s">
        <v>5320</v>
      </c>
      <c r="AF67" s="3240" t="s">
        <v>5321</v>
      </c>
      <c r="AG67" s="1060" t="s">
        <v>5322</v>
      </c>
      <c r="AH67" t="e">
        <f t="shared" si="0"/>
        <v>#VALUE!</v>
      </c>
      <c r="BF67" s="1723" t="e">
        <f t="shared" si="1"/>
        <v>#VALUE!</v>
      </c>
      <c r="BG67" s="1723" t="str">
        <f t="shared" si="2"/>
        <v xml:space="preserve"> * La variable beneficiarios No puede ser mayor al Total.</v>
      </c>
      <c r="BH67" s="1723" t="e">
        <f t="shared" si="3"/>
        <v>#VALUE!</v>
      </c>
      <c r="BM67" s="1725" t="e">
        <f t="shared" si="4"/>
        <v>#VALUE!</v>
      </c>
      <c r="BN67" s="1725">
        <f t="shared" si="5"/>
        <v>1</v>
      </c>
      <c r="BO67" s="1725" t="e">
        <f t="shared" si="6"/>
        <v>#VALUE!</v>
      </c>
    </row>
    <row r="68" spans="1:67" x14ac:dyDescent="0.3">
      <c r="A68" s="6258" t="s">
        <v>4694</v>
      </c>
      <c r="B68" s="3381" t="s">
        <v>240</v>
      </c>
      <c r="C68" s="1692" t="s">
        <v>5292</v>
      </c>
      <c r="D68" s="1072" t="s">
        <v>5293</v>
      </c>
      <c r="E68" s="1073" t="s">
        <v>5294</v>
      </c>
      <c r="F68" s="1073" t="s">
        <v>5295</v>
      </c>
      <c r="G68" s="1073" t="s">
        <v>5296</v>
      </c>
      <c r="H68" s="1073" t="s">
        <v>5297</v>
      </c>
      <c r="I68" s="1073" t="s">
        <v>5298</v>
      </c>
      <c r="J68" s="1073" t="s">
        <v>5299</v>
      </c>
      <c r="K68" s="1073" t="s">
        <v>5300</v>
      </c>
      <c r="L68" s="1073" t="s">
        <v>5301</v>
      </c>
      <c r="M68" s="1073" t="s">
        <v>5302</v>
      </c>
      <c r="N68" s="1073" t="s">
        <v>5303</v>
      </c>
      <c r="O68" s="1073" t="s">
        <v>5304</v>
      </c>
      <c r="P68" s="1073" t="s">
        <v>5305</v>
      </c>
      <c r="Q68" s="1073" t="s">
        <v>5306</v>
      </c>
      <c r="R68" s="1073" t="s">
        <v>5307</v>
      </c>
      <c r="S68" s="1073" t="s">
        <v>5308</v>
      </c>
      <c r="T68" s="1060" t="s">
        <v>5309</v>
      </c>
      <c r="U68" s="3077" t="s">
        <v>5310</v>
      </c>
      <c r="V68" s="1072" t="s">
        <v>5311</v>
      </c>
      <c r="W68" s="1060" t="s">
        <v>5312</v>
      </c>
      <c r="X68" s="3381" t="s">
        <v>5313</v>
      </c>
      <c r="Y68" s="1072" t="s">
        <v>5314</v>
      </c>
      <c r="Z68" s="1073" t="s">
        <v>5315</v>
      </c>
      <c r="AA68" s="1060" t="s">
        <v>5316</v>
      </c>
      <c r="AB68" s="1113" t="s">
        <v>5317</v>
      </c>
      <c r="AC68" s="1072" t="s">
        <v>5318</v>
      </c>
      <c r="AD68" s="3143" t="s">
        <v>5319</v>
      </c>
      <c r="AE68" s="1060" t="s">
        <v>5320</v>
      </c>
      <c r="AF68" s="3240" t="s">
        <v>5321</v>
      </c>
      <c r="AG68" s="1060" t="s">
        <v>5322</v>
      </c>
      <c r="AH68" t="e">
        <f t="shared" si="0"/>
        <v>#VALUE!</v>
      </c>
      <c r="BF68" s="1723" t="e">
        <f t="shared" si="1"/>
        <v>#VALUE!</v>
      </c>
      <c r="BG68" s="1723" t="str">
        <f t="shared" si="2"/>
        <v xml:space="preserve"> * La variable beneficiarios No puede ser mayor al Total.</v>
      </c>
      <c r="BH68" s="1723" t="e">
        <f t="shared" si="3"/>
        <v>#VALUE!</v>
      </c>
      <c r="BM68" s="1725" t="e">
        <f t="shared" si="4"/>
        <v>#VALUE!</v>
      </c>
      <c r="BN68" s="1725">
        <f t="shared" si="5"/>
        <v>1</v>
      </c>
      <c r="BO68" s="1725" t="e">
        <f t="shared" si="6"/>
        <v>#VALUE!</v>
      </c>
    </row>
    <row r="69" spans="1:67" x14ac:dyDescent="0.3">
      <c r="A69" s="6258" t="s">
        <v>4695</v>
      </c>
      <c r="B69" s="3381" t="s">
        <v>2162</v>
      </c>
      <c r="C69" s="1692" t="s">
        <v>5292</v>
      </c>
      <c r="D69" s="1072" t="s">
        <v>5293</v>
      </c>
      <c r="E69" s="1073" t="s">
        <v>5294</v>
      </c>
      <c r="F69" s="1073" t="s">
        <v>5295</v>
      </c>
      <c r="G69" s="1073" t="s">
        <v>5296</v>
      </c>
      <c r="H69" s="1073" t="s">
        <v>5297</v>
      </c>
      <c r="I69" s="1073" t="s">
        <v>5298</v>
      </c>
      <c r="J69" s="1073" t="s">
        <v>5299</v>
      </c>
      <c r="K69" s="1073" t="s">
        <v>5300</v>
      </c>
      <c r="L69" s="1073" t="s">
        <v>5301</v>
      </c>
      <c r="M69" s="1073" t="s">
        <v>5302</v>
      </c>
      <c r="N69" s="1073" t="s">
        <v>5303</v>
      </c>
      <c r="O69" s="1073" t="s">
        <v>5304</v>
      </c>
      <c r="P69" s="1073" t="s">
        <v>5305</v>
      </c>
      <c r="Q69" s="1073" t="s">
        <v>5306</v>
      </c>
      <c r="R69" s="1073" t="s">
        <v>5307</v>
      </c>
      <c r="S69" s="1073" t="s">
        <v>5308</v>
      </c>
      <c r="T69" s="1060" t="s">
        <v>5309</v>
      </c>
      <c r="U69" s="3077" t="s">
        <v>5310</v>
      </c>
      <c r="V69" s="1072" t="s">
        <v>5311</v>
      </c>
      <c r="W69" s="1060" t="s">
        <v>5312</v>
      </c>
      <c r="X69" s="3381" t="s">
        <v>5313</v>
      </c>
      <c r="Y69" s="1072" t="s">
        <v>5314</v>
      </c>
      <c r="Z69" s="1073" t="s">
        <v>5315</v>
      </c>
      <c r="AA69" s="1060" t="s">
        <v>5316</v>
      </c>
      <c r="AB69" s="1113" t="s">
        <v>5317</v>
      </c>
      <c r="AC69" s="1072" t="s">
        <v>5318</v>
      </c>
      <c r="AD69" s="3143" t="s">
        <v>5319</v>
      </c>
      <c r="AE69" s="1060" t="s">
        <v>5320</v>
      </c>
      <c r="AF69" s="3240" t="s">
        <v>5321</v>
      </c>
      <c r="AG69" s="1060" t="s">
        <v>5322</v>
      </c>
      <c r="AH69" t="e">
        <f t="shared" si="0"/>
        <v>#VALUE!</v>
      </c>
      <c r="BF69" s="1723" t="e">
        <f t="shared" si="1"/>
        <v>#VALUE!</v>
      </c>
      <c r="BG69" s="1723" t="str">
        <f t="shared" si="2"/>
        <v xml:space="preserve"> * La variable beneficiarios No puede ser mayor al Total.</v>
      </c>
      <c r="BH69" s="1723" t="e">
        <f t="shared" si="3"/>
        <v>#VALUE!</v>
      </c>
      <c r="BM69" s="1725" t="e">
        <f t="shared" si="4"/>
        <v>#VALUE!</v>
      </c>
      <c r="BN69" s="1725">
        <f t="shared" si="5"/>
        <v>1</v>
      </c>
      <c r="BO69" s="1725" t="e">
        <f t="shared" si="6"/>
        <v>#VALUE!</v>
      </c>
    </row>
    <row r="70" spans="1:67" x14ac:dyDescent="0.3">
      <c r="A70" s="6258" t="s">
        <v>4696</v>
      </c>
      <c r="B70" s="1939" t="s">
        <v>241</v>
      </c>
      <c r="C70" s="1692" t="s">
        <v>5292</v>
      </c>
      <c r="D70" s="1072" t="s">
        <v>5293</v>
      </c>
      <c r="E70" s="1073" t="s">
        <v>5294</v>
      </c>
      <c r="F70" s="1073" t="s">
        <v>5295</v>
      </c>
      <c r="G70" s="1073" t="s">
        <v>5296</v>
      </c>
      <c r="H70" s="1073" t="s">
        <v>5297</v>
      </c>
      <c r="I70" s="1073" t="s">
        <v>5298</v>
      </c>
      <c r="J70" s="1073" t="s">
        <v>5299</v>
      </c>
      <c r="K70" s="1073" t="s">
        <v>5300</v>
      </c>
      <c r="L70" s="1073" t="s">
        <v>5301</v>
      </c>
      <c r="M70" s="1073" t="s">
        <v>5302</v>
      </c>
      <c r="N70" s="1073" t="s">
        <v>5303</v>
      </c>
      <c r="O70" s="1073" t="s">
        <v>5304</v>
      </c>
      <c r="P70" s="1073" t="s">
        <v>5305</v>
      </c>
      <c r="Q70" s="1073" t="s">
        <v>5306</v>
      </c>
      <c r="R70" s="1073" t="s">
        <v>5307</v>
      </c>
      <c r="S70" s="1073" t="s">
        <v>5308</v>
      </c>
      <c r="T70" s="1060" t="s">
        <v>5309</v>
      </c>
      <c r="U70" s="4424" t="s">
        <v>5310</v>
      </c>
      <c r="V70" s="113" t="s">
        <v>5311</v>
      </c>
      <c r="W70" s="5047" t="s">
        <v>5312</v>
      </c>
      <c r="X70" s="1939" t="s">
        <v>5313</v>
      </c>
      <c r="Y70" s="1072" t="s">
        <v>5314</v>
      </c>
      <c r="Z70" s="1073" t="s">
        <v>5315</v>
      </c>
      <c r="AA70" s="1060" t="s">
        <v>5316</v>
      </c>
      <c r="AB70" s="2101" t="s">
        <v>5317</v>
      </c>
      <c r="AC70" s="1072" t="s">
        <v>5318</v>
      </c>
      <c r="AD70" s="3143" t="s">
        <v>5319</v>
      </c>
      <c r="AE70" s="1060" t="s">
        <v>5320</v>
      </c>
      <c r="AF70" s="3240" t="s">
        <v>5321</v>
      </c>
      <c r="AG70" s="1060" t="s">
        <v>5322</v>
      </c>
      <c r="AH70" t="e">
        <f t="shared" si="0"/>
        <v>#VALUE!</v>
      </c>
      <c r="BF70" s="1723" t="e">
        <f t="shared" si="1"/>
        <v>#VALUE!</v>
      </c>
      <c r="BG70" s="1723" t="str">
        <f t="shared" si="2"/>
        <v xml:space="preserve"> * La variable beneficiarios No puede ser mayor al Total.</v>
      </c>
      <c r="BH70" s="1723" t="e">
        <f t="shared" si="3"/>
        <v>#VALUE!</v>
      </c>
      <c r="BM70" s="1725" t="e">
        <f t="shared" si="4"/>
        <v>#VALUE!</v>
      </c>
      <c r="BN70" s="1725">
        <f t="shared" si="5"/>
        <v>1</v>
      </c>
      <c r="BO70" s="1725" t="e">
        <f t="shared" si="6"/>
        <v>#VALUE!</v>
      </c>
    </row>
    <row r="71" spans="1:67" x14ac:dyDescent="0.3">
      <c r="A71" s="6258" t="s">
        <v>4697</v>
      </c>
      <c r="B71" s="5052" t="s">
        <v>2163</v>
      </c>
      <c r="C71" s="5053" t="s">
        <v>5292</v>
      </c>
      <c r="D71" s="3023" t="s">
        <v>5293</v>
      </c>
      <c r="E71" s="3020" t="s">
        <v>5294</v>
      </c>
      <c r="F71" s="3020" t="s">
        <v>5295</v>
      </c>
      <c r="G71" s="3020" t="s">
        <v>5296</v>
      </c>
      <c r="H71" s="3020" t="s">
        <v>5297</v>
      </c>
      <c r="I71" s="3020" t="s">
        <v>5298</v>
      </c>
      <c r="J71" s="3020" t="s">
        <v>5299</v>
      </c>
      <c r="K71" s="3020" t="s">
        <v>5300</v>
      </c>
      <c r="L71" s="3020" t="s">
        <v>5301</v>
      </c>
      <c r="M71" s="3020" t="s">
        <v>5302</v>
      </c>
      <c r="N71" s="3020" t="s">
        <v>5303</v>
      </c>
      <c r="O71" s="3020" t="s">
        <v>5304</v>
      </c>
      <c r="P71" s="3020" t="s">
        <v>5305</v>
      </c>
      <c r="Q71" s="3020" t="s">
        <v>5306</v>
      </c>
      <c r="R71" s="3020" t="s">
        <v>5307</v>
      </c>
      <c r="S71" s="3020" t="s">
        <v>5308</v>
      </c>
      <c r="T71" s="3035" t="s">
        <v>5309</v>
      </c>
      <c r="U71" s="117" t="s">
        <v>5310</v>
      </c>
      <c r="V71" s="118" t="s">
        <v>5311</v>
      </c>
      <c r="W71" s="3035" t="s">
        <v>5312</v>
      </c>
      <c r="X71" s="119" t="s">
        <v>5313</v>
      </c>
      <c r="Y71" s="3023" t="s">
        <v>5314</v>
      </c>
      <c r="Z71" s="3020" t="s">
        <v>5315</v>
      </c>
      <c r="AA71" s="3035" t="s">
        <v>5316</v>
      </c>
      <c r="AB71" s="3192" t="s">
        <v>5317</v>
      </c>
      <c r="AC71" s="3023" t="s">
        <v>5318</v>
      </c>
      <c r="AD71" s="121" t="s">
        <v>5319</v>
      </c>
      <c r="AE71" s="3035" t="s">
        <v>5320</v>
      </c>
      <c r="AF71" s="118" t="s">
        <v>5321</v>
      </c>
      <c r="AG71" s="3035" t="s">
        <v>5322</v>
      </c>
      <c r="AH71" t="e">
        <f>BF71&amp;BG71&amp;BH71</f>
        <v>#VALUE!</v>
      </c>
      <c r="BF71" s="1723" t="e">
        <f t="shared" si="1"/>
        <v>#VALUE!</v>
      </c>
      <c r="BG71" s="1723" t="str">
        <f t="shared" si="2"/>
        <v xml:space="preserve"> * La variable beneficiarios No puede ser mayor al Total.</v>
      </c>
      <c r="BH71" s="1723" t="e">
        <f t="shared" si="3"/>
        <v>#VALUE!</v>
      </c>
      <c r="BM71" s="1725" t="e">
        <f t="shared" si="4"/>
        <v>#VALUE!</v>
      </c>
      <c r="BN71" s="1725">
        <f t="shared" si="5"/>
        <v>1</v>
      </c>
      <c r="BO71" s="1725" t="e">
        <f t="shared" si="6"/>
        <v>#VALUE!</v>
      </c>
    </row>
    <row r="72" spans="1:67" x14ac:dyDescent="0.3">
      <c r="A72" s="6262"/>
      <c r="B72" s="5040" t="s">
        <v>24</v>
      </c>
      <c r="C72" s="5054">
        <f t="shared" ref="C72:AB72" si="7">SUM(C12:C71)</f>
        <v>0</v>
      </c>
      <c r="D72" s="5055">
        <f>SUM(D12:D71)</f>
        <v>0</v>
      </c>
      <c r="E72" s="2396">
        <f t="shared" si="7"/>
        <v>0</v>
      </c>
      <c r="F72" s="2396">
        <f t="shared" si="7"/>
        <v>0</v>
      </c>
      <c r="G72" s="2396">
        <f t="shared" si="7"/>
        <v>0</v>
      </c>
      <c r="H72" s="2396">
        <f t="shared" si="7"/>
        <v>0</v>
      </c>
      <c r="I72" s="2396">
        <f t="shared" si="7"/>
        <v>0</v>
      </c>
      <c r="J72" s="2396">
        <f t="shared" si="7"/>
        <v>0</v>
      </c>
      <c r="K72" s="2396">
        <f t="shared" si="7"/>
        <v>0</v>
      </c>
      <c r="L72" s="2396">
        <f t="shared" si="7"/>
        <v>0</v>
      </c>
      <c r="M72" s="2396">
        <f t="shared" si="7"/>
        <v>0</v>
      </c>
      <c r="N72" s="2396">
        <f t="shared" si="7"/>
        <v>0</v>
      </c>
      <c r="O72" s="2396">
        <f t="shared" si="7"/>
        <v>0</v>
      </c>
      <c r="P72" s="2396">
        <f t="shared" si="7"/>
        <v>0</v>
      </c>
      <c r="Q72" s="2396">
        <f t="shared" si="7"/>
        <v>0</v>
      </c>
      <c r="R72" s="2396">
        <f t="shared" si="7"/>
        <v>0</v>
      </c>
      <c r="S72" s="2396">
        <f t="shared" si="7"/>
        <v>0</v>
      </c>
      <c r="T72" s="5056">
        <f t="shared" si="7"/>
        <v>0</v>
      </c>
      <c r="U72" s="5057">
        <f t="shared" si="7"/>
        <v>0</v>
      </c>
      <c r="V72" s="5058">
        <f t="shared" si="7"/>
        <v>0</v>
      </c>
      <c r="W72" s="5056">
        <f t="shared" si="7"/>
        <v>0</v>
      </c>
      <c r="X72" s="5058">
        <f t="shared" si="7"/>
        <v>0</v>
      </c>
      <c r="Y72" s="5058">
        <f t="shared" si="7"/>
        <v>0</v>
      </c>
      <c r="Z72" s="2396">
        <f t="shared" si="7"/>
        <v>0</v>
      </c>
      <c r="AA72" s="5057">
        <f t="shared" si="7"/>
        <v>0</v>
      </c>
      <c r="AB72" s="5059">
        <f t="shared" si="7"/>
        <v>0</v>
      </c>
      <c r="AC72" s="5058">
        <f>SUM(AC12:AC71)</f>
        <v>0</v>
      </c>
      <c r="AD72" s="2396">
        <f>SUM(AD12:AD71)</f>
        <v>0</v>
      </c>
      <c r="AE72" s="5056">
        <f>SUM(AE12:AE71)</f>
        <v>0</v>
      </c>
      <c r="AF72" s="5060">
        <f>SUM(AF12:AF71)</f>
        <v>0</v>
      </c>
      <c r="AG72" s="5061">
        <f>SUM(AG12:AG71)</f>
        <v>0</v>
      </c>
    </row>
    <row r="73" spans="1:67" s="17" customFormat="1" ht="18" customHeight="1" x14ac:dyDescent="0.25">
      <c r="B73" s="5062" t="s">
        <v>2164</v>
      </c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</row>
    <row r="74" spans="1:67" ht="31.5" customHeight="1" x14ac:dyDescent="0.3">
      <c r="B74" s="7107" t="s">
        <v>3907</v>
      </c>
      <c r="C74" s="7137" t="s">
        <v>2165</v>
      </c>
      <c r="D74" s="7138"/>
      <c r="E74" s="7138"/>
      <c r="F74" s="7139"/>
      <c r="G74" s="7137" t="s">
        <v>2166</v>
      </c>
      <c r="H74" s="7138"/>
      <c r="I74" s="7138"/>
      <c r="J74" s="7139"/>
      <c r="K74" s="7138" t="s">
        <v>2167</v>
      </c>
      <c r="L74" s="7138"/>
      <c r="M74" s="7138"/>
      <c r="N74" s="7139"/>
      <c r="O74" s="7140" t="s">
        <v>2168</v>
      </c>
      <c r="P74" s="7141"/>
      <c r="Q74" s="7142"/>
      <c r="R74" s="7099" t="s">
        <v>2169</v>
      </c>
      <c r="S74" s="7101"/>
      <c r="T74" s="7099" t="s">
        <v>2170</v>
      </c>
      <c r="U74" s="7101"/>
      <c r="V74" s="7099" t="s">
        <v>2171</v>
      </c>
      <c r="W74" s="7101"/>
      <c r="X74" s="7107" t="s">
        <v>2172</v>
      </c>
      <c r="Y74" s="7099" t="s">
        <v>2173</v>
      </c>
      <c r="Z74" s="7101"/>
      <c r="AA74" s="7099" t="s">
        <v>2174</v>
      </c>
      <c r="AB74" s="7101"/>
      <c r="AC74" s="7133" t="s">
        <v>2175</v>
      </c>
      <c r="AD74" s="7134"/>
      <c r="AE74" s="7107" t="s">
        <v>2176</v>
      </c>
      <c r="AF74" s="7135" t="s">
        <v>2177</v>
      </c>
      <c r="AG74" s="7136"/>
      <c r="AH74" s="7105" t="s">
        <v>2178</v>
      </c>
      <c r="AI74" s="7105"/>
      <c r="AJ74" s="7105"/>
    </row>
    <row r="75" spans="1:67" ht="51" x14ac:dyDescent="0.3">
      <c r="B75" s="7109"/>
      <c r="C75" s="5063" t="s">
        <v>50</v>
      </c>
      <c r="D75" s="5064" t="s">
        <v>220</v>
      </c>
      <c r="E75" s="5065" t="s">
        <v>3926</v>
      </c>
      <c r="F75" s="5066" t="s">
        <v>221</v>
      </c>
      <c r="G75" s="5039" t="s">
        <v>50</v>
      </c>
      <c r="H75" s="5064" t="s">
        <v>220</v>
      </c>
      <c r="I75" s="5065" t="s">
        <v>3926</v>
      </c>
      <c r="J75" s="5066" t="s">
        <v>221</v>
      </c>
      <c r="K75" s="5063" t="s">
        <v>50</v>
      </c>
      <c r="L75" s="5064" t="s">
        <v>220</v>
      </c>
      <c r="M75" s="5065" t="s">
        <v>3926</v>
      </c>
      <c r="N75" s="5065" t="s">
        <v>221</v>
      </c>
      <c r="O75" s="4755" t="s">
        <v>50</v>
      </c>
      <c r="P75" s="5380" t="s">
        <v>218</v>
      </c>
      <c r="Q75" s="5381" t="s">
        <v>242</v>
      </c>
      <c r="R75" s="5042" t="s">
        <v>222</v>
      </c>
      <c r="S75" s="5043" t="s">
        <v>223</v>
      </c>
      <c r="T75" s="5042" t="s">
        <v>222</v>
      </c>
      <c r="U75" s="5043" t="s">
        <v>223</v>
      </c>
      <c r="V75" s="5042" t="s">
        <v>2179</v>
      </c>
      <c r="W75" s="5043" t="s">
        <v>243</v>
      </c>
      <c r="X75" s="7109"/>
      <c r="Y75" s="5042" t="s">
        <v>222</v>
      </c>
      <c r="Z75" s="5043" t="s">
        <v>223</v>
      </c>
      <c r="AA75" s="5015" t="s">
        <v>2180</v>
      </c>
      <c r="AB75" s="5015" t="s">
        <v>2181</v>
      </c>
      <c r="AC75" s="5017" t="s">
        <v>2182</v>
      </c>
      <c r="AD75" s="5017" t="s">
        <v>2183</v>
      </c>
      <c r="AE75" s="7109"/>
      <c r="AF75" s="5067" t="s">
        <v>218</v>
      </c>
      <c r="AG75" s="5068" t="s">
        <v>242</v>
      </c>
      <c r="AH75" s="5069" t="s">
        <v>2184</v>
      </c>
      <c r="AI75" s="5070" t="s">
        <v>2185</v>
      </c>
      <c r="AJ75" s="5071" t="s">
        <v>2186</v>
      </c>
    </row>
    <row r="76" spans="1:67" x14ac:dyDescent="0.3">
      <c r="A76" s="6258" t="s">
        <v>4698</v>
      </c>
      <c r="B76" s="1939" t="s">
        <v>224</v>
      </c>
      <c r="C76" s="5072" t="s">
        <v>5292</v>
      </c>
      <c r="D76" s="5073" t="s">
        <v>5293</v>
      </c>
      <c r="E76" s="5074" t="s">
        <v>5294</v>
      </c>
      <c r="F76" s="5074" t="s">
        <v>5295</v>
      </c>
      <c r="G76" s="5072" t="s">
        <v>5296</v>
      </c>
      <c r="H76" s="5073" t="s">
        <v>5297</v>
      </c>
      <c r="I76" s="5074" t="s">
        <v>5298</v>
      </c>
      <c r="J76" s="5074" t="s">
        <v>5299</v>
      </c>
      <c r="K76" s="5072" t="s">
        <v>5300</v>
      </c>
      <c r="L76" s="5073" t="s">
        <v>5301</v>
      </c>
      <c r="M76" s="5074" t="s">
        <v>5302</v>
      </c>
      <c r="N76" s="5075" t="s">
        <v>5303</v>
      </c>
      <c r="O76" s="5076" t="s">
        <v>5304</v>
      </c>
      <c r="P76" s="4425" t="s">
        <v>5305</v>
      </c>
      <c r="Q76" s="2399" t="s">
        <v>5306</v>
      </c>
      <c r="R76" s="3240" t="s">
        <v>5307</v>
      </c>
      <c r="S76" s="1060" t="s">
        <v>5308</v>
      </c>
      <c r="T76" s="5022" t="s">
        <v>5309</v>
      </c>
      <c r="U76" s="5077" t="s">
        <v>5310</v>
      </c>
      <c r="V76" s="5078" t="s">
        <v>5311</v>
      </c>
      <c r="W76" s="5077" t="s">
        <v>5312</v>
      </c>
      <c r="X76" s="3346" t="s">
        <v>5313</v>
      </c>
      <c r="Y76" s="3240" t="s">
        <v>5314</v>
      </c>
      <c r="Z76" s="1060" t="s">
        <v>5315</v>
      </c>
      <c r="AA76" s="5047" t="s">
        <v>5316</v>
      </c>
      <c r="AB76" s="5047" t="s">
        <v>5317</v>
      </c>
      <c r="AC76" s="5047" t="s">
        <v>5318</v>
      </c>
      <c r="AD76" s="5047" t="s">
        <v>5319</v>
      </c>
      <c r="AE76" s="5047" t="s">
        <v>5320</v>
      </c>
      <c r="AF76" s="2401" t="s">
        <v>5321</v>
      </c>
      <c r="AG76" s="5079" t="s">
        <v>5322</v>
      </c>
      <c r="AH76" s="5022" t="s">
        <v>5323</v>
      </c>
      <c r="AI76" s="5044" t="s">
        <v>5324</v>
      </c>
      <c r="AJ76" s="4424" t="s">
        <v>5325</v>
      </c>
    </row>
    <row r="77" spans="1:67" x14ac:dyDescent="0.3">
      <c r="A77" s="6258" t="s">
        <v>4699</v>
      </c>
      <c r="B77" s="3381" t="s">
        <v>225</v>
      </c>
      <c r="C77" s="2402" t="s">
        <v>5292</v>
      </c>
      <c r="D77" s="90" t="s">
        <v>5293</v>
      </c>
      <c r="E77" s="127" t="s">
        <v>5294</v>
      </c>
      <c r="F77" s="127" t="s">
        <v>5295</v>
      </c>
      <c r="G77" s="2402" t="s">
        <v>5296</v>
      </c>
      <c r="H77" s="90" t="s">
        <v>5297</v>
      </c>
      <c r="I77" s="127" t="s">
        <v>5298</v>
      </c>
      <c r="J77" s="127" t="s">
        <v>5299</v>
      </c>
      <c r="K77" s="2402" t="s">
        <v>5300</v>
      </c>
      <c r="L77" s="90" t="s">
        <v>5301</v>
      </c>
      <c r="M77" s="127" t="s">
        <v>5302</v>
      </c>
      <c r="N77" s="128" t="s">
        <v>5303</v>
      </c>
      <c r="O77" s="3847" t="s">
        <v>5304</v>
      </c>
      <c r="P77" s="129" t="s">
        <v>5305</v>
      </c>
      <c r="Q77" s="1967" t="s">
        <v>5306</v>
      </c>
      <c r="R77" s="3240" t="s">
        <v>5307</v>
      </c>
      <c r="S77" s="1060" t="s">
        <v>5308</v>
      </c>
      <c r="T77" s="1072" t="s">
        <v>5309</v>
      </c>
      <c r="U77" s="1060" t="s">
        <v>5310</v>
      </c>
      <c r="V77" s="3143" t="s">
        <v>5311</v>
      </c>
      <c r="W77" s="1060" t="s">
        <v>5312</v>
      </c>
      <c r="X77" s="3346" t="s">
        <v>5313</v>
      </c>
      <c r="Y77" s="3240" t="s">
        <v>5314</v>
      </c>
      <c r="Z77" s="1060" t="s">
        <v>5315</v>
      </c>
      <c r="AA77" s="5047" t="s">
        <v>5316</v>
      </c>
      <c r="AB77" s="5047" t="s">
        <v>5317</v>
      </c>
      <c r="AC77" s="5047" t="s">
        <v>5318</v>
      </c>
      <c r="AD77" s="5047" t="s">
        <v>5319</v>
      </c>
      <c r="AE77" s="5047" t="s">
        <v>5320</v>
      </c>
      <c r="AF77" s="2401" t="s">
        <v>5321</v>
      </c>
      <c r="AG77" s="5079" t="s">
        <v>5322</v>
      </c>
      <c r="AH77" s="106" t="s">
        <v>5323</v>
      </c>
      <c r="AI77" s="5048" t="s">
        <v>5324</v>
      </c>
      <c r="AJ77" s="4424" t="s">
        <v>5325</v>
      </c>
    </row>
    <row r="78" spans="1:67" x14ac:dyDescent="0.3">
      <c r="A78" s="6258" t="s">
        <v>4700</v>
      </c>
      <c r="B78" s="3381" t="s">
        <v>226</v>
      </c>
      <c r="C78" s="3847" t="s">
        <v>5292</v>
      </c>
      <c r="D78" s="1072" t="s">
        <v>5293</v>
      </c>
      <c r="E78" s="1073" t="s">
        <v>5294</v>
      </c>
      <c r="F78" s="1073" t="s">
        <v>5295</v>
      </c>
      <c r="G78" s="3847" t="s">
        <v>5296</v>
      </c>
      <c r="H78" s="1072" t="s">
        <v>5297</v>
      </c>
      <c r="I78" s="1073" t="s">
        <v>5298</v>
      </c>
      <c r="J78" s="1073" t="s">
        <v>5299</v>
      </c>
      <c r="K78" s="3847" t="s">
        <v>5300</v>
      </c>
      <c r="L78" s="1072" t="s">
        <v>5301</v>
      </c>
      <c r="M78" s="1073" t="s">
        <v>5302</v>
      </c>
      <c r="N78" s="1080" t="s">
        <v>5303</v>
      </c>
      <c r="O78" s="3847" t="s">
        <v>5304</v>
      </c>
      <c r="P78" s="3143" t="s">
        <v>5305</v>
      </c>
      <c r="Q78" s="3346" t="s">
        <v>5306</v>
      </c>
      <c r="R78" s="3240" t="s">
        <v>5307</v>
      </c>
      <c r="S78" s="1060" t="s">
        <v>5308</v>
      </c>
      <c r="T78" s="1072" t="s">
        <v>5309</v>
      </c>
      <c r="U78" s="1060" t="s">
        <v>5310</v>
      </c>
      <c r="V78" s="3143" t="s">
        <v>5311</v>
      </c>
      <c r="W78" s="1060" t="s">
        <v>5312</v>
      </c>
      <c r="X78" s="3346" t="s">
        <v>5313</v>
      </c>
      <c r="Y78" s="3240" t="s">
        <v>5314</v>
      </c>
      <c r="Z78" s="1060" t="s">
        <v>5315</v>
      </c>
      <c r="AA78" s="5047" t="s">
        <v>5316</v>
      </c>
      <c r="AB78" s="5047" t="s">
        <v>5317</v>
      </c>
      <c r="AC78" s="5047" t="s">
        <v>5318</v>
      </c>
      <c r="AD78" s="5047" t="s">
        <v>5319</v>
      </c>
      <c r="AE78" s="5047" t="s">
        <v>5320</v>
      </c>
      <c r="AF78" s="2401" t="s">
        <v>5321</v>
      </c>
      <c r="AG78" s="5079" t="s">
        <v>5322</v>
      </c>
      <c r="AH78" s="106" t="s">
        <v>5323</v>
      </c>
      <c r="AI78" s="5048" t="s">
        <v>5324</v>
      </c>
      <c r="AJ78" s="4424" t="s">
        <v>5325</v>
      </c>
    </row>
    <row r="79" spans="1:67" x14ac:dyDescent="0.3">
      <c r="A79" s="6258" t="s">
        <v>4701</v>
      </c>
      <c r="B79" s="3381" t="s">
        <v>2123</v>
      </c>
      <c r="C79" s="3847" t="s">
        <v>5292</v>
      </c>
      <c r="D79" s="1072" t="s">
        <v>5293</v>
      </c>
      <c r="E79" s="1073" t="s">
        <v>5294</v>
      </c>
      <c r="F79" s="1073" t="s">
        <v>5295</v>
      </c>
      <c r="G79" s="3847" t="s">
        <v>5296</v>
      </c>
      <c r="H79" s="1072" t="s">
        <v>5297</v>
      </c>
      <c r="I79" s="1073" t="s">
        <v>5298</v>
      </c>
      <c r="J79" s="1073" t="s">
        <v>5299</v>
      </c>
      <c r="K79" s="3847" t="s">
        <v>5300</v>
      </c>
      <c r="L79" s="1072" t="s">
        <v>5301</v>
      </c>
      <c r="M79" s="1073" t="s">
        <v>5302</v>
      </c>
      <c r="N79" s="1080" t="s">
        <v>5303</v>
      </c>
      <c r="O79" s="3847" t="s">
        <v>5304</v>
      </c>
      <c r="P79" s="3143" t="s">
        <v>5305</v>
      </c>
      <c r="Q79" s="3346" t="s">
        <v>5306</v>
      </c>
      <c r="R79" s="3240" t="s">
        <v>5307</v>
      </c>
      <c r="S79" s="1060" t="s">
        <v>5308</v>
      </c>
      <c r="T79" s="1072" t="s">
        <v>5309</v>
      </c>
      <c r="U79" s="1060" t="s">
        <v>5310</v>
      </c>
      <c r="V79" s="3143" t="s">
        <v>5311</v>
      </c>
      <c r="W79" s="1060" t="s">
        <v>5312</v>
      </c>
      <c r="X79" s="3346" t="s">
        <v>5313</v>
      </c>
      <c r="Y79" s="3240" t="s">
        <v>5314</v>
      </c>
      <c r="Z79" s="1060" t="s">
        <v>5315</v>
      </c>
      <c r="AA79" s="5047" t="s">
        <v>5316</v>
      </c>
      <c r="AB79" s="5047" t="s">
        <v>5317</v>
      </c>
      <c r="AC79" s="5047" t="s">
        <v>5318</v>
      </c>
      <c r="AD79" s="5047" t="s">
        <v>5319</v>
      </c>
      <c r="AE79" s="5047" t="s">
        <v>5320</v>
      </c>
      <c r="AF79" s="2401" t="s">
        <v>5321</v>
      </c>
      <c r="AG79" s="5079" t="s">
        <v>5322</v>
      </c>
      <c r="AH79" s="106" t="s">
        <v>5323</v>
      </c>
      <c r="AI79" s="5048" t="s">
        <v>5324</v>
      </c>
      <c r="AJ79" s="4424" t="s">
        <v>5325</v>
      </c>
    </row>
    <row r="80" spans="1:67" x14ac:dyDescent="0.3">
      <c r="A80" s="6258" t="s">
        <v>4702</v>
      </c>
      <c r="B80" s="3381" t="s">
        <v>2124</v>
      </c>
      <c r="C80" s="3847" t="s">
        <v>5292</v>
      </c>
      <c r="D80" s="1072" t="s">
        <v>5293</v>
      </c>
      <c r="E80" s="1073" t="s">
        <v>5294</v>
      </c>
      <c r="F80" s="1073" t="s">
        <v>5295</v>
      </c>
      <c r="G80" s="3847" t="s">
        <v>5296</v>
      </c>
      <c r="H80" s="1072" t="s">
        <v>5297</v>
      </c>
      <c r="I80" s="1073" t="s">
        <v>5298</v>
      </c>
      <c r="J80" s="1073" t="s">
        <v>5299</v>
      </c>
      <c r="K80" s="3847" t="s">
        <v>5300</v>
      </c>
      <c r="L80" s="1072" t="s">
        <v>5301</v>
      </c>
      <c r="M80" s="1073" t="s">
        <v>5302</v>
      </c>
      <c r="N80" s="1080" t="s">
        <v>5303</v>
      </c>
      <c r="O80" s="3847" t="s">
        <v>5304</v>
      </c>
      <c r="P80" s="3143" t="s">
        <v>5305</v>
      </c>
      <c r="Q80" s="3346" t="s">
        <v>5306</v>
      </c>
      <c r="R80" s="3240" t="s">
        <v>5307</v>
      </c>
      <c r="S80" s="1060" t="s">
        <v>5308</v>
      </c>
      <c r="T80" s="1072" t="s">
        <v>5309</v>
      </c>
      <c r="U80" s="1060" t="s">
        <v>5310</v>
      </c>
      <c r="V80" s="3143" t="s">
        <v>5311</v>
      </c>
      <c r="W80" s="1060" t="s">
        <v>5312</v>
      </c>
      <c r="X80" s="3346" t="s">
        <v>5313</v>
      </c>
      <c r="Y80" s="3240" t="s">
        <v>5314</v>
      </c>
      <c r="Z80" s="1060" t="s">
        <v>5315</v>
      </c>
      <c r="AA80" s="5047" t="s">
        <v>5316</v>
      </c>
      <c r="AB80" s="5047" t="s">
        <v>5317</v>
      </c>
      <c r="AC80" s="5047" t="s">
        <v>5318</v>
      </c>
      <c r="AD80" s="5047" t="s">
        <v>5319</v>
      </c>
      <c r="AE80" s="5047" t="s">
        <v>5320</v>
      </c>
      <c r="AF80" s="2401" t="s">
        <v>5321</v>
      </c>
      <c r="AG80" s="5079" t="s">
        <v>5322</v>
      </c>
      <c r="AH80" s="106" t="s">
        <v>5323</v>
      </c>
      <c r="AI80" s="5048" t="s">
        <v>5324</v>
      </c>
      <c r="AJ80" s="4424" t="s">
        <v>5325</v>
      </c>
    </row>
    <row r="81" spans="1:36" x14ac:dyDescent="0.3">
      <c r="A81" s="6258" t="s">
        <v>4703</v>
      </c>
      <c r="B81" s="3381" t="s">
        <v>2125</v>
      </c>
      <c r="C81" s="3847" t="s">
        <v>5292</v>
      </c>
      <c r="D81" s="1072" t="s">
        <v>5293</v>
      </c>
      <c r="E81" s="1073" t="s">
        <v>5294</v>
      </c>
      <c r="F81" s="1073" t="s">
        <v>5295</v>
      </c>
      <c r="G81" s="3847" t="s">
        <v>5296</v>
      </c>
      <c r="H81" s="1072" t="s">
        <v>5297</v>
      </c>
      <c r="I81" s="1073" t="s">
        <v>5298</v>
      </c>
      <c r="J81" s="1073" t="s">
        <v>5299</v>
      </c>
      <c r="K81" s="3847" t="s">
        <v>5300</v>
      </c>
      <c r="L81" s="1072" t="s">
        <v>5301</v>
      </c>
      <c r="M81" s="1073" t="s">
        <v>5302</v>
      </c>
      <c r="N81" s="1080" t="s">
        <v>5303</v>
      </c>
      <c r="O81" s="3847" t="s">
        <v>5304</v>
      </c>
      <c r="P81" s="3143" t="s">
        <v>5305</v>
      </c>
      <c r="Q81" s="3346" t="s">
        <v>5306</v>
      </c>
      <c r="R81" s="3240" t="s">
        <v>5307</v>
      </c>
      <c r="S81" s="1060" t="s">
        <v>5308</v>
      </c>
      <c r="T81" s="1072" t="s">
        <v>5309</v>
      </c>
      <c r="U81" s="1060" t="s">
        <v>5310</v>
      </c>
      <c r="V81" s="3143" t="s">
        <v>5311</v>
      </c>
      <c r="W81" s="1060" t="s">
        <v>5312</v>
      </c>
      <c r="X81" s="3346" t="s">
        <v>5313</v>
      </c>
      <c r="Y81" s="3240" t="s">
        <v>5314</v>
      </c>
      <c r="Z81" s="1060" t="s">
        <v>5315</v>
      </c>
      <c r="AA81" s="5047" t="s">
        <v>5316</v>
      </c>
      <c r="AB81" s="5047" t="s">
        <v>5317</v>
      </c>
      <c r="AC81" s="5047" t="s">
        <v>5318</v>
      </c>
      <c r="AD81" s="5047" t="s">
        <v>5319</v>
      </c>
      <c r="AE81" s="5047" t="s">
        <v>5320</v>
      </c>
      <c r="AF81" s="2401" t="s">
        <v>5321</v>
      </c>
      <c r="AG81" s="5079" t="s">
        <v>5322</v>
      </c>
      <c r="AH81" s="106" t="s">
        <v>5323</v>
      </c>
      <c r="AI81" s="5048" t="s">
        <v>5324</v>
      </c>
      <c r="AJ81" s="4424" t="s">
        <v>5325</v>
      </c>
    </row>
    <row r="82" spans="1:36" x14ac:dyDescent="0.3">
      <c r="A82" s="6258" t="s">
        <v>4704</v>
      </c>
      <c r="B82" s="3381" t="s">
        <v>2126</v>
      </c>
      <c r="C82" s="3847" t="s">
        <v>5292</v>
      </c>
      <c r="D82" s="1072" t="s">
        <v>5293</v>
      </c>
      <c r="E82" s="1073" t="s">
        <v>5294</v>
      </c>
      <c r="F82" s="1073" t="s">
        <v>5295</v>
      </c>
      <c r="G82" s="3847" t="s">
        <v>5296</v>
      </c>
      <c r="H82" s="1072" t="s">
        <v>5297</v>
      </c>
      <c r="I82" s="1073" t="s">
        <v>5298</v>
      </c>
      <c r="J82" s="1073" t="s">
        <v>5299</v>
      </c>
      <c r="K82" s="3847" t="s">
        <v>5300</v>
      </c>
      <c r="L82" s="1072" t="s">
        <v>5301</v>
      </c>
      <c r="M82" s="1073" t="s">
        <v>5302</v>
      </c>
      <c r="N82" s="1080" t="s">
        <v>5303</v>
      </c>
      <c r="O82" s="3847" t="s">
        <v>5304</v>
      </c>
      <c r="P82" s="3143" t="s">
        <v>5305</v>
      </c>
      <c r="Q82" s="3346" t="s">
        <v>5306</v>
      </c>
      <c r="R82" s="3240" t="s">
        <v>5307</v>
      </c>
      <c r="S82" s="1060" t="s">
        <v>5308</v>
      </c>
      <c r="T82" s="1072" t="s">
        <v>5309</v>
      </c>
      <c r="U82" s="1060" t="s">
        <v>5310</v>
      </c>
      <c r="V82" s="3143" t="s">
        <v>5311</v>
      </c>
      <c r="W82" s="1060" t="s">
        <v>5312</v>
      </c>
      <c r="X82" s="3346" t="s">
        <v>5313</v>
      </c>
      <c r="Y82" s="3240" t="s">
        <v>5314</v>
      </c>
      <c r="Z82" s="1060" t="s">
        <v>5315</v>
      </c>
      <c r="AA82" s="5047" t="s">
        <v>5316</v>
      </c>
      <c r="AB82" s="5047" t="s">
        <v>5317</v>
      </c>
      <c r="AC82" s="5047" t="s">
        <v>5318</v>
      </c>
      <c r="AD82" s="5047" t="s">
        <v>5319</v>
      </c>
      <c r="AE82" s="5047" t="s">
        <v>5320</v>
      </c>
      <c r="AF82" s="2401" t="s">
        <v>5321</v>
      </c>
      <c r="AG82" s="5079" t="s">
        <v>5322</v>
      </c>
      <c r="AH82" s="106" t="s">
        <v>5323</v>
      </c>
      <c r="AI82" s="5048" t="s">
        <v>5324</v>
      </c>
      <c r="AJ82" s="4424" t="s">
        <v>5325</v>
      </c>
    </row>
    <row r="83" spans="1:36" x14ac:dyDescent="0.3">
      <c r="A83" s="6258" t="s">
        <v>4705</v>
      </c>
      <c r="B83" s="3381" t="s">
        <v>2127</v>
      </c>
      <c r="C83" s="3847" t="s">
        <v>5292</v>
      </c>
      <c r="D83" s="1072" t="s">
        <v>5293</v>
      </c>
      <c r="E83" s="1073" t="s">
        <v>5294</v>
      </c>
      <c r="F83" s="1073" t="s">
        <v>5295</v>
      </c>
      <c r="G83" s="3847" t="s">
        <v>5296</v>
      </c>
      <c r="H83" s="1072" t="s">
        <v>5297</v>
      </c>
      <c r="I83" s="1073" t="s">
        <v>5298</v>
      </c>
      <c r="J83" s="1073" t="s">
        <v>5299</v>
      </c>
      <c r="K83" s="3847" t="s">
        <v>5300</v>
      </c>
      <c r="L83" s="1072" t="s">
        <v>5301</v>
      </c>
      <c r="M83" s="1073" t="s">
        <v>5302</v>
      </c>
      <c r="N83" s="1080" t="s">
        <v>5303</v>
      </c>
      <c r="O83" s="3847" t="s">
        <v>5304</v>
      </c>
      <c r="P83" s="3143" t="s">
        <v>5305</v>
      </c>
      <c r="Q83" s="3346" t="s">
        <v>5306</v>
      </c>
      <c r="R83" s="3240" t="s">
        <v>5307</v>
      </c>
      <c r="S83" s="1060" t="s">
        <v>5308</v>
      </c>
      <c r="T83" s="1072" t="s">
        <v>5309</v>
      </c>
      <c r="U83" s="1060" t="s">
        <v>5310</v>
      </c>
      <c r="V83" s="3143" t="s">
        <v>5311</v>
      </c>
      <c r="W83" s="1060" t="s">
        <v>5312</v>
      </c>
      <c r="X83" s="3346" t="s">
        <v>5313</v>
      </c>
      <c r="Y83" s="3240" t="s">
        <v>5314</v>
      </c>
      <c r="Z83" s="1060" t="s">
        <v>5315</v>
      </c>
      <c r="AA83" s="5047" t="s">
        <v>5316</v>
      </c>
      <c r="AB83" s="5047" t="s">
        <v>5317</v>
      </c>
      <c r="AC83" s="5047" t="s">
        <v>5318</v>
      </c>
      <c r="AD83" s="5047" t="s">
        <v>5319</v>
      </c>
      <c r="AE83" s="5047" t="s">
        <v>5320</v>
      </c>
      <c r="AF83" s="2401" t="s">
        <v>5321</v>
      </c>
      <c r="AG83" s="5079" t="s">
        <v>5322</v>
      </c>
      <c r="AH83" s="106" t="s">
        <v>5323</v>
      </c>
      <c r="AI83" s="5048" t="s">
        <v>5324</v>
      </c>
      <c r="AJ83" s="4424" t="s">
        <v>5325</v>
      </c>
    </row>
    <row r="84" spans="1:36" x14ac:dyDescent="0.3">
      <c r="A84" s="6258" t="s">
        <v>4706</v>
      </c>
      <c r="B84" s="3381" t="s">
        <v>2128</v>
      </c>
      <c r="C84" s="3847" t="s">
        <v>5292</v>
      </c>
      <c r="D84" s="1072" t="s">
        <v>5293</v>
      </c>
      <c r="E84" s="1073" t="s">
        <v>5294</v>
      </c>
      <c r="F84" s="1073" t="s">
        <v>5295</v>
      </c>
      <c r="G84" s="3847" t="s">
        <v>5296</v>
      </c>
      <c r="H84" s="1072" t="s">
        <v>5297</v>
      </c>
      <c r="I84" s="1073" t="s">
        <v>5298</v>
      </c>
      <c r="J84" s="1073" t="s">
        <v>5299</v>
      </c>
      <c r="K84" s="3847" t="s">
        <v>5300</v>
      </c>
      <c r="L84" s="1072" t="s">
        <v>5301</v>
      </c>
      <c r="M84" s="1073" t="s">
        <v>5302</v>
      </c>
      <c r="N84" s="1080" t="s">
        <v>5303</v>
      </c>
      <c r="O84" s="3847" t="s">
        <v>5304</v>
      </c>
      <c r="P84" s="3143" t="s">
        <v>5305</v>
      </c>
      <c r="Q84" s="3346" t="s">
        <v>5306</v>
      </c>
      <c r="R84" s="3240" t="s">
        <v>5307</v>
      </c>
      <c r="S84" s="1060" t="s">
        <v>5308</v>
      </c>
      <c r="T84" s="1072" t="s">
        <v>5309</v>
      </c>
      <c r="U84" s="1060" t="s">
        <v>5310</v>
      </c>
      <c r="V84" s="3143" t="s">
        <v>5311</v>
      </c>
      <c r="W84" s="1060" t="s">
        <v>5312</v>
      </c>
      <c r="X84" s="3346" t="s">
        <v>5313</v>
      </c>
      <c r="Y84" s="3240" t="s">
        <v>5314</v>
      </c>
      <c r="Z84" s="1060" t="s">
        <v>5315</v>
      </c>
      <c r="AA84" s="5047" t="s">
        <v>5316</v>
      </c>
      <c r="AB84" s="5047" t="s">
        <v>5317</v>
      </c>
      <c r="AC84" s="5047" t="s">
        <v>5318</v>
      </c>
      <c r="AD84" s="5047" t="s">
        <v>5319</v>
      </c>
      <c r="AE84" s="5047" t="s">
        <v>5320</v>
      </c>
      <c r="AF84" s="2401" t="s">
        <v>5321</v>
      </c>
      <c r="AG84" s="5079" t="s">
        <v>5322</v>
      </c>
      <c r="AH84" s="106" t="s">
        <v>5323</v>
      </c>
      <c r="AI84" s="5048" t="s">
        <v>5324</v>
      </c>
      <c r="AJ84" s="4424" t="s">
        <v>5325</v>
      </c>
    </row>
    <row r="85" spans="1:36" x14ac:dyDescent="0.3">
      <c r="A85" s="6258" t="s">
        <v>4707</v>
      </c>
      <c r="B85" s="3381" t="s">
        <v>2129</v>
      </c>
      <c r="C85" s="3847" t="s">
        <v>5292</v>
      </c>
      <c r="D85" s="1072" t="s">
        <v>5293</v>
      </c>
      <c r="E85" s="1073" t="s">
        <v>5294</v>
      </c>
      <c r="F85" s="1073" t="s">
        <v>5295</v>
      </c>
      <c r="G85" s="3847" t="s">
        <v>5296</v>
      </c>
      <c r="H85" s="1072" t="s">
        <v>5297</v>
      </c>
      <c r="I85" s="1073" t="s">
        <v>5298</v>
      </c>
      <c r="J85" s="1073" t="s">
        <v>5299</v>
      </c>
      <c r="K85" s="3847" t="s">
        <v>5300</v>
      </c>
      <c r="L85" s="1072" t="s">
        <v>5301</v>
      </c>
      <c r="M85" s="1073" t="s">
        <v>5302</v>
      </c>
      <c r="N85" s="1080" t="s">
        <v>5303</v>
      </c>
      <c r="O85" s="3847" t="s">
        <v>5304</v>
      </c>
      <c r="P85" s="3143" t="s">
        <v>5305</v>
      </c>
      <c r="Q85" s="3346" t="s">
        <v>5306</v>
      </c>
      <c r="R85" s="3240" t="s">
        <v>5307</v>
      </c>
      <c r="S85" s="1060" t="s">
        <v>5308</v>
      </c>
      <c r="T85" s="1072" t="s">
        <v>5309</v>
      </c>
      <c r="U85" s="1060" t="s">
        <v>5310</v>
      </c>
      <c r="V85" s="3143" t="s">
        <v>5311</v>
      </c>
      <c r="W85" s="1060" t="s">
        <v>5312</v>
      </c>
      <c r="X85" s="3346" t="s">
        <v>5313</v>
      </c>
      <c r="Y85" s="3240" t="s">
        <v>5314</v>
      </c>
      <c r="Z85" s="1060" t="s">
        <v>5315</v>
      </c>
      <c r="AA85" s="5047" t="s">
        <v>5316</v>
      </c>
      <c r="AB85" s="5047" t="s">
        <v>5317</v>
      </c>
      <c r="AC85" s="5047" t="s">
        <v>5318</v>
      </c>
      <c r="AD85" s="5047" t="s">
        <v>5319</v>
      </c>
      <c r="AE85" s="5047" t="s">
        <v>5320</v>
      </c>
      <c r="AF85" s="2401" t="s">
        <v>5321</v>
      </c>
      <c r="AG85" s="5079" t="s">
        <v>5322</v>
      </c>
      <c r="AH85" s="106" t="s">
        <v>5323</v>
      </c>
      <c r="AI85" s="5048" t="s">
        <v>5324</v>
      </c>
      <c r="AJ85" s="4424" t="s">
        <v>5325</v>
      </c>
    </row>
    <row r="86" spans="1:36" x14ac:dyDescent="0.3">
      <c r="A86" s="6258" t="s">
        <v>4708</v>
      </c>
      <c r="B86" s="3381" t="s">
        <v>2130</v>
      </c>
      <c r="C86" s="3847" t="s">
        <v>5292</v>
      </c>
      <c r="D86" s="1072" t="s">
        <v>5293</v>
      </c>
      <c r="E86" s="1073" t="s">
        <v>5294</v>
      </c>
      <c r="F86" s="1073" t="s">
        <v>5295</v>
      </c>
      <c r="G86" s="3847" t="s">
        <v>5296</v>
      </c>
      <c r="H86" s="1072" t="s">
        <v>5297</v>
      </c>
      <c r="I86" s="1073" t="s">
        <v>5298</v>
      </c>
      <c r="J86" s="1073" t="s">
        <v>5299</v>
      </c>
      <c r="K86" s="3847" t="s">
        <v>5300</v>
      </c>
      <c r="L86" s="1072" t="s">
        <v>5301</v>
      </c>
      <c r="M86" s="1073" t="s">
        <v>5302</v>
      </c>
      <c r="N86" s="1080" t="s">
        <v>5303</v>
      </c>
      <c r="O86" s="3847" t="s">
        <v>5304</v>
      </c>
      <c r="P86" s="3143" t="s">
        <v>5305</v>
      </c>
      <c r="Q86" s="3346" t="s">
        <v>5306</v>
      </c>
      <c r="R86" s="3240" t="s">
        <v>5307</v>
      </c>
      <c r="S86" s="1060" t="s">
        <v>5308</v>
      </c>
      <c r="T86" s="1072" t="s">
        <v>5309</v>
      </c>
      <c r="U86" s="1060" t="s">
        <v>5310</v>
      </c>
      <c r="V86" s="3143" t="s">
        <v>5311</v>
      </c>
      <c r="W86" s="1060" t="s">
        <v>5312</v>
      </c>
      <c r="X86" s="3346" t="s">
        <v>5313</v>
      </c>
      <c r="Y86" s="3240" t="s">
        <v>5314</v>
      </c>
      <c r="Z86" s="1060" t="s">
        <v>5315</v>
      </c>
      <c r="AA86" s="5047" t="s">
        <v>5316</v>
      </c>
      <c r="AB86" s="5047" t="s">
        <v>5317</v>
      </c>
      <c r="AC86" s="5047" t="s">
        <v>5318</v>
      </c>
      <c r="AD86" s="5047" t="s">
        <v>5319</v>
      </c>
      <c r="AE86" s="5047" t="s">
        <v>5320</v>
      </c>
      <c r="AF86" s="2401" t="s">
        <v>5321</v>
      </c>
      <c r="AG86" s="5079" t="s">
        <v>5322</v>
      </c>
      <c r="AH86" s="106" t="s">
        <v>5323</v>
      </c>
      <c r="AI86" s="5048" t="s">
        <v>5324</v>
      </c>
      <c r="AJ86" s="4424" t="s">
        <v>5325</v>
      </c>
    </row>
    <row r="87" spans="1:36" x14ac:dyDescent="0.3">
      <c r="A87" s="6258" t="s">
        <v>4709</v>
      </c>
      <c r="B87" s="3381" t="s">
        <v>2131</v>
      </c>
      <c r="C87" s="3847" t="s">
        <v>5292</v>
      </c>
      <c r="D87" s="1072" t="s">
        <v>5293</v>
      </c>
      <c r="E87" s="1073" t="s">
        <v>5294</v>
      </c>
      <c r="F87" s="1073" t="s">
        <v>5295</v>
      </c>
      <c r="G87" s="3847" t="s">
        <v>5296</v>
      </c>
      <c r="H87" s="1072" t="s">
        <v>5297</v>
      </c>
      <c r="I87" s="1073" t="s">
        <v>5298</v>
      </c>
      <c r="J87" s="1073" t="s">
        <v>5299</v>
      </c>
      <c r="K87" s="3847" t="s">
        <v>5300</v>
      </c>
      <c r="L87" s="1072" t="s">
        <v>5301</v>
      </c>
      <c r="M87" s="1073" t="s">
        <v>5302</v>
      </c>
      <c r="N87" s="1080" t="s">
        <v>5303</v>
      </c>
      <c r="O87" s="3847" t="s">
        <v>5304</v>
      </c>
      <c r="P87" s="3143" t="s">
        <v>5305</v>
      </c>
      <c r="Q87" s="3346" t="s">
        <v>5306</v>
      </c>
      <c r="R87" s="3240" t="s">
        <v>5307</v>
      </c>
      <c r="S87" s="1060" t="s">
        <v>5308</v>
      </c>
      <c r="T87" s="1072" t="s">
        <v>5309</v>
      </c>
      <c r="U87" s="1060" t="s">
        <v>5310</v>
      </c>
      <c r="V87" s="3143" t="s">
        <v>5311</v>
      </c>
      <c r="W87" s="1060" t="s">
        <v>5312</v>
      </c>
      <c r="X87" s="3346" t="s">
        <v>5313</v>
      </c>
      <c r="Y87" s="3240" t="s">
        <v>5314</v>
      </c>
      <c r="Z87" s="1060" t="s">
        <v>5315</v>
      </c>
      <c r="AA87" s="5047" t="s">
        <v>5316</v>
      </c>
      <c r="AB87" s="5047" t="s">
        <v>5317</v>
      </c>
      <c r="AC87" s="5047" t="s">
        <v>5318</v>
      </c>
      <c r="AD87" s="5047" t="s">
        <v>5319</v>
      </c>
      <c r="AE87" s="5047" t="s">
        <v>5320</v>
      </c>
      <c r="AF87" s="2401" t="s">
        <v>5321</v>
      </c>
      <c r="AG87" s="5079" t="s">
        <v>5322</v>
      </c>
      <c r="AH87" s="106" t="s">
        <v>5323</v>
      </c>
      <c r="AI87" s="5048" t="s">
        <v>5324</v>
      </c>
      <c r="AJ87" s="4424" t="s">
        <v>5325</v>
      </c>
    </row>
    <row r="88" spans="1:36" x14ac:dyDescent="0.3">
      <c r="A88" s="6258" t="s">
        <v>4710</v>
      </c>
      <c r="B88" s="3381" t="s">
        <v>2132</v>
      </c>
      <c r="C88" s="3847" t="s">
        <v>5292</v>
      </c>
      <c r="D88" s="1072" t="s">
        <v>5293</v>
      </c>
      <c r="E88" s="1073" t="s">
        <v>5294</v>
      </c>
      <c r="F88" s="1073" t="s">
        <v>5295</v>
      </c>
      <c r="G88" s="3847" t="s">
        <v>5296</v>
      </c>
      <c r="H88" s="1072" t="s">
        <v>5297</v>
      </c>
      <c r="I88" s="1073" t="s">
        <v>5298</v>
      </c>
      <c r="J88" s="1073" t="s">
        <v>5299</v>
      </c>
      <c r="K88" s="3847" t="s">
        <v>5300</v>
      </c>
      <c r="L88" s="1072" t="s">
        <v>5301</v>
      </c>
      <c r="M88" s="1073" t="s">
        <v>5302</v>
      </c>
      <c r="N88" s="1080" t="s">
        <v>5303</v>
      </c>
      <c r="O88" s="3847" t="s">
        <v>5304</v>
      </c>
      <c r="P88" s="3143" t="s">
        <v>5305</v>
      </c>
      <c r="Q88" s="3346" t="s">
        <v>5306</v>
      </c>
      <c r="R88" s="3240" t="s">
        <v>5307</v>
      </c>
      <c r="S88" s="1060" t="s">
        <v>5308</v>
      </c>
      <c r="T88" s="1072" t="s">
        <v>5309</v>
      </c>
      <c r="U88" s="1060" t="s">
        <v>5310</v>
      </c>
      <c r="V88" s="3143" t="s">
        <v>5311</v>
      </c>
      <c r="W88" s="1060" t="s">
        <v>5312</v>
      </c>
      <c r="X88" s="3346" t="s">
        <v>5313</v>
      </c>
      <c r="Y88" s="3240" t="s">
        <v>5314</v>
      </c>
      <c r="Z88" s="1060" t="s">
        <v>5315</v>
      </c>
      <c r="AA88" s="5047" t="s">
        <v>5316</v>
      </c>
      <c r="AB88" s="5047" t="s">
        <v>5317</v>
      </c>
      <c r="AC88" s="5047" t="s">
        <v>5318</v>
      </c>
      <c r="AD88" s="5047" t="s">
        <v>5319</v>
      </c>
      <c r="AE88" s="5047" t="s">
        <v>5320</v>
      </c>
      <c r="AF88" s="2401" t="s">
        <v>5321</v>
      </c>
      <c r="AG88" s="5079" t="s">
        <v>5322</v>
      </c>
      <c r="AH88" s="106" t="s">
        <v>5323</v>
      </c>
      <c r="AI88" s="5048" t="s">
        <v>5324</v>
      </c>
      <c r="AJ88" s="4424" t="s">
        <v>5325</v>
      </c>
    </row>
    <row r="89" spans="1:36" x14ac:dyDescent="0.3">
      <c r="A89" s="6258" t="s">
        <v>4711</v>
      </c>
      <c r="B89" s="3381" t="s">
        <v>2133</v>
      </c>
      <c r="C89" s="3847" t="s">
        <v>5292</v>
      </c>
      <c r="D89" s="1072" t="s">
        <v>5293</v>
      </c>
      <c r="E89" s="1073" t="s">
        <v>5294</v>
      </c>
      <c r="F89" s="1073" t="s">
        <v>5295</v>
      </c>
      <c r="G89" s="3847" t="s">
        <v>5296</v>
      </c>
      <c r="H89" s="1072" t="s">
        <v>5297</v>
      </c>
      <c r="I89" s="1073" t="s">
        <v>5298</v>
      </c>
      <c r="J89" s="1073" t="s">
        <v>5299</v>
      </c>
      <c r="K89" s="3847" t="s">
        <v>5300</v>
      </c>
      <c r="L89" s="1072" t="s">
        <v>5301</v>
      </c>
      <c r="M89" s="1073" t="s">
        <v>5302</v>
      </c>
      <c r="N89" s="1080" t="s">
        <v>5303</v>
      </c>
      <c r="O89" s="3847" t="s">
        <v>5304</v>
      </c>
      <c r="P89" s="3143" t="s">
        <v>5305</v>
      </c>
      <c r="Q89" s="3346" t="s">
        <v>5306</v>
      </c>
      <c r="R89" s="3240" t="s">
        <v>5307</v>
      </c>
      <c r="S89" s="1060" t="s">
        <v>5308</v>
      </c>
      <c r="T89" s="1072" t="s">
        <v>5309</v>
      </c>
      <c r="U89" s="1060" t="s">
        <v>5310</v>
      </c>
      <c r="V89" s="3143" t="s">
        <v>5311</v>
      </c>
      <c r="W89" s="1060" t="s">
        <v>5312</v>
      </c>
      <c r="X89" s="3346" t="s">
        <v>5313</v>
      </c>
      <c r="Y89" s="3240" t="s">
        <v>5314</v>
      </c>
      <c r="Z89" s="1060" t="s">
        <v>5315</v>
      </c>
      <c r="AA89" s="5047" t="s">
        <v>5316</v>
      </c>
      <c r="AB89" s="5047" t="s">
        <v>5317</v>
      </c>
      <c r="AC89" s="5047" t="s">
        <v>5318</v>
      </c>
      <c r="AD89" s="5047" t="s">
        <v>5319</v>
      </c>
      <c r="AE89" s="5047" t="s">
        <v>5320</v>
      </c>
      <c r="AF89" s="2401" t="s">
        <v>5321</v>
      </c>
      <c r="AG89" s="5079" t="s">
        <v>5322</v>
      </c>
      <c r="AH89" s="106" t="s">
        <v>5323</v>
      </c>
      <c r="AI89" s="5048" t="s">
        <v>5324</v>
      </c>
      <c r="AJ89" s="4424" t="s">
        <v>5325</v>
      </c>
    </row>
    <row r="90" spans="1:36" x14ac:dyDescent="0.3">
      <c r="A90" s="6258" t="s">
        <v>4712</v>
      </c>
      <c r="B90" s="3381" t="s">
        <v>2134</v>
      </c>
      <c r="C90" s="3847" t="s">
        <v>5292</v>
      </c>
      <c r="D90" s="1072" t="s">
        <v>5293</v>
      </c>
      <c r="E90" s="1073" t="s">
        <v>5294</v>
      </c>
      <c r="F90" s="1073" t="s">
        <v>5295</v>
      </c>
      <c r="G90" s="3847" t="s">
        <v>5296</v>
      </c>
      <c r="H90" s="1072" t="s">
        <v>5297</v>
      </c>
      <c r="I90" s="1073" t="s">
        <v>5298</v>
      </c>
      <c r="J90" s="1073" t="s">
        <v>5299</v>
      </c>
      <c r="K90" s="3847" t="s">
        <v>5300</v>
      </c>
      <c r="L90" s="1072" t="s">
        <v>5301</v>
      </c>
      <c r="M90" s="1073" t="s">
        <v>5302</v>
      </c>
      <c r="N90" s="1080" t="s">
        <v>5303</v>
      </c>
      <c r="O90" s="3847" t="s">
        <v>5304</v>
      </c>
      <c r="P90" s="3143" t="s">
        <v>5305</v>
      </c>
      <c r="Q90" s="3346" t="s">
        <v>5306</v>
      </c>
      <c r="R90" s="3240" t="s">
        <v>5307</v>
      </c>
      <c r="S90" s="1060" t="s">
        <v>5308</v>
      </c>
      <c r="T90" s="1072" t="s">
        <v>5309</v>
      </c>
      <c r="U90" s="1060" t="s">
        <v>5310</v>
      </c>
      <c r="V90" s="3143" t="s">
        <v>5311</v>
      </c>
      <c r="W90" s="1060" t="s">
        <v>5312</v>
      </c>
      <c r="X90" s="3346" t="s">
        <v>5313</v>
      </c>
      <c r="Y90" s="3240" t="s">
        <v>5314</v>
      </c>
      <c r="Z90" s="1060" t="s">
        <v>5315</v>
      </c>
      <c r="AA90" s="5047" t="s">
        <v>5316</v>
      </c>
      <c r="AB90" s="5047" t="s">
        <v>5317</v>
      </c>
      <c r="AC90" s="5047" t="s">
        <v>5318</v>
      </c>
      <c r="AD90" s="5047" t="s">
        <v>5319</v>
      </c>
      <c r="AE90" s="5047" t="s">
        <v>5320</v>
      </c>
      <c r="AF90" s="2401" t="s">
        <v>5321</v>
      </c>
      <c r="AG90" s="5079" t="s">
        <v>5322</v>
      </c>
      <c r="AH90" s="106" t="s">
        <v>5323</v>
      </c>
      <c r="AI90" s="5048" t="s">
        <v>5324</v>
      </c>
      <c r="AJ90" s="4424" t="s">
        <v>5325</v>
      </c>
    </row>
    <row r="91" spans="1:36" x14ac:dyDescent="0.3">
      <c r="A91" s="6258" t="s">
        <v>4713</v>
      </c>
      <c r="B91" s="3381" t="s">
        <v>2135</v>
      </c>
      <c r="C91" s="3847" t="s">
        <v>5292</v>
      </c>
      <c r="D91" s="1072" t="s">
        <v>5293</v>
      </c>
      <c r="E91" s="1073" t="s">
        <v>5294</v>
      </c>
      <c r="F91" s="1073" t="s">
        <v>5295</v>
      </c>
      <c r="G91" s="3847" t="s">
        <v>5296</v>
      </c>
      <c r="H91" s="1072" t="s">
        <v>5297</v>
      </c>
      <c r="I91" s="1073" t="s">
        <v>5298</v>
      </c>
      <c r="J91" s="1073" t="s">
        <v>5299</v>
      </c>
      <c r="K91" s="3847" t="s">
        <v>5300</v>
      </c>
      <c r="L91" s="1072" t="s">
        <v>5301</v>
      </c>
      <c r="M91" s="1073" t="s">
        <v>5302</v>
      </c>
      <c r="N91" s="1080" t="s">
        <v>5303</v>
      </c>
      <c r="O91" s="3847" t="s">
        <v>5304</v>
      </c>
      <c r="P91" s="3143" t="s">
        <v>5305</v>
      </c>
      <c r="Q91" s="3346" t="s">
        <v>5306</v>
      </c>
      <c r="R91" s="3240" t="s">
        <v>5307</v>
      </c>
      <c r="S91" s="1060" t="s">
        <v>5308</v>
      </c>
      <c r="T91" s="1072" t="s">
        <v>5309</v>
      </c>
      <c r="U91" s="1060" t="s">
        <v>5310</v>
      </c>
      <c r="V91" s="3143" t="s">
        <v>5311</v>
      </c>
      <c r="W91" s="1060" t="s">
        <v>5312</v>
      </c>
      <c r="X91" s="3346" t="s">
        <v>5313</v>
      </c>
      <c r="Y91" s="3240" t="s">
        <v>5314</v>
      </c>
      <c r="Z91" s="1060" t="s">
        <v>5315</v>
      </c>
      <c r="AA91" s="5047" t="s">
        <v>5316</v>
      </c>
      <c r="AB91" s="5047" t="s">
        <v>5317</v>
      </c>
      <c r="AC91" s="5047" t="s">
        <v>5318</v>
      </c>
      <c r="AD91" s="5047" t="s">
        <v>5319</v>
      </c>
      <c r="AE91" s="5047" t="s">
        <v>5320</v>
      </c>
      <c r="AF91" s="2401" t="s">
        <v>5321</v>
      </c>
      <c r="AG91" s="5079" t="s">
        <v>5322</v>
      </c>
      <c r="AH91" s="106" t="s">
        <v>5323</v>
      </c>
      <c r="AI91" s="5048" t="s">
        <v>5324</v>
      </c>
      <c r="AJ91" s="4424" t="s">
        <v>5325</v>
      </c>
    </row>
    <row r="92" spans="1:36" x14ac:dyDescent="0.3">
      <c r="A92" s="6258" t="s">
        <v>4714</v>
      </c>
      <c r="B92" s="3381" t="s">
        <v>2136</v>
      </c>
      <c r="C92" s="3847" t="s">
        <v>5292</v>
      </c>
      <c r="D92" s="1072" t="s">
        <v>5293</v>
      </c>
      <c r="E92" s="1073" t="s">
        <v>5294</v>
      </c>
      <c r="F92" s="1073" t="s">
        <v>5295</v>
      </c>
      <c r="G92" s="3847" t="s">
        <v>5296</v>
      </c>
      <c r="H92" s="1072" t="s">
        <v>5297</v>
      </c>
      <c r="I92" s="1073" t="s">
        <v>5298</v>
      </c>
      <c r="J92" s="1073" t="s">
        <v>5299</v>
      </c>
      <c r="K92" s="3847" t="s">
        <v>5300</v>
      </c>
      <c r="L92" s="1072" t="s">
        <v>5301</v>
      </c>
      <c r="M92" s="1073" t="s">
        <v>5302</v>
      </c>
      <c r="N92" s="1080" t="s">
        <v>5303</v>
      </c>
      <c r="O92" s="3847" t="s">
        <v>5304</v>
      </c>
      <c r="P92" s="3143" t="s">
        <v>5305</v>
      </c>
      <c r="Q92" s="3346" t="s">
        <v>5306</v>
      </c>
      <c r="R92" s="3240" t="s">
        <v>5307</v>
      </c>
      <c r="S92" s="1060" t="s">
        <v>5308</v>
      </c>
      <c r="T92" s="1072" t="s">
        <v>5309</v>
      </c>
      <c r="U92" s="1060" t="s">
        <v>5310</v>
      </c>
      <c r="V92" s="3143" t="s">
        <v>5311</v>
      </c>
      <c r="W92" s="1060" t="s">
        <v>5312</v>
      </c>
      <c r="X92" s="3346" t="s">
        <v>5313</v>
      </c>
      <c r="Y92" s="3240" t="s">
        <v>5314</v>
      </c>
      <c r="Z92" s="1060" t="s">
        <v>5315</v>
      </c>
      <c r="AA92" s="5047" t="s">
        <v>5316</v>
      </c>
      <c r="AB92" s="5047" t="s">
        <v>5317</v>
      </c>
      <c r="AC92" s="5047" t="s">
        <v>5318</v>
      </c>
      <c r="AD92" s="5047" t="s">
        <v>5319</v>
      </c>
      <c r="AE92" s="5047" t="s">
        <v>5320</v>
      </c>
      <c r="AF92" s="2401" t="s">
        <v>5321</v>
      </c>
      <c r="AG92" s="5079" t="s">
        <v>5322</v>
      </c>
      <c r="AH92" s="106" t="s">
        <v>5323</v>
      </c>
      <c r="AI92" s="5048" t="s">
        <v>5324</v>
      </c>
      <c r="AJ92" s="4424" t="s">
        <v>5325</v>
      </c>
    </row>
    <row r="93" spans="1:36" x14ac:dyDescent="0.3">
      <c r="A93" s="6258" t="s">
        <v>4715</v>
      </c>
      <c r="B93" s="3381" t="s">
        <v>2137</v>
      </c>
      <c r="C93" s="3847" t="s">
        <v>5292</v>
      </c>
      <c r="D93" s="1072" t="s">
        <v>5293</v>
      </c>
      <c r="E93" s="1073" t="s">
        <v>5294</v>
      </c>
      <c r="F93" s="1073" t="s">
        <v>5295</v>
      </c>
      <c r="G93" s="3847" t="s">
        <v>5296</v>
      </c>
      <c r="H93" s="1072" t="s">
        <v>5297</v>
      </c>
      <c r="I93" s="1073" t="s">
        <v>5298</v>
      </c>
      <c r="J93" s="1073" t="s">
        <v>5299</v>
      </c>
      <c r="K93" s="3847" t="s">
        <v>5300</v>
      </c>
      <c r="L93" s="1072" t="s">
        <v>5301</v>
      </c>
      <c r="M93" s="1073" t="s">
        <v>5302</v>
      </c>
      <c r="N93" s="1080" t="s">
        <v>5303</v>
      </c>
      <c r="O93" s="3847" t="s">
        <v>5304</v>
      </c>
      <c r="P93" s="3143" t="s">
        <v>5305</v>
      </c>
      <c r="Q93" s="3346" t="s">
        <v>5306</v>
      </c>
      <c r="R93" s="3240" t="s">
        <v>5307</v>
      </c>
      <c r="S93" s="1060" t="s">
        <v>5308</v>
      </c>
      <c r="T93" s="1072" t="s">
        <v>5309</v>
      </c>
      <c r="U93" s="1060" t="s">
        <v>5310</v>
      </c>
      <c r="V93" s="3143" t="s">
        <v>5311</v>
      </c>
      <c r="W93" s="1060" t="s">
        <v>5312</v>
      </c>
      <c r="X93" s="3346" t="s">
        <v>5313</v>
      </c>
      <c r="Y93" s="3240" t="s">
        <v>5314</v>
      </c>
      <c r="Z93" s="1060" t="s">
        <v>5315</v>
      </c>
      <c r="AA93" s="5047" t="s">
        <v>5316</v>
      </c>
      <c r="AB93" s="5047" t="s">
        <v>5317</v>
      </c>
      <c r="AC93" s="5047" t="s">
        <v>5318</v>
      </c>
      <c r="AD93" s="5047" t="s">
        <v>5319</v>
      </c>
      <c r="AE93" s="5047" t="s">
        <v>5320</v>
      </c>
      <c r="AF93" s="2401" t="s">
        <v>5321</v>
      </c>
      <c r="AG93" s="5079" t="s">
        <v>5322</v>
      </c>
      <c r="AH93" s="106" t="s">
        <v>5323</v>
      </c>
      <c r="AI93" s="5048" t="s">
        <v>5324</v>
      </c>
      <c r="AJ93" s="4424" t="s">
        <v>5325</v>
      </c>
    </row>
    <row r="94" spans="1:36" x14ac:dyDescent="0.3">
      <c r="A94" s="6258" t="s">
        <v>4716</v>
      </c>
      <c r="B94" s="3381" t="s">
        <v>2138</v>
      </c>
      <c r="C94" s="3847" t="s">
        <v>5292</v>
      </c>
      <c r="D94" s="1072" t="s">
        <v>5293</v>
      </c>
      <c r="E94" s="1073" t="s">
        <v>5294</v>
      </c>
      <c r="F94" s="1073" t="s">
        <v>5295</v>
      </c>
      <c r="G94" s="3847" t="s">
        <v>5296</v>
      </c>
      <c r="H94" s="1072" t="s">
        <v>5297</v>
      </c>
      <c r="I94" s="1073" t="s">
        <v>5298</v>
      </c>
      <c r="J94" s="1073" t="s">
        <v>5299</v>
      </c>
      <c r="K94" s="3847" t="s">
        <v>5300</v>
      </c>
      <c r="L94" s="1072" t="s">
        <v>5301</v>
      </c>
      <c r="M94" s="1073" t="s">
        <v>5302</v>
      </c>
      <c r="N94" s="1080" t="s">
        <v>5303</v>
      </c>
      <c r="O94" s="3847" t="s">
        <v>5304</v>
      </c>
      <c r="P94" s="3143" t="s">
        <v>5305</v>
      </c>
      <c r="Q94" s="3346" t="s">
        <v>5306</v>
      </c>
      <c r="R94" s="3240" t="s">
        <v>5307</v>
      </c>
      <c r="S94" s="1060" t="s">
        <v>5308</v>
      </c>
      <c r="T94" s="1072" t="s">
        <v>5309</v>
      </c>
      <c r="U94" s="1060" t="s">
        <v>5310</v>
      </c>
      <c r="V94" s="3143" t="s">
        <v>5311</v>
      </c>
      <c r="W94" s="1060" t="s">
        <v>5312</v>
      </c>
      <c r="X94" s="3346" t="s">
        <v>5313</v>
      </c>
      <c r="Y94" s="3240" t="s">
        <v>5314</v>
      </c>
      <c r="Z94" s="1060" t="s">
        <v>5315</v>
      </c>
      <c r="AA94" s="5047" t="s">
        <v>5316</v>
      </c>
      <c r="AB94" s="5047" t="s">
        <v>5317</v>
      </c>
      <c r="AC94" s="5047" t="s">
        <v>5318</v>
      </c>
      <c r="AD94" s="5047" t="s">
        <v>5319</v>
      </c>
      <c r="AE94" s="5047" t="s">
        <v>5320</v>
      </c>
      <c r="AF94" s="2401" t="s">
        <v>5321</v>
      </c>
      <c r="AG94" s="5079" t="s">
        <v>5322</v>
      </c>
      <c r="AH94" s="106" t="s">
        <v>5323</v>
      </c>
      <c r="AI94" s="5048" t="s">
        <v>5324</v>
      </c>
      <c r="AJ94" s="4424" t="s">
        <v>5325</v>
      </c>
    </row>
    <row r="95" spans="1:36" x14ac:dyDescent="0.3">
      <c r="A95" s="6258" t="s">
        <v>4717</v>
      </c>
      <c r="B95" s="3381" t="s">
        <v>2139</v>
      </c>
      <c r="C95" s="3847" t="s">
        <v>5292</v>
      </c>
      <c r="D95" s="1072" t="s">
        <v>5293</v>
      </c>
      <c r="E95" s="1073" t="s">
        <v>5294</v>
      </c>
      <c r="F95" s="1073" t="s">
        <v>5295</v>
      </c>
      <c r="G95" s="3847" t="s">
        <v>5296</v>
      </c>
      <c r="H95" s="1072" t="s">
        <v>5297</v>
      </c>
      <c r="I95" s="1073" t="s">
        <v>5298</v>
      </c>
      <c r="J95" s="1073" t="s">
        <v>5299</v>
      </c>
      <c r="K95" s="3847" t="s">
        <v>5300</v>
      </c>
      <c r="L95" s="1072" t="s">
        <v>5301</v>
      </c>
      <c r="M95" s="1073" t="s">
        <v>5302</v>
      </c>
      <c r="N95" s="1080" t="s">
        <v>5303</v>
      </c>
      <c r="O95" s="3847" t="s">
        <v>5304</v>
      </c>
      <c r="P95" s="3143" t="s">
        <v>5305</v>
      </c>
      <c r="Q95" s="3346" t="s">
        <v>5306</v>
      </c>
      <c r="R95" s="3240" t="s">
        <v>5307</v>
      </c>
      <c r="S95" s="1060" t="s">
        <v>5308</v>
      </c>
      <c r="T95" s="1072" t="s">
        <v>5309</v>
      </c>
      <c r="U95" s="1060" t="s">
        <v>5310</v>
      </c>
      <c r="V95" s="3143" t="s">
        <v>5311</v>
      </c>
      <c r="W95" s="1060" t="s">
        <v>5312</v>
      </c>
      <c r="X95" s="3346" t="s">
        <v>5313</v>
      </c>
      <c r="Y95" s="3240" t="s">
        <v>5314</v>
      </c>
      <c r="Z95" s="1060" t="s">
        <v>5315</v>
      </c>
      <c r="AA95" s="5047" t="s">
        <v>5316</v>
      </c>
      <c r="AB95" s="5047" t="s">
        <v>5317</v>
      </c>
      <c r="AC95" s="5047" t="s">
        <v>5318</v>
      </c>
      <c r="AD95" s="5047" t="s">
        <v>5319</v>
      </c>
      <c r="AE95" s="5047" t="s">
        <v>5320</v>
      </c>
      <c r="AF95" s="2401" t="s">
        <v>5321</v>
      </c>
      <c r="AG95" s="5079" t="s">
        <v>5322</v>
      </c>
      <c r="AH95" s="106" t="s">
        <v>5323</v>
      </c>
      <c r="AI95" s="5048" t="s">
        <v>5324</v>
      </c>
      <c r="AJ95" s="4424" t="s">
        <v>5325</v>
      </c>
    </row>
    <row r="96" spans="1:36" x14ac:dyDescent="0.3">
      <c r="A96" s="6258" t="s">
        <v>4718</v>
      </c>
      <c r="B96" s="3381" t="s">
        <v>227</v>
      </c>
      <c r="C96" s="3847" t="s">
        <v>5292</v>
      </c>
      <c r="D96" s="1072" t="s">
        <v>5293</v>
      </c>
      <c r="E96" s="1073" t="s">
        <v>5294</v>
      </c>
      <c r="F96" s="1073" t="s">
        <v>5295</v>
      </c>
      <c r="G96" s="3847" t="s">
        <v>5296</v>
      </c>
      <c r="H96" s="1072" t="s">
        <v>5297</v>
      </c>
      <c r="I96" s="1073" t="s">
        <v>5298</v>
      </c>
      <c r="J96" s="1073" t="s">
        <v>5299</v>
      </c>
      <c r="K96" s="3847" t="s">
        <v>5300</v>
      </c>
      <c r="L96" s="1072" t="s">
        <v>5301</v>
      </c>
      <c r="M96" s="1073" t="s">
        <v>5302</v>
      </c>
      <c r="N96" s="1080" t="s">
        <v>5303</v>
      </c>
      <c r="O96" s="3847" t="s">
        <v>5304</v>
      </c>
      <c r="P96" s="3143" t="s">
        <v>5305</v>
      </c>
      <c r="Q96" s="3346" t="s">
        <v>5306</v>
      </c>
      <c r="R96" s="3240" t="s">
        <v>5307</v>
      </c>
      <c r="S96" s="1060" t="s">
        <v>5308</v>
      </c>
      <c r="T96" s="1072" t="s">
        <v>5309</v>
      </c>
      <c r="U96" s="1060" t="s">
        <v>5310</v>
      </c>
      <c r="V96" s="3143" t="s">
        <v>5311</v>
      </c>
      <c r="W96" s="1060" t="s">
        <v>5312</v>
      </c>
      <c r="X96" s="3346" t="s">
        <v>5313</v>
      </c>
      <c r="Y96" s="3240" t="s">
        <v>5314</v>
      </c>
      <c r="Z96" s="1060" t="s">
        <v>5315</v>
      </c>
      <c r="AA96" s="5047" t="s">
        <v>5316</v>
      </c>
      <c r="AB96" s="5047" t="s">
        <v>5317</v>
      </c>
      <c r="AC96" s="5047" t="s">
        <v>5318</v>
      </c>
      <c r="AD96" s="5047" t="s">
        <v>5319</v>
      </c>
      <c r="AE96" s="5047" t="s">
        <v>5320</v>
      </c>
      <c r="AF96" s="2401" t="s">
        <v>5321</v>
      </c>
      <c r="AG96" s="5079" t="s">
        <v>5322</v>
      </c>
      <c r="AH96" s="106" t="s">
        <v>5323</v>
      </c>
      <c r="AI96" s="5048" t="s">
        <v>5324</v>
      </c>
      <c r="AJ96" s="4424" t="s">
        <v>5325</v>
      </c>
    </row>
    <row r="97" spans="1:36" x14ac:dyDescent="0.3">
      <c r="A97" s="6258" t="s">
        <v>4719</v>
      </c>
      <c r="B97" s="3381" t="s">
        <v>2140</v>
      </c>
      <c r="C97" s="3847" t="s">
        <v>5292</v>
      </c>
      <c r="D97" s="1072" t="s">
        <v>5293</v>
      </c>
      <c r="E97" s="1073" t="s">
        <v>5294</v>
      </c>
      <c r="F97" s="1073" t="s">
        <v>5295</v>
      </c>
      <c r="G97" s="3847" t="s">
        <v>5296</v>
      </c>
      <c r="H97" s="1072" t="s">
        <v>5297</v>
      </c>
      <c r="I97" s="1073" t="s">
        <v>5298</v>
      </c>
      <c r="J97" s="1073" t="s">
        <v>5299</v>
      </c>
      <c r="K97" s="3847" t="s">
        <v>5300</v>
      </c>
      <c r="L97" s="1072" t="s">
        <v>5301</v>
      </c>
      <c r="M97" s="1073" t="s">
        <v>5302</v>
      </c>
      <c r="N97" s="1080" t="s">
        <v>5303</v>
      </c>
      <c r="O97" s="3847" t="s">
        <v>5304</v>
      </c>
      <c r="P97" s="3143" t="s">
        <v>5305</v>
      </c>
      <c r="Q97" s="3346" t="s">
        <v>5306</v>
      </c>
      <c r="R97" s="3240" t="s">
        <v>5307</v>
      </c>
      <c r="S97" s="1060" t="s">
        <v>5308</v>
      </c>
      <c r="T97" s="1072" t="s">
        <v>5309</v>
      </c>
      <c r="U97" s="1060" t="s">
        <v>5310</v>
      </c>
      <c r="V97" s="3143" t="s">
        <v>5311</v>
      </c>
      <c r="W97" s="1060" t="s">
        <v>5312</v>
      </c>
      <c r="X97" s="3346" t="s">
        <v>5313</v>
      </c>
      <c r="Y97" s="3240" t="s">
        <v>5314</v>
      </c>
      <c r="Z97" s="1060" t="s">
        <v>5315</v>
      </c>
      <c r="AA97" s="5047" t="s">
        <v>5316</v>
      </c>
      <c r="AB97" s="5047" t="s">
        <v>5317</v>
      </c>
      <c r="AC97" s="5047" t="s">
        <v>5318</v>
      </c>
      <c r="AD97" s="5047" t="s">
        <v>5319</v>
      </c>
      <c r="AE97" s="5047" t="s">
        <v>5320</v>
      </c>
      <c r="AF97" s="2401" t="s">
        <v>5321</v>
      </c>
      <c r="AG97" s="5079" t="s">
        <v>5322</v>
      </c>
      <c r="AH97" s="106" t="s">
        <v>5323</v>
      </c>
      <c r="AI97" s="5048" t="s">
        <v>5324</v>
      </c>
      <c r="AJ97" s="4424" t="s">
        <v>5325</v>
      </c>
    </row>
    <row r="98" spans="1:36" x14ac:dyDescent="0.3">
      <c r="A98" s="6258" t="s">
        <v>4720</v>
      </c>
      <c r="B98" s="3381" t="s">
        <v>2141</v>
      </c>
      <c r="C98" s="3847" t="s">
        <v>5292</v>
      </c>
      <c r="D98" s="1072" t="s">
        <v>5293</v>
      </c>
      <c r="E98" s="1073" t="s">
        <v>5294</v>
      </c>
      <c r="F98" s="1073" t="s">
        <v>5295</v>
      </c>
      <c r="G98" s="3847" t="s">
        <v>5296</v>
      </c>
      <c r="H98" s="1072" t="s">
        <v>5297</v>
      </c>
      <c r="I98" s="1073" t="s">
        <v>5298</v>
      </c>
      <c r="J98" s="1073" t="s">
        <v>5299</v>
      </c>
      <c r="K98" s="3847" t="s">
        <v>5300</v>
      </c>
      <c r="L98" s="1072" t="s">
        <v>5301</v>
      </c>
      <c r="M98" s="1073" t="s">
        <v>5302</v>
      </c>
      <c r="N98" s="1080" t="s">
        <v>5303</v>
      </c>
      <c r="O98" s="3847" t="s">
        <v>5304</v>
      </c>
      <c r="P98" s="3143" t="s">
        <v>5305</v>
      </c>
      <c r="Q98" s="3346" t="s">
        <v>5306</v>
      </c>
      <c r="R98" s="3240" t="s">
        <v>5307</v>
      </c>
      <c r="S98" s="1060" t="s">
        <v>5308</v>
      </c>
      <c r="T98" s="1072" t="s">
        <v>5309</v>
      </c>
      <c r="U98" s="1060" t="s">
        <v>5310</v>
      </c>
      <c r="V98" s="3143" t="s">
        <v>5311</v>
      </c>
      <c r="W98" s="1060" t="s">
        <v>5312</v>
      </c>
      <c r="X98" s="3346" t="s">
        <v>5313</v>
      </c>
      <c r="Y98" s="3240" t="s">
        <v>5314</v>
      </c>
      <c r="Z98" s="1060" t="s">
        <v>5315</v>
      </c>
      <c r="AA98" s="5047" t="s">
        <v>5316</v>
      </c>
      <c r="AB98" s="5047" t="s">
        <v>5317</v>
      </c>
      <c r="AC98" s="5047" t="s">
        <v>5318</v>
      </c>
      <c r="AD98" s="5047" t="s">
        <v>5319</v>
      </c>
      <c r="AE98" s="5047" t="s">
        <v>5320</v>
      </c>
      <c r="AF98" s="2401" t="s">
        <v>5321</v>
      </c>
      <c r="AG98" s="5079" t="s">
        <v>5322</v>
      </c>
      <c r="AH98" s="106" t="s">
        <v>5323</v>
      </c>
      <c r="AI98" s="5048" t="s">
        <v>5324</v>
      </c>
      <c r="AJ98" s="4424" t="s">
        <v>5325</v>
      </c>
    </row>
    <row r="99" spans="1:36" x14ac:dyDescent="0.3">
      <c r="A99" s="6258" t="s">
        <v>4721</v>
      </c>
      <c r="B99" s="3381" t="s">
        <v>228</v>
      </c>
      <c r="C99" s="3847" t="s">
        <v>5292</v>
      </c>
      <c r="D99" s="1072" t="s">
        <v>5293</v>
      </c>
      <c r="E99" s="1073" t="s">
        <v>5294</v>
      </c>
      <c r="F99" s="1073" t="s">
        <v>5295</v>
      </c>
      <c r="G99" s="3847" t="s">
        <v>5296</v>
      </c>
      <c r="H99" s="1072" t="s">
        <v>5297</v>
      </c>
      <c r="I99" s="1073" t="s">
        <v>5298</v>
      </c>
      <c r="J99" s="1073" t="s">
        <v>5299</v>
      </c>
      <c r="K99" s="3847" t="s">
        <v>5300</v>
      </c>
      <c r="L99" s="1072" t="s">
        <v>5301</v>
      </c>
      <c r="M99" s="1073" t="s">
        <v>5302</v>
      </c>
      <c r="N99" s="1080" t="s">
        <v>5303</v>
      </c>
      <c r="O99" s="3847" t="s">
        <v>5304</v>
      </c>
      <c r="P99" s="3143" t="s">
        <v>5305</v>
      </c>
      <c r="Q99" s="3346" t="s">
        <v>5306</v>
      </c>
      <c r="R99" s="3240" t="s">
        <v>5307</v>
      </c>
      <c r="S99" s="1060" t="s">
        <v>5308</v>
      </c>
      <c r="T99" s="1072" t="s">
        <v>5309</v>
      </c>
      <c r="U99" s="1060" t="s">
        <v>5310</v>
      </c>
      <c r="V99" s="3143" t="s">
        <v>5311</v>
      </c>
      <c r="W99" s="1060" t="s">
        <v>5312</v>
      </c>
      <c r="X99" s="3346" t="s">
        <v>5313</v>
      </c>
      <c r="Y99" s="3240" t="s">
        <v>5314</v>
      </c>
      <c r="Z99" s="1060" t="s">
        <v>5315</v>
      </c>
      <c r="AA99" s="5047" t="s">
        <v>5316</v>
      </c>
      <c r="AB99" s="5047" t="s">
        <v>5317</v>
      </c>
      <c r="AC99" s="5047" t="s">
        <v>5318</v>
      </c>
      <c r="AD99" s="5047" t="s">
        <v>5319</v>
      </c>
      <c r="AE99" s="5047" t="s">
        <v>5320</v>
      </c>
      <c r="AF99" s="2401" t="s">
        <v>5321</v>
      </c>
      <c r="AG99" s="5079" t="s">
        <v>5322</v>
      </c>
      <c r="AH99" s="106" t="s">
        <v>5323</v>
      </c>
      <c r="AI99" s="5048" t="s">
        <v>5324</v>
      </c>
      <c r="AJ99" s="4424" t="s">
        <v>5325</v>
      </c>
    </row>
    <row r="100" spans="1:36" x14ac:dyDescent="0.3">
      <c r="A100" s="6258" t="s">
        <v>4722</v>
      </c>
      <c r="B100" s="3381" t="s">
        <v>229</v>
      </c>
      <c r="C100" s="3847" t="s">
        <v>5292</v>
      </c>
      <c r="D100" s="1072" t="s">
        <v>5293</v>
      </c>
      <c r="E100" s="1073" t="s">
        <v>5294</v>
      </c>
      <c r="F100" s="1073" t="s">
        <v>5295</v>
      </c>
      <c r="G100" s="3847" t="s">
        <v>5296</v>
      </c>
      <c r="H100" s="1072" t="s">
        <v>5297</v>
      </c>
      <c r="I100" s="1073" t="s">
        <v>5298</v>
      </c>
      <c r="J100" s="1073" t="s">
        <v>5299</v>
      </c>
      <c r="K100" s="3847" t="s">
        <v>5300</v>
      </c>
      <c r="L100" s="1072" t="s">
        <v>5301</v>
      </c>
      <c r="M100" s="1073" t="s">
        <v>5302</v>
      </c>
      <c r="N100" s="1080" t="s">
        <v>5303</v>
      </c>
      <c r="O100" s="3847" t="s">
        <v>5304</v>
      </c>
      <c r="P100" s="3143" t="s">
        <v>5305</v>
      </c>
      <c r="Q100" s="3346" t="s">
        <v>5306</v>
      </c>
      <c r="R100" s="3240" t="s">
        <v>5307</v>
      </c>
      <c r="S100" s="1060" t="s">
        <v>5308</v>
      </c>
      <c r="T100" s="1072" t="s">
        <v>5309</v>
      </c>
      <c r="U100" s="1060" t="s">
        <v>5310</v>
      </c>
      <c r="V100" s="3143" t="s">
        <v>5311</v>
      </c>
      <c r="W100" s="1060" t="s">
        <v>5312</v>
      </c>
      <c r="X100" s="3346" t="s">
        <v>5313</v>
      </c>
      <c r="Y100" s="3240" t="s">
        <v>5314</v>
      </c>
      <c r="Z100" s="1060" t="s">
        <v>5315</v>
      </c>
      <c r="AA100" s="5047" t="s">
        <v>5316</v>
      </c>
      <c r="AB100" s="5047" t="s">
        <v>5317</v>
      </c>
      <c r="AC100" s="5047" t="s">
        <v>5318</v>
      </c>
      <c r="AD100" s="5047" t="s">
        <v>5319</v>
      </c>
      <c r="AE100" s="5047" t="s">
        <v>5320</v>
      </c>
      <c r="AF100" s="2401" t="s">
        <v>5321</v>
      </c>
      <c r="AG100" s="5079" t="s">
        <v>5322</v>
      </c>
      <c r="AH100" s="106" t="s">
        <v>5323</v>
      </c>
      <c r="AI100" s="5048" t="s">
        <v>5324</v>
      </c>
      <c r="AJ100" s="4424" t="s">
        <v>5325</v>
      </c>
    </row>
    <row r="101" spans="1:36" x14ac:dyDescent="0.3">
      <c r="A101" s="6258" t="s">
        <v>4723</v>
      </c>
      <c r="B101" s="3381" t="s">
        <v>2142</v>
      </c>
      <c r="C101" s="3847" t="s">
        <v>5292</v>
      </c>
      <c r="D101" s="1072" t="s">
        <v>5293</v>
      </c>
      <c r="E101" s="1073" t="s">
        <v>5294</v>
      </c>
      <c r="F101" s="1073" t="s">
        <v>5295</v>
      </c>
      <c r="G101" s="3847" t="s">
        <v>5296</v>
      </c>
      <c r="H101" s="1072" t="s">
        <v>5297</v>
      </c>
      <c r="I101" s="1073" t="s">
        <v>5298</v>
      </c>
      <c r="J101" s="1073" t="s">
        <v>5299</v>
      </c>
      <c r="K101" s="3847" t="s">
        <v>5300</v>
      </c>
      <c r="L101" s="1072" t="s">
        <v>5301</v>
      </c>
      <c r="M101" s="1073" t="s">
        <v>5302</v>
      </c>
      <c r="N101" s="1080" t="s">
        <v>5303</v>
      </c>
      <c r="O101" s="3847" t="s">
        <v>5304</v>
      </c>
      <c r="P101" s="3143" t="s">
        <v>5305</v>
      </c>
      <c r="Q101" s="3346" t="s">
        <v>5306</v>
      </c>
      <c r="R101" s="3240" t="s">
        <v>5307</v>
      </c>
      <c r="S101" s="1060" t="s">
        <v>5308</v>
      </c>
      <c r="T101" s="1072" t="s">
        <v>5309</v>
      </c>
      <c r="U101" s="1060" t="s">
        <v>5310</v>
      </c>
      <c r="V101" s="3143" t="s">
        <v>5311</v>
      </c>
      <c r="W101" s="1060" t="s">
        <v>5312</v>
      </c>
      <c r="X101" s="3346" t="s">
        <v>5313</v>
      </c>
      <c r="Y101" s="3240" t="s">
        <v>5314</v>
      </c>
      <c r="Z101" s="1060" t="s">
        <v>5315</v>
      </c>
      <c r="AA101" s="5047" t="s">
        <v>5316</v>
      </c>
      <c r="AB101" s="5047" t="s">
        <v>5317</v>
      </c>
      <c r="AC101" s="5047" t="s">
        <v>5318</v>
      </c>
      <c r="AD101" s="5047" t="s">
        <v>5319</v>
      </c>
      <c r="AE101" s="5047" t="s">
        <v>5320</v>
      </c>
      <c r="AF101" s="2401" t="s">
        <v>5321</v>
      </c>
      <c r="AG101" s="5079" t="s">
        <v>5322</v>
      </c>
      <c r="AH101" s="106" t="s">
        <v>5323</v>
      </c>
      <c r="AI101" s="5048" t="s">
        <v>5324</v>
      </c>
      <c r="AJ101" s="4424" t="s">
        <v>5325</v>
      </c>
    </row>
    <row r="102" spans="1:36" x14ac:dyDescent="0.3">
      <c r="A102" s="6258" t="s">
        <v>4724</v>
      </c>
      <c r="B102" s="3381" t="s">
        <v>2143</v>
      </c>
      <c r="C102" s="3847" t="s">
        <v>5292</v>
      </c>
      <c r="D102" s="1072" t="s">
        <v>5293</v>
      </c>
      <c r="E102" s="1073" t="s">
        <v>5294</v>
      </c>
      <c r="F102" s="1073" t="s">
        <v>5295</v>
      </c>
      <c r="G102" s="3847" t="s">
        <v>5296</v>
      </c>
      <c r="H102" s="1072" t="s">
        <v>5297</v>
      </c>
      <c r="I102" s="1073" t="s">
        <v>5298</v>
      </c>
      <c r="J102" s="1073" t="s">
        <v>5299</v>
      </c>
      <c r="K102" s="3847" t="s">
        <v>5300</v>
      </c>
      <c r="L102" s="1072" t="s">
        <v>5301</v>
      </c>
      <c r="M102" s="1073" t="s">
        <v>5302</v>
      </c>
      <c r="N102" s="1080" t="s">
        <v>5303</v>
      </c>
      <c r="O102" s="3847" t="s">
        <v>5304</v>
      </c>
      <c r="P102" s="3143" t="s">
        <v>5305</v>
      </c>
      <c r="Q102" s="3346" t="s">
        <v>5306</v>
      </c>
      <c r="R102" s="3240" t="s">
        <v>5307</v>
      </c>
      <c r="S102" s="1060" t="s">
        <v>5308</v>
      </c>
      <c r="T102" s="1072" t="s">
        <v>5309</v>
      </c>
      <c r="U102" s="1060" t="s">
        <v>5310</v>
      </c>
      <c r="V102" s="3143" t="s">
        <v>5311</v>
      </c>
      <c r="W102" s="1060" t="s">
        <v>5312</v>
      </c>
      <c r="X102" s="3346" t="s">
        <v>5313</v>
      </c>
      <c r="Y102" s="3240" t="s">
        <v>5314</v>
      </c>
      <c r="Z102" s="1060" t="s">
        <v>5315</v>
      </c>
      <c r="AA102" s="5047" t="s">
        <v>5316</v>
      </c>
      <c r="AB102" s="5047" t="s">
        <v>5317</v>
      </c>
      <c r="AC102" s="5047" t="s">
        <v>5318</v>
      </c>
      <c r="AD102" s="5047" t="s">
        <v>5319</v>
      </c>
      <c r="AE102" s="5047" t="s">
        <v>5320</v>
      </c>
      <c r="AF102" s="2401" t="s">
        <v>5321</v>
      </c>
      <c r="AG102" s="5079" t="s">
        <v>5322</v>
      </c>
      <c r="AH102" s="106" t="s">
        <v>5323</v>
      </c>
      <c r="AI102" s="5048" t="s">
        <v>5324</v>
      </c>
      <c r="AJ102" s="4424" t="s">
        <v>5325</v>
      </c>
    </row>
    <row r="103" spans="1:36" x14ac:dyDescent="0.3">
      <c r="A103" s="6258" t="s">
        <v>4725</v>
      </c>
      <c r="B103" s="3381" t="s">
        <v>230</v>
      </c>
      <c r="C103" s="3847" t="s">
        <v>5292</v>
      </c>
      <c r="D103" s="1072" t="s">
        <v>5293</v>
      </c>
      <c r="E103" s="1073" t="s">
        <v>5294</v>
      </c>
      <c r="F103" s="1073" t="s">
        <v>5295</v>
      </c>
      <c r="G103" s="3847" t="s">
        <v>5296</v>
      </c>
      <c r="H103" s="1072" t="s">
        <v>5297</v>
      </c>
      <c r="I103" s="1073" t="s">
        <v>5298</v>
      </c>
      <c r="J103" s="1073" t="s">
        <v>5299</v>
      </c>
      <c r="K103" s="3847" t="s">
        <v>5300</v>
      </c>
      <c r="L103" s="1072" t="s">
        <v>5301</v>
      </c>
      <c r="M103" s="1073" t="s">
        <v>5302</v>
      </c>
      <c r="N103" s="1080" t="s">
        <v>5303</v>
      </c>
      <c r="O103" s="3847" t="s">
        <v>5304</v>
      </c>
      <c r="P103" s="3143" t="s">
        <v>5305</v>
      </c>
      <c r="Q103" s="3346" t="s">
        <v>5306</v>
      </c>
      <c r="R103" s="3240" t="s">
        <v>5307</v>
      </c>
      <c r="S103" s="1060" t="s">
        <v>5308</v>
      </c>
      <c r="T103" s="1072" t="s">
        <v>5309</v>
      </c>
      <c r="U103" s="1060" t="s">
        <v>5310</v>
      </c>
      <c r="V103" s="3143" t="s">
        <v>5311</v>
      </c>
      <c r="W103" s="1060" t="s">
        <v>5312</v>
      </c>
      <c r="X103" s="3346" t="s">
        <v>5313</v>
      </c>
      <c r="Y103" s="3240" t="s">
        <v>5314</v>
      </c>
      <c r="Z103" s="1060" t="s">
        <v>5315</v>
      </c>
      <c r="AA103" s="5047" t="s">
        <v>5316</v>
      </c>
      <c r="AB103" s="5047" t="s">
        <v>5317</v>
      </c>
      <c r="AC103" s="5047" t="s">
        <v>5318</v>
      </c>
      <c r="AD103" s="5047" t="s">
        <v>5319</v>
      </c>
      <c r="AE103" s="5047" t="s">
        <v>5320</v>
      </c>
      <c r="AF103" s="2401" t="s">
        <v>5321</v>
      </c>
      <c r="AG103" s="5079" t="s">
        <v>5322</v>
      </c>
      <c r="AH103" s="106" t="s">
        <v>5323</v>
      </c>
      <c r="AI103" s="5048" t="s">
        <v>5324</v>
      </c>
      <c r="AJ103" s="4424" t="s">
        <v>5325</v>
      </c>
    </row>
    <row r="104" spans="1:36" x14ac:dyDescent="0.3">
      <c r="A104" s="6258" t="s">
        <v>4726</v>
      </c>
      <c r="B104" s="3381" t="s">
        <v>2144</v>
      </c>
      <c r="C104" s="3900" t="s">
        <v>5292</v>
      </c>
      <c r="D104" s="131" t="s">
        <v>5293</v>
      </c>
      <c r="E104" s="132" t="s">
        <v>5294</v>
      </c>
      <c r="F104" s="132" t="s">
        <v>5295</v>
      </c>
      <c r="G104" s="3900" t="s">
        <v>5296</v>
      </c>
      <c r="H104" s="131" t="s">
        <v>5297</v>
      </c>
      <c r="I104" s="132" t="s">
        <v>5298</v>
      </c>
      <c r="J104" s="132" t="s">
        <v>5299</v>
      </c>
      <c r="K104" s="3900" t="s">
        <v>5300</v>
      </c>
      <c r="L104" s="131" t="s">
        <v>5301</v>
      </c>
      <c r="M104" s="132" t="s">
        <v>5302</v>
      </c>
      <c r="N104" s="1468" t="s">
        <v>5303</v>
      </c>
      <c r="O104" s="3847" t="s">
        <v>5304</v>
      </c>
      <c r="P104" s="4425" t="s">
        <v>5305</v>
      </c>
      <c r="Q104" s="2399" t="s">
        <v>5306</v>
      </c>
      <c r="R104" s="3240" t="s">
        <v>5307</v>
      </c>
      <c r="S104" s="1060" t="s">
        <v>5308</v>
      </c>
      <c r="T104" s="1072" t="s">
        <v>5309</v>
      </c>
      <c r="U104" s="1060" t="s">
        <v>5310</v>
      </c>
      <c r="V104" s="3143" t="s">
        <v>5311</v>
      </c>
      <c r="W104" s="1060" t="s">
        <v>5312</v>
      </c>
      <c r="X104" s="3346" t="s">
        <v>5313</v>
      </c>
      <c r="Y104" s="3240" t="s">
        <v>5314</v>
      </c>
      <c r="Z104" s="1060" t="s">
        <v>5315</v>
      </c>
      <c r="AA104" s="5047" t="s">
        <v>5316</v>
      </c>
      <c r="AB104" s="5047" t="s">
        <v>5317</v>
      </c>
      <c r="AC104" s="5047" t="s">
        <v>5318</v>
      </c>
      <c r="AD104" s="5047" t="s">
        <v>5319</v>
      </c>
      <c r="AE104" s="5047" t="s">
        <v>5320</v>
      </c>
      <c r="AF104" s="2401" t="s">
        <v>5321</v>
      </c>
      <c r="AG104" s="5079" t="s">
        <v>5322</v>
      </c>
      <c r="AH104" s="106" t="s">
        <v>5323</v>
      </c>
      <c r="AI104" s="5048" t="s">
        <v>5324</v>
      </c>
      <c r="AJ104" s="4424" t="s">
        <v>5325</v>
      </c>
    </row>
    <row r="105" spans="1:36" x14ac:dyDescent="0.3">
      <c r="A105" s="6258" t="s">
        <v>4727</v>
      </c>
      <c r="B105" s="3381" t="s">
        <v>2145</v>
      </c>
      <c r="C105" s="3847" t="s">
        <v>5292</v>
      </c>
      <c r="D105" s="1072" t="s">
        <v>5293</v>
      </c>
      <c r="E105" s="1073" t="s">
        <v>5294</v>
      </c>
      <c r="F105" s="1073" t="s">
        <v>5295</v>
      </c>
      <c r="G105" s="3847" t="s">
        <v>5296</v>
      </c>
      <c r="H105" s="1072" t="s">
        <v>5297</v>
      </c>
      <c r="I105" s="1073" t="s">
        <v>5298</v>
      </c>
      <c r="J105" s="1073" t="s">
        <v>5299</v>
      </c>
      <c r="K105" s="3847" t="s">
        <v>5300</v>
      </c>
      <c r="L105" s="1072" t="s">
        <v>5301</v>
      </c>
      <c r="M105" s="1073" t="s">
        <v>5302</v>
      </c>
      <c r="N105" s="1080" t="s">
        <v>5303</v>
      </c>
      <c r="O105" s="3847" t="s">
        <v>5304</v>
      </c>
      <c r="P105" s="3143" t="s">
        <v>5305</v>
      </c>
      <c r="Q105" s="3346" t="s">
        <v>5306</v>
      </c>
      <c r="R105" s="3240" t="s">
        <v>5307</v>
      </c>
      <c r="S105" s="1060" t="s">
        <v>5308</v>
      </c>
      <c r="T105" s="1072" t="s">
        <v>5309</v>
      </c>
      <c r="U105" s="1060" t="s">
        <v>5310</v>
      </c>
      <c r="V105" s="3143" t="s">
        <v>5311</v>
      </c>
      <c r="W105" s="1060" t="s">
        <v>5312</v>
      </c>
      <c r="X105" s="3346" t="s">
        <v>5313</v>
      </c>
      <c r="Y105" s="3240" t="s">
        <v>5314</v>
      </c>
      <c r="Z105" s="1060" t="s">
        <v>5315</v>
      </c>
      <c r="AA105" s="5047" t="s">
        <v>5316</v>
      </c>
      <c r="AB105" s="5047" t="s">
        <v>5317</v>
      </c>
      <c r="AC105" s="5047" t="s">
        <v>5318</v>
      </c>
      <c r="AD105" s="5047" t="s">
        <v>5319</v>
      </c>
      <c r="AE105" s="5047" t="s">
        <v>5320</v>
      </c>
      <c r="AF105" s="2401" t="s">
        <v>5321</v>
      </c>
      <c r="AG105" s="5079" t="s">
        <v>5322</v>
      </c>
      <c r="AH105" s="106" t="s">
        <v>5323</v>
      </c>
      <c r="AI105" s="5048" t="s">
        <v>5324</v>
      </c>
      <c r="AJ105" s="4424" t="s">
        <v>5325</v>
      </c>
    </row>
    <row r="106" spans="1:36" x14ac:dyDescent="0.3">
      <c r="A106" s="6258" t="s">
        <v>4728</v>
      </c>
      <c r="B106" s="3381" t="s">
        <v>2187</v>
      </c>
      <c r="C106" s="3847" t="s">
        <v>5292</v>
      </c>
      <c r="D106" s="1072" t="s">
        <v>5293</v>
      </c>
      <c r="E106" s="1073" t="s">
        <v>5294</v>
      </c>
      <c r="F106" s="1073" t="s">
        <v>5295</v>
      </c>
      <c r="G106" s="3847" t="s">
        <v>5296</v>
      </c>
      <c r="H106" s="1072" t="s">
        <v>5297</v>
      </c>
      <c r="I106" s="1073" t="s">
        <v>5298</v>
      </c>
      <c r="J106" s="1073" t="s">
        <v>5299</v>
      </c>
      <c r="K106" s="3847" t="s">
        <v>5300</v>
      </c>
      <c r="L106" s="1072" t="s">
        <v>5301</v>
      </c>
      <c r="M106" s="1073" t="s">
        <v>5302</v>
      </c>
      <c r="N106" s="1080" t="s">
        <v>5303</v>
      </c>
      <c r="O106" s="3847" t="s">
        <v>5304</v>
      </c>
      <c r="P106" s="3143" t="s">
        <v>5305</v>
      </c>
      <c r="Q106" s="3346" t="s">
        <v>5306</v>
      </c>
      <c r="R106" s="3240" t="s">
        <v>5307</v>
      </c>
      <c r="S106" s="1060" t="s">
        <v>5308</v>
      </c>
      <c r="T106" s="1072" t="s">
        <v>5309</v>
      </c>
      <c r="U106" s="1060" t="s">
        <v>5310</v>
      </c>
      <c r="V106" s="3143" t="s">
        <v>5311</v>
      </c>
      <c r="W106" s="1060" t="s">
        <v>5312</v>
      </c>
      <c r="X106" s="3346" t="s">
        <v>5313</v>
      </c>
      <c r="Y106" s="3240" t="s">
        <v>5314</v>
      </c>
      <c r="Z106" s="1060" t="s">
        <v>5315</v>
      </c>
      <c r="AA106" s="5047" t="s">
        <v>5316</v>
      </c>
      <c r="AB106" s="5047" t="s">
        <v>5317</v>
      </c>
      <c r="AC106" s="5047" t="s">
        <v>5318</v>
      </c>
      <c r="AD106" s="5047" t="s">
        <v>5319</v>
      </c>
      <c r="AE106" s="5047" t="s">
        <v>5320</v>
      </c>
      <c r="AF106" s="2401" t="s">
        <v>5321</v>
      </c>
      <c r="AG106" s="5079" t="s">
        <v>5322</v>
      </c>
      <c r="AH106" s="106" t="s">
        <v>5323</v>
      </c>
      <c r="AI106" s="5048" t="s">
        <v>5324</v>
      </c>
      <c r="AJ106" s="4424" t="s">
        <v>5325</v>
      </c>
    </row>
    <row r="107" spans="1:36" x14ac:dyDescent="0.3">
      <c r="A107" s="6258" t="s">
        <v>4729</v>
      </c>
      <c r="B107" s="3381" t="s">
        <v>2147</v>
      </c>
      <c r="C107" s="3847" t="s">
        <v>5292</v>
      </c>
      <c r="D107" s="1072" t="s">
        <v>5293</v>
      </c>
      <c r="E107" s="1073" t="s">
        <v>5294</v>
      </c>
      <c r="F107" s="1073" t="s">
        <v>5295</v>
      </c>
      <c r="G107" s="3847" t="s">
        <v>5296</v>
      </c>
      <c r="H107" s="1072" t="s">
        <v>5297</v>
      </c>
      <c r="I107" s="1073" t="s">
        <v>5298</v>
      </c>
      <c r="J107" s="1073" t="s">
        <v>5299</v>
      </c>
      <c r="K107" s="3847" t="s">
        <v>5300</v>
      </c>
      <c r="L107" s="1072" t="s">
        <v>5301</v>
      </c>
      <c r="M107" s="1073" t="s">
        <v>5302</v>
      </c>
      <c r="N107" s="1080" t="s">
        <v>5303</v>
      </c>
      <c r="O107" s="3847" t="s">
        <v>5304</v>
      </c>
      <c r="P107" s="3143" t="s">
        <v>5305</v>
      </c>
      <c r="Q107" s="3346" t="s">
        <v>5306</v>
      </c>
      <c r="R107" s="3240" t="s">
        <v>5307</v>
      </c>
      <c r="S107" s="1060" t="s">
        <v>5308</v>
      </c>
      <c r="T107" s="1072" t="s">
        <v>5309</v>
      </c>
      <c r="U107" s="1060" t="s">
        <v>5310</v>
      </c>
      <c r="V107" s="3143" t="s">
        <v>5311</v>
      </c>
      <c r="W107" s="1060" t="s">
        <v>5312</v>
      </c>
      <c r="X107" s="3346" t="s">
        <v>5313</v>
      </c>
      <c r="Y107" s="3240" t="s">
        <v>5314</v>
      </c>
      <c r="Z107" s="1060" t="s">
        <v>5315</v>
      </c>
      <c r="AA107" s="5047" t="s">
        <v>5316</v>
      </c>
      <c r="AB107" s="5047" t="s">
        <v>5317</v>
      </c>
      <c r="AC107" s="5047" t="s">
        <v>5318</v>
      </c>
      <c r="AD107" s="5047" t="s">
        <v>5319</v>
      </c>
      <c r="AE107" s="5047" t="s">
        <v>5320</v>
      </c>
      <c r="AF107" s="2401" t="s">
        <v>5321</v>
      </c>
      <c r="AG107" s="5079" t="s">
        <v>5322</v>
      </c>
      <c r="AH107" s="106" t="s">
        <v>5323</v>
      </c>
      <c r="AI107" s="5048" t="s">
        <v>5324</v>
      </c>
      <c r="AJ107" s="4424" t="s">
        <v>5325</v>
      </c>
    </row>
    <row r="108" spans="1:36" x14ac:dyDescent="0.3">
      <c r="A108" s="6258" t="s">
        <v>4730</v>
      </c>
      <c r="B108" s="3381" t="s">
        <v>231</v>
      </c>
      <c r="C108" s="1683" t="s">
        <v>5292</v>
      </c>
      <c r="D108" s="106" t="s">
        <v>5293</v>
      </c>
      <c r="E108" s="5048" t="s">
        <v>5294</v>
      </c>
      <c r="F108" s="5048" t="s">
        <v>5295</v>
      </c>
      <c r="G108" s="1683" t="s">
        <v>5296</v>
      </c>
      <c r="H108" s="106" t="s">
        <v>5297</v>
      </c>
      <c r="I108" s="5048" t="s">
        <v>5298</v>
      </c>
      <c r="J108" s="5048" t="s">
        <v>5299</v>
      </c>
      <c r="K108" s="1683" t="s">
        <v>5300</v>
      </c>
      <c r="L108" s="106" t="s">
        <v>5301</v>
      </c>
      <c r="M108" s="5048" t="s">
        <v>5302</v>
      </c>
      <c r="N108" s="4771" t="s">
        <v>5303</v>
      </c>
      <c r="O108" s="3847" t="s">
        <v>5304</v>
      </c>
      <c r="P108" s="588" t="s">
        <v>5305</v>
      </c>
      <c r="Q108" s="135" t="s">
        <v>5306</v>
      </c>
      <c r="R108" s="3240" t="s">
        <v>5307</v>
      </c>
      <c r="S108" s="1060" t="s">
        <v>5308</v>
      </c>
      <c r="T108" s="1072" t="s">
        <v>5309</v>
      </c>
      <c r="U108" s="1060" t="s">
        <v>5310</v>
      </c>
      <c r="V108" s="3143" t="s">
        <v>5311</v>
      </c>
      <c r="W108" s="1060" t="s">
        <v>5312</v>
      </c>
      <c r="X108" s="3346" t="s">
        <v>5313</v>
      </c>
      <c r="Y108" s="3240" t="s">
        <v>5314</v>
      </c>
      <c r="Z108" s="1060" t="s">
        <v>5315</v>
      </c>
      <c r="AA108" s="5047" t="s">
        <v>5316</v>
      </c>
      <c r="AB108" s="5047" t="s">
        <v>5317</v>
      </c>
      <c r="AC108" s="5047" t="s">
        <v>5318</v>
      </c>
      <c r="AD108" s="5047" t="s">
        <v>5319</v>
      </c>
      <c r="AE108" s="5047" t="s">
        <v>5320</v>
      </c>
      <c r="AF108" s="2401" t="s">
        <v>5321</v>
      </c>
      <c r="AG108" s="5079" t="s">
        <v>5322</v>
      </c>
      <c r="AH108" s="106" t="s">
        <v>5323</v>
      </c>
      <c r="AI108" s="5048" t="s">
        <v>5324</v>
      </c>
      <c r="AJ108" s="4424" t="s">
        <v>5325</v>
      </c>
    </row>
    <row r="109" spans="1:36" x14ac:dyDescent="0.3">
      <c r="A109" s="6258" t="s">
        <v>4731</v>
      </c>
      <c r="B109" s="3381" t="s">
        <v>2148</v>
      </c>
      <c r="C109" s="3900" t="s">
        <v>5292</v>
      </c>
      <c r="D109" s="131" t="s">
        <v>5293</v>
      </c>
      <c r="E109" s="132" t="s">
        <v>5294</v>
      </c>
      <c r="F109" s="132" t="s">
        <v>5295</v>
      </c>
      <c r="G109" s="3900" t="s">
        <v>5296</v>
      </c>
      <c r="H109" s="131" t="s">
        <v>5297</v>
      </c>
      <c r="I109" s="132" t="s">
        <v>5298</v>
      </c>
      <c r="J109" s="132" t="s">
        <v>5299</v>
      </c>
      <c r="K109" s="3900" t="s">
        <v>5300</v>
      </c>
      <c r="L109" s="131" t="s">
        <v>5301</v>
      </c>
      <c r="M109" s="132" t="s">
        <v>5302</v>
      </c>
      <c r="N109" s="1468" t="s">
        <v>5303</v>
      </c>
      <c r="O109" s="3847" t="s">
        <v>5304</v>
      </c>
      <c r="P109" s="4425" t="s">
        <v>5305</v>
      </c>
      <c r="Q109" s="2399" t="s">
        <v>5306</v>
      </c>
      <c r="R109" s="3240" t="s">
        <v>5307</v>
      </c>
      <c r="S109" s="1060" t="s">
        <v>5308</v>
      </c>
      <c r="T109" s="1072" t="s">
        <v>5309</v>
      </c>
      <c r="U109" s="1060" t="s">
        <v>5310</v>
      </c>
      <c r="V109" s="3143" t="s">
        <v>5311</v>
      </c>
      <c r="W109" s="1060" t="s">
        <v>5312</v>
      </c>
      <c r="X109" s="3077" t="s">
        <v>5313</v>
      </c>
      <c r="Y109" s="3240" t="s">
        <v>5314</v>
      </c>
      <c r="Z109" s="1060" t="s">
        <v>5315</v>
      </c>
      <c r="AA109" s="5047" t="s">
        <v>5316</v>
      </c>
      <c r="AB109" s="5047" t="s">
        <v>5317</v>
      </c>
      <c r="AC109" s="5047" t="s">
        <v>5318</v>
      </c>
      <c r="AD109" s="5047" t="s">
        <v>5319</v>
      </c>
      <c r="AE109" s="5047" t="s">
        <v>5320</v>
      </c>
      <c r="AF109" s="2401" t="s">
        <v>5321</v>
      </c>
      <c r="AG109" s="5079" t="s">
        <v>5322</v>
      </c>
      <c r="AH109" s="106" t="s">
        <v>5323</v>
      </c>
      <c r="AI109" s="5048" t="s">
        <v>5324</v>
      </c>
      <c r="AJ109" s="4424" t="s">
        <v>5325</v>
      </c>
    </row>
    <row r="110" spans="1:36" x14ac:dyDescent="0.3">
      <c r="A110" s="6258" t="s">
        <v>4732</v>
      </c>
      <c r="B110" s="112" t="s">
        <v>2149</v>
      </c>
      <c r="C110" s="3847" t="s">
        <v>5292</v>
      </c>
      <c r="D110" s="1072" t="s">
        <v>5293</v>
      </c>
      <c r="E110" s="1073" t="s">
        <v>5294</v>
      </c>
      <c r="F110" s="1073" t="s">
        <v>5295</v>
      </c>
      <c r="G110" s="3847" t="s">
        <v>5296</v>
      </c>
      <c r="H110" s="1072" t="s">
        <v>5297</v>
      </c>
      <c r="I110" s="1073" t="s">
        <v>5298</v>
      </c>
      <c r="J110" s="1073" t="s">
        <v>5299</v>
      </c>
      <c r="K110" s="3847" t="s">
        <v>5300</v>
      </c>
      <c r="L110" s="1072" t="s">
        <v>5301</v>
      </c>
      <c r="M110" s="1073" t="s">
        <v>5302</v>
      </c>
      <c r="N110" s="1080" t="s">
        <v>5303</v>
      </c>
      <c r="O110" s="3847" t="s">
        <v>5304</v>
      </c>
      <c r="P110" s="3143" t="s">
        <v>5305</v>
      </c>
      <c r="Q110" s="3346" t="s">
        <v>5306</v>
      </c>
      <c r="R110" s="3240" t="s">
        <v>5307</v>
      </c>
      <c r="S110" s="1060" t="s">
        <v>5308</v>
      </c>
      <c r="T110" s="1072" t="s">
        <v>5309</v>
      </c>
      <c r="U110" s="1060" t="s">
        <v>5310</v>
      </c>
      <c r="V110" s="3143" t="s">
        <v>5311</v>
      </c>
      <c r="W110" s="1060" t="s">
        <v>5312</v>
      </c>
      <c r="X110" s="3346" t="s">
        <v>5313</v>
      </c>
      <c r="Y110" s="3240" t="s">
        <v>5314</v>
      </c>
      <c r="Z110" s="1060" t="s">
        <v>5315</v>
      </c>
      <c r="AA110" s="5047" t="s">
        <v>5316</v>
      </c>
      <c r="AB110" s="5047" t="s">
        <v>5317</v>
      </c>
      <c r="AC110" s="5047" t="s">
        <v>5318</v>
      </c>
      <c r="AD110" s="5047" t="s">
        <v>5319</v>
      </c>
      <c r="AE110" s="5047" t="s">
        <v>5320</v>
      </c>
      <c r="AF110" s="2401" t="s">
        <v>5321</v>
      </c>
      <c r="AG110" s="5079" t="s">
        <v>5322</v>
      </c>
      <c r="AH110" s="106" t="s">
        <v>5323</v>
      </c>
      <c r="AI110" s="5048" t="s">
        <v>5324</v>
      </c>
      <c r="AJ110" s="4424" t="s">
        <v>5325</v>
      </c>
    </row>
    <row r="111" spans="1:36" x14ac:dyDescent="0.3">
      <c r="A111" s="6258" t="s">
        <v>4733</v>
      </c>
      <c r="B111" s="3611" t="s">
        <v>251</v>
      </c>
      <c r="C111" s="3900" t="s">
        <v>5292</v>
      </c>
      <c r="D111" s="131" t="s">
        <v>5293</v>
      </c>
      <c r="E111" s="132" t="s">
        <v>5294</v>
      </c>
      <c r="F111" s="132" t="s">
        <v>5295</v>
      </c>
      <c r="G111" s="3900" t="s">
        <v>5296</v>
      </c>
      <c r="H111" s="131" t="s">
        <v>5297</v>
      </c>
      <c r="I111" s="132" t="s">
        <v>5298</v>
      </c>
      <c r="J111" s="132" t="s">
        <v>5299</v>
      </c>
      <c r="K111" s="3900" t="s">
        <v>5300</v>
      </c>
      <c r="L111" s="131" t="s">
        <v>5301</v>
      </c>
      <c r="M111" s="132" t="s">
        <v>5302</v>
      </c>
      <c r="N111" s="1468" t="s">
        <v>5303</v>
      </c>
      <c r="O111" s="3847" t="s">
        <v>5304</v>
      </c>
      <c r="P111" s="4425" t="s">
        <v>5305</v>
      </c>
      <c r="Q111" s="2399" t="s">
        <v>5306</v>
      </c>
      <c r="R111" s="3240" t="s">
        <v>5307</v>
      </c>
      <c r="S111" s="1060" t="s">
        <v>5308</v>
      </c>
      <c r="T111" s="1072" t="s">
        <v>5309</v>
      </c>
      <c r="U111" s="1060" t="s">
        <v>5310</v>
      </c>
      <c r="V111" s="3143" t="s">
        <v>5311</v>
      </c>
      <c r="W111" s="1060" t="s">
        <v>5312</v>
      </c>
      <c r="X111" s="3346" t="s">
        <v>5313</v>
      </c>
      <c r="Y111" s="3240" t="s">
        <v>5314</v>
      </c>
      <c r="Z111" s="1060" t="s">
        <v>5315</v>
      </c>
      <c r="AA111" s="5047" t="s">
        <v>5316</v>
      </c>
      <c r="AB111" s="5047" t="s">
        <v>5317</v>
      </c>
      <c r="AC111" s="5047" t="s">
        <v>5318</v>
      </c>
      <c r="AD111" s="5047" t="s">
        <v>5319</v>
      </c>
      <c r="AE111" s="5047" t="s">
        <v>5320</v>
      </c>
      <c r="AF111" s="2401" t="s">
        <v>5321</v>
      </c>
      <c r="AG111" s="5079" t="s">
        <v>5322</v>
      </c>
      <c r="AH111" s="106" t="s">
        <v>5323</v>
      </c>
      <c r="AI111" s="5048" t="s">
        <v>5324</v>
      </c>
      <c r="AJ111" s="4424" t="s">
        <v>5325</v>
      </c>
    </row>
    <row r="112" spans="1:36" x14ac:dyDescent="0.3">
      <c r="A112" s="6258" t="s">
        <v>4734</v>
      </c>
      <c r="B112" s="3381" t="s">
        <v>2150</v>
      </c>
      <c r="C112" s="3847" t="s">
        <v>5292</v>
      </c>
      <c r="D112" s="1072" t="s">
        <v>5293</v>
      </c>
      <c r="E112" s="1073" t="s">
        <v>5294</v>
      </c>
      <c r="F112" s="1073" t="s">
        <v>5295</v>
      </c>
      <c r="G112" s="3847" t="s">
        <v>5296</v>
      </c>
      <c r="H112" s="1072" t="s">
        <v>5297</v>
      </c>
      <c r="I112" s="1073" t="s">
        <v>5298</v>
      </c>
      <c r="J112" s="1073" t="s">
        <v>5299</v>
      </c>
      <c r="K112" s="3847" t="s">
        <v>5300</v>
      </c>
      <c r="L112" s="1072" t="s">
        <v>5301</v>
      </c>
      <c r="M112" s="1073" t="s">
        <v>5302</v>
      </c>
      <c r="N112" s="1080" t="s">
        <v>5303</v>
      </c>
      <c r="O112" s="3847" t="s">
        <v>5304</v>
      </c>
      <c r="P112" s="3143" t="s">
        <v>5305</v>
      </c>
      <c r="Q112" s="3346" t="s">
        <v>5306</v>
      </c>
      <c r="R112" s="3240" t="s">
        <v>5307</v>
      </c>
      <c r="S112" s="1060" t="s">
        <v>5308</v>
      </c>
      <c r="T112" s="1072" t="s">
        <v>5309</v>
      </c>
      <c r="U112" s="1060" t="s">
        <v>5310</v>
      </c>
      <c r="V112" s="3143" t="s">
        <v>5311</v>
      </c>
      <c r="W112" s="1060" t="s">
        <v>5312</v>
      </c>
      <c r="X112" s="3346" t="s">
        <v>5313</v>
      </c>
      <c r="Y112" s="3240" t="s">
        <v>5314</v>
      </c>
      <c r="Z112" s="1060" t="s">
        <v>5315</v>
      </c>
      <c r="AA112" s="5047" t="s">
        <v>5316</v>
      </c>
      <c r="AB112" s="5047" t="s">
        <v>5317</v>
      </c>
      <c r="AC112" s="5047" t="s">
        <v>5318</v>
      </c>
      <c r="AD112" s="5047" t="s">
        <v>5319</v>
      </c>
      <c r="AE112" s="5047" t="s">
        <v>5320</v>
      </c>
      <c r="AF112" s="2401" t="s">
        <v>5321</v>
      </c>
      <c r="AG112" s="5079" t="s">
        <v>5322</v>
      </c>
      <c r="AH112" s="106" t="s">
        <v>5323</v>
      </c>
      <c r="AI112" s="5048" t="s">
        <v>5324</v>
      </c>
      <c r="AJ112" s="4424" t="s">
        <v>5325</v>
      </c>
    </row>
    <row r="113" spans="1:36" x14ac:dyDescent="0.3">
      <c r="A113" s="6258" t="s">
        <v>4735</v>
      </c>
      <c r="B113" s="3381" t="s">
        <v>2151</v>
      </c>
      <c r="C113" s="3847" t="s">
        <v>5292</v>
      </c>
      <c r="D113" s="1072" t="s">
        <v>5293</v>
      </c>
      <c r="E113" s="1073" t="s">
        <v>5294</v>
      </c>
      <c r="F113" s="1073" t="s">
        <v>5295</v>
      </c>
      <c r="G113" s="3847" t="s">
        <v>5296</v>
      </c>
      <c r="H113" s="1072" t="s">
        <v>5297</v>
      </c>
      <c r="I113" s="1073" t="s">
        <v>5298</v>
      </c>
      <c r="J113" s="1073" t="s">
        <v>5299</v>
      </c>
      <c r="K113" s="3847" t="s">
        <v>5300</v>
      </c>
      <c r="L113" s="1072" t="s">
        <v>5301</v>
      </c>
      <c r="M113" s="1073" t="s">
        <v>5302</v>
      </c>
      <c r="N113" s="1080" t="s">
        <v>5303</v>
      </c>
      <c r="O113" s="3847" t="s">
        <v>5304</v>
      </c>
      <c r="P113" s="3143" t="s">
        <v>5305</v>
      </c>
      <c r="Q113" s="3346" t="s">
        <v>5306</v>
      </c>
      <c r="R113" s="3240" t="s">
        <v>5307</v>
      </c>
      <c r="S113" s="1060" t="s">
        <v>5308</v>
      </c>
      <c r="T113" s="1072" t="s">
        <v>5309</v>
      </c>
      <c r="U113" s="1060" t="s">
        <v>5310</v>
      </c>
      <c r="V113" s="3143" t="s">
        <v>5311</v>
      </c>
      <c r="W113" s="1060" t="s">
        <v>5312</v>
      </c>
      <c r="X113" s="3346" t="s">
        <v>5313</v>
      </c>
      <c r="Y113" s="3240" t="s">
        <v>5314</v>
      </c>
      <c r="Z113" s="1060" t="s">
        <v>5315</v>
      </c>
      <c r="AA113" s="5047" t="s">
        <v>5316</v>
      </c>
      <c r="AB113" s="5047" t="s">
        <v>5317</v>
      </c>
      <c r="AC113" s="5047" t="s">
        <v>5318</v>
      </c>
      <c r="AD113" s="5047" t="s">
        <v>5319</v>
      </c>
      <c r="AE113" s="5047" t="s">
        <v>5320</v>
      </c>
      <c r="AF113" s="2401" t="s">
        <v>5321</v>
      </c>
      <c r="AG113" s="5079" t="s">
        <v>5322</v>
      </c>
      <c r="AH113" s="106" t="s">
        <v>5323</v>
      </c>
      <c r="AI113" s="5048" t="s">
        <v>5324</v>
      </c>
      <c r="AJ113" s="4424" t="s">
        <v>5325</v>
      </c>
    </row>
    <row r="114" spans="1:36" x14ac:dyDescent="0.3">
      <c r="A114" s="6258" t="s">
        <v>4736</v>
      </c>
      <c r="B114" s="3381" t="s">
        <v>2152</v>
      </c>
      <c r="C114" s="3900" t="s">
        <v>5292</v>
      </c>
      <c r="D114" s="131" t="s">
        <v>5293</v>
      </c>
      <c r="E114" s="132" t="s">
        <v>5294</v>
      </c>
      <c r="F114" s="132" t="s">
        <v>5295</v>
      </c>
      <c r="G114" s="3900" t="s">
        <v>5296</v>
      </c>
      <c r="H114" s="131" t="s">
        <v>5297</v>
      </c>
      <c r="I114" s="132" t="s">
        <v>5298</v>
      </c>
      <c r="J114" s="132" t="s">
        <v>5299</v>
      </c>
      <c r="K114" s="3900" t="s">
        <v>5300</v>
      </c>
      <c r="L114" s="131" t="s">
        <v>5301</v>
      </c>
      <c r="M114" s="132" t="s">
        <v>5302</v>
      </c>
      <c r="N114" s="1468" t="s">
        <v>5303</v>
      </c>
      <c r="O114" s="3847" t="s">
        <v>5304</v>
      </c>
      <c r="P114" s="4425" t="s">
        <v>5305</v>
      </c>
      <c r="Q114" s="2399" t="s">
        <v>5306</v>
      </c>
      <c r="R114" s="3240" t="s">
        <v>5307</v>
      </c>
      <c r="S114" s="1060" t="s">
        <v>5308</v>
      </c>
      <c r="T114" s="1072" t="s">
        <v>5309</v>
      </c>
      <c r="U114" s="1060" t="s">
        <v>5310</v>
      </c>
      <c r="V114" s="3143" t="s">
        <v>5311</v>
      </c>
      <c r="W114" s="1060" t="s">
        <v>5312</v>
      </c>
      <c r="X114" s="3346" t="s">
        <v>5313</v>
      </c>
      <c r="Y114" s="3240" t="s">
        <v>5314</v>
      </c>
      <c r="Z114" s="1060" t="s">
        <v>5315</v>
      </c>
      <c r="AA114" s="5047" t="s">
        <v>5316</v>
      </c>
      <c r="AB114" s="5047" t="s">
        <v>5317</v>
      </c>
      <c r="AC114" s="5047" t="s">
        <v>5318</v>
      </c>
      <c r="AD114" s="5047" t="s">
        <v>5319</v>
      </c>
      <c r="AE114" s="5047" t="s">
        <v>5320</v>
      </c>
      <c r="AF114" s="2401" t="s">
        <v>5321</v>
      </c>
      <c r="AG114" s="5079" t="s">
        <v>5322</v>
      </c>
      <c r="AH114" s="106" t="s">
        <v>5323</v>
      </c>
      <c r="AI114" s="5048" t="s">
        <v>5324</v>
      </c>
      <c r="AJ114" s="4424" t="s">
        <v>5325</v>
      </c>
    </row>
    <row r="115" spans="1:36" x14ac:dyDescent="0.3">
      <c r="A115" s="6258" t="s">
        <v>4737</v>
      </c>
      <c r="B115" s="3381" t="s">
        <v>232</v>
      </c>
      <c r="C115" s="3847" t="s">
        <v>5292</v>
      </c>
      <c r="D115" s="1072" t="s">
        <v>5293</v>
      </c>
      <c r="E115" s="1073" t="s">
        <v>5294</v>
      </c>
      <c r="F115" s="1073" t="s">
        <v>5295</v>
      </c>
      <c r="G115" s="3847" t="s">
        <v>5296</v>
      </c>
      <c r="H115" s="1072" t="s">
        <v>5297</v>
      </c>
      <c r="I115" s="1073" t="s">
        <v>5298</v>
      </c>
      <c r="J115" s="1073" t="s">
        <v>5299</v>
      </c>
      <c r="K115" s="3847" t="s">
        <v>5300</v>
      </c>
      <c r="L115" s="1072" t="s">
        <v>5301</v>
      </c>
      <c r="M115" s="1073" t="s">
        <v>5302</v>
      </c>
      <c r="N115" s="1080" t="s">
        <v>5303</v>
      </c>
      <c r="O115" s="3847" t="s">
        <v>5304</v>
      </c>
      <c r="P115" s="3143" t="s">
        <v>5305</v>
      </c>
      <c r="Q115" s="3346" t="s">
        <v>5306</v>
      </c>
      <c r="R115" s="3240" t="s">
        <v>5307</v>
      </c>
      <c r="S115" s="1060" t="s">
        <v>5308</v>
      </c>
      <c r="T115" s="1072" t="s">
        <v>5309</v>
      </c>
      <c r="U115" s="1060" t="s">
        <v>5310</v>
      </c>
      <c r="V115" s="3143" t="s">
        <v>5311</v>
      </c>
      <c r="W115" s="1060" t="s">
        <v>5312</v>
      </c>
      <c r="X115" s="3346" t="s">
        <v>5313</v>
      </c>
      <c r="Y115" s="3240" t="s">
        <v>5314</v>
      </c>
      <c r="Z115" s="1060" t="s">
        <v>5315</v>
      </c>
      <c r="AA115" s="5047" t="s">
        <v>5316</v>
      </c>
      <c r="AB115" s="5047" t="s">
        <v>5317</v>
      </c>
      <c r="AC115" s="5047" t="s">
        <v>5318</v>
      </c>
      <c r="AD115" s="5047" t="s">
        <v>5319</v>
      </c>
      <c r="AE115" s="5047" t="s">
        <v>5320</v>
      </c>
      <c r="AF115" s="2401" t="s">
        <v>5321</v>
      </c>
      <c r="AG115" s="5079" t="s">
        <v>5322</v>
      </c>
      <c r="AH115" s="106" t="s">
        <v>5323</v>
      </c>
      <c r="AI115" s="5048" t="s">
        <v>5324</v>
      </c>
      <c r="AJ115" s="4424" t="s">
        <v>5325</v>
      </c>
    </row>
    <row r="116" spans="1:36" x14ac:dyDescent="0.3">
      <c r="A116" s="6258" t="s">
        <v>4738</v>
      </c>
      <c r="B116" s="3381" t="s">
        <v>233</v>
      </c>
      <c r="C116" s="2402" t="s">
        <v>5292</v>
      </c>
      <c r="D116" s="90" t="s">
        <v>5293</v>
      </c>
      <c r="E116" s="127" t="s">
        <v>5294</v>
      </c>
      <c r="F116" s="127" t="s">
        <v>5295</v>
      </c>
      <c r="G116" s="2402" t="s">
        <v>5296</v>
      </c>
      <c r="H116" s="90" t="s">
        <v>5297</v>
      </c>
      <c r="I116" s="127" t="s">
        <v>5298</v>
      </c>
      <c r="J116" s="127" t="s">
        <v>5299</v>
      </c>
      <c r="K116" s="2402" t="s">
        <v>5300</v>
      </c>
      <c r="L116" s="90" t="s">
        <v>5301</v>
      </c>
      <c r="M116" s="127" t="s">
        <v>5302</v>
      </c>
      <c r="N116" s="128" t="s">
        <v>5303</v>
      </c>
      <c r="O116" s="3847" t="s">
        <v>5304</v>
      </c>
      <c r="P116" s="129" t="s">
        <v>5305</v>
      </c>
      <c r="Q116" s="1967" t="s">
        <v>5306</v>
      </c>
      <c r="R116" s="3240" t="s">
        <v>5307</v>
      </c>
      <c r="S116" s="1060" t="s">
        <v>5308</v>
      </c>
      <c r="T116" s="1072" t="s">
        <v>5309</v>
      </c>
      <c r="U116" s="1060" t="s">
        <v>5310</v>
      </c>
      <c r="V116" s="3143" t="s">
        <v>5311</v>
      </c>
      <c r="W116" s="1060" t="s">
        <v>5312</v>
      </c>
      <c r="X116" s="3346" t="s">
        <v>5313</v>
      </c>
      <c r="Y116" s="3240" t="s">
        <v>5314</v>
      </c>
      <c r="Z116" s="1060" t="s">
        <v>5315</v>
      </c>
      <c r="AA116" s="3145" t="s">
        <v>5316</v>
      </c>
      <c r="AB116" s="1060" t="s">
        <v>5317</v>
      </c>
      <c r="AC116" s="5047" t="s">
        <v>5318</v>
      </c>
      <c r="AD116" s="5047" t="s">
        <v>5319</v>
      </c>
      <c r="AE116" s="5047" t="s">
        <v>5320</v>
      </c>
      <c r="AF116" s="2401" t="s">
        <v>5321</v>
      </c>
      <c r="AG116" s="5079" t="s">
        <v>5322</v>
      </c>
      <c r="AH116" s="106" t="s">
        <v>5323</v>
      </c>
      <c r="AI116" s="5048" t="s">
        <v>5324</v>
      </c>
      <c r="AJ116" s="4424" t="s">
        <v>5325</v>
      </c>
    </row>
    <row r="117" spans="1:36" x14ac:dyDescent="0.3">
      <c r="A117" s="6258" t="s">
        <v>4739</v>
      </c>
      <c r="B117" s="3381" t="s">
        <v>234</v>
      </c>
      <c r="C117" s="2402" t="s">
        <v>5292</v>
      </c>
      <c r="D117" s="90" t="s">
        <v>5293</v>
      </c>
      <c r="E117" s="127" t="s">
        <v>5294</v>
      </c>
      <c r="F117" s="127" t="s">
        <v>5295</v>
      </c>
      <c r="G117" s="2402" t="s">
        <v>5296</v>
      </c>
      <c r="H117" s="90" t="s">
        <v>5297</v>
      </c>
      <c r="I117" s="127" t="s">
        <v>5298</v>
      </c>
      <c r="J117" s="127" t="s">
        <v>5299</v>
      </c>
      <c r="K117" s="2402" t="s">
        <v>5300</v>
      </c>
      <c r="L117" s="90" t="s">
        <v>5301</v>
      </c>
      <c r="M117" s="127" t="s">
        <v>5302</v>
      </c>
      <c r="N117" s="128" t="s">
        <v>5303</v>
      </c>
      <c r="O117" s="3847" t="s">
        <v>5304</v>
      </c>
      <c r="P117" s="129" t="s">
        <v>5305</v>
      </c>
      <c r="Q117" s="1967" t="s">
        <v>5306</v>
      </c>
      <c r="R117" s="3240" t="s">
        <v>5307</v>
      </c>
      <c r="S117" s="1060" t="s">
        <v>5308</v>
      </c>
      <c r="T117" s="1072" t="s">
        <v>5309</v>
      </c>
      <c r="U117" s="1060" t="s">
        <v>5310</v>
      </c>
      <c r="V117" s="3143" t="s">
        <v>5311</v>
      </c>
      <c r="W117" s="1060" t="s">
        <v>5312</v>
      </c>
      <c r="X117" s="3346" t="s">
        <v>5313</v>
      </c>
      <c r="Y117" s="3240" t="s">
        <v>5314</v>
      </c>
      <c r="Z117" s="1060" t="s">
        <v>5315</v>
      </c>
      <c r="AA117" s="3145" t="s">
        <v>5316</v>
      </c>
      <c r="AB117" s="1060" t="s">
        <v>5317</v>
      </c>
      <c r="AC117" s="5047" t="s">
        <v>5318</v>
      </c>
      <c r="AD117" s="5047" t="s">
        <v>5319</v>
      </c>
      <c r="AE117" s="5047" t="s">
        <v>5320</v>
      </c>
      <c r="AF117" s="2401" t="s">
        <v>5321</v>
      </c>
      <c r="AG117" s="5079" t="s">
        <v>5322</v>
      </c>
      <c r="AH117" s="106" t="s">
        <v>5323</v>
      </c>
      <c r="AI117" s="5048" t="s">
        <v>5324</v>
      </c>
      <c r="AJ117" s="4424" t="s">
        <v>5325</v>
      </c>
    </row>
    <row r="118" spans="1:36" x14ac:dyDescent="0.3">
      <c r="A118" s="6258" t="s">
        <v>4740</v>
      </c>
      <c r="B118" s="3381" t="s">
        <v>235</v>
      </c>
      <c r="C118" s="2402" t="s">
        <v>5292</v>
      </c>
      <c r="D118" s="90" t="s">
        <v>5293</v>
      </c>
      <c r="E118" s="127" t="s">
        <v>5294</v>
      </c>
      <c r="F118" s="127" t="s">
        <v>5295</v>
      </c>
      <c r="G118" s="2402" t="s">
        <v>5296</v>
      </c>
      <c r="H118" s="90" t="s">
        <v>5297</v>
      </c>
      <c r="I118" s="127" t="s">
        <v>5298</v>
      </c>
      <c r="J118" s="127" t="s">
        <v>5299</v>
      </c>
      <c r="K118" s="2402" t="s">
        <v>5300</v>
      </c>
      <c r="L118" s="90" t="s">
        <v>5301</v>
      </c>
      <c r="M118" s="127" t="s">
        <v>5302</v>
      </c>
      <c r="N118" s="128" t="s">
        <v>5303</v>
      </c>
      <c r="O118" s="3847" t="s">
        <v>5304</v>
      </c>
      <c r="P118" s="129" t="s">
        <v>5305</v>
      </c>
      <c r="Q118" s="1967" t="s">
        <v>5306</v>
      </c>
      <c r="R118" s="3240" t="s">
        <v>5307</v>
      </c>
      <c r="S118" s="1060" t="s">
        <v>5308</v>
      </c>
      <c r="T118" s="1072" t="s">
        <v>5309</v>
      </c>
      <c r="U118" s="1060" t="s">
        <v>5310</v>
      </c>
      <c r="V118" s="3143" t="s">
        <v>5311</v>
      </c>
      <c r="W118" s="1060" t="s">
        <v>5312</v>
      </c>
      <c r="X118" s="3346" t="s">
        <v>5313</v>
      </c>
      <c r="Y118" s="3240" t="s">
        <v>5314</v>
      </c>
      <c r="Z118" s="1060" t="s">
        <v>5315</v>
      </c>
      <c r="AA118" s="3145" t="s">
        <v>5316</v>
      </c>
      <c r="AB118" s="1060" t="s">
        <v>5317</v>
      </c>
      <c r="AC118" s="5047" t="s">
        <v>5318</v>
      </c>
      <c r="AD118" s="5047" t="s">
        <v>5319</v>
      </c>
      <c r="AE118" s="5047" t="s">
        <v>5320</v>
      </c>
      <c r="AF118" s="2401" t="s">
        <v>5321</v>
      </c>
      <c r="AG118" s="5079" t="s">
        <v>5322</v>
      </c>
      <c r="AH118" s="106" t="s">
        <v>5323</v>
      </c>
      <c r="AI118" s="5048" t="s">
        <v>5324</v>
      </c>
      <c r="AJ118" s="4424" t="s">
        <v>5325</v>
      </c>
    </row>
    <row r="119" spans="1:36" x14ac:dyDescent="0.3">
      <c r="A119" s="6258" t="s">
        <v>4741</v>
      </c>
      <c r="B119" s="1939" t="s">
        <v>236</v>
      </c>
      <c r="C119" s="2402" t="s">
        <v>5292</v>
      </c>
      <c r="D119" s="90" t="s">
        <v>5293</v>
      </c>
      <c r="E119" s="127" t="s">
        <v>5294</v>
      </c>
      <c r="F119" s="127" t="s">
        <v>5295</v>
      </c>
      <c r="G119" s="2402" t="s">
        <v>5296</v>
      </c>
      <c r="H119" s="90" t="s">
        <v>5297</v>
      </c>
      <c r="I119" s="127" t="s">
        <v>5298</v>
      </c>
      <c r="J119" s="127" t="s">
        <v>5299</v>
      </c>
      <c r="K119" s="2402" t="s">
        <v>5300</v>
      </c>
      <c r="L119" s="90" t="s">
        <v>5301</v>
      </c>
      <c r="M119" s="127" t="s">
        <v>5302</v>
      </c>
      <c r="N119" s="128" t="s">
        <v>5303</v>
      </c>
      <c r="O119" s="3847" t="s">
        <v>5304</v>
      </c>
      <c r="P119" s="129" t="s">
        <v>5305</v>
      </c>
      <c r="Q119" s="1967" t="s">
        <v>5306</v>
      </c>
      <c r="R119" s="3240" t="s">
        <v>5307</v>
      </c>
      <c r="S119" s="1060" t="s">
        <v>5308</v>
      </c>
      <c r="T119" s="1072" t="s">
        <v>5309</v>
      </c>
      <c r="U119" s="1060" t="s">
        <v>5310</v>
      </c>
      <c r="V119" s="3143" t="s">
        <v>5311</v>
      </c>
      <c r="W119" s="1060" t="s">
        <v>5312</v>
      </c>
      <c r="X119" s="3346" t="s">
        <v>5313</v>
      </c>
      <c r="Y119" s="3240" t="s">
        <v>5314</v>
      </c>
      <c r="Z119" s="1060" t="s">
        <v>5315</v>
      </c>
      <c r="AA119" s="3145" t="s">
        <v>5316</v>
      </c>
      <c r="AB119" s="1060" t="s">
        <v>5317</v>
      </c>
      <c r="AC119" s="5047" t="s">
        <v>5318</v>
      </c>
      <c r="AD119" s="5047" t="s">
        <v>5319</v>
      </c>
      <c r="AE119" s="5047" t="s">
        <v>5320</v>
      </c>
      <c r="AF119" s="2401" t="s">
        <v>5321</v>
      </c>
      <c r="AG119" s="5079" t="s">
        <v>5322</v>
      </c>
      <c r="AH119" s="106" t="s">
        <v>5323</v>
      </c>
      <c r="AI119" s="5048" t="s">
        <v>5324</v>
      </c>
      <c r="AJ119" s="4424" t="s">
        <v>5325</v>
      </c>
    </row>
    <row r="120" spans="1:36" x14ac:dyDescent="0.3">
      <c r="A120" s="6258" t="s">
        <v>4742</v>
      </c>
      <c r="B120" s="3611" t="s">
        <v>237</v>
      </c>
      <c r="C120" s="2402" t="s">
        <v>5292</v>
      </c>
      <c r="D120" s="90" t="s">
        <v>5293</v>
      </c>
      <c r="E120" s="127" t="s">
        <v>5294</v>
      </c>
      <c r="F120" s="127" t="s">
        <v>5295</v>
      </c>
      <c r="G120" s="2402" t="s">
        <v>5296</v>
      </c>
      <c r="H120" s="90" t="s">
        <v>5297</v>
      </c>
      <c r="I120" s="127" t="s">
        <v>5298</v>
      </c>
      <c r="J120" s="127" t="s">
        <v>5299</v>
      </c>
      <c r="K120" s="2402" t="s">
        <v>5300</v>
      </c>
      <c r="L120" s="90" t="s">
        <v>5301</v>
      </c>
      <c r="M120" s="127" t="s">
        <v>5302</v>
      </c>
      <c r="N120" s="128" t="s">
        <v>5303</v>
      </c>
      <c r="O120" s="3847" t="s">
        <v>5304</v>
      </c>
      <c r="P120" s="129" t="s">
        <v>5305</v>
      </c>
      <c r="Q120" s="1967" t="s">
        <v>5306</v>
      </c>
      <c r="R120" s="3240" t="s">
        <v>5307</v>
      </c>
      <c r="S120" s="1060" t="s">
        <v>5308</v>
      </c>
      <c r="T120" s="1072" t="s">
        <v>5309</v>
      </c>
      <c r="U120" s="1060" t="s">
        <v>5310</v>
      </c>
      <c r="V120" s="3143" t="s">
        <v>5311</v>
      </c>
      <c r="W120" s="1060" t="s">
        <v>5312</v>
      </c>
      <c r="X120" s="3346" t="s">
        <v>5313</v>
      </c>
      <c r="Y120" s="3240" t="s">
        <v>5314</v>
      </c>
      <c r="Z120" s="1060" t="s">
        <v>5315</v>
      </c>
      <c r="AA120" s="3145" t="s">
        <v>5316</v>
      </c>
      <c r="AB120" s="1060" t="s">
        <v>5317</v>
      </c>
      <c r="AC120" s="5047" t="s">
        <v>5318</v>
      </c>
      <c r="AD120" s="5047" t="s">
        <v>5319</v>
      </c>
      <c r="AE120" s="5047" t="s">
        <v>5320</v>
      </c>
      <c r="AF120" s="2401" t="s">
        <v>5321</v>
      </c>
      <c r="AG120" s="5079" t="s">
        <v>5322</v>
      </c>
      <c r="AH120" s="106" t="s">
        <v>5323</v>
      </c>
      <c r="AI120" s="5048" t="s">
        <v>5324</v>
      </c>
      <c r="AJ120" s="4424" t="s">
        <v>5325</v>
      </c>
    </row>
    <row r="121" spans="1:36" x14ac:dyDescent="0.3">
      <c r="A121" s="6258" t="s">
        <v>4743</v>
      </c>
      <c r="B121" s="3611" t="s">
        <v>2153</v>
      </c>
      <c r="C121" s="2402" t="s">
        <v>5292</v>
      </c>
      <c r="D121" s="90" t="s">
        <v>5293</v>
      </c>
      <c r="E121" s="127" t="s">
        <v>5294</v>
      </c>
      <c r="F121" s="127" t="s">
        <v>5295</v>
      </c>
      <c r="G121" s="2402" t="s">
        <v>5296</v>
      </c>
      <c r="H121" s="90" t="s">
        <v>5297</v>
      </c>
      <c r="I121" s="127" t="s">
        <v>5298</v>
      </c>
      <c r="J121" s="127" t="s">
        <v>5299</v>
      </c>
      <c r="K121" s="2402" t="s">
        <v>5300</v>
      </c>
      <c r="L121" s="90" t="s">
        <v>5301</v>
      </c>
      <c r="M121" s="127" t="s">
        <v>5302</v>
      </c>
      <c r="N121" s="128" t="s">
        <v>5303</v>
      </c>
      <c r="O121" s="3847" t="s">
        <v>5304</v>
      </c>
      <c r="P121" s="129" t="s">
        <v>5305</v>
      </c>
      <c r="Q121" s="1967" t="s">
        <v>5306</v>
      </c>
      <c r="R121" s="3240" t="s">
        <v>5307</v>
      </c>
      <c r="S121" s="1060" t="s">
        <v>5308</v>
      </c>
      <c r="T121" s="1072" t="s">
        <v>5309</v>
      </c>
      <c r="U121" s="1060" t="s">
        <v>5310</v>
      </c>
      <c r="V121" s="3143" t="s">
        <v>5311</v>
      </c>
      <c r="W121" s="1060" t="s">
        <v>5312</v>
      </c>
      <c r="X121" s="3346" t="s">
        <v>5313</v>
      </c>
      <c r="Y121" s="3240" t="s">
        <v>5314</v>
      </c>
      <c r="Z121" s="1060" t="s">
        <v>5315</v>
      </c>
      <c r="AA121" s="3145" t="s">
        <v>5316</v>
      </c>
      <c r="AB121" s="1060" t="s">
        <v>5317</v>
      </c>
      <c r="AC121" s="5047" t="s">
        <v>5318</v>
      </c>
      <c r="AD121" s="5047" t="s">
        <v>5319</v>
      </c>
      <c r="AE121" s="5047" t="s">
        <v>5320</v>
      </c>
      <c r="AF121" s="2401" t="s">
        <v>5321</v>
      </c>
      <c r="AG121" s="5079" t="s">
        <v>5322</v>
      </c>
      <c r="AH121" s="106" t="s">
        <v>5323</v>
      </c>
      <c r="AI121" s="5048" t="s">
        <v>5324</v>
      </c>
      <c r="AJ121" s="4424" t="s">
        <v>5325</v>
      </c>
    </row>
    <row r="122" spans="1:36" x14ac:dyDescent="0.3">
      <c r="A122" s="6258" t="s">
        <v>4744</v>
      </c>
      <c r="B122" s="3611" t="s">
        <v>2154</v>
      </c>
      <c r="C122" s="2402" t="s">
        <v>5292</v>
      </c>
      <c r="D122" s="90" t="s">
        <v>5293</v>
      </c>
      <c r="E122" s="127" t="s">
        <v>5294</v>
      </c>
      <c r="F122" s="127" t="s">
        <v>5295</v>
      </c>
      <c r="G122" s="2402" t="s">
        <v>5296</v>
      </c>
      <c r="H122" s="90" t="s">
        <v>5297</v>
      </c>
      <c r="I122" s="127" t="s">
        <v>5298</v>
      </c>
      <c r="J122" s="127" t="s">
        <v>5299</v>
      </c>
      <c r="K122" s="2402" t="s">
        <v>5300</v>
      </c>
      <c r="L122" s="90" t="s">
        <v>5301</v>
      </c>
      <c r="M122" s="127" t="s">
        <v>5302</v>
      </c>
      <c r="N122" s="128" t="s">
        <v>5303</v>
      </c>
      <c r="O122" s="3847" t="s">
        <v>5304</v>
      </c>
      <c r="P122" s="129" t="s">
        <v>5305</v>
      </c>
      <c r="Q122" s="1967" t="s">
        <v>5306</v>
      </c>
      <c r="R122" s="3240" t="s">
        <v>5307</v>
      </c>
      <c r="S122" s="1060" t="s">
        <v>5308</v>
      </c>
      <c r="T122" s="1072" t="s">
        <v>5309</v>
      </c>
      <c r="U122" s="1060" t="s">
        <v>5310</v>
      </c>
      <c r="V122" s="3143" t="s">
        <v>5311</v>
      </c>
      <c r="W122" s="1060" t="s">
        <v>5312</v>
      </c>
      <c r="X122" s="3346" t="s">
        <v>5313</v>
      </c>
      <c r="Y122" s="3240" t="s">
        <v>5314</v>
      </c>
      <c r="Z122" s="1060" t="s">
        <v>5315</v>
      </c>
      <c r="AA122" s="3145" t="s">
        <v>5316</v>
      </c>
      <c r="AB122" s="1060" t="s">
        <v>5317</v>
      </c>
      <c r="AC122" s="5047" t="s">
        <v>5318</v>
      </c>
      <c r="AD122" s="5047" t="s">
        <v>5319</v>
      </c>
      <c r="AE122" s="5047" t="s">
        <v>5320</v>
      </c>
      <c r="AF122" s="2401" t="s">
        <v>5321</v>
      </c>
      <c r="AG122" s="5079" t="s">
        <v>5322</v>
      </c>
      <c r="AH122" s="106" t="s">
        <v>5323</v>
      </c>
      <c r="AI122" s="5048" t="s">
        <v>5324</v>
      </c>
      <c r="AJ122" s="4424" t="s">
        <v>5325</v>
      </c>
    </row>
    <row r="123" spans="1:36" x14ac:dyDescent="0.3">
      <c r="A123" s="6258" t="s">
        <v>4745</v>
      </c>
      <c r="B123" s="3381" t="s">
        <v>238</v>
      </c>
      <c r="C123" s="2402" t="s">
        <v>5292</v>
      </c>
      <c r="D123" s="90" t="s">
        <v>5293</v>
      </c>
      <c r="E123" s="127" t="s">
        <v>5294</v>
      </c>
      <c r="F123" s="127" t="s">
        <v>5295</v>
      </c>
      <c r="G123" s="2402" t="s">
        <v>5296</v>
      </c>
      <c r="H123" s="90" t="s">
        <v>5297</v>
      </c>
      <c r="I123" s="127" t="s">
        <v>5298</v>
      </c>
      <c r="J123" s="127" t="s">
        <v>5299</v>
      </c>
      <c r="K123" s="2402" t="s">
        <v>5300</v>
      </c>
      <c r="L123" s="90" t="s">
        <v>5301</v>
      </c>
      <c r="M123" s="127" t="s">
        <v>5302</v>
      </c>
      <c r="N123" s="128" t="s">
        <v>5303</v>
      </c>
      <c r="O123" s="3847" t="s">
        <v>5304</v>
      </c>
      <c r="P123" s="129" t="s">
        <v>5305</v>
      </c>
      <c r="Q123" s="1967" t="s">
        <v>5306</v>
      </c>
      <c r="R123" s="3240" t="s">
        <v>5307</v>
      </c>
      <c r="S123" s="1060" t="s">
        <v>5308</v>
      </c>
      <c r="T123" s="1072" t="s">
        <v>5309</v>
      </c>
      <c r="U123" s="1060" t="s">
        <v>5310</v>
      </c>
      <c r="V123" s="3143" t="s">
        <v>5311</v>
      </c>
      <c r="W123" s="1060" t="s">
        <v>5312</v>
      </c>
      <c r="X123" s="3346" t="s">
        <v>5313</v>
      </c>
      <c r="Y123" s="3240" t="s">
        <v>5314</v>
      </c>
      <c r="Z123" s="1060" t="s">
        <v>5315</v>
      </c>
      <c r="AA123" s="3145" t="s">
        <v>5316</v>
      </c>
      <c r="AB123" s="1060" t="s">
        <v>5317</v>
      </c>
      <c r="AC123" s="5047" t="s">
        <v>5318</v>
      </c>
      <c r="AD123" s="5047" t="s">
        <v>5319</v>
      </c>
      <c r="AE123" s="5047" t="s">
        <v>5320</v>
      </c>
      <c r="AF123" s="2401" t="s">
        <v>5321</v>
      </c>
      <c r="AG123" s="5079" t="s">
        <v>5322</v>
      </c>
      <c r="AH123" s="106" t="s">
        <v>5323</v>
      </c>
      <c r="AI123" s="5048" t="s">
        <v>5324</v>
      </c>
      <c r="AJ123" s="4424" t="s">
        <v>5325</v>
      </c>
    </row>
    <row r="124" spans="1:36" x14ac:dyDescent="0.3">
      <c r="A124" s="6258" t="s">
        <v>4746</v>
      </c>
      <c r="B124" s="3381" t="s">
        <v>239</v>
      </c>
      <c r="C124" s="3847" t="s">
        <v>5292</v>
      </c>
      <c r="D124" s="1072" t="s">
        <v>5293</v>
      </c>
      <c r="E124" s="1073" t="s">
        <v>5294</v>
      </c>
      <c r="F124" s="1073" t="s">
        <v>5295</v>
      </c>
      <c r="G124" s="3847" t="s">
        <v>5296</v>
      </c>
      <c r="H124" s="1072" t="s">
        <v>5297</v>
      </c>
      <c r="I124" s="1073" t="s">
        <v>5298</v>
      </c>
      <c r="J124" s="1073" t="s">
        <v>5299</v>
      </c>
      <c r="K124" s="3847" t="s">
        <v>5300</v>
      </c>
      <c r="L124" s="1072" t="s">
        <v>5301</v>
      </c>
      <c r="M124" s="1073" t="s">
        <v>5302</v>
      </c>
      <c r="N124" s="1080" t="s">
        <v>5303</v>
      </c>
      <c r="O124" s="3847" t="s">
        <v>5304</v>
      </c>
      <c r="P124" s="3143" t="s">
        <v>5305</v>
      </c>
      <c r="Q124" s="3346" t="s">
        <v>5306</v>
      </c>
      <c r="R124" s="3240" t="s">
        <v>5307</v>
      </c>
      <c r="S124" s="1060" t="s">
        <v>5308</v>
      </c>
      <c r="T124" s="1072" t="s">
        <v>5309</v>
      </c>
      <c r="U124" s="1060" t="s">
        <v>5310</v>
      </c>
      <c r="V124" s="3143" t="s">
        <v>5311</v>
      </c>
      <c r="W124" s="1060" t="s">
        <v>5312</v>
      </c>
      <c r="X124" s="3346" t="s">
        <v>5313</v>
      </c>
      <c r="Y124" s="3240" t="s">
        <v>5314</v>
      </c>
      <c r="Z124" s="1060" t="s">
        <v>5315</v>
      </c>
      <c r="AA124" s="3145" t="s">
        <v>5316</v>
      </c>
      <c r="AB124" s="1060" t="s">
        <v>5317</v>
      </c>
      <c r="AC124" s="5047" t="s">
        <v>5318</v>
      </c>
      <c r="AD124" s="5047" t="s">
        <v>5319</v>
      </c>
      <c r="AE124" s="5047" t="s">
        <v>5320</v>
      </c>
      <c r="AF124" s="2401" t="s">
        <v>5321</v>
      </c>
      <c r="AG124" s="5079" t="s">
        <v>5322</v>
      </c>
      <c r="AH124" s="106" t="s">
        <v>5323</v>
      </c>
      <c r="AI124" s="5048" t="s">
        <v>5324</v>
      </c>
      <c r="AJ124" s="4424" t="s">
        <v>5325</v>
      </c>
    </row>
    <row r="125" spans="1:36" x14ac:dyDescent="0.3">
      <c r="A125" s="6258" t="s">
        <v>4747</v>
      </c>
      <c r="B125" s="3381" t="s">
        <v>2155</v>
      </c>
      <c r="C125" s="3847" t="s">
        <v>5292</v>
      </c>
      <c r="D125" s="1072" t="s">
        <v>5293</v>
      </c>
      <c r="E125" s="1073" t="s">
        <v>5294</v>
      </c>
      <c r="F125" s="1073" t="s">
        <v>5295</v>
      </c>
      <c r="G125" s="3847" t="s">
        <v>5296</v>
      </c>
      <c r="H125" s="1072" t="s">
        <v>5297</v>
      </c>
      <c r="I125" s="1073" t="s">
        <v>5298</v>
      </c>
      <c r="J125" s="1073" t="s">
        <v>5299</v>
      </c>
      <c r="K125" s="3847" t="s">
        <v>5300</v>
      </c>
      <c r="L125" s="1072" t="s">
        <v>5301</v>
      </c>
      <c r="M125" s="1073" t="s">
        <v>5302</v>
      </c>
      <c r="N125" s="1080" t="s">
        <v>5303</v>
      </c>
      <c r="O125" s="3847" t="s">
        <v>5304</v>
      </c>
      <c r="P125" s="3143" t="s">
        <v>5305</v>
      </c>
      <c r="Q125" s="3346" t="s">
        <v>5306</v>
      </c>
      <c r="R125" s="3240" t="s">
        <v>5307</v>
      </c>
      <c r="S125" s="1060" t="s">
        <v>5308</v>
      </c>
      <c r="T125" s="1072" t="s">
        <v>5309</v>
      </c>
      <c r="U125" s="1060" t="s">
        <v>5310</v>
      </c>
      <c r="V125" s="3143" t="s">
        <v>5311</v>
      </c>
      <c r="W125" s="1060" t="s">
        <v>5312</v>
      </c>
      <c r="X125" s="3346" t="s">
        <v>5313</v>
      </c>
      <c r="Y125" s="3240" t="s">
        <v>5314</v>
      </c>
      <c r="Z125" s="1060" t="s">
        <v>5315</v>
      </c>
      <c r="AA125" s="3145" t="s">
        <v>5316</v>
      </c>
      <c r="AB125" s="1060" t="s">
        <v>5317</v>
      </c>
      <c r="AC125" s="5047" t="s">
        <v>5318</v>
      </c>
      <c r="AD125" s="5047" t="s">
        <v>5319</v>
      </c>
      <c r="AE125" s="5047" t="s">
        <v>5320</v>
      </c>
      <c r="AF125" s="2401" t="s">
        <v>5321</v>
      </c>
      <c r="AG125" s="5079" t="s">
        <v>5322</v>
      </c>
      <c r="AH125" s="106" t="s">
        <v>5323</v>
      </c>
      <c r="AI125" s="5048" t="s">
        <v>5324</v>
      </c>
      <c r="AJ125" s="4424" t="s">
        <v>5325</v>
      </c>
    </row>
    <row r="126" spans="1:36" x14ac:dyDescent="0.3">
      <c r="A126" s="6258" t="s">
        <v>4748</v>
      </c>
      <c r="B126" s="3381" t="s">
        <v>2156</v>
      </c>
      <c r="C126" s="3900" t="s">
        <v>5292</v>
      </c>
      <c r="D126" s="131" t="s">
        <v>5293</v>
      </c>
      <c r="E126" s="132" t="s">
        <v>5294</v>
      </c>
      <c r="F126" s="132" t="s">
        <v>5295</v>
      </c>
      <c r="G126" s="3900" t="s">
        <v>5296</v>
      </c>
      <c r="H126" s="131" t="s">
        <v>5297</v>
      </c>
      <c r="I126" s="132" t="s">
        <v>5298</v>
      </c>
      <c r="J126" s="132" t="s">
        <v>5299</v>
      </c>
      <c r="K126" s="3900" t="s">
        <v>5300</v>
      </c>
      <c r="L126" s="131" t="s">
        <v>5301</v>
      </c>
      <c r="M126" s="132" t="s">
        <v>5302</v>
      </c>
      <c r="N126" s="1468" t="s">
        <v>5303</v>
      </c>
      <c r="O126" s="3847" t="s">
        <v>5304</v>
      </c>
      <c r="P126" s="4425" t="s">
        <v>5305</v>
      </c>
      <c r="Q126" s="2399" t="s">
        <v>5306</v>
      </c>
      <c r="R126" s="3240" t="s">
        <v>5307</v>
      </c>
      <c r="S126" s="1060" t="s">
        <v>5308</v>
      </c>
      <c r="T126" s="1072" t="s">
        <v>5309</v>
      </c>
      <c r="U126" s="1060" t="s">
        <v>5310</v>
      </c>
      <c r="V126" s="3143" t="s">
        <v>5311</v>
      </c>
      <c r="W126" s="1060" t="s">
        <v>5312</v>
      </c>
      <c r="X126" s="3346" t="s">
        <v>5313</v>
      </c>
      <c r="Y126" s="3240" t="s">
        <v>5314</v>
      </c>
      <c r="Z126" s="1060" t="s">
        <v>5315</v>
      </c>
      <c r="AA126" s="3145" t="s">
        <v>5316</v>
      </c>
      <c r="AB126" s="1060" t="s">
        <v>5317</v>
      </c>
      <c r="AC126" s="5047" t="s">
        <v>5318</v>
      </c>
      <c r="AD126" s="5047" t="s">
        <v>5319</v>
      </c>
      <c r="AE126" s="5047" t="s">
        <v>5320</v>
      </c>
      <c r="AF126" s="2401" t="s">
        <v>5321</v>
      </c>
      <c r="AG126" s="5079" t="s">
        <v>5322</v>
      </c>
      <c r="AH126" s="106" t="s">
        <v>5323</v>
      </c>
      <c r="AI126" s="5048" t="s">
        <v>5324</v>
      </c>
      <c r="AJ126" s="4424" t="s">
        <v>5325</v>
      </c>
    </row>
    <row r="127" spans="1:36" x14ac:dyDescent="0.3">
      <c r="A127" s="6258" t="s">
        <v>4749</v>
      </c>
      <c r="B127" s="3381" t="s">
        <v>2157</v>
      </c>
      <c r="C127" s="2402" t="s">
        <v>5292</v>
      </c>
      <c r="D127" s="90" t="s">
        <v>5293</v>
      </c>
      <c r="E127" s="127" t="s">
        <v>5294</v>
      </c>
      <c r="F127" s="127" t="s">
        <v>5295</v>
      </c>
      <c r="G127" s="2402" t="s">
        <v>5296</v>
      </c>
      <c r="H127" s="90" t="s">
        <v>5297</v>
      </c>
      <c r="I127" s="127" t="s">
        <v>5298</v>
      </c>
      <c r="J127" s="127" t="s">
        <v>5299</v>
      </c>
      <c r="K127" s="2402" t="s">
        <v>5300</v>
      </c>
      <c r="L127" s="90" t="s">
        <v>5301</v>
      </c>
      <c r="M127" s="127" t="s">
        <v>5302</v>
      </c>
      <c r="N127" s="128" t="s">
        <v>5303</v>
      </c>
      <c r="O127" s="3847" t="s">
        <v>5304</v>
      </c>
      <c r="P127" s="129" t="s">
        <v>5305</v>
      </c>
      <c r="Q127" s="1967" t="s">
        <v>5306</v>
      </c>
      <c r="R127" s="3240" t="s">
        <v>5307</v>
      </c>
      <c r="S127" s="1060" t="s">
        <v>5308</v>
      </c>
      <c r="T127" s="1072" t="s">
        <v>5309</v>
      </c>
      <c r="U127" s="1060" t="s">
        <v>5310</v>
      </c>
      <c r="V127" s="3143" t="s">
        <v>5311</v>
      </c>
      <c r="W127" s="1060" t="s">
        <v>5312</v>
      </c>
      <c r="X127" s="3346" t="s">
        <v>5313</v>
      </c>
      <c r="Y127" s="3240" t="s">
        <v>5314</v>
      </c>
      <c r="Z127" s="1060" t="s">
        <v>5315</v>
      </c>
      <c r="AA127" s="3145" t="s">
        <v>5316</v>
      </c>
      <c r="AB127" s="1060" t="s">
        <v>5317</v>
      </c>
      <c r="AC127" s="5047" t="s">
        <v>5318</v>
      </c>
      <c r="AD127" s="5047" t="s">
        <v>5319</v>
      </c>
      <c r="AE127" s="5047" t="s">
        <v>5320</v>
      </c>
      <c r="AF127" s="2401" t="s">
        <v>5321</v>
      </c>
      <c r="AG127" s="5079" t="s">
        <v>5322</v>
      </c>
      <c r="AH127" s="106" t="s">
        <v>5323</v>
      </c>
      <c r="AI127" s="5048" t="s">
        <v>5324</v>
      </c>
      <c r="AJ127" s="4424" t="s">
        <v>5325</v>
      </c>
    </row>
    <row r="128" spans="1:36" x14ac:dyDescent="0.3">
      <c r="A128" s="6258" t="s">
        <v>4750</v>
      </c>
      <c r="B128" s="3381" t="s">
        <v>2158</v>
      </c>
      <c r="C128" s="2402" t="s">
        <v>5292</v>
      </c>
      <c r="D128" s="90" t="s">
        <v>5293</v>
      </c>
      <c r="E128" s="127" t="s">
        <v>5294</v>
      </c>
      <c r="F128" s="127" t="s">
        <v>5295</v>
      </c>
      <c r="G128" s="2402" t="s">
        <v>5296</v>
      </c>
      <c r="H128" s="90" t="s">
        <v>5297</v>
      </c>
      <c r="I128" s="127" t="s">
        <v>5298</v>
      </c>
      <c r="J128" s="127" t="s">
        <v>5299</v>
      </c>
      <c r="K128" s="2402" t="s">
        <v>5300</v>
      </c>
      <c r="L128" s="90" t="s">
        <v>5301</v>
      </c>
      <c r="M128" s="127" t="s">
        <v>5302</v>
      </c>
      <c r="N128" s="128" t="s">
        <v>5303</v>
      </c>
      <c r="O128" s="3847" t="s">
        <v>5304</v>
      </c>
      <c r="P128" s="129" t="s">
        <v>5305</v>
      </c>
      <c r="Q128" s="1967" t="s">
        <v>5306</v>
      </c>
      <c r="R128" s="3240" t="s">
        <v>5307</v>
      </c>
      <c r="S128" s="1060" t="s">
        <v>5308</v>
      </c>
      <c r="T128" s="1072" t="s">
        <v>5309</v>
      </c>
      <c r="U128" s="1060" t="s">
        <v>5310</v>
      </c>
      <c r="V128" s="3143" t="s">
        <v>5311</v>
      </c>
      <c r="W128" s="1060" t="s">
        <v>5312</v>
      </c>
      <c r="X128" s="3346" t="s">
        <v>5313</v>
      </c>
      <c r="Y128" s="3240" t="s">
        <v>5314</v>
      </c>
      <c r="Z128" s="1060" t="s">
        <v>5315</v>
      </c>
      <c r="AA128" s="3145" t="s">
        <v>5316</v>
      </c>
      <c r="AB128" s="1060" t="s">
        <v>5317</v>
      </c>
      <c r="AC128" s="5047" t="s">
        <v>5318</v>
      </c>
      <c r="AD128" s="5047" t="s">
        <v>5319</v>
      </c>
      <c r="AE128" s="5047" t="s">
        <v>5320</v>
      </c>
      <c r="AF128" s="2401" t="s">
        <v>5321</v>
      </c>
      <c r="AG128" s="5079" t="s">
        <v>5322</v>
      </c>
      <c r="AH128" s="106" t="s">
        <v>5323</v>
      </c>
      <c r="AI128" s="5048" t="s">
        <v>5324</v>
      </c>
      <c r="AJ128" s="4424" t="s">
        <v>5325</v>
      </c>
    </row>
    <row r="129" spans="1:67" x14ac:dyDescent="0.3">
      <c r="A129" s="6258" t="s">
        <v>4751</v>
      </c>
      <c r="B129" s="3381" t="s">
        <v>2159</v>
      </c>
      <c r="C129" s="2402" t="s">
        <v>5292</v>
      </c>
      <c r="D129" s="90" t="s">
        <v>5293</v>
      </c>
      <c r="E129" s="127" t="s">
        <v>5294</v>
      </c>
      <c r="F129" s="127" t="s">
        <v>5295</v>
      </c>
      <c r="G129" s="2402" t="s">
        <v>5296</v>
      </c>
      <c r="H129" s="90" t="s">
        <v>5297</v>
      </c>
      <c r="I129" s="127" t="s">
        <v>5298</v>
      </c>
      <c r="J129" s="127" t="s">
        <v>5299</v>
      </c>
      <c r="K129" s="2402" t="s">
        <v>5300</v>
      </c>
      <c r="L129" s="90" t="s">
        <v>5301</v>
      </c>
      <c r="M129" s="127" t="s">
        <v>5302</v>
      </c>
      <c r="N129" s="128" t="s">
        <v>5303</v>
      </c>
      <c r="O129" s="3847" t="s">
        <v>5304</v>
      </c>
      <c r="P129" s="129" t="s">
        <v>5305</v>
      </c>
      <c r="Q129" s="1967" t="s">
        <v>5306</v>
      </c>
      <c r="R129" s="3240" t="s">
        <v>5307</v>
      </c>
      <c r="S129" s="1060" t="s">
        <v>5308</v>
      </c>
      <c r="T129" s="1072" t="s">
        <v>5309</v>
      </c>
      <c r="U129" s="1060" t="s">
        <v>5310</v>
      </c>
      <c r="V129" s="3143" t="s">
        <v>5311</v>
      </c>
      <c r="W129" s="1060" t="s">
        <v>5312</v>
      </c>
      <c r="X129" s="3346" t="s">
        <v>5313</v>
      </c>
      <c r="Y129" s="3240" t="s">
        <v>5314</v>
      </c>
      <c r="Z129" s="1060" t="s">
        <v>5315</v>
      </c>
      <c r="AA129" s="3145" t="s">
        <v>5316</v>
      </c>
      <c r="AB129" s="1060" t="s">
        <v>5317</v>
      </c>
      <c r="AC129" s="5047" t="s">
        <v>5318</v>
      </c>
      <c r="AD129" s="5047" t="s">
        <v>5319</v>
      </c>
      <c r="AE129" s="5047" t="s">
        <v>5320</v>
      </c>
      <c r="AF129" s="2401" t="s">
        <v>5321</v>
      </c>
      <c r="AG129" s="5079" t="s">
        <v>5322</v>
      </c>
      <c r="AH129" s="106" t="s">
        <v>5323</v>
      </c>
      <c r="AI129" s="5048" t="s">
        <v>5324</v>
      </c>
      <c r="AJ129" s="4424" t="s">
        <v>5325</v>
      </c>
    </row>
    <row r="130" spans="1:67" x14ac:dyDescent="0.3">
      <c r="A130" s="6258" t="s">
        <v>4752</v>
      </c>
      <c r="B130" s="3381" t="s">
        <v>2160</v>
      </c>
      <c r="C130" s="3847" t="s">
        <v>5292</v>
      </c>
      <c r="D130" s="1072" t="s">
        <v>5293</v>
      </c>
      <c r="E130" s="1073" t="s">
        <v>5294</v>
      </c>
      <c r="F130" s="1073" t="s">
        <v>5295</v>
      </c>
      <c r="G130" s="3847" t="s">
        <v>5296</v>
      </c>
      <c r="H130" s="1072" t="s">
        <v>5297</v>
      </c>
      <c r="I130" s="1073" t="s">
        <v>5298</v>
      </c>
      <c r="J130" s="1073" t="s">
        <v>5299</v>
      </c>
      <c r="K130" s="3847" t="s">
        <v>5300</v>
      </c>
      <c r="L130" s="1072" t="s">
        <v>5301</v>
      </c>
      <c r="M130" s="1073" t="s">
        <v>5302</v>
      </c>
      <c r="N130" s="1080" t="s">
        <v>5303</v>
      </c>
      <c r="O130" s="3847" t="s">
        <v>5304</v>
      </c>
      <c r="P130" s="3143" t="s">
        <v>5305</v>
      </c>
      <c r="Q130" s="3346" t="s">
        <v>5306</v>
      </c>
      <c r="R130" s="3240" t="s">
        <v>5307</v>
      </c>
      <c r="S130" s="1060" t="s">
        <v>5308</v>
      </c>
      <c r="T130" s="1072" t="s">
        <v>5309</v>
      </c>
      <c r="U130" s="1060" t="s">
        <v>5310</v>
      </c>
      <c r="V130" s="3143" t="s">
        <v>5311</v>
      </c>
      <c r="W130" s="1060" t="s">
        <v>5312</v>
      </c>
      <c r="X130" s="3346" t="s">
        <v>5313</v>
      </c>
      <c r="Y130" s="3240" t="s">
        <v>5314</v>
      </c>
      <c r="Z130" s="1060" t="s">
        <v>5315</v>
      </c>
      <c r="AA130" s="3145" t="s">
        <v>5316</v>
      </c>
      <c r="AB130" s="1060" t="s">
        <v>5317</v>
      </c>
      <c r="AC130" s="5047" t="s">
        <v>5318</v>
      </c>
      <c r="AD130" s="5047" t="s">
        <v>5319</v>
      </c>
      <c r="AE130" s="5047" t="s">
        <v>5320</v>
      </c>
      <c r="AF130" s="2401" t="s">
        <v>5321</v>
      </c>
      <c r="AG130" s="5079" t="s">
        <v>5322</v>
      </c>
      <c r="AH130" s="106" t="s">
        <v>5323</v>
      </c>
      <c r="AI130" s="5048" t="s">
        <v>5324</v>
      </c>
      <c r="AJ130" s="4424" t="s">
        <v>5325</v>
      </c>
    </row>
    <row r="131" spans="1:67" x14ac:dyDescent="0.3">
      <c r="A131" s="6258" t="s">
        <v>4753</v>
      </c>
      <c r="B131" s="3381" t="s">
        <v>2161</v>
      </c>
      <c r="C131" s="3847" t="s">
        <v>5292</v>
      </c>
      <c r="D131" s="1072" t="s">
        <v>5293</v>
      </c>
      <c r="E131" s="1073" t="s">
        <v>5294</v>
      </c>
      <c r="F131" s="1073" t="s">
        <v>5295</v>
      </c>
      <c r="G131" s="3847" t="s">
        <v>5296</v>
      </c>
      <c r="H131" s="1072" t="s">
        <v>5297</v>
      </c>
      <c r="I131" s="1073" t="s">
        <v>5298</v>
      </c>
      <c r="J131" s="1073" t="s">
        <v>5299</v>
      </c>
      <c r="K131" s="3847" t="s">
        <v>5300</v>
      </c>
      <c r="L131" s="1072" t="s">
        <v>5301</v>
      </c>
      <c r="M131" s="1073" t="s">
        <v>5302</v>
      </c>
      <c r="N131" s="1080" t="s">
        <v>5303</v>
      </c>
      <c r="O131" s="3847" t="s">
        <v>5304</v>
      </c>
      <c r="P131" s="3143" t="s">
        <v>5305</v>
      </c>
      <c r="Q131" s="3346" t="s">
        <v>5306</v>
      </c>
      <c r="R131" s="3240" t="s">
        <v>5307</v>
      </c>
      <c r="S131" s="1060" t="s">
        <v>5308</v>
      </c>
      <c r="T131" s="1072" t="s">
        <v>5309</v>
      </c>
      <c r="U131" s="1060" t="s">
        <v>5310</v>
      </c>
      <c r="V131" s="3143" t="s">
        <v>5311</v>
      </c>
      <c r="W131" s="1060" t="s">
        <v>5312</v>
      </c>
      <c r="X131" s="3346" t="s">
        <v>5313</v>
      </c>
      <c r="Y131" s="3240" t="s">
        <v>5314</v>
      </c>
      <c r="Z131" s="1060" t="s">
        <v>5315</v>
      </c>
      <c r="AA131" s="3145" t="s">
        <v>5316</v>
      </c>
      <c r="AB131" s="1060" t="s">
        <v>5317</v>
      </c>
      <c r="AC131" s="5047" t="s">
        <v>5318</v>
      </c>
      <c r="AD131" s="5047" t="s">
        <v>5319</v>
      </c>
      <c r="AE131" s="5047" t="s">
        <v>5320</v>
      </c>
      <c r="AF131" s="2401" t="s">
        <v>5321</v>
      </c>
      <c r="AG131" s="5079" t="s">
        <v>5322</v>
      </c>
      <c r="AH131" s="106" t="s">
        <v>5323</v>
      </c>
      <c r="AI131" s="5048" t="s">
        <v>5324</v>
      </c>
      <c r="AJ131" s="4424" t="s">
        <v>5325</v>
      </c>
    </row>
    <row r="132" spans="1:67" x14ac:dyDescent="0.3">
      <c r="A132" s="6258" t="s">
        <v>4754</v>
      </c>
      <c r="B132" s="3381" t="s">
        <v>240</v>
      </c>
      <c r="C132" s="3847" t="s">
        <v>5292</v>
      </c>
      <c r="D132" s="1072" t="s">
        <v>5293</v>
      </c>
      <c r="E132" s="1073" t="s">
        <v>5294</v>
      </c>
      <c r="F132" s="1073" t="s">
        <v>5295</v>
      </c>
      <c r="G132" s="3847" t="s">
        <v>5296</v>
      </c>
      <c r="H132" s="1072" t="s">
        <v>5297</v>
      </c>
      <c r="I132" s="1073" t="s">
        <v>5298</v>
      </c>
      <c r="J132" s="1073" t="s">
        <v>5299</v>
      </c>
      <c r="K132" s="3847" t="s">
        <v>5300</v>
      </c>
      <c r="L132" s="1072" t="s">
        <v>5301</v>
      </c>
      <c r="M132" s="1073" t="s">
        <v>5302</v>
      </c>
      <c r="N132" s="1080" t="s">
        <v>5303</v>
      </c>
      <c r="O132" s="3847" t="s">
        <v>5304</v>
      </c>
      <c r="P132" s="3143" t="s">
        <v>5305</v>
      </c>
      <c r="Q132" s="3346" t="s">
        <v>5306</v>
      </c>
      <c r="R132" s="3240" t="s">
        <v>5307</v>
      </c>
      <c r="S132" s="1060" t="s">
        <v>5308</v>
      </c>
      <c r="T132" s="1072" t="s">
        <v>5309</v>
      </c>
      <c r="U132" s="1060" t="s">
        <v>5310</v>
      </c>
      <c r="V132" s="3143" t="s">
        <v>5311</v>
      </c>
      <c r="W132" s="1060" t="s">
        <v>5312</v>
      </c>
      <c r="X132" s="3346" t="s">
        <v>5313</v>
      </c>
      <c r="Y132" s="3240" t="s">
        <v>5314</v>
      </c>
      <c r="Z132" s="1060" t="s">
        <v>5315</v>
      </c>
      <c r="AA132" s="3145" t="s">
        <v>5316</v>
      </c>
      <c r="AB132" s="1060" t="s">
        <v>5317</v>
      </c>
      <c r="AC132" s="5047" t="s">
        <v>5318</v>
      </c>
      <c r="AD132" s="5047" t="s">
        <v>5319</v>
      </c>
      <c r="AE132" s="5047" t="s">
        <v>5320</v>
      </c>
      <c r="AF132" s="2404" t="s">
        <v>5321</v>
      </c>
      <c r="AG132" s="5079" t="s">
        <v>5322</v>
      </c>
      <c r="AH132" s="106" t="s">
        <v>5323</v>
      </c>
      <c r="AI132" s="5048" t="s">
        <v>5324</v>
      </c>
      <c r="AJ132" s="4424" t="s">
        <v>5325</v>
      </c>
    </row>
    <row r="133" spans="1:67" x14ac:dyDescent="0.3">
      <c r="A133" s="6258" t="s">
        <v>4755</v>
      </c>
      <c r="B133" s="3381" t="s">
        <v>2162</v>
      </c>
      <c r="C133" s="3847" t="s">
        <v>5292</v>
      </c>
      <c r="D133" s="1072" t="s">
        <v>5293</v>
      </c>
      <c r="E133" s="1073" t="s">
        <v>5294</v>
      </c>
      <c r="F133" s="1073" t="s">
        <v>5295</v>
      </c>
      <c r="G133" s="3847" t="s">
        <v>5296</v>
      </c>
      <c r="H133" s="1072" t="s">
        <v>5297</v>
      </c>
      <c r="I133" s="1073" t="s">
        <v>5298</v>
      </c>
      <c r="J133" s="1073" t="s">
        <v>5299</v>
      </c>
      <c r="K133" s="3847" t="s">
        <v>5300</v>
      </c>
      <c r="L133" s="1072" t="s">
        <v>5301</v>
      </c>
      <c r="M133" s="1073" t="s">
        <v>5302</v>
      </c>
      <c r="N133" s="1080" t="s">
        <v>5303</v>
      </c>
      <c r="O133" s="3847" t="s">
        <v>5304</v>
      </c>
      <c r="P133" s="3143" t="s">
        <v>5305</v>
      </c>
      <c r="Q133" s="3346" t="s">
        <v>5306</v>
      </c>
      <c r="R133" s="3240" t="s">
        <v>5307</v>
      </c>
      <c r="S133" s="1060" t="s">
        <v>5308</v>
      </c>
      <c r="T133" s="1072" t="s">
        <v>5309</v>
      </c>
      <c r="U133" s="1060" t="s">
        <v>5310</v>
      </c>
      <c r="V133" s="3143" t="s">
        <v>5311</v>
      </c>
      <c r="W133" s="1060" t="s">
        <v>5312</v>
      </c>
      <c r="X133" s="3346" t="s">
        <v>5313</v>
      </c>
      <c r="Y133" s="3240" t="s">
        <v>5314</v>
      </c>
      <c r="Z133" s="1060" t="s">
        <v>5315</v>
      </c>
      <c r="AA133" s="3145" t="s">
        <v>5316</v>
      </c>
      <c r="AB133" s="1060" t="s">
        <v>5317</v>
      </c>
      <c r="AC133" s="3145" t="s">
        <v>5318</v>
      </c>
      <c r="AD133" s="3145" t="s">
        <v>5319</v>
      </c>
      <c r="AE133" s="1060" t="s">
        <v>5320</v>
      </c>
      <c r="AF133" s="2404" t="s">
        <v>5321</v>
      </c>
      <c r="AG133" s="2405" t="s">
        <v>5322</v>
      </c>
      <c r="AH133" s="1072" t="s">
        <v>5323</v>
      </c>
      <c r="AI133" s="1073" t="s">
        <v>5324</v>
      </c>
      <c r="AJ133" s="3077" t="s">
        <v>5325</v>
      </c>
    </row>
    <row r="134" spans="1:67" x14ac:dyDescent="0.3">
      <c r="A134" s="6258" t="s">
        <v>4756</v>
      </c>
      <c r="B134" s="1939" t="s">
        <v>241</v>
      </c>
      <c r="C134" s="1683" t="s">
        <v>5292</v>
      </c>
      <c r="D134" s="106" t="s">
        <v>5293</v>
      </c>
      <c r="E134" s="5048" t="s">
        <v>5294</v>
      </c>
      <c r="F134" s="5048" t="s">
        <v>5295</v>
      </c>
      <c r="G134" s="1683" t="s">
        <v>5296</v>
      </c>
      <c r="H134" s="106" t="s">
        <v>5297</v>
      </c>
      <c r="I134" s="5048" t="s">
        <v>5298</v>
      </c>
      <c r="J134" s="5048" t="s">
        <v>5299</v>
      </c>
      <c r="K134" s="1683" t="s">
        <v>5300</v>
      </c>
      <c r="L134" s="106" t="s">
        <v>5301</v>
      </c>
      <c r="M134" s="5048" t="s">
        <v>5302</v>
      </c>
      <c r="N134" s="4771" t="s">
        <v>5303</v>
      </c>
      <c r="O134" s="3847" t="s">
        <v>5304</v>
      </c>
      <c r="P134" s="588" t="s">
        <v>5305</v>
      </c>
      <c r="Q134" s="135" t="s">
        <v>5306</v>
      </c>
      <c r="R134" s="3240" t="s">
        <v>5307</v>
      </c>
      <c r="S134" s="1060" t="s">
        <v>5308</v>
      </c>
      <c r="T134" s="106" t="s">
        <v>5309</v>
      </c>
      <c r="U134" s="5047" t="s">
        <v>5310</v>
      </c>
      <c r="V134" s="588" t="s">
        <v>5311</v>
      </c>
      <c r="W134" s="5047" t="s">
        <v>5312</v>
      </c>
      <c r="X134" s="135" t="s">
        <v>5313</v>
      </c>
      <c r="Y134" s="3240" t="s">
        <v>5314</v>
      </c>
      <c r="Z134" s="1060" t="s">
        <v>5315</v>
      </c>
      <c r="AA134" s="4424" t="s">
        <v>5316</v>
      </c>
      <c r="AB134" s="4424" t="s">
        <v>5317</v>
      </c>
      <c r="AC134" s="4424" t="s">
        <v>5318</v>
      </c>
      <c r="AD134" s="4424" t="s">
        <v>5319</v>
      </c>
      <c r="AE134" s="4424" t="s">
        <v>5320</v>
      </c>
      <c r="AF134" s="2401" t="s">
        <v>5321</v>
      </c>
      <c r="AG134" s="2406" t="s">
        <v>5322</v>
      </c>
      <c r="AH134" s="106" t="s">
        <v>5323</v>
      </c>
      <c r="AI134" s="5048" t="s">
        <v>5324</v>
      </c>
      <c r="AJ134" s="4424" t="s">
        <v>5325</v>
      </c>
    </row>
    <row r="135" spans="1:67" x14ac:dyDescent="0.3">
      <c r="A135" s="6258" t="s">
        <v>4757</v>
      </c>
      <c r="B135" s="5052" t="s">
        <v>2163</v>
      </c>
      <c r="C135" s="1684" t="s">
        <v>5292</v>
      </c>
      <c r="D135" s="3023" t="s">
        <v>5293</v>
      </c>
      <c r="E135" s="3020" t="s">
        <v>5294</v>
      </c>
      <c r="F135" s="3020" t="s">
        <v>5295</v>
      </c>
      <c r="G135" s="1684" t="s">
        <v>5296</v>
      </c>
      <c r="H135" s="3023" t="s">
        <v>5297</v>
      </c>
      <c r="I135" s="3020" t="s">
        <v>5298</v>
      </c>
      <c r="J135" s="3020" t="s">
        <v>5299</v>
      </c>
      <c r="K135" s="1684" t="s">
        <v>5300</v>
      </c>
      <c r="L135" s="3023" t="s">
        <v>5301</v>
      </c>
      <c r="M135" s="3020" t="s">
        <v>5302</v>
      </c>
      <c r="N135" s="3244" t="s">
        <v>5303</v>
      </c>
      <c r="O135" s="1684" t="s">
        <v>5304</v>
      </c>
      <c r="P135" s="121" t="s">
        <v>5305</v>
      </c>
      <c r="Q135" s="138" t="s">
        <v>5306</v>
      </c>
      <c r="R135" s="118" t="s">
        <v>5307</v>
      </c>
      <c r="S135" s="3035" t="s">
        <v>5308</v>
      </c>
      <c r="T135" s="3023" t="s">
        <v>5309</v>
      </c>
      <c r="U135" s="3035" t="s">
        <v>5310</v>
      </c>
      <c r="V135" s="121" t="s">
        <v>5311</v>
      </c>
      <c r="W135" s="3035" t="s">
        <v>5312</v>
      </c>
      <c r="X135" s="138" t="s">
        <v>5313</v>
      </c>
      <c r="Y135" s="118" t="s">
        <v>5314</v>
      </c>
      <c r="Z135" s="3035" t="s">
        <v>5315</v>
      </c>
      <c r="AA135" s="117" t="s">
        <v>5316</v>
      </c>
      <c r="AB135" s="117" t="s">
        <v>5317</v>
      </c>
      <c r="AC135" s="117" t="s">
        <v>5318</v>
      </c>
      <c r="AD135" s="117" t="s">
        <v>5319</v>
      </c>
      <c r="AE135" s="117" t="s">
        <v>5320</v>
      </c>
      <c r="AF135" s="5080" t="s">
        <v>5321</v>
      </c>
      <c r="AG135" s="2407" t="s">
        <v>5322</v>
      </c>
      <c r="AH135" s="3023" t="s">
        <v>5323</v>
      </c>
      <c r="AI135" s="3020" t="s">
        <v>5324</v>
      </c>
      <c r="AJ135" s="117" t="s">
        <v>5325</v>
      </c>
    </row>
    <row r="136" spans="1:67" x14ac:dyDescent="0.3">
      <c r="A136" s="6263"/>
      <c r="B136" s="5081" t="s">
        <v>24</v>
      </c>
      <c r="C136" s="5082">
        <f t="shared" ref="C136:W136" si="8">SUM(C76:C135)</f>
        <v>0</v>
      </c>
      <c r="D136" s="5059">
        <f>SUM(D76:D135)</f>
        <v>0</v>
      </c>
      <c r="E136" s="2396">
        <f>SUM(E76:E135)</f>
        <v>0</v>
      </c>
      <c r="F136" s="2396">
        <f>SUM(F76:F135)</f>
        <v>0</v>
      </c>
      <c r="G136" s="5082">
        <f t="shared" si="8"/>
        <v>0</v>
      </c>
      <c r="H136" s="5059">
        <f t="shared" si="8"/>
        <v>0</v>
      </c>
      <c r="I136" s="2396">
        <f t="shared" si="8"/>
        <v>0</v>
      </c>
      <c r="J136" s="2396">
        <f t="shared" si="8"/>
        <v>0</v>
      </c>
      <c r="K136" s="5082">
        <f t="shared" si="8"/>
        <v>0</v>
      </c>
      <c r="L136" s="5059">
        <f t="shared" si="8"/>
        <v>0</v>
      </c>
      <c r="M136" s="2396">
        <f t="shared" si="8"/>
        <v>0</v>
      </c>
      <c r="N136" s="2396">
        <f t="shared" si="8"/>
        <v>0</v>
      </c>
      <c r="O136" s="5082">
        <f>SUM(O76:O135)</f>
        <v>0</v>
      </c>
      <c r="P136" s="5083">
        <f t="shared" si="8"/>
        <v>0</v>
      </c>
      <c r="Q136" s="5084">
        <f t="shared" si="8"/>
        <v>0</v>
      </c>
      <c r="R136" s="5059">
        <f t="shared" si="8"/>
        <v>0</v>
      </c>
      <c r="S136" s="5085">
        <f>SUM(S76:S135)</f>
        <v>0</v>
      </c>
      <c r="T136" s="5028">
        <f>SUM(T76:T135)</f>
        <v>0</v>
      </c>
      <c r="U136" s="4773">
        <f>SUM(U76:U135)</f>
        <v>0</v>
      </c>
      <c r="V136" s="5083">
        <f t="shared" si="8"/>
        <v>0</v>
      </c>
      <c r="W136" s="5056">
        <f t="shared" si="8"/>
        <v>0</v>
      </c>
      <c r="X136" s="5085">
        <f>SUM(X76:X135)</f>
        <v>0</v>
      </c>
      <c r="Y136" s="5086">
        <f t="shared" ref="Y136:AJ136" si="9">SUM(Y76:Y135)</f>
        <v>0</v>
      </c>
      <c r="Z136" s="5056">
        <f t="shared" si="9"/>
        <v>0</v>
      </c>
      <c r="AA136" s="5085">
        <f t="shared" si="9"/>
        <v>0</v>
      </c>
      <c r="AB136" s="5085">
        <f t="shared" si="9"/>
        <v>0</v>
      </c>
      <c r="AC136" s="5085">
        <f t="shared" si="9"/>
        <v>0</v>
      </c>
      <c r="AD136" s="5085">
        <f t="shared" si="9"/>
        <v>0</v>
      </c>
      <c r="AE136" s="5082">
        <f t="shared" si="9"/>
        <v>0</v>
      </c>
      <c r="AF136" s="5059">
        <f t="shared" si="9"/>
        <v>0</v>
      </c>
      <c r="AG136" s="5084">
        <f t="shared" si="9"/>
        <v>0</v>
      </c>
      <c r="AH136" s="5059">
        <f t="shared" si="9"/>
        <v>0</v>
      </c>
      <c r="AI136" s="2396">
        <f t="shared" si="9"/>
        <v>0</v>
      </c>
      <c r="AJ136" s="5085">
        <f t="shared" si="9"/>
        <v>0</v>
      </c>
    </row>
    <row r="137" spans="1:67" s="17" customFormat="1" ht="18" customHeight="1" x14ac:dyDescent="0.25">
      <c r="B137" s="2725" t="s">
        <v>2188</v>
      </c>
      <c r="C137" s="5087"/>
      <c r="D137" s="5087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</row>
    <row r="138" spans="1:67" ht="20.399999999999999" x14ac:dyDescent="0.3">
      <c r="B138" s="5081" t="s">
        <v>2189</v>
      </c>
      <c r="C138" s="5088" t="s">
        <v>24</v>
      </c>
      <c r="D138" s="5042" t="s">
        <v>36</v>
      </c>
      <c r="E138" s="4558" t="s">
        <v>37</v>
      </c>
      <c r="F138" s="4785" t="s">
        <v>38</v>
      </c>
      <c r="G138" s="4785" t="s">
        <v>4</v>
      </c>
      <c r="H138" s="4785" t="s">
        <v>5</v>
      </c>
      <c r="I138" s="4724" t="s">
        <v>6</v>
      </c>
      <c r="J138" s="4724" t="s">
        <v>7</v>
      </c>
      <c r="K138" s="4724" t="s">
        <v>8</v>
      </c>
      <c r="L138" s="4724" t="s">
        <v>9</v>
      </c>
      <c r="M138" s="4724" t="s">
        <v>10</v>
      </c>
      <c r="N138" s="4724" t="s">
        <v>11</v>
      </c>
      <c r="O138" s="4724" t="s">
        <v>18</v>
      </c>
      <c r="P138" s="4724" t="s">
        <v>19</v>
      </c>
      <c r="Q138" s="4724" t="s">
        <v>20</v>
      </c>
      <c r="R138" s="4724" t="s">
        <v>70</v>
      </c>
      <c r="S138" s="4724" t="s">
        <v>71</v>
      </c>
      <c r="T138" s="4786" t="s">
        <v>2190</v>
      </c>
      <c r="U138" s="4704" t="s">
        <v>2191</v>
      </c>
      <c r="V138" s="4704" t="s">
        <v>2192</v>
      </c>
    </row>
    <row r="139" spans="1:67" ht="15" customHeight="1" x14ac:dyDescent="0.3">
      <c r="A139" s="6261" t="s">
        <v>4758</v>
      </c>
      <c r="B139" s="5049" t="s">
        <v>2193</v>
      </c>
      <c r="C139" s="4683" t="s">
        <v>5292</v>
      </c>
      <c r="D139" s="5022" t="s">
        <v>5293</v>
      </c>
      <c r="E139" s="5044" t="s">
        <v>5294</v>
      </c>
      <c r="F139" s="5044" t="s">
        <v>5295</v>
      </c>
      <c r="G139" s="5044" t="s">
        <v>5296</v>
      </c>
      <c r="H139" s="5044" t="s">
        <v>5297</v>
      </c>
      <c r="I139" s="5044" t="s">
        <v>5298</v>
      </c>
      <c r="J139" s="5044" t="s">
        <v>5299</v>
      </c>
      <c r="K139" s="5044" t="s">
        <v>5300</v>
      </c>
      <c r="L139" s="5044" t="s">
        <v>5301</v>
      </c>
      <c r="M139" s="5044" t="s">
        <v>5302</v>
      </c>
      <c r="N139" s="5044" t="s">
        <v>5303</v>
      </c>
      <c r="O139" s="5044" t="s">
        <v>5304</v>
      </c>
      <c r="P139" s="5044" t="s">
        <v>5305</v>
      </c>
      <c r="Q139" s="5044" t="s">
        <v>5306</v>
      </c>
      <c r="R139" s="5044" t="s">
        <v>5307</v>
      </c>
      <c r="S139" s="5044" t="s">
        <v>5308</v>
      </c>
      <c r="T139" s="5089" t="s">
        <v>5309</v>
      </c>
      <c r="U139" s="4685" t="s">
        <v>5310</v>
      </c>
      <c r="V139" s="4685" t="s">
        <v>5311</v>
      </c>
      <c r="W139" t="e">
        <f>BF139&amp;BG139&amp;BH139</f>
        <v>#VALUE!</v>
      </c>
      <c r="BF139" s="1723" t="str">
        <f>IF(AND(C139&gt;0,U139="")," * No olvide digitar Trans Masculino. (Digite CERO si no tiene).","")</f>
        <v/>
      </c>
      <c r="BG139" s="1723" t="str">
        <f>IF(AND(C139&gt;0,V139="")," * No olvide digitar Trans Femenino. (Digite CERO si no tiene).","")</f>
        <v/>
      </c>
      <c r="BH139" s="1723" t="e">
        <f t="shared" ref="BH139:BH154" si="10">IF((U139+V139)&gt;C139," * Trans Masculino + Trans Femenino No puede ser Mayor al Total.","")</f>
        <v>#VALUE!</v>
      </c>
      <c r="BM139" s="1725">
        <f>IF(AND(C139&gt;0,U139=""),1,0)</f>
        <v>0</v>
      </c>
      <c r="BN139" s="1725">
        <f>IF(AND(C139&gt;0,V139=""),1,0)</f>
        <v>0</v>
      </c>
      <c r="BO139" s="1725" t="e">
        <f t="shared" ref="BO139:BO154" si="11">IF((U139+V139)&gt;C139,1,0)</f>
        <v>#VALUE!</v>
      </c>
    </row>
    <row r="140" spans="1:67" ht="15" customHeight="1" x14ac:dyDescent="0.3">
      <c r="A140" s="6261" t="s">
        <v>4759</v>
      </c>
      <c r="B140" s="3046" t="s">
        <v>1895</v>
      </c>
      <c r="C140" s="3191" t="s">
        <v>5292</v>
      </c>
      <c r="D140" s="1072" t="s">
        <v>5293</v>
      </c>
      <c r="E140" s="1073" t="s">
        <v>5294</v>
      </c>
      <c r="F140" s="1073" t="s">
        <v>5295</v>
      </c>
      <c r="G140" s="1073" t="s">
        <v>5296</v>
      </c>
      <c r="H140" s="1073" t="s">
        <v>5297</v>
      </c>
      <c r="I140" s="1073" t="s">
        <v>5298</v>
      </c>
      <c r="J140" s="1073" t="s">
        <v>5299</v>
      </c>
      <c r="K140" s="1073" t="s">
        <v>5300</v>
      </c>
      <c r="L140" s="1073" t="s">
        <v>5301</v>
      </c>
      <c r="M140" s="1073" t="s">
        <v>5302</v>
      </c>
      <c r="N140" s="1073" t="s">
        <v>5303</v>
      </c>
      <c r="O140" s="1073" t="s">
        <v>5304</v>
      </c>
      <c r="P140" s="1073" t="s">
        <v>5305</v>
      </c>
      <c r="Q140" s="1073" t="s">
        <v>5306</v>
      </c>
      <c r="R140" s="1073" t="s">
        <v>5307</v>
      </c>
      <c r="S140" s="1073" t="s">
        <v>5308</v>
      </c>
      <c r="T140" s="1061" t="s">
        <v>5309</v>
      </c>
      <c r="U140" s="3077" t="s">
        <v>5310</v>
      </c>
      <c r="V140" s="3077" t="s">
        <v>5311</v>
      </c>
      <c r="W140" t="e">
        <f t="shared" ref="W140:W154" si="12">BF140&amp;BG140&amp;BH140</f>
        <v>#VALUE!</v>
      </c>
      <c r="BF140" s="1723" t="str">
        <f t="shared" ref="BF140:BF154" si="13">IF(AND(C140&gt;0,U140="")," * No olvide digitar Trans Masculino. (Digite CERO si no tiene).","")</f>
        <v/>
      </c>
      <c r="BG140" s="1723" t="str">
        <f t="shared" ref="BG140:BG154" si="14">IF(AND(C140&gt;0,V140="")," * No olvide digitar Trans Femenino. (Digite CERO si no tiene).","")</f>
        <v/>
      </c>
      <c r="BH140" s="1723" t="e">
        <f t="shared" si="10"/>
        <v>#VALUE!</v>
      </c>
      <c r="BM140" s="1725">
        <f t="shared" ref="BM140:BM154" si="15">IF(AND(C140&gt;0,U140=""),1,0)</f>
        <v>0</v>
      </c>
      <c r="BN140" s="1725">
        <f t="shared" ref="BN140:BN154" si="16">IF(AND(C140&gt;0,V140=""),1,0)</f>
        <v>0</v>
      </c>
      <c r="BO140" s="1725" t="e">
        <f t="shared" si="11"/>
        <v>#VALUE!</v>
      </c>
    </row>
    <row r="141" spans="1:67" ht="15" customHeight="1" x14ac:dyDescent="0.3">
      <c r="A141" s="6261" t="s">
        <v>4760</v>
      </c>
      <c r="B141" s="3046" t="s">
        <v>2194</v>
      </c>
      <c r="C141" s="3191" t="s">
        <v>5292</v>
      </c>
      <c r="D141" s="1072" t="s">
        <v>5293</v>
      </c>
      <c r="E141" s="1073" t="s">
        <v>5294</v>
      </c>
      <c r="F141" s="1073" t="s">
        <v>5295</v>
      </c>
      <c r="G141" s="1073" t="s">
        <v>5296</v>
      </c>
      <c r="H141" s="1073" t="s">
        <v>5297</v>
      </c>
      <c r="I141" s="1073" t="s">
        <v>5298</v>
      </c>
      <c r="J141" s="1073" t="s">
        <v>5299</v>
      </c>
      <c r="K141" s="1073" t="s">
        <v>5300</v>
      </c>
      <c r="L141" s="1073" t="s">
        <v>5301</v>
      </c>
      <c r="M141" s="1073" t="s">
        <v>5302</v>
      </c>
      <c r="N141" s="1073" t="s">
        <v>5303</v>
      </c>
      <c r="O141" s="1073" t="s">
        <v>5304</v>
      </c>
      <c r="P141" s="1073" t="s">
        <v>5305</v>
      </c>
      <c r="Q141" s="1073" t="s">
        <v>5306</v>
      </c>
      <c r="R141" s="1073" t="s">
        <v>5307</v>
      </c>
      <c r="S141" s="1073" t="s">
        <v>5308</v>
      </c>
      <c r="T141" s="1061" t="s">
        <v>5309</v>
      </c>
      <c r="U141" s="3077" t="s">
        <v>5310</v>
      </c>
      <c r="V141" s="3077" t="s">
        <v>5311</v>
      </c>
      <c r="W141" t="e">
        <f t="shared" si="12"/>
        <v>#VALUE!</v>
      </c>
      <c r="BF141" s="1723" t="str">
        <f t="shared" si="13"/>
        <v/>
      </c>
      <c r="BG141" s="1723" t="str">
        <f t="shared" si="14"/>
        <v/>
      </c>
      <c r="BH141" s="1723" t="e">
        <f t="shared" si="10"/>
        <v>#VALUE!</v>
      </c>
      <c r="BM141" s="1725">
        <f t="shared" si="15"/>
        <v>0</v>
      </c>
      <c r="BN141" s="1725">
        <f t="shared" si="16"/>
        <v>0</v>
      </c>
      <c r="BO141" s="1725" t="e">
        <f t="shared" si="11"/>
        <v>#VALUE!</v>
      </c>
    </row>
    <row r="142" spans="1:67" ht="15" customHeight="1" x14ac:dyDescent="0.3">
      <c r="A142" s="6261" t="s">
        <v>4761</v>
      </c>
      <c r="B142" s="3046" t="s">
        <v>2195</v>
      </c>
      <c r="C142" s="3191" t="s">
        <v>5292</v>
      </c>
      <c r="D142" s="1072" t="s">
        <v>5293</v>
      </c>
      <c r="E142" s="1073" t="s">
        <v>5294</v>
      </c>
      <c r="F142" s="1073" t="s">
        <v>5295</v>
      </c>
      <c r="G142" s="1073" t="s">
        <v>5296</v>
      </c>
      <c r="H142" s="1073" t="s">
        <v>5297</v>
      </c>
      <c r="I142" s="1073" t="s">
        <v>5298</v>
      </c>
      <c r="J142" s="1073" t="s">
        <v>5299</v>
      </c>
      <c r="K142" s="1073" t="s">
        <v>5300</v>
      </c>
      <c r="L142" s="1073" t="s">
        <v>5301</v>
      </c>
      <c r="M142" s="1073" t="s">
        <v>5302</v>
      </c>
      <c r="N142" s="1073" t="s">
        <v>5303</v>
      </c>
      <c r="O142" s="1073" t="s">
        <v>5304</v>
      </c>
      <c r="P142" s="1073" t="s">
        <v>5305</v>
      </c>
      <c r="Q142" s="1073" t="s">
        <v>5306</v>
      </c>
      <c r="R142" s="1073" t="s">
        <v>5307</v>
      </c>
      <c r="S142" s="1073" t="s">
        <v>5308</v>
      </c>
      <c r="T142" s="1061" t="s">
        <v>5309</v>
      </c>
      <c r="U142" s="3077" t="s">
        <v>5310</v>
      </c>
      <c r="V142" s="3077" t="s">
        <v>5311</v>
      </c>
      <c r="W142" t="e">
        <f t="shared" si="12"/>
        <v>#VALUE!</v>
      </c>
      <c r="BF142" s="1723" t="str">
        <f t="shared" si="13"/>
        <v/>
      </c>
      <c r="BG142" s="1723" t="str">
        <f t="shared" si="14"/>
        <v/>
      </c>
      <c r="BH142" s="1723" t="e">
        <f t="shared" si="10"/>
        <v>#VALUE!</v>
      </c>
      <c r="BM142" s="1725">
        <f t="shared" si="15"/>
        <v>0</v>
      </c>
      <c r="BN142" s="1725">
        <f t="shared" si="16"/>
        <v>0</v>
      </c>
      <c r="BO142" s="1725" t="e">
        <f t="shared" si="11"/>
        <v>#VALUE!</v>
      </c>
    </row>
    <row r="143" spans="1:67" ht="15" customHeight="1" x14ac:dyDescent="0.3">
      <c r="A143" s="6261" t="s">
        <v>4762</v>
      </c>
      <c r="B143" s="3046" t="s">
        <v>2196</v>
      </c>
      <c r="C143" s="3191" t="s">
        <v>5292</v>
      </c>
      <c r="D143" s="1072" t="s">
        <v>5293</v>
      </c>
      <c r="E143" s="1073" t="s">
        <v>5294</v>
      </c>
      <c r="F143" s="1073" t="s">
        <v>5295</v>
      </c>
      <c r="G143" s="1073" t="s">
        <v>5296</v>
      </c>
      <c r="H143" s="1073" t="s">
        <v>5297</v>
      </c>
      <c r="I143" s="1073" t="s">
        <v>5298</v>
      </c>
      <c r="J143" s="1073" t="s">
        <v>5299</v>
      </c>
      <c r="K143" s="1073" t="s">
        <v>5300</v>
      </c>
      <c r="L143" s="1073" t="s">
        <v>5301</v>
      </c>
      <c r="M143" s="1073" t="s">
        <v>5302</v>
      </c>
      <c r="N143" s="1073" t="s">
        <v>5303</v>
      </c>
      <c r="O143" s="1073" t="s">
        <v>5304</v>
      </c>
      <c r="P143" s="1073" t="s">
        <v>5305</v>
      </c>
      <c r="Q143" s="1073" t="s">
        <v>5306</v>
      </c>
      <c r="R143" s="1073" t="s">
        <v>5307</v>
      </c>
      <c r="S143" s="1073" t="s">
        <v>5308</v>
      </c>
      <c r="T143" s="1061" t="s">
        <v>5309</v>
      </c>
      <c r="U143" s="3077" t="s">
        <v>5310</v>
      </c>
      <c r="V143" s="3077" t="s">
        <v>5311</v>
      </c>
      <c r="W143" t="e">
        <f t="shared" si="12"/>
        <v>#VALUE!</v>
      </c>
      <c r="BF143" s="1723" t="str">
        <f t="shared" si="13"/>
        <v/>
      </c>
      <c r="BG143" s="1723" t="str">
        <f t="shared" si="14"/>
        <v/>
      </c>
      <c r="BH143" s="1723" t="e">
        <f t="shared" si="10"/>
        <v>#VALUE!</v>
      </c>
      <c r="BM143" s="1725">
        <f t="shared" si="15"/>
        <v>0</v>
      </c>
      <c r="BN143" s="1725">
        <f t="shared" si="16"/>
        <v>0</v>
      </c>
      <c r="BO143" s="1725" t="e">
        <f t="shared" si="11"/>
        <v>#VALUE!</v>
      </c>
    </row>
    <row r="144" spans="1:67" ht="15" customHeight="1" x14ac:dyDescent="0.3">
      <c r="A144" s="6261" t="s">
        <v>4763</v>
      </c>
      <c r="B144" s="3046" t="s">
        <v>2197</v>
      </c>
      <c r="C144" s="3191" t="s">
        <v>5292</v>
      </c>
      <c r="D144" s="1072" t="s">
        <v>5293</v>
      </c>
      <c r="E144" s="1073" t="s">
        <v>5294</v>
      </c>
      <c r="F144" s="1073" t="s">
        <v>5295</v>
      </c>
      <c r="G144" s="1073" t="s">
        <v>5296</v>
      </c>
      <c r="H144" s="1073" t="s">
        <v>5297</v>
      </c>
      <c r="I144" s="1073" t="s">
        <v>5298</v>
      </c>
      <c r="J144" s="1073" t="s">
        <v>5299</v>
      </c>
      <c r="K144" s="1073" t="s">
        <v>5300</v>
      </c>
      <c r="L144" s="1073" t="s">
        <v>5301</v>
      </c>
      <c r="M144" s="1073" t="s">
        <v>5302</v>
      </c>
      <c r="N144" s="1073" t="s">
        <v>5303</v>
      </c>
      <c r="O144" s="1073" t="s">
        <v>5304</v>
      </c>
      <c r="P144" s="1073" t="s">
        <v>5305</v>
      </c>
      <c r="Q144" s="1073" t="s">
        <v>5306</v>
      </c>
      <c r="R144" s="1073" t="s">
        <v>5307</v>
      </c>
      <c r="S144" s="1073" t="s">
        <v>5308</v>
      </c>
      <c r="T144" s="1061" t="s">
        <v>5309</v>
      </c>
      <c r="U144" s="3077" t="s">
        <v>5310</v>
      </c>
      <c r="V144" s="3077" t="s">
        <v>5311</v>
      </c>
      <c r="W144" t="e">
        <f t="shared" si="12"/>
        <v>#VALUE!</v>
      </c>
      <c r="BF144" s="1723" t="str">
        <f t="shared" si="13"/>
        <v/>
      </c>
      <c r="BG144" s="1723" t="str">
        <f t="shared" si="14"/>
        <v/>
      </c>
      <c r="BH144" s="1723" t="e">
        <f t="shared" si="10"/>
        <v>#VALUE!</v>
      </c>
      <c r="BM144" s="1725">
        <f t="shared" si="15"/>
        <v>0</v>
      </c>
      <c r="BN144" s="1725">
        <f t="shared" si="16"/>
        <v>0</v>
      </c>
      <c r="BO144" s="1725" t="e">
        <f t="shared" si="11"/>
        <v>#VALUE!</v>
      </c>
    </row>
    <row r="145" spans="1:68" ht="15" customHeight="1" x14ac:dyDescent="0.3">
      <c r="A145" s="6261" t="s">
        <v>4764</v>
      </c>
      <c r="B145" s="3046" t="s">
        <v>2198</v>
      </c>
      <c r="C145" s="3191" t="s">
        <v>5292</v>
      </c>
      <c r="D145" s="1072" t="s">
        <v>5293</v>
      </c>
      <c r="E145" s="1073" t="s">
        <v>5294</v>
      </c>
      <c r="F145" s="1073" t="s">
        <v>5295</v>
      </c>
      <c r="G145" s="1073" t="s">
        <v>5296</v>
      </c>
      <c r="H145" s="1073" t="s">
        <v>5297</v>
      </c>
      <c r="I145" s="1073" t="s">
        <v>5298</v>
      </c>
      <c r="J145" s="1073" t="s">
        <v>5299</v>
      </c>
      <c r="K145" s="1073" t="s">
        <v>5300</v>
      </c>
      <c r="L145" s="1073" t="s">
        <v>5301</v>
      </c>
      <c r="M145" s="1073" t="s">
        <v>5302</v>
      </c>
      <c r="N145" s="1073" t="s">
        <v>5303</v>
      </c>
      <c r="O145" s="1073" t="s">
        <v>5304</v>
      </c>
      <c r="P145" s="1073" t="s">
        <v>5305</v>
      </c>
      <c r="Q145" s="1073" t="s">
        <v>5306</v>
      </c>
      <c r="R145" s="1073" t="s">
        <v>5307</v>
      </c>
      <c r="S145" s="1073" t="s">
        <v>5308</v>
      </c>
      <c r="T145" s="1061" t="s">
        <v>5309</v>
      </c>
      <c r="U145" s="3077" t="s">
        <v>5310</v>
      </c>
      <c r="V145" s="3077" t="s">
        <v>5311</v>
      </c>
      <c r="W145" t="e">
        <f t="shared" si="12"/>
        <v>#VALUE!</v>
      </c>
      <c r="BF145" s="1723" t="str">
        <f t="shared" si="13"/>
        <v/>
      </c>
      <c r="BG145" s="1723" t="str">
        <f t="shared" si="14"/>
        <v/>
      </c>
      <c r="BH145" s="1723" t="e">
        <f t="shared" si="10"/>
        <v>#VALUE!</v>
      </c>
      <c r="BM145" s="1725">
        <f t="shared" si="15"/>
        <v>0</v>
      </c>
      <c r="BN145" s="1725">
        <f t="shared" si="16"/>
        <v>0</v>
      </c>
      <c r="BO145" s="1725" t="e">
        <f t="shared" si="11"/>
        <v>#VALUE!</v>
      </c>
    </row>
    <row r="146" spans="1:68" ht="15" customHeight="1" x14ac:dyDescent="0.3">
      <c r="A146" s="6261" t="s">
        <v>4765</v>
      </c>
      <c r="B146" s="3046" t="s">
        <v>244</v>
      </c>
      <c r="C146" s="3191" t="s">
        <v>5292</v>
      </c>
      <c r="D146" s="1072" t="s">
        <v>5293</v>
      </c>
      <c r="E146" s="1073" t="s">
        <v>5294</v>
      </c>
      <c r="F146" s="1073" t="s">
        <v>5295</v>
      </c>
      <c r="G146" s="1073" t="s">
        <v>5296</v>
      </c>
      <c r="H146" s="1073" t="s">
        <v>5297</v>
      </c>
      <c r="I146" s="1073" t="s">
        <v>5298</v>
      </c>
      <c r="J146" s="1073" t="s">
        <v>5299</v>
      </c>
      <c r="K146" s="1073" t="s">
        <v>5300</v>
      </c>
      <c r="L146" s="1073" t="s">
        <v>5301</v>
      </c>
      <c r="M146" s="1073" t="s">
        <v>5302</v>
      </c>
      <c r="N146" s="1073" t="s">
        <v>5303</v>
      </c>
      <c r="O146" s="1073" t="s">
        <v>5304</v>
      </c>
      <c r="P146" s="1073" t="s">
        <v>5305</v>
      </c>
      <c r="Q146" s="1073" t="s">
        <v>5306</v>
      </c>
      <c r="R146" s="1073" t="s">
        <v>5307</v>
      </c>
      <c r="S146" s="1073" t="s">
        <v>5308</v>
      </c>
      <c r="T146" s="1061" t="s">
        <v>5309</v>
      </c>
      <c r="U146" s="3077" t="s">
        <v>5310</v>
      </c>
      <c r="V146" s="3077" t="s">
        <v>5311</v>
      </c>
      <c r="W146" t="e">
        <f t="shared" si="12"/>
        <v>#VALUE!</v>
      </c>
      <c r="BF146" s="1723" t="str">
        <f t="shared" si="13"/>
        <v/>
      </c>
      <c r="BG146" s="1723" t="str">
        <f t="shared" si="14"/>
        <v/>
      </c>
      <c r="BH146" s="1723" t="e">
        <f t="shared" si="10"/>
        <v>#VALUE!</v>
      </c>
      <c r="BM146" s="1725">
        <f t="shared" si="15"/>
        <v>0</v>
      </c>
      <c r="BN146" s="1725">
        <f t="shared" si="16"/>
        <v>0</v>
      </c>
      <c r="BO146" s="1725" t="e">
        <f t="shared" si="11"/>
        <v>#VALUE!</v>
      </c>
    </row>
    <row r="147" spans="1:68" ht="15" customHeight="1" x14ac:dyDescent="0.3">
      <c r="A147" s="6261" t="s">
        <v>4766</v>
      </c>
      <c r="B147" s="3046" t="s">
        <v>2199</v>
      </c>
      <c r="C147" s="3191" t="s">
        <v>5292</v>
      </c>
      <c r="D147" s="1072" t="s">
        <v>5293</v>
      </c>
      <c r="E147" s="1073" t="s">
        <v>5294</v>
      </c>
      <c r="F147" s="1073" t="s">
        <v>5295</v>
      </c>
      <c r="G147" s="1073" t="s">
        <v>5296</v>
      </c>
      <c r="H147" s="1073" t="s">
        <v>5297</v>
      </c>
      <c r="I147" s="1073" t="s">
        <v>5298</v>
      </c>
      <c r="J147" s="1073" t="s">
        <v>5299</v>
      </c>
      <c r="K147" s="1073" t="s">
        <v>5300</v>
      </c>
      <c r="L147" s="1073" t="s">
        <v>5301</v>
      </c>
      <c r="M147" s="1073" t="s">
        <v>5302</v>
      </c>
      <c r="N147" s="1073" t="s">
        <v>5303</v>
      </c>
      <c r="O147" s="1073" t="s">
        <v>5304</v>
      </c>
      <c r="P147" s="1073" t="s">
        <v>5305</v>
      </c>
      <c r="Q147" s="1073" t="s">
        <v>5306</v>
      </c>
      <c r="R147" s="1073" t="s">
        <v>5307</v>
      </c>
      <c r="S147" s="1073" t="s">
        <v>5308</v>
      </c>
      <c r="T147" s="1061" t="s">
        <v>5309</v>
      </c>
      <c r="U147" s="3077" t="s">
        <v>5310</v>
      </c>
      <c r="V147" s="3077" t="s">
        <v>5311</v>
      </c>
      <c r="W147" t="e">
        <f t="shared" si="12"/>
        <v>#VALUE!</v>
      </c>
      <c r="BF147" s="1723" t="str">
        <f t="shared" si="13"/>
        <v/>
      </c>
      <c r="BG147" s="1723" t="str">
        <f t="shared" si="14"/>
        <v/>
      </c>
      <c r="BH147" s="1723" t="e">
        <f t="shared" si="10"/>
        <v>#VALUE!</v>
      </c>
      <c r="BM147" s="1725">
        <f t="shared" si="15"/>
        <v>0</v>
      </c>
      <c r="BN147" s="1725">
        <f t="shared" si="16"/>
        <v>0</v>
      </c>
      <c r="BO147" s="1725" t="e">
        <f t="shared" si="11"/>
        <v>#VALUE!</v>
      </c>
    </row>
    <row r="148" spans="1:68" ht="15" customHeight="1" x14ac:dyDescent="0.3">
      <c r="A148" s="6261" t="s">
        <v>4767</v>
      </c>
      <c r="B148" s="3046" t="s">
        <v>2200</v>
      </c>
      <c r="C148" s="3191" t="s">
        <v>5292</v>
      </c>
      <c r="D148" s="1072" t="s">
        <v>5293</v>
      </c>
      <c r="E148" s="1073" t="s">
        <v>5294</v>
      </c>
      <c r="F148" s="1073" t="s">
        <v>5295</v>
      </c>
      <c r="G148" s="1073" t="s">
        <v>5296</v>
      </c>
      <c r="H148" s="1073" t="s">
        <v>5297</v>
      </c>
      <c r="I148" s="1073" t="s">
        <v>5298</v>
      </c>
      <c r="J148" s="1073" t="s">
        <v>5299</v>
      </c>
      <c r="K148" s="1073" t="s">
        <v>5300</v>
      </c>
      <c r="L148" s="1073" t="s">
        <v>5301</v>
      </c>
      <c r="M148" s="1073" t="s">
        <v>5302</v>
      </c>
      <c r="N148" s="1073" t="s">
        <v>5303</v>
      </c>
      <c r="O148" s="1073" t="s">
        <v>5304</v>
      </c>
      <c r="P148" s="1073" t="s">
        <v>5305</v>
      </c>
      <c r="Q148" s="1073" t="s">
        <v>5306</v>
      </c>
      <c r="R148" s="1073" t="s">
        <v>5307</v>
      </c>
      <c r="S148" s="1073" t="s">
        <v>5308</v>
      </c>
      <c r="T148" s="1061" t="s">
        <v>5309</v>
      </c>
      <c r="U148" s="3077" t="s">
        <v>5310</v>
      </c>
      <c r="V148" s="3077" t="s">
        <v>5311</v>
      </c>
      <c r="W148" t="e">
        <f t="shared" si="12"/>
        <v>#VALUE!</v>
      </c>
      <c r="BF148" s="1723" t="str">
        <f t="shared" si="13"/>
        <v/>
      </c>
      <c r="BG148" s="1723" t="str">
        <f t="shared" si="14"/>
        <v/>
      </c>
      <c r="BH148" s="1723" t="e">
        <f t="shared" si="10"/>
        <v>#VALUE!</v>
      </c>
      <c r="BM148" s="1725">
        <f t="shared" si="15"/>
        <v>0</v>
      </c>
      <c r="BN148" s="1725">
        <f t="shared" si="16"/>
        <v>0</v>
      </c>
      <c r="BO148" s="1725" t="e">
        <f t="shared" si="11"/>
        <v>#VALUE!</v>
      </c>
    </row>
    <row r="149" spans="1:68" ht="15" customHeight="1" x14ac:dyDescent="0.3">
      <c r="A149" s="6261" t="s">
        <v>4768</v>
      </c>
      <c r="B149" s="3046" t="s">
        <v>2201</v>
      </c>
      <c r="C149" s="3191" t="s">
        <v>5292</v>
      </c>
      <c r="D149" s="1072" t="s">
        <v>5293</v>
      </c>
      <c r="E149" s="1073" t="s">
        <v>5294</v>
      </c>
      <c r="F149" s="1073" t="s">
        <v>5295</v>
      </c>
      <c r="G149" s="1073" t="s">
        <v>5296</v>
      </c>
      <c r="H149" s="1073" t="s">
        <v>5297</v>
      </c>
      <c r="I149" s="1073" t="s">
        <v>5298</v>
      </c>
      <c r="J149" s="1073" t="s">
        <v>5299</v>
      </c>
      <c r="K149" s="1073" t="s">
        <v>5300</v>
      </c>
      <c r="L149" s="1073" t="s">
        <v>5301</v>
      </c>
      <c r="M149" s="1073" t="s">
        <v>5302</v>
      </c>
      <c r="N149" s="1073" t="s">
        <v>5303</v>
      </c>
      <c r="O149" s="1073" t="s">
        <v>5304</v>
      </c>
      <c r="P149" s="1073" t="s">
        <v>5305</v>
      </c>
      <c r="Q149" s="1073" t="s">
        <v>5306</v>
      </c>
      <c r="R149" s="1073" t="s">
        <v>5307</v>
      </c>
      <c r="S149" s="1073" t="s">
        <v>5308</v>
      </c>
      <c r="T149" s="1061" t="s">
        <v>5309</v>
      </c>
      <c r="U149" s="3077" t="s">
        <v>5310</v>
      </c>
      <c r="V149" s="3077" t="s">
        <v>5311</v>
      </c>
      <c r="W149" t="e">
        <f t="shared" si="12"/>
        <v>#VALUE!</v>
      </c>
      <c r="BF149" s="1723" t="str">
        <f t="shared" si="13"/>
        <v/>
      </c>
      <c r="BG149" s="1723" t="str">
        <f t="shared" si="14"/>
        <v/>
      </c>
      <c r="BH149" s="1723" t="e">
        <f t="shared" si="10"/>
        <v>#VALUE!</v>
      </c>
      <c r="BM149" s="1725">
        <f t="shared" si="15"/>
        <v>0</v>
      </c>
      <c r="BN149" s="1725">
        <f t="shared" si="16"/>
        <v>0</v>
      </c>
      <c r="BO149" s="1725" t="e">
        <f t="shared" si="11"/>
        <v>#VALUE!</v>
      </c>
    </row>
    <row r="150" spans="1:68" ht="15" customHeight="1" x14ac:dyDescent="0.3">
      <c r="A150" s="6261" t="s">
        <v>4769</v>
      </c>
      <c r="B150" s="3046" t="s">
        <v>2202</v>
      </c>
      <c r="C150" s="3191" t="s">
        <v>5292</v>
      </c>
      <c r="D150" s="1072" t="s">
        <v>5293</v>
      </c>
      <c r="E150" s="1073" t="s">
        <v>5294</v>
      </c>
      <c r="F150" s="1073" t="s">
        <v>5295</v>
      </c>
      <c r="G150" s="1073" t="s">
        <v>5296</v>
      </c>
      <c r="H150" s="1073" t="s">
        <v>5297</v>
      </c>
      <c r="I150" s="1073" t="s">
        <v>5298</v>
      </c>
      <c r="J150" s="1073" t="s">
        <v>5299</v>
      </c>
      <c r="K150" s="1073" t="s">
        <v>5300</v>
      </c>
      <c r="L150" s="1073" t="s">
        <v>5301</v>
      </c>
      <c r="M150" s="1073" t="s">
        <v>5302</v>
      </c>
      <c r="N150" s="1073" t="s">
        <v>5303</v>
      </c>
      <c r="O150" s="1073" t="s">
        <v>5304</v>
      </c>
      <c r="P150" s="1073" t="s">
        <v>5305</v>
      </c>
      <c r="Q150" s="1073" t="s">
        <v>5306</v>
      </c>
      <c r="R150" s="1073" t="s">
        <v>5307</v>
      </c>
      <c r="S150" s="1073" t="s">
        <v>5308</v>
      </c>
      <c r="T150" s="1061" t="s">
        <v>5309</v>
      </c>
      <c r="U150" s="3077" t="s">
        <v>5310</v>
      </c>
      <c r="V150" s="3077" t="s">
        <v>5311</v>
      </c>
      <c r="W150" t="e">
        <f t="shared" si="12"/>
        <v>#VALUE!</v>
      </c>
      <c r="BF150" s="1723" t="str">
        <f t="shared" si="13"/>
        <v/>
      </c>
      <c r="BG150" s="1723" t="str">
        <f t="shared" si="14"/>
        <v/>
      </c>
      <c r="BH150" s="1723" t="e">
        <f t="shared" si="10"/>
        <v>#VALUE!</v>
      </c>
      <c r="BM150" s="1725">
        <f t="shared" si="15"/>
        <v>0</v>
      </c>
      <c r="BN150" s="1725">
        <f t="shared" si="16"/>
        <v>0</v>
      </c>
      <c r="BO150" s="1725" t="e">
        <f t="shared" si="11"/>
        <v>#VALUE!</v>
      </c>
    </row>
    <row r="151" spans="1:68" ht="15" customHeight="1" x14ac:dyDescent="0.3">
      <c r="A151" s="6261" t="s">
        <v>4770</v>
      </c>
      <c r="B151" s="3046" t="s">
        <v>2203</v>
      </c>
      <c r="C151" s="3191" t="s">
        <v>5292</v>
      </c>
      <c r="D151" s="1072" t="s">
        <v>5293</v>
      </c>
      <c r="E151" s="1073" t="s">
        <v>5294</v>
      </c>
      <c r="F151" s="1073" t="s">
        <v>5295</v>
      </c>
      <c r="G151" s="1073" t="s">
        <v>5296</v>
      </c>
      <c r="H151" s="1073" t="s">
        <v>5297</v>
      </c>
      <c r="I151" s="1073" t="s">
        <v>5298</v>
      </c>
      <c r="J151" s="1073" t="s">
        <v>5299</v>
      </c>
      <c r="K151" s="1073" t="s">
        <v>5300</v>
      </c>
      <c r="L151" s="1073" t="s">
        <v>5301</v>
      </c>
      <c r="M151" s="1073" t="s">
        <v>5302</v>
      </c>
      <c r="N151" s="1073" t="s">
        <v>5303</v>
      </c>
      <c r="O151" s="1073" t="s">
        <v>5304</v>
      </c>
      <c r="P151" s="1073" t="s">
        <v>5305</v>
      </c>
      <c r="Q151" s="1073" t="s">
        <v>5306</v>
      </c>
      <c r="R151" s="1073" t="s">
        <v>5307</v>
      </c>
      <c r="S151" s="1073" t="s">
        <v>5308</v>
      </c>
      <c r="T151" s="1061" t="s">
        <v>5309</v>
      </c>
      <c r="U151" s="3077" t="s">
        <v>5310</v>
      </c>
      <c r="V151" s="3077" t="s">
        <v>5311</v>
      </c>
      <c r="W151" t="e">
        <f t="shared" si="12"/>
        <v>#VALUE!</v>
      </c>
      <c r="BF151" s="1723" t="str">
        <f t="shared" si="13"/>
        <v/>
      </c>
      <c r="BG151" s="1723" t="str">
        <f t="shared" si="14"/>
        <v/>
      </c>
      <c r="BH151" s="1723" t="e">
        <f t="shared" si="10"/>
        <v>#VALUE!</v>
      </c>
      <c r="BM151" s="1725">
        <f t="shared" si="15"/>
        <v>0</v>
      </c>
      <c r="BN151" s="1725">
        <f t="shared" si="16"/>
        <v>0</v>
      </c>
      <c r="BO151" s="1725" t="e">
        <f t="shared" si="11"/>
        <v>#VALUE!</v>
      </c>
    </row>
    <row r="152" spans="1:68" ht="15" customHeight="1" x14ac:dyDescent="0.3">
      <c r="A152" s="6261" t="s">
        <v>4771</v>
      </c>
      <c r="B152" s="3046" t="s">
        <v>2204</v>
      </c>
      <c r="C152" s="3191" t="s">
        <v>5292</v>
      </c>
      <c r="D152" s="1072" t="s">
        <v>5293</v>
      </c>
      <c r="E152" s="1073" t="s">
        <v>5294</v>
      </c>
      <c r="F152" s="1073" t="s">
        <v>5295</v>
      </c>
      <c r="G152" s="1073" t="s">
        <v>5296</v>
      </c>
      <c r="H152" s="1073" t="s">
        <v>5297</v>
      </c>
      <c r="I152" s="1073" t="s">
        <v>5298</v>
      </c>
      <c r="J152" s="1073" t="s">
        <v>5299</v>
      </c>
      <c r="K152" s="1073" t="s">
        <v>5300</v>
      </c>
      <c r="L152" s="1073" t="s">
        <v>5301</v>
      </c>
      <c r="M152" s="1073" t="s">
        <v>5302</v>
      </c>
      <c r="N152" s="1073" t="s">
        <v>5303</v>
      </c>
      <c r="O152" s="1073" t="s">
        <v>5304</v>
      </c>
      <c r="P152" s="1073" t="s">
        <v>5305</v>
      </c>
      <c r="Q152" s="1073" t="s">
        <v>5306</v>
      </c>
      <c r="R152" s="1073" t="s">
        <v>5307</v>
      </c>
      <c r="S152" s="1073" t="s">
        <v>5308</v>
      </c>
      <c r="T152" s="1061" t="s">
        <v>5309</v>
      </c>
      <c r="U152" s="3077" t="s">
        <v>5310</v>
      </c>
      <c r="V152" s="3077" t="s">
        <v>5311</v>
      </c>
      <c r="W152" t="e">
        <f t="shared" si="12"/>
        <v>#VALUE!</v>
      </c>
      <c r="BF152" s="1723" t="str">
        <f t="shared" si="13"/>
        <v/>
      </c>
      <c r="BG152" s="1723" t="str">
        <f t="shared" si="14"/>
        <v/>
      </c>
      <c r="BH152" s="1723" t="e">
        <f t="shared" si="10"/>
        <v>#VALUE!</v>
      </c>
      <c r="BM152" s="1725">
        <f t="shared" si="15"/>
        <v>0</v>
      </c>
      <c r="BN152" s="1725">
        <f t="shared" si="16"/>
        <v>0</v>
      </c>
      <c r="BO152" s="1725" t="e">
        <f t="shared" si="11"/>
        <v>#VALUE!</v>
      </c>
    </row>
    <row r="153" spans="1:68" ht="15" customHeight="1" x14ac:dyDescent="0.3">
      <c r="A153" s="6261" t="s">
        <v>4772</v>
      </c>
      <c r="B153" s="3046" t="s">
        <v>2205</v>
      </c>
      <c r="C153" s="4684" t="s">
        <v>5292</v>
      </c>
      <c r="D153" s="1072" t="s">
        <v>5293</v>
      </c>
      <c r="E153" s="1073" t="s">
        <v>5294</v>
      </c>
      <c r="F153" s="1073" t="s">
        <v>5295</v>
      </c>
      <c r="G153" s="1073" t="s">
        <v>5296</v>
      </c>
      <c r="H153" s="1073" t="s">
        <v>5297</v>
      </c>
      <c r="I153" s="1073" t="s">
        <v>5298</v>
      </c>
      <c r="J153" s="1073" t="s">
        <v>5299</v>
      </c>
      <c r="K153" s="1073" t="s">
        <v>5300</v>
      </c>
      <c r="L153" s="1073" t="s">
        <v>5301</v>
      </c>
      <c r="M153" s="1073" t="s">
        <v>5302</v>
      </c>
      <c r="N153" s="1073" t="s">
        <v>5303</v>
      </c>
      <c r="O153" s="1073" t="s">
        <v>5304</v>
      </c>
      <c r="P153" s="1073" t="s">
        <v>5305</v>
      </c>
      <c r="Q153" s="1073" t="s">
        <v>5306</v>
      </c>
      <c r="R153" s="1073" t="s">
        <v>5307</v>
      </c>
      <c r="S153" s="1073" t="s">
        <v>5308</v>
      </c>
      <c r="T153" s="1061" t="s">
        <v>5309</v>
      </c>
      <c r="U153" s="3077" t="s">
        <v>5310</v>
      </c>
      <c r="V153" s="3077" t="s">
        <v>5311</v>
      </c>
      <c r="W153" t="e">
        <f t="shared" si="12"/>
        <v>#VALUE!</v>
      </c>
      <c r="BF153" s="1723" t="str">
        <f t="shared" si="13"/>
        <v/>
      </c>
      <c r="BG153" s="1723" t="str">
        <f t="shared" si="14"/>
        <v/>
      </c>
      <c r="BH153" s="1723" t="e">
        <f t="shared" si="10"/>
        <v>#VALUE!</v>
      </c>
      <c r="BM153" s="1725">
        <f t="shared" si="15"/>
        <v>0</v>
      </c>
      <c r="BN153" s="1725">
        <f t="shared" si="16"/>
        <v>0</v>
      </c>
      <c r="BO153" s="1725" t="e">
        <f t="shared" si="11"/>
        <v>#VALUE!</v>
      </c>
    </row>
    <row r="154" spans="1:68" ht="15" customHeight="1" x14ac:dyDescent="0.3">
      <c r="A154" s="6261" t="s">
        <v>4773</v>
      </c>
      <c r="B154" s="5085" t="s">
        <v>2206</v>
      </c>
      <c r="C154" s="1677" t="s">
        <v>5292</v>
      </c>
      <c r="D154" s="5090" t="s">
        <v>5293</v>
      </c>
      <c r="E154" s="2411" t="s">
        <v>5294</v>
      </c>
      <c r="F154" s="2411" t="s">
        <v>5295</v>
      </c>
      <c r="G154" s="2411" t="s">
        <v>5296</v>
      </c>
      <c r="H154" s="2411" t="s">
        <v>5297</v>
      </c>
      <c r="I154" s="2411" t="s">
        <v>5298</v>
      </c>
      <c r="J154" s="2411" t="s">
        <v>5299</v>
      </c>
      <c r="K154" s="2411" t="s">
        <v>5300</v>
      </c>
      <c r="L154" s="2411" t="s">
        <v>5301</v>
      </c>
      <c r="M154" s="2411" t="s">
        <v>5302</v>
      </c>
      <c r="N154" s="2411" t="s">
        <v>5303</v>
      </c>
      <c r="O154" s="2411" t="s">
        <v>5304</v>
      </c>
      <c r="P154" s="2411" t="s">
        <v>5305</v>
      </c>
      <c r="Q154" s="2411" t="s">
        <v>5306</v>
      </c>
      <c r="R154" s="2411" t="s">
        <v>5307</v>
      </c>
      <c r="S154" s="2411" t="s">
        <v>5308</v>
      </c>
      <c r="T154" s="2412" t="s">
        <v>5309</v>
      </c>
      <c r="U154" s="5091" t="s">
        <v>5310</v>
      </c>
      <c r="V154" s="5091" t="s">
        <v>5311</v>
      </c>
      <c r="W154" t="e">
        <f t="shared" si="12"/>
        <v>#VALUE!</v>
      </c>
      <c r="BF154" s="1723" t="str">
        <f t="shared" si="13"/>
        <v/>
      </c>
      <c r="BG154" s="1723" t="str">
        <f t="shared" si="14"/>
        <v/>
      </c>
      <c r="BH154" s="1723" t="e">
        <f t="shared" si="10"/>
        <v>#VALUE!</v>
      </c>
      <c r="BM154" s="1725">
        <f t="shared" si="15"/>
        <v>0</v>
      </c>
      <c r="BN154" s="1725">
        <f t="shared" si="16"/>
        <v>0</v>
      </c>
      <c r="BO154" s="1725" t="e">
        <f t="shared" si="11"/>
        <v>#VALUE!</v>
      </c>
    </row>
    <row r="155" spans="1:68" ht="15" customHeight="1" x14ac:dyDescent="0.3">
      <c r="A155" s="6238"/>
      <c r="B155" s="5092" t="s">
        <v>47</v>
      </c>
      <c r="C155" s="5054">
        <f>SUM(C139:C154)</f>
        <v>0</v>
      </c>
      <c r="D155" s="5059">
        <f t="shared" ref="D155:U155" si="17">SUM(D139:D154)</f>
        <v>0</v>
      </c>
      <c r="E155" s="2396">
        <f t="shared" si="17"/>
        <v>0</v>
      </c>
      <c r="F155" s="2396">
        <f t="shared" si="17"/>
        <v>0</v>
      </c>
      <c r="G155" s="2396">
        <f t="shared" si="17"/>
        <v>0</v>
      </c>
      <c r="H155" s="2396">
        <f t="shared" si="17"/>
        <v>0</v>
      </c>
      <c r="I155" s="2396">
        <f>SUM(I139:I154)</f>
        <v>0</v>
      </c>
      <c r="J155" s="2396">
        <f t="shared" si="17"/>
        <v>0</v>
      </c>
      <c r="K155" s="2396">
        <f t="shared" si="17"/>
        <v>0</v>
      </c>
      <c r="L155" s="2396">
        <f t="shared" si="17"/>
        <v>0</v>
      </c>
      <c r="M155" s="2396">
        <f t="shared" si="17"/>
        <v>0</v>
      </c>
      <c r="N155" s="2396">
        <f t="shared" si="17"/>
        <v>0</v>
      </c>
      <c r="O155" s="2396">
        <f t="shared" si="17"/>
        <v>0</v>
      </c>
      <c r="P155" s="2396">
        <f t="shared" si="17"/>
        <v>0</v>
      </c>
      <c r="Q155" s="2396">
        <f t="shared" si="17"/>
        <v>0</v>
      </c>
      <c r="R155" s="2396">
        <f t="shared" si="17"/>
        <v>0</v>
      </c>
      <c r="S155" s="2396">
        <f t="shared" si="17"/>
        <v>0</v>
      </c>
      <c r="T155" s="2728">
        <f t="shared" si="17"/>
        <v>0</v>
      </c>
      <c r="U155" s="5085">
        <f t="shared" si="17"/>
        <v>0</v>
      </c>
      <c r="V155" s="5085">
        <f>SUM(V139:V154)</f>
        <v>0</v>
      </c>
    </row>
    <row r="156" spans="1:68" s="17" customFormat="1" ht="18" customHeight="1" x14ac:dyDescent="0.25">
      <c r="B156" s="5062" t="s">
        <v>2207</v>
      </c>
      <c r="C156" s="5093"/>
      <c r="D156" s="5093"/>
      <c r="E156" s="5093"/>
      <c r="F156" s="5093"/>
      <c r="G156" s="509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</row>
    <row r="157" spans="1:68" x14ac:dyDescent="0.3">
      <c r="B157" s="7147" t="s">
        <v>61</v>
      </c>
      <c r="C157" s="7148"/>
      <c r="D157" s="7147" t="s">
        <v>47</v>
      </c>
      <c r="E157" s="6752"/>
      <c r="F157" s="7148"/>
      <c r="G157" s="6331" t="s">
        <v>30</v>
      </c>
      <c r="H157" s="6347"/>
      <c r="I157" s="6347"/>
      <c r="J157" s="6347"/>
      <c r="K157" s="6347"/>
      <c r="L157" s="6347"/>
      <c r="M157" s="6347"/>
      <c r="N157" s="6347"/>
      <c r="O157" s="6347"/>
      <c r="P157" s="6347"/>
      <c r="Q157" s="6347"/>
      <c r="R157" s="6347"/>
      <c r="S157" s="6347"/>
      <c r="T157" s="6347"/>
      <c r="U157" s="6347"/>
      <c r="V157" s="6347"/>
      <c r="W157" s="6347"/>
      <c r="X157" s="6347"/>
      <c r="Y157" s="6347"/>
      <c r="Z157" s="6347"/>
      <c r="AA157" s="6347"/>
      <c r="AB157" s="6347"/>
      <c r="AC157" s="6347"/>
      <c r="AD157" s="6347"/>
      <c r="AE157" s="6347"/>
      <c r="AF157" s="6347"/>
      <c r="AG157" s="6347"/>
      <c r="AH157" s="6347"/>
      <c r="AI157" s="6347"/>
      <c r="AJ157" s="6347"/>
      <c r="AK157" s="6347"/>
      <c r="AL157" s="6347"/>
      <c r="AM157" s="6347"/>
      <c r="AN157" s="7143"/>
      <c r="AO157" s="7101" t="s">
        <v>67</v>
      </c>
      <c r="AP157" s="7101" t="s">
        <v>245</v>
      </c>
      <c r="AQ157" s="6365" t="s">
        <v>2</v>
      </c>
      <c r="AR157" s="7101" t="s">
        <v>3</v>
      </c>
    </row>
    <row r="158" spans="1:68" x14ac:dyDescent="0.3">
      <c r="B158" s="6626"/>
      <c r="C158" s="6627"/>
      <c r="D158" s="7149"/>
      <c r="E158" s="7151"/>
      <c r="F158" s="7150"/>
      <c r="G158" s="6358" t="s">
        <v>36</v>
      </c>
      <c r="H158" s="6335"/>
      <c r="I158" s="6358" t="s">
        <v>37</v>
      </c>
      <c r="J158" s="6335"/>
      <c r="K158" s="6358" t="s">
        <v>38</v>
      </c>
      <c r="L158" s="6335"/>
      <c r="M158" s="6358" t="s">
        <v>4</v>
      </c>
      <c r="N158" s="6335"/>
      <c r="O158" s="6358" t="s">
        <v>5</v>
      </c>
      <c r="P158" s="6335"/>
      <c r="Q158" s="6331" t="s">
        <v>6</v>
      </c>
      <c r="R158" s="6332"/>
      <c r="S158" s="6331" t="s">
        <v>7</v>
      </c>
      <c r="T158" s="6332"/>
      <c r="U158" s="6331" t="s">
        <v>8</v>
      </c>
      <c r="V158" s="6332"/>
      <c r="W158" s="6331" t="s">
        <v>9</v>
      </c>
      <c r="X158" s="6332"/>
      <c r="Y158" s="6331" t="s">
        <v>10</v>
      </c>
      <c r="Z158" s="6332"/>
      <c r="AA158" s="6331" t="s">
        <v>11</v>
      </c>
      <c r="AB158" s="6332"/>
      <c r="AC158" s="6331" t="s">
        <v>18</v>
      </c>
      <c r="AD158" s="6332"/>
      <c r="AE158" s="6331" t="s">
        <v>19</v>
      </c>
      <c r="AF158" s="6332"/>
      <c r="AG158" s="6331" t="s">
        <v>20</v>
      </c>
      <c r="AH158" s="6332"/>
      <c r="AI158" s="6331" t="s">
        <v>70</v>
      </c>
      <c r="AJ158" s="6332"/>
      <c r="AK158" s="6331" t="s">
        <v>71</v>
      </c>
      <c r="AL158" s="6332"/>
      <c r="AM158" s="6331" t="s">
        <v>32</v>
      </c>
      <c r="AN158" s="7143"/>
      <c r="AO158" s="6324"/>
      <c r="AP158" s="6324"/>
      <c r="AQ158" s="7108"/>
      <c r="AR158" s="6324"/>
    </row>
    <row r="159" spans="1:68" x14ac:dyDescent="0.3">
      <c r="B159" s="7149"/>
      <c r="C159" s="7150"/>
      <c r="D159" s="4622" t="s">
        <v>26</v>
      </c>
      <c r="E159" s="4724" t="s">
        <v>22</v>
      </c>
      <c r="F159" s="4689" t="s">
        <v>27</v>
      </c>
      <c r="G159" s="5587" t="s">
        <v>22</v>
      </c>
      <c r="H159" s="5875" t="s">
        <v>27</v>
      </c>
      <c r="I159" s="5587" t="s">
        <v>22</v>
      </c>
      <c r="J159" s="5875" t="s">
        <v>27</v>
      </c>
      <c r="K159" s="5587" t="s">
        <v>22</v>
      </c>
      <c r="L159" s="5875" t="s">
        <v>27</v>
      </c>
      <c r="M159" s="5587" t="s">
        <v>22</v>
      </c>
      <c r="N159" s="5875" t="s">
        <v>27</v>
      </c>
      <c r="O159" s="5587" t="s">
        <v>22</v>
      </c>
      <c r="P159" s="5875" t="s">
        <v>27</v>
      </c>
      <c r="Q159" s="5587" t="s">
        <v>22</v>
      </c>
      <c r="R159" s="5875" t="s">
        <v>27</v>
      </c>
      <c r="S159" s="5587" t="s">
        <v>22</v>
      </c>
      <c r="T159" s="5875" t="s">
        <v>27</v>
      </c>
      <c r="U159" s="5587" t="s">
        <v>22</v>
      </c>
      <c r="V159" s="5875" t="s">
        <v>27</v>
      </c>
      <c r="W159" s="5587" t="s">
        <v>22</v>
      </c>
      <c r="X159" s="5875" t="s">
        <v>27</v>
      </c>
      <c r="Y159" s="5587" t="s">
        <v>22</v>
      </c>
      <c r="Z159" s="5875" t="s">
        <v>27</v>
      </c>
      <c r="AA159" s="5587" t="s">
        <v>22</v>
      </c>
      <c r="AB159" s="5875" t="s">
        <v>27</v>
      </c>
      <c r="AC159" s="5587" t="s">
        <v>22</v>
      </c>
      <c r="AD159" s="5875" t="s">
        <v>27</v>
      </c>
      <c r="AE159" s="5587" t="s">
        <v>22</v>
      </c>
      <c r="AF159" s="5875" t="s">
        <v>27</v>
      </c>
      <c r="AG159" s="5587" t="s">
        <v>22</v>
      </c>
      <c r="AH159" s="5875" t="s">
        <v>27</v>
      </c>
      <c r="AI159" s="5587" t="s">
        <v>22</v>
      </c>
      <c r="AJ159" s="5875" t="s">
        <v>27</v>
      </c>
      <c r="AK159" s="5587" t="s">
        <v>22</v>
      </c>
      <c r="AL159" s="5875" t="s">
        <v>27</v>
      </c>
      <c r="AM159" s="5587" t="s">
        <v>22</v>
      </c>
      <c r="AN159" s="5876" t="s">
        <v>27</v>
      </c>
      <c r="AO159" s="7146"/>
      <c r="AP159" s="7146"/>
      <c r="AQ159" s="6366"/>
      <c r="AR159" s="7146"/>
    </row>
    <row r="160" spans="1:68" x14ac:dyDescent="0.3">
      <c r="A160" s="6258" t="s">
        <v>4774</v>
      </c>
      <c r="B160" s="7144" t="s">
        <v>76</v>
      </c>
      <c r="C160" s="7145"/>
      <c r="D160" s="5025" t="s">
        <v>5292</v>
      </c>
      <c r="E160" s="5094" t="s">
        <v>5293</v>
      </c>
      <c r="F160" s="5095" t="s">
        <v>5294</v>
      </c>
      <c r="G160" s="5423" t="s">
        <v>5295</v>
      </c>
      <c r="H160" s="5877" t="s">
        <v>5296</v>
      </c>
      <c r="I160" s="5423" t="s">
        <v>5297</v>
      </c>
      <c r="J160" s="5877" t="s">
        <v>5298</v>
      </c>
      <c r="K160" s="5423" t="s">
        <v>5299</v>
      </c>
      <c r="L160" s="5428" t="s">
        <v>5300</v>
      </c>
      <c r="M160" s="5423" t="s">
        <v>5301</v>
      </c>
      <c r="N160" s="5428" t="s">
        <v>5302</v>
      </c>
      <c r="O160" s="5423" t="s">
        <v>5303</v>
      </c>
      <c r="P160" s="5428" t="s">
        <v>5304</v>
      </c>
      <c r="Q160" s="5423" t="s">
        <v>5305</v>
      </c>
      <c r="R160" s="5428" t="s">
        <v>5306</v>
      </c>
      <c r="S160" s="5423" t="s">
        <v>5307</v>
      </c>
      <c r="T160" s="5428" t="s">
        <v>5308</v>
      </c>
      <c r="U160" s="5423" t="s">
        <v>5309</v>
      </c>
      <c r="V160" s="5428" t="s">
        <v>5310</v>
      </c>
      <c r="W160" s="5423" t="s">
        <v>5311</v>
      </c>
      <c r="X160" s="5428" t="s">
        <v>5312</v>
      </c>
      <c r="Y160" s="5423" t="s">
        <v>5313</v>
      </c>
      <c r="Z160" s="5428" t="s">
        <v>5314</v>
      </c>
      <c r="AA160" s="5423" t="s">
        <v>5315</v>
      </c>
      <c r="AB160" s="5428" t="s">
        <v>5316</v>
      </c>
      <c r="AC160" s="5423" t="s">
        <v>5317</v>
      </c>
      <c r="AD160" s="5428" t="s">
        <v>5318</v>
      </c>
      <c r="AE160" s="5423" t="s">
        <v>5319</v>
      </c>
      <c r="AF160" s="5428" t="s">
        <v>5320</v>
      </c>
      <c r="AG160" s="5423" t="s">
        <v>5321</v>
      </c>
      <c r="AH160" s="5428" t="s">
        <v>5322</v>
      </c>
      <c r="AI160" s="5423" t="s">
        <v>5323</v>
      </c>
      <c r="AJ160" s="5428" t="s">
        <v>5324</v>
      </c>
      <c r="AK160" s="5423" t="s">
        <v>5325</v>
      </c>
      <c r="AL160" s="5428" t="s">
        <v>5326</v>
      </c>
      <c r="AM160" s="5878" t="s">
        <v>5327</v>
      </c>
      <c r="AN160" s="5432" t="s">
        <v>5328</v>
      </c>
      <c r="AO160" s="5096" t="s">
        <v>5329</v>
      </c>
      <c r="AP160" s="5100" t="s">
        <v>5330</v>
      </c>
      <c r="AQ160" s="5346" t="s">
        <v>5331</v>
      </c>
      <c r="AR160" s="5096" t="s">
        <v>5332</v>
      </c>
      <c r="AS160" t="str">
        <f>BF160&amp;BG160&amp;BH160&amp;BI160&amp;BJ160</f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0" s="2465" t="str">
        <f>IF(AND(D160&gt;0,AO160="")," * No olvide digitar la variable Beneficiarios. Digite Cero si no tiene.",IF(AO160&gt;D160," *   La variable Beneficiarios No puede ser mayor al Total.",""))</f>
        <v xml:space="preserve"> *   La variable Beneficiarios No puede ser mayor al Total.</v>
      </c>
      <c r="BG160" s="2465" t="str">
        <f>IF(AND(D160&gt;0,AP160="")," * No olvide digitar la variable Total de Controles. Digite Cero si no tiene.",IF(AP160&gt;D160,"  * La variable Total de Controles No puede ser mayor al Total.",""))</f>
        <v xml:space="preserve">  * La variable Total de Controles No puede ser mayor al Total.</v>
      </c>
      <c r="BH160" s="2465" t="str">
        <f>IF(AND(D160&gt;0,AQ160="")," * No olvide digitar la variable Pueblos Originarios. Digite Cero si no tiene.",IF(AQ160&gt;D160," *  * La variable Pueblos Originarios No puede ser mayor al Total.",""))</f>
        <v xml:space="preserve"> *  * La variable Pueblos Originarios No puede ser mayor al Total.</v>
      </c>
      <c r="BI160" s="2465" t="str">
        <f>IF(AND(D160&gt;0,AR160="")," * No olvide digitar la variable Migrantes. Digite Cero si no tiene.",IF(AR160&gt;D160," *  * La variable Migrantes No puede ser mayor al Total.",""))</f>
        <v xml:space="preserve"> *  * La variable Migrantes No puede ser mayor al Total.</v>
      </c>
      <c r="BJ160" s="170"/>
      <c r="BK160" s="170"/>
      <c r="BM160" s="1725">
        <f>IF(AND(D160&gt;0,AO160=""),1,IF(AO160&gt;D160,1,0))</f>
        <v>1</v>
      </c>
      <c r="BN160" s="1725">
        <f>IF(AND(D160&gt;0,AP160=""),1,IF(AP160&gt;D160,1,0))</f>
        <v>1</v>
      </c>
      <c r="BO160" s="1725">
        <f>IF(AND(D160&gt;0,AQ160=""),1,IF(AQ160&gt;D160,1,0))</f>
        <v>1</v>
      </c>
      <c r="BP160" s="1725">
        <f>IF(AND(D160&gt;0,AR160=""),1,IF(AR160&gt;D160,1,0))</f>
        <v>1</v>
      </c>
    </row>
    <row r="161" spans="1:72" x14ac:dyDescent="0.3">
      <c r="A161" s="6258" t="s">
        <v>4775</v>
      </c>
      <c r="B161" s="7107" t="s">
        <v>77</v>
      </c>
      <c r="C161" s="5049" t="s">
        <v>246</v>
      </c>
      <c r="D161" s="145" t="s">
        <v>5292</v>
      </c>
      <c r="E161" s="5102" t="s">
        <v>5293</v>
      </c>
      <c r="F161" s="5021" t="s">
        <v>5294</v>
      </c>
      <c r="G161" s="5879" t="s">
        <v>5295</v>
      </c>
      <c r="H161" s="5880" t="s">
        <v>5296</v>
      </c>
      <c r="I161" s="5879" t="s">
        <v>5297</v>
      </c>
      <c r="J161" s="5880" t="s">
        <v>5298</v>
      </c>
      <c r="K161" s="5879" t="s">
        <v>5299</v>
      </c>
      <c r="L161" s="5748" t="s">
        <v>5300</v>
      </c>
      <c r="M161" s="5879" t="s">
        <v>5301</v>
      </c>
      <c r="N161" s="5748" t="s">
        <v>5302</v>
      </c>
      <c r="O161" s="5879" t="s">
        <v>5303</v>
      </c>
      <c r="P161" s="5748" t="s">
        <v>5304</v>
      </c>
      <c r="Q161" s="5879" t="s">
        <v>5305</v>
      </c>
      <c r="R161" s="5748" t="s">
        <v>5306</v>
      </c>
      <c r="S161" s="5879" t="s">
        <v>5307</v>
      </c>
      <c r="T161" s="5748" t="s">
        <v>5308</v>
      </c>
      <c r="U161" s="5879" t="s">
        <v>5309</v>
      </c>
      <c r="V161" s="5748" t="s">
        <v>5310</v>
      </c>
      <c r="W161" s="5879" t="s">
        <v>5311</v>
      </c>
      <c r="X161" s="5748" t="s">
        <v>5312</v>
      </c>
      <c r="Y161" s="5879" t="s">
        <v>5313</v>
      </c>
      <c r="Z161" s="5748" t="s">
        <v>5314</v>
      </c>
      <c r="AA161" s="5879" t="s">
        <v>5315</v>
      </c>
      <c r="AB161" s="5748" t="s">
        <v>5316</v>
      </c>
      <c r="AC161" s="5879" t="s">
        <v>5317</v>
      </c>
      <c r="AD161" s="5748" t="s">
        <v>5318</v>
      </c>
      <c r="AE161" s="5879" t="s">
        <v>5319</v>
      </c>
      <c r="AF161" s="5748" t="s">
        <v>5320</v>
      </c>
      <c r="AG161" s="5879" t="s">
        <v>5321</v>
      </c>
      <c r="AH161" s="5748" t="s">
        <v>5322</v>
      </c>
      <c r="AI161" s="5879" t="s">
        <v>5323</v>
      </c>
      <c r="AJ161" s="5748" t="s">
        <v>5324</v>
      </c>
      <c r="AK161" s="5879" t="s">
        <v>5325</v>
      </c>
      <c r="AL161" s="5748" t="s">
        <v>5326</v>
      </c>
      <c r="AM161" s="5879" t="s">
        <v>5327</v>
      </c>
      <c r="AN161" s="5881" t="s">
        <v>5328</v>
      </c>
      <c r="AO161" s="4685" t="s">
        <v>5329</v>
      </c>
      <c r="AP161" s="5103" t="s">
        <v>5330</v>
      </c>
      <c r="AQ161" s="5663" t="s">
        <v>5331</v>
      </c>
      <c r="AR161" s="4685" t="s">
        <v>5332</v>
      </c>
      <c r="AS161" t="str">
        <f t="shared" ref="AS161:AS170" si="18">BF161&amp;BG161&amp;BH161&amp;BI161&amp;BJ161</f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1" s="2465" t="str">
        <f t="shared" ref="BF161:BF170" si="19">IF(AND(D161&gt;0,AO161="")," * No olvide digitar la variable Beneficiarios. Digite Cero si no tiene.",IF(AO161&gt;D161," *   La variable Beneficiarios No puede ser mayor al Total.",""))</f>
        <v xml:space="preserve"> *   La variable Beneficiarios No puede ser mayor al Total.</v>
      </c>
      <c r="BG161" s="2465" t="str">
        <f t="shared" ref="BG161:BG170" si="20">IF(AND(D161&gt;0,AP161="")," * No olvide digitar la variable Total de Controles. Digite Cero si no tiene.",IF(AP161&gt;D161,"  * La variable Total de Controles No puede ser mayor al Total.",""))</f>
        <v xml:space="preserve">  * La variable Total de Controles No puede ser mayor al Total.</v>
      </c>
      <c r="BH161" s="2465" t="str">
        <f t="shared" ref="BH161:BH170" si="21">IF(AND(D161&gt;0,AQ161="")," * No olvide digitar la variable Pueblos Originarios. Digite Cero si no tiene.",IF(AQ161&gt;D161," *  * La variable Pueblos Originarios No puede ser mayor al Total.",""))</f>
        <v xml:space="preserve"> *  * La variable Pueblos Originarios No puede ser mayor al Total.</v>
      </c>
      <c r="BI161" s="2465" t="str">
        <f t="shared" ref="BI161:BI170" si="22">IF(AND(D161&gt;0,AR161="")," * No olvide digitar la variable Migrantes. Digite Cero si no tiene.",IF(AR161&gt;D161," *  * La variable Migrantes No puede ser mayor al Total.",""))</f>
        <v xml:space="preserve"> *  * La variable Migrantes No puede ser mayor al Total.</v>
      </c>
      <c r="BJ161" s="170"/>
      <c r="BK161" s="170"/>
      <c r="BM161" s="1725">
        <f t="shared" ref="BM161:BM170" si="23">IF(AND(D161&gt;0,AO161=""),1,IF(AO161&gt;D161,1,0))</f>
        <v>1</v>
      </c>
      <c r="BN161" s="1725">
        <f t="shared" ref="BN161:BN170" si="24">IF(AND(D161&gt;0,AP161=""),1,IF(AP161&gt;D161,1,0))</f>
        <v>1</v>
      </c>
      <c r="BO161" s="1725">
        <f t="shared" ref="BO161:BO170" si="25">IF(AND(D161&gt;0,AQ161=""),1,IF(AQ161&gt;D161,1,0))</f>
        <v>1</v>
      </c>
      <c r="BP161" s="1725">
        <f t="shared" ref="BP161:BP170" si="26">IF(AND(D161&gt;0,AR161=""),1,IF(AR161&gt;D161,1,0))</f>
        <v>1</v>
      </c>
    </row>
    <row r="162" spans="1:72" x14ac:dyDescent="0.3">
      <c r="A162" s="6258" t="s">
        <v>4776</v>
      </c>
      <c r="B162" s="7108"/>
      <c r="C162" s="3046" t="s">
        <v>2208</v>
      </c>
      <c r="D162" s="145" t="s">
        <v>5292</v>
      </c>
      <c r="E162" s="5104" t="s">
        <v>5293</v>
      </c>
      <c r="F162" s="1926" t="s">
        <v>5294</v>
      </c>
      <c r="G162" s="897" t="s">
        <v>5295</v>
      </c>
      <c r="H162" s="5882" t="s">
        <v>5296</v>
      </c>
      <c r="I162" s="897" t="s">
        <v>5297</v>
      </c>
      <c r="J162" s="5882" t="s">
        <v>5298</v>
      </c>
      <c r="K162" s="897" t="s">
        <v>5299</v>
      </c>
      <c r="L162" s="5047" t="s">
        <v>5300</v>
      </c>
      <c r="M162" s="897" t="s">
        <v>5301</v>
      </c>
      <c r="N162" s="5047" t="s">
        <v>5302</v>
      </c>
      <c r="O162" s="897" t="s">
        <v>5303</v>
      </c>
      <c r="P162" s="5047" t="s">
        <v>5304</v>
      </c>
      <c r="Q162" s="897" t="s">
        <v>5305</v>
      </c>
      <c r="R162" s="5047" t="s">
        <v>5306</v>
      </c>
      <c r="S162" s="897" t="s">
        <v>5307</v>
      </c>
      <c r="T162" s="5047" t="s">
        <v>5308</v>
      </c>
      <c r="U162" s="897" t="s">
        <v>5309</v>
      </c>
      <c r="V162" s="5047" t="s">
        <v>5310</v>
      </c>
      <c r="W162" s="897" t="s">
        <v>5311</v>
      </c>
      <c r="X162" s="5047" t="s">
        <v>5312</v>
      </c>
      <c r="Y162" s="897" t="s">
        <v>5313</v>
      </c>
      <c r="Z162" s="5047" t="s">
        <v>5314</v>
      </c>
      <c r="AA162" s="897" t="s">
        <v>5315</v>
      </c>
      <c r="AB162" s="5047" t="s">
        <v>5316</v>
      </c>
      <c r="AC162" s="897" t="s">
        <v>5317</v>
      </c>
      <c r="AD162" s="5047" t="s">
        <v>5318</v>
      </c>
      <c r="AE162" s="897" t="s">
        <v>5319</v>
      </c>
      <c r="AF162" s="5047" t="s">
        <v>5320</v>
      </c>
      <c r="AG162" s="897" t="s">
        <v>5321</v>
      </c>
      <c r="AH162" s="5047" t="s">
        <v>5322</v>
      </c>
      <c r="AI162" s="897" t="s">
        <v>5323</v>
      </c>
      <c r="AJ162" s="5047" t="s">
        <v>5324</v>
      </c>
      <c r="AK162" s="897" t="s">
        <v>5325</v>
      </c>
      <c r="AL162" s="5047" t="s">
        <v>5326</v>
      </c>
      <c r="AM162" s="5883" t="s">
        <v>5327</v>
      </c>
      <c r="AN162" s="5106" t="s">
        <v>5328</v>
      </c>
      <c r="AO162" s="4424" t="s">
        <v>5329</v>
      </c>
      <c r="AP162" s="148" t="s">
        <v>5330</v>
      </c>
      <c r="AQ162" s="784" t="s">
        <v>5331</v>
      </c>
      <c r="AR162" s="4424" t="s">
        <v>5332</v>
      </c>
      <c r="AS162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2" s="2465" t="str">
        <f t="shared" si="19"/>
        <v xml:space="preserve"> *   La variable Beneficiarios No puede ser mayor al Total.</v>
      </c>
      <c r="BG162" s="2465" t="str">
        <f t="shared" si="20"/>
        <v xml:space="preserve">  * La variable Total de Controles No puede ser mayor al Total.</v>
      </c>
      <c r="BH162" s="2465" t="str">
        <f t="shared" si="21"/>
        <v xml:space="preserve"> *  * La variable Pueblos Originarios No puede ser mayor al Total.</v>
      </c>
      <c r="BI162" s="2465" t="str">
        <f t="shared" si="22"/>
        <v xml:space="preserve"> *  * La variable Migrantes No puede ser mayor al Total.</v>
      </c>
      <c r="BJ162" s="170"/>
      <c r="BK162" s="170"/>
      <c r="BM162" s="1725">
        <f t="shared" si="23"/>
        <v>1</v>
      </c>
      <c r="BN162" s="1725">
        <f t="shared" si="24"/>
        <v>1</v>
      </c>
      <c r="BO162" s="1725">
        <f t="shared" si="25"/>
        <v>1</v>
      </c>
      <c r="BP162" s="1725">
        <f t="shared" si="26"/>
        <v>1</v>
      </c>
    </row>
    <row r="163" spans="1:72" x14ac:dyDescent="0.3">
      <c r="A163" s="6258" t="s">
        <v>4777</v>
      </c>
      <c r="B163" s="7108"/>
      <c r="C163" s="3549" t="s">
        <v>2209</v>
      </c>
      <c r="D163" s="1037" t="s">
        <v>5292</v>
      </c>
      <c r="E163" s="1927" t="s">
        <v>5293</v>
      </c>
      <c r="F163" s="3242" t="s">
        <v>5294</v>
      </c>
      <c r="G163" s="616" t="s">
        <v>5295</v>
      </c>
      <c r="H163" s="626" t="s">
        <v>5296</v>
      </c>
      <c r="I163" s="616" t="s">
        <v>5297</v>
      </c>
      <c r="J163" s="626" t="s">
        <v>5298</v>
      </c>
      <c r="K163" s="616" t="s">
        <v>5299</v>
      </c>
      <c r="L163" s="626" t="s">
        <v>5300</v>
      </c>
      <c r="M163" s="616" t="s">
        <v>5301</v>
      </c>
      <c r="N163" s="626" t="s">
        <v>5302</v>
      </c>
      <c r="O163" s="616" t="s">
        <v>5303</v>
      </c>
      <c r="P163" s="626" t="s">
        <v>5304</v>
      </c>
      <c r="Q163" s="616" t="s">
        <v>5305</v>
      </c>
      <c r="R163" s="626" t="s">
        <v>5306</v>
      </c>
      <c r="S163" s="616" t="s">
        <v>5307</v>
      </c>
      <c r="T163" s="626" t="s">
        <v>5308</v>
      </c>
      <c r="U163" s="616" t="s">
        <v>5309</v>
      </c>
      <c r="V163" s="626" t="s">
        <v>5310</v>
      </c>
      <c r="W163" s="616" t="s">
        <v>5311</v>
      </c>
      <c r="X163" s="626" t="s">
        <v>5312</v>
      </c>
      <c r="Y163" s="616" t="s">
        <v>5313</v>
      </c>
      <c r="Z163" s="626" t="s">
        <v>5314</v>
      </c>
      <c r="AA163" s="616" t="s">
        <v>5315</v>
      </c>
      <c r="AB163" s="626" t="s">
        <v>5316</v>
      </c>
      <c r="AC163" s="616" t="s">
        <v>5317</v>
      </c>
      <c r="AD163" s="626" t="s">
        <v>5318</v>
      </c>
      <c r="AE163" s="616" t="s">
        <v>5319</v>
      </c>
      <c r="AF163" s="626" t="s">
        <v>5320</v>
      </c>
      <c r="AG163" s="616" t="s">
        <v>5321</v>
      </c>
      <c r="AH163" s="626" t="s">
        <v>5322</v>
      </c>
      <c r="AI163" s="616" t="s">
        <v>5323</v>
      </c>
      <c r="AJ163" s="626" t="s">
        <v>5324</v>
      </c>
      <c r="AK163" s="616" t="s">
        <v>5325</v>
      </c>
      <c r="AL163" s="626" t="s">
        <v>5326</v>
      </c>
      <c r="AM163" s="3240" t="s">
        <v>5327</v>
      </c>
      <c r="AN163" s="624" t="s">
        <v>5328</v>
      </c>
      <c r="AO163" s="3077" t="s">
        <v>5329</v>
      </c>
      <c r="AP163" s="3145" t="s">
        <v>5330</v>
      </c>
      <c r="AQ163" s="3145" t="s">
        <v>5331</v>
      </c>
      <c r="AR163" s="3077" t="s">
        <v>5332</v>
      </c>
      <c r="AS163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3" s="2465" t="str">
        <f t="shared" si="19"/>
        <v xml:space="preserve"> *   La variable Beneficiarios No puede ser mayor al Total.</v>
      </c>
      <c r="BG163" s="2465" t="str">
        <f t="shared" si="20"/>
        <v xml:space="preserve">  * La variable Total de Controles No puede ser mayor al Total.</v>
      </c>
      <c r="BH163" s="2465" t="str">
        <f t="shared" si="21"/>
        <v xml:space="preserve"> *  * La variable Pueblos Originarios No puede ser mayor al Total.</v>
      </c>
      <c r="BI163" s="2465" t="str">
        <f t="shared" si="22"/>
        <v xml:space="preserve"> *  * La variable Migrantes No puede ser mayor al Total.</v>
      </c>
      <c r="BJ163" s="170"/>
      <c r="BK163" s="170"/>
      <c r="BM163" s="1725">
        <f t="shared" si="23"/>
        <v>1</v>
      </c>
      <c r="BN163" s="1725">
        <f t="shared" si="24"/>
        <v>1</v>
      </c>
      <c r="BO163" s="1725">
        <f t="shared" si="25"/>
        <v>1</v>
      </c>
      <c r="BP163" s="1725">
        <f t="shared" si="26"/>
        <v>1</v>
      </c>
    </row>
    <row r="164" spans="1:72" x14ac:dyDescent="0.3">
      <c r="A164" s="6258" t="s">
        <v>4778</v>
      </c>
      <c r="B164" s="7109"/>
      <c r="C164" s="150" t="s">
        <v>2210</v>
      </c>
      <c r="D164" s="5107" t="s">
        <v>5292</v>
      </c>
      <c r="E164" s="1908" t="s">
        <v>5293</v>
      </c>
      <c r="F164" s="5108" t="s">
        <v>5294</v>
      </c>
      <c r="G164" s="151" t="s">
        <v>5295</v>
      </c>
      <c r="H164" s="4196" t="s">
        <v>5296</v>
      </c>
      <c r="I164" s="151" t="s">
        <v>5297</v>
      </c>
      <c r="J164" s="4196" t="s">
        <v>5298</v>
      </c>
      <c r="K164" s="151" t="s">
        <v>5299</v>
      </c>
      <c r="L164" s="4196" t="s">
        <v>5300</v>
      </c>
      <c r="M164" s="151" t="s">
        <v>5301</v>
      </c>
      <c r="N164" s="4196" t="s">
        <v>5302</v>
      </c>
      <c r="O164" s="114" t="s">
        <v>5303</v>
      </c>
      <c r="P164" s="3035" t="s">
        <v>5304</v>
      </c>
      <c r="Q164" s="114" t="s">
        <v>5305</v>
      </c>
      <c r="R164" s="3035" t="s">
        <v>5306</v>
      </c>
      <c r="S164" s="114" t="s">
        <v>5307</v>
      </c>
      <c r="T164" s="3035" t="s">
        <v>5308</v>
      </c>
      <c r="U164" s="114" t="s">
        <v>5309</v>
      </c>
      <c r="V164" s="3035" t="s">
        <v>5310</v>
      </c>
      <c r="W164" s="114" t="s">
        <v>5311</v>
      </c>
      <c r="X164" s="3035" t="s">
        <v>5312</v>
      </c>
      <c r="Y164" s="114" t="s">
        <v>5313</v>
      </c>
      <c r="Z164" s="3035" t="s">
        <v>5314</v>
      </c>
      <c r="AA164" s="114" t="s">
        <v>5315</v>
      </c>
      <c r="AB164" s="2800" t="s">
        <v>5316</v>
      </c>
      <c r="AC164" s="114" t="s">
        <v>5317</v>
      </c>
      <c r="AD164" s="3035" t="s">
        <v>5318</v>
      </c>
      <c r="AE164" s="151" t="s">
        <v>5319</v>
      </c>
      <c r="AF164" s="4196" t="s">
        <v>5320</v>
      </c>
      <c r="AG164" s="151" t="s">
        <v>5321</v>
      </c>
      <c r="AH164" s="4196" t="s">
        <v>5322</v>
      </c>
      <c r="AI164" s="151" t="s">
        <v>5323</v>
      </c>
      <c r="AJ164" s="4196" t="s">
        <v>5324</v>
      </c>
      <c r="AK164" s="151" t="s">
        <v>5325</v>
      </c>
      <c r="AL164" s="4196" t="s">
        <v>5326</v>
      </c>
      <c r="AM164" s="151" t="s">
        <v>5327</v>
      </c>
      <c r="AN164" s="2416" t="s">
        <v>5328</v>
      </c>
      <c r="AO164" s="117" t="s">
        <v>5329</v>
      </c>
      <c r="AP164" s="153" t="s">
        <v>5330</v>
      </c>
      <c r="AQ164" s="153" t="s">
        <v>5331</v>
      </c>
      <c r="AR164" s="117" t="s">
        <v>5332</v>
      </c>
      <c r="AS164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4" s="2465" t="str">
        <f t="shared" si="19"/>
        <v xml:space="preserve"> *   La variable Beneficiarios No puede ser mayor al Total.</v>
      </c>
      <c r="BG164" s="2465" t="str">
        <f t="shared" si="20"/>
        <v xml:space="preserve">  * La variable Total de Controles No puede ser mayor al Total.</v>
      </c>
      <c r="BH164" s="2465" t="str">
        <f t="shared" si="21"/>
        <v xml:space="preserve"> *  * La variable Pueblos Originarios No puede ser mayor al Total.</v>
      </c>
      <c r="BI164" s="2465" t="str">
        <f t="shared" si="22"/>
        <v xml:space="preserve"> *  * La variable Migrantes No puede ser mayor al Total.</v>
      </c>
      <c r="BJ164" s="170"/>
      <c r="BK164" s="170"/>
      <c r="BM164" s="1725">
        <f t="shared" si="23"/>
        <v>1</v>
      </c>
      <c r="BN164" s="1725">
        <f t="shared" si="24"/>
        <v>1</v>
      </c>
      <c r="BO164" s="1725">
        <f t="shared" si="25"/>
        <v>1</v>
      </c>
      <c r="BP164" s="1725">
        <f t="shared" si="26"/>
        <v>1</v>
      </c>
    </row>
    <row r="165" spans="1:72" x14ac:dyDescent="0.3">
      <c r="A165" s="6258" t="s">
        <v>4779</v>
      </c>
      <c r="B165" s="7152" t="s">
        <v>247</v>
      </c>
      <c r="C165" s="7153"/>
      <c r="D165" s="2004" t="s">
        <v>5292</v>
      </c>
      <c r="E165" s="5109" t="s">
        <v>5293</v>
      </c>
      <c r="F165" s="4524" t="s">
        <v>5294</v>
      </c>
      <c r="G165" s="586" t="s">
        <v>5295</v>
      </c>
      <c r="H165" s="5884" t="s">
        <v>5296</v>
      </c>
      <c r="I165" s="586" t="s">
        <v>5297</v>
      </c>
      <c r="J165" s="5884" t="s">
        <v>5298</v>
      </c>
      <c r="K165" s="586" t="s">
        <v>5299</v>
      </c>
      <c r="L165" s="5047" t="s">
        <v>5300</v>
      </c>
      <c r="M165" s="586" t="s">
        <v>5301</v>
      </c>
      <c r="N165" s="5047" t="s">
        <v>5302</v>
      </c>
      <c r="O165" s="586" t="s">
        <v>5303</v>
      </c>
      <c r="P165" s="5047" t="s">
        <v>5304</v>
      </c>
      <c r="Q165" s="586" t="s">
        <v>5305</v>
      </c>
      <c r="R165" s="5047" t="s">
        <v>5306</v>
      </c>
      <c r="S165" s="586" t="s">
        <v>5307</v>
      </c>
      <c r="T165" s="5047" t="s">
        <v>5308</v>
      </c>
      <c r="U165" s="586" t="s">
        <v>5309</v>
      </c>
      <c r="V165" s="5047" t="s">
        <v>5310</v>
      </c>
      <c r="W165" s="586" t="s">
        <v>5311</v>
      </c>
      <c r="X165" s="5047" t="s">
        <v>5312</v>
      </c>
      <c r="Y165" s="586" t="s">
        <v>5313</v>
      </c>
      <c r="Z165" s="5047" t="s">
        <v>5314</v>
      </c>
      <c r="AA165" s="586" t="s">
        <v>5315</v>
      </c>
      <c r="AB165" s="5047" t="s">
        <v>5316</v>
      </c>
      <c r="AC165" s="586" t="s">
        <v>5317</v>
      </c>
      <c r="AD165" s="5047" t="s">
        <v>5318</v>
      </c>
      <c r="AE165" s="586" t="s">
        <v>5319</v>
      </c>
      <c r="AF165" s="5047" t="s">
        <v>5320</v>
      </c>
      <c r="AG165" s="586" t="s">
        <v>5321</v>
      </c>
      <c r="AH165" s="5047" t="s">
        <v>5322</v>
      </c>
      <c r="AI165" s="586" t="s">
        <v>5323</v>
      </c>
      <c r="AJ165" s="5884" t="s">
        <v>5324</v>
      </c>
      <c r="AK165" s="586" t="s">
        <v>5325</v>
      </c>
      <c r="AL165" s="5884" t="s">
        <v>5326</v>
      </c>
      <c r="AM165" s="5885" t="s">
        <v>5327</v>
      </c>
      <c r="AN165" s="5106" t="s">
        <v>5328</v>
      </c>
      <c r="AO165" s="4424" t="s">
        <v>5329</v>
      </c>
      <c r="AP165" s="148" t="s">
        <v>5330</v>
      </c>
      <c r="AQ165" s="784" t="s">
        <v>5331</v>
      </c>
      <c r="AR165" s="4424" t="s">
        <v>5332</v>
      </c>
      <c r="AS165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5" s="2465" t="str">
        <f t="shared" si="19"/>
        <v xml:space="preserve"> *   La variable Beneficiarios No puede ser mayor al Total.</v>
      </c>
      <c r="BG165" s="2465" t="str">
        <f t="shared" si="20"/>
        <v xml:space="preserve">  * La variable Total de Controles No puede ser mayor al Total.</v>
      </c>
      <c r="BH165" s="2465" t="str">
        <f t="shared" si="21"/>
        <v xml:space="preserve"> *  * La variable Pueblos Originarios No puede ser mayor al Total.</v>
      </c>
      <c r="BI165" s="2465" t="str">
        <f t="shared" si="22"/>
        <v xml:space="preserve"> *  * La variable Migrantes No puede ser mayor al Total.</v>
      </c>
      <c r="BJ165" s="170"/>
      <c r="BK165" s="170"/>
      <c r="BM165" s="1725">
        <f t="shared" si="23"/>
        <v>1</v>
      </c>
      <c r="BN165" s="1725">
        <f t="shared" si="24"/>
        <v>1</v>
      </c>
      <c r="BO165" s="1725">
        <f t="shared" si="25"/>
        <v>1</v>
      </c>
      <c r="BP165" s="1725">
        <f t="shared" si="26"/>
        <v>1</v>
      </c>
    </row>
    <row r="166" spans="1:72" x14ac:dyDescent="0.3">
      <c r="A166" s="6258" t="s">
        <v>4780</v>
      </c>
      <c r="B166" s="6614" t="s">
        <v>248</v>
      </c>
      <c r="C166" s="7154"/>
      <c r="D166" s="1928" t="s">
        <v>5292</v>
      </c>
      <c r="E166" s="1927" t="s">
        <v>5293</v>
      </c>
      <c r="F166" s="3242" t="s">
        <v>5294</v>
      </c>
      <c r="G166" s="616" t="s">
        <v>5295</v>
      </c>
      <c r="H166" s="3077" t="s">
        <v>5296</v>
      </c>
      <c r="I166" s="616" t="s">
        <v>5297</v>
      </c>
      <c r="J166" s="3077" t="s">
        <v>5298</v>
      </c>
      <c r="K166" s="616" t="s">
        <v>5299</v>
      </c>
      <c r="L166" s="626" t="s">
        <v>5300</v>
      </c>
      <c r="M166" s="616" t="s">
        <v>5301</v>
      </c>
      <c r="N166" s="626" t="s">
        <v>5302</v>
      </c>
      <c r="O166" s="616" t="s">
        <v>5303</v>
      </c>
      <c r="P166" s="626" t="s">
        <v>5304</v>
      </c>
      <c r="Q166" s="616" t="s">
        <v>5305</v>
      </c>
      <c r="R166" s="626" t="s">
        <v>5306</v>
      </c>
      <c r="S166" s="616" t="s">
        <v>5307</v>
      </c>
      <c r="T166" s="626" t="s">
        <v>5308</v>
      </c>
      <c r="U166" s="616" t="s">
        <v>5309</v>
      </c>
      <c r="V166" s="626" t="s">
        <v>5310</v>
      </c>
      <c r="W166" s="616" t="s">
        <v>5311</v>
      </c>
      <c r="X166" s="626" t="s">
        <v>5312</v>
      </c>
      <c r="Y166" s="616" t="s">
        <v>5313</v>
      </c>
      <c r="Z166" s="626" t="s">
        <v>5314</v>
      </c>
      <c r="AA166" s="616" t="s">
        <v>5315</v>
      </c>
      <c r="AB166" s="626" t="s">
        <v>5316</v>
      </c>
      <c r="AC166" s="616" t="s">
        <v>5317</v>
      </c>
      <c r="AD166" s="3077" t="s">
        <v>5318</v>
      </c>
      <c r="AE166" s="616" t="s">
        <v>5319</v>
      </c>
      <c r="AF166" s="3077" t="s">
        <v>5320</v>
      </c>
      <c r="AG166" s="616" t="s">
        <v>5321</v>
      </c>
      <c r="AH166" s="3077" t="s">
        <v>5322</v>
      </c>
      <c r="AI166" s="616" t="s">
        <v>5323</v>
      </c>
      <c r="AJ166" s="3077" t="s">
        <v>5324</v>
      </c>
      <c r="AK166" s="616" t="s">
        <v>5325</v>
      </c>
      <c r="AL166" s="3077" t="s">
        <v>5326</v>
      </c>
      <c r="AM166" s="3240" t="s">
        <v>5327</v>
      </c>
      <c r="AN166" s="624" t="s">
        <v>5328</v>
      </c>
      <c r="AO166" s="3077" t="s">
        <v>5329</v>
      </c>
      <c r="AP166" s="3145" t="s">
        <v>5330</v>
      </c>
      <c r="AQ166" s="3145" t="s">
        <v>5331</v>
      </c>
      <c r="AR166" s="3077" t="s">
        <v>5332</v>
      </c>
      <c r="AS166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6" s="2465" t="str">
        <f t="shared" si="19"/>
        <v xml:space="preserve"> *   La variable Beneficiarios No puede ser mayor al Total.</v>
      </c>
      <c r="BG166" s="2465" t="str">
        <f t="shared" si="20"/>
        <v xml:space="preserve">  * La variable Total de Controles No puede ser mayor al Total.</v>
      </c>
      <c r="BH166" s="2465" t="str">
        <f t="shared" si="21"/>
        <v xml:space="preserve"> *  * La variable Pueblos Originarios No puede ser mayor al Total.</v>
      </c>
      <c r="BI166" s="2465" t="str">
        <f t="shared" si="22"/>
        <v xml:space="preserve"> *  * La variable Migrantes No puede ser mayor al Total.</v>
      </c>
      <c r="BJ166" s="170"/>
      <c r="BK166" s="170"/>
      <c r="BM166" s="1725">
        <f t="shared" si="23"/>
        <v>1</v>
      </c>
      <c r="BN166" s="1725">
        <f t="shared" si="24"/>
        <v>1</v>
      </c>
      <c r="BO166" s="1725">
        <f t="shared" si="25"/>
        <v>1</v>
      </c>
      <c r="BP166" s="1725">
        <f t="shared" si="26"/>
        <v>1</v>
      </c>
    </row>
    <row r="167" spans="1:72" x14ac:dyDescent="0.3">
      <c r="A167" s="6258" t="s">
        <v>4781</v>
      </c>
      <c r="B167" s="7155" t="s">
        <v>249</v>
      </c>
      <c r="C167" s="7156"/>
      <c r="D167" s="2417" t="s">
        <v>5292</v>
      </c>
      <c r="E167" s="2418" t="s">
        <v>5293</v>
      </c>
      <c r="F167" s="3242" t="s">
        <v>5294</v>
      </c>
      <c r="G167" s="616" t="s">
        <v>5295</v>
      </c>
      <c r="H167" s="3077" t="s">
        <v>5296</v>
      </c>
      <c r="I167" s="616" t="s">
        <v>5297</v>
      </c>
      <c r="J167" s="3077" t="s">
        <v>5298</v>
      </c>
      <c r="K167" s="616" t="s">
        <v>5299</v>
      </c>
      <c r="L167" s="626" t="s">
        <v>5300</v>
      </c>
      <c r="M167" s="616" t="s">
        <v>5301</v>
      </c>
      <c r="N167" s="626" t="s">
        <v>5302</v>
      </c>
      <c r="O167" s="616" t="s">
        <v>5303</v>
      </c>
      <c r="P167" s="626" t="s">
        <v>5304</v>
      </c>
      <c r="Q167" s="616" t="s">
        <v>5305</v>
      </c>
      <c r="R167" s="626" t="s">
        <v>5306</v>
      </c>
      <c r="S167" s="616" t="s">
        <v>5307</v>
      </c>
      <c r="T167" s="626" t="s">
        <v>5308</v>
      </c>
      <c r="U167" s="616" t="s">
        <v>5309</v>
      </c>
      <c r="V167" s="626" t="s">
        <v>5310</v>
      </c>
      <c r="W167" s="616" t="s">
        <v>5311</v>
      </c>
      <c r="X167" s="626" t="s">
        <v>5312</v>
      </c>
      <c r="Y167" s="616" t="s">
        <v>5313</v>
      </c>
      <c r="Z167" s="626" t="s">
        <v>5314</v>
      </c>
      <c r="AA167" s="616" t="s">
        <v>5315</v>
      </c>
      <c r="AB167" s="626" t="s">
        <v>5316</v>
      </c>
      <c r="AC167" s="616" t="s">
        <v>5317</v>
      </c>
      <c r="AD167" s="3077" t="s">
        <v>5318</v>
      </c>
      <c r="AE167" s="616" t="s">
        <v>5319</v>
      </c>
      <c r="AF167" s="3077" t="s">
        <v>5320</v>
      </c>
      <c r="AG167" s="616" t="s">
        <v>5321</v>
      </c>
      <c r="AH167" s="3077" t="s">
        <v>5322</v>
      </c>
      <c r="AI167" s="616" t="s">
        <v>5323</v>
      </c>
      <c r="AJ167" s="3077" t="s">
        <v>5324</v>
      </c>
      <c r="AK167" s="616" t="s">
        <v>5325</v>
      </c>
      <c r="AL167" s="3077" t="s">
        <v>5326</v>
      </c>
      <c r="AM167" s="3240" t="s">
        <v>5327</v>
      </c>
      <c r="AN167" s="624" t="s">
        <v>5328</v>
      </c>
      <c r="AO167" s="3077" t="s">
        <v>5329</v>
      </c>
      <c r="AP167" s="3145" t="s">
        <v>5330</v>
      </c>
      <c r="AQ167" s="3145" t="s">
        <v>5331</v>
      </c>
      <c r="AR167" s="3077" t="s">
        <v>5332</v>
      </c>
      <c r="AS167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7" s="2465" t="str">
        <f t="shared" si="19"/>
        <v xml:space="preserve"> *   La variable Beneficiarios No puede ser mayor al Total.</v>
      </c>
      <c r="BG167" s="2465" t="str">
        <f t="shared" si="20"/>
        <v xml:space="preserve">  * La variable Total de Controles No puede ser mayor al Total.</v>
      </c>
      <c r="BH167" s="2465" t="str">
        <f t="shared" si="21"/>
        <v xml:space="preserve"> *  * La variable Pueblos Originarios No puede ser mayor al Total.</v>
      </c>
      <c r="BI167" s="2465" t="str">
        <f t="shared" si="22"/>
        <v xml:space="preserve"> *  * La variable Migrantes No puede ser mayor al Total.</v>
      </c>
      <c r="BJ167" s="170"/>
      <c r="BK167" s="170"/>
      <c r="BM167" s="1725">
        <f t="shared" si="23"/>
        <v>1</v>
      </c>
      <c r="BN167" s="1725">
        <f t="shared" si="24"/>
        <v>1</v>
      </c>
      <c r="BO167" s="1725">
        <f t="shared" si="25"/>
        <v>1</v>
      </c>
      <c r="BP167" s="1725">
        <f t="shared" si="26"/>
        <v>1</v>
      </c>
    </row>
    <row r="168" spans="1:72" x14ac:dyDescent="0.3">
      <c r="A168" s="6258" t="s">
        <v>4782</v>
      </c>
      <c r="B168" s="6614" t="s">
        <v>2211</v>
      </c>
      <c r="C168" s="7154"/>
      <c r="D168" s="1928" t="s">
        <v>5292</v>
      </c>
      <c r="E168" s="1927" t="s">
        <v>5293</v>
      </c>
      <c r="F168" s="3242" t="s">
        <v>5294</v>
      </c>
      <c r="G168" s="616" t="s">
        <v>5295</v>
      </c>
      <c r="H168" s="3077" t="s">
        <v>5296</v>
      </c>
      <c r="I168" s="616" t="s">
        <v>5297</v>
      </c>
      <c r="J168" s="3077" t="s">
        <v>5298</v>
      </c>
      <c r="K168" s="616" t="s">
        <v>5299</v>
      </c>
      <c r="L168" s="626" t="s">
        <v>5300</v>
      </c>
      <c r="M168" s="616" t="s">
        <v>5301</v>
      </c>
      <c r="N168" s="626" t="s">
        <v>5302</v>
      </c>
      <c r="O168" s="616" t="s">
        <v>5303</v>
      </c>
      <c r="P168" s="626" t="s">
        <v>5304</v>
      </c>
      <c r="Q168" s="616" t="s">
        <v>5305</v>
      </c>
      <c r="R168" s="626" t="s">
        <v>5306</v>
      </c>
      <c r="S168" s="616" t="s">
        <v>5307</v>
      </c>
      <c r="T168" s="626" t="s">
        <v>5308</v>
      </c>
      <c r="U168" s="616" t="s">
        <v>5309</v>
      </c>
      <c r="V168" s="626" t="s">
        <v>5310</v>
      </c>
      <c r="W168" s="616" t="s">
        <v>5311</v>
      </c>
      <c r="X168" s="626" t="s">
        <v>5312</v>
      </c>
      <c r="Y168" s="616" t="s">
        <v>5313</v>
      </c>
      <c r="Z168" s="626" t="s">
        <v>5314</v>
      </c>
      <c r="AA168" s="616" t="s">
        <v>5315</v>
      </c>
      <c r="AB168" s="626" t="s">
        <v>5316</v>
      </c>
      <c r="AC168" s="616" t="s">
        <v>5317</v>
      </c>
      <c r="AD168" s="626" t="s">
        <v>5318</v>
      </c>
      <c r="AE168" s="616" t="s">
        <v>5319</v>
      </c>
      <c r="AF168" s="626" t="s">
        <v>5320</v>
      </c>
      <c r="AG168" s="616" t="s">
        <v>5321</v>
      </c>
      <c r="AH168" s="626" t="s">
        <v>5322</v>
      </c>
      <c r="AI168" s="616" t="s">
        <v>5323</v>
      </c>
      <c r="AJ168" s="3077" t="s">
        <v>5324</v>
      </c>
      <c r="AK168" s="616" t="s">
        <v>5325</v>
      </c>
      <c r="AL168" s="3077" t="s">
        <v>5326</v>
      </c>
      <c r="AM168" s="3240" t="s">
        <v>5327</v>
      </c>
      <c r="AN168" s="624" t="s">
        <v>5328</v>
      </c>
      <c r="AO168" s="3077" t="s">
        <v>5329</v>
      </c>
      <c r="AP168" s="3145" t="s">
        <v>5330</v>
      </c>
      <c r="AQ168" s="3145" t="s">
        <v>5331</v>
      </c>
      <c r="AR168" s="3077" t="s">
        <v>5332</v>
      </c>
      <c r="AS168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8" s="2465" t="str">
        <f t="shared" si="19"/>
        <v xml:space="preserve"> *   La variable Beneficiarios No puede ser mayor al Total.</v>
      </c>
      <c r="BG168" s="2465" t="str">
        <f t="shared" si="20"/>
        <v xml:space="preserve">  * La variable Total de Controles No puede ser mayor al Total.</v>
      </c>
      <c r="BH168" s="2465" t="str">
        <f t="shared" si="21"/>
        <v xml:space="preserve"> *  * La variable Pueblos Originarios No puede ser mayor al Total.</v>
      </c>
      <c r="BI168" s="2465" t="str">
        <f t="shared" si="22"/>
        <v xml:space="preserve"> *  * La variable Migrantes No puede ser mayor al Total.</v>
      </c>
      <c r="BJ168" s="170"/>
      <c r="BK168" s="170"/>
      <c r="BM168" s="1725">
        <f t="shared" si="23"/>
        <v>1</v>
      </c>
      <c r="BN168" s="1725">
        <f t="shared" si="24"/>
        <v>1</v>
      </c>
      <c r="BO168" s="1725">
        <f t="shared" si="25"/>
        <v>1</v>
      </c>
      <c r="BP168" s="1725">
        <f t="shared" si="26"/>
        <v>1</v>
      </c>
    </row>
    <row r="169" spans="1:72" x14ac:dyDescent="0.3">
      <c r="A169" s="6258" t="s">
        <v>4783</v>
      </c>
      <c r="B169" s="6614" t="s">
        <v>62</v>
      </c>
      <c r="C169" s="7154"/>
      <c r="D169" s="156" t="s">
        <v>5292</v>
      </c>
      <c r="E169" s="157" t="s">
        <v>5293</v>
      </c>
      <c r="F169" s="89" t="s">
        <v>5294</v>
      </c>
      <c r="G169" s="90" t="s">
        <v>5295</v>
      </c>
      <c r="H169" s="91" t="s">
        <v>5296</v>
      </c>
      <c r="I169" s="90" t="s">
        <v>5297</v>
      </c>
      <c r="J169" s="91" t="s">
        <v>5298</v>
      </c>
      <c r="K169" s="90" t="s">
        <v>5299</v>
      </c>
      <c r="L169" s="92" t="s">
        <v>5300</v>
      </c>
      <c r="M169" s="90" t="s">
        <v>5301</v>
      </c>
      <c r="N169" s="92" t="s">
        <v>5302</v>
      </c>
      <c r="O169" s="90" t="s">
        <v>5303</v>
      </c>
      <c r="P169" s="92" t="s">
        <v>5304</v>
      </c>
      <c r="Q169" s="90" t="s">
        <v>5305</v>
      </c>
      <c r="R169" s="92" t="s">
        <v>5306</v>
      </c>
      <c r="S169" s="90" t="s">
        <v>5307</v>
      </c>
      <c r="T169" s="92" t="s">
        <v>5308</v>
      </c>
      <c r="U169" s="90" t="s">
        <v>5309</v>
      </c>
      <c r="V169" s="92" t="s">
        <v>5310</v>
      </c>
      <c r="W169" s="90" t="s">
        <v>5311</v>
      </c>
      <c r="X169" s="92" t="s">
        <v>5312</v>
      </c>
      <c r="Y169" s="90" t="s">
        <v>5313</v>
      </c>
      <c r="Z169" s="92" t="s">
        <v>5314</v>
      </c>
      <c r="AA169" s="90" t="s">
        <v>5315</v>
      </c>
      <c r="AB169" s="92" t="s">
        <v>5316</v>
      </c>
      <c r="AC169" s="90" t="s">
        <v>5317</v>
      </c>
      <c r="AD169" s="92" t="s">
        <v>5318</v>
      </c>
      <c r="AE169" s="90" t="s">
        <v>5319</v>
      </c>
      <c r="AF169" s="92" t="s">
        <v>5320</v>
      </c>
      <c r="AG169" s="90" t="s">
        <v>5321</v>
      </c>
      <c r="AH169" s="92" t="s">
        <v>5322</v>
      </c>
      <c r="AI169" s="90" t="s">
        <v>5323</v>
      </c>
      <c r="AJ169" s="91" t="s">
        <v>5324</v>
      </c>
      <c r="AK169" s="90" t="s">
        <v>5325</v>
      </c>
      <c r="AL169" s="91" t="s">
        <v>5326</v>
      </c>
      <c r="AM169" s="93" t="s">
        <v>5327</v>
      </c>
      <c r="AN169" s="94" t="s">
        <v>5328</v>
      </c>
      <c r="AO169" s="91" t="s">
        <v>5329</v>
      </c>
      <c r="AP169" s="158" t="s">
        <v>5330</v>
      </c>
      <c r="AQ169" s="158" t="s">
        <v>5331</v>
      </c>
      <c r="AR169" s="91" t="s">
        <v>5332</v>
      </c>
      <c r="AS169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69" s="2465" t="str">
        <f t="shared" si="19"/>
        <v xml:space="preserve"> *   La variable Beneficiarios No puede ser mayor al Total.</v>
      </c>
      <c r="BG169" s="2465" t="str">
        <f t="shared" si="20"/>
        <v xml:space="preserve">  * La variable Total de Controles No puede ser mayor al Total.</v>
      </c>
      <c r="BH169" s="2465" t="str">
        <f t="shared" si="21"/>
        <v xml:space="preserve"> *  * La variable Pueblos Originarios No puede ser mayor al Total.</v>
      </c>
      <c r="BI169" s="2465" t="str">
        <f t="shared" si="22"/>
        <v xml:space="preserve"> *  * La variable Migrantes No puede ser mayor al Total.</v>
      </c>
      <c r="BJ169" s="170"/>
      <c r="BK169" s="170"/>
      <c r="BM169" s="1725">
        <f t="shared" si="23"/>
        <v>1</v>
      </c>
      <c r="BN169" s="1725">
        <f t="shared" si="24"/>
        <v>1</v>
      </c>
      <c r="BO169" s="1725">
        <f t="shared" si="25"/>
        <v>1</v>
      </c>
      <c r="BP169" s="1725">
        <f t="shared" si="26"/>
        <v>1</v>
      </c>
    </row>
    <row r="170" spans="1:72" x14ac:dyDescent="0.3">
      <c r="A170" s="6258" t="s">
        <v>4784</v>
      </c>
      <c r="B170" s="7157" t="s">
        <v>79</v>
      </c>
      <c r="C170" s="7158"/>
      <c r="D170" s="3516" t="s">
        <v>5292</v>
      </c>
      <c r="E170" s="5110" t="s">
        <v>5293</v>
      </c>
      <c r="F170" s="161" t="s">
        <v>5294</v>
      </c>
      <c r="G170" s="114" t="s">
        <v>5295</v>
      </c>
      <c r="H170" s="2800" t="s">
        <v>5296</v>
      </c>
      <c r="I170" s="114" t="s">
        <v>5297</v>
      </c>
      <c r="J170" s="2800" t="s">
        <v>5298</v>
      </c>
      <c r="K170" s="114" t="s">
        <v>5299</v>
      </c>
      <c r="L170" s="3035" t="s">
        <v>5300</v>
      </c>
      <c r="M170" s="114" t="s">
        <v>5301</v>
      </c>
      <c r="N170" s="3035" t="s">
        <v>5302</v>
      </c>
      <c r="O170" s="114" t="s">
        <v>5303</v>
      </c>
      <c r="P170" s="3035" t="s">
        <v>5304</v>
      </c>
      <c r="Q170" s="114" t="s">
        <v>5305</v>
      </c>
      <c r="R170" s="3035" t="s">
        <v>5306</v>
      </c>
      <c r="S170" s="114" t="s">
        <v>5307</v>
      </c>
      <c r="T170" s="3035" t="s">
        <v>5308</v>
      </c>
      <c r="U170" s="114" t="s">
        <v>5309</v>
      </c>
      <c r="V170" s="3035" t="s">
        <v>5310</v>
      </c>
      <c r="W170" s="114" t="s">
        <v>5311</v>
      </c>
      <c r="X170" s="3035" t="s">
        <v>5312</v>
      </c>
      <c r="Y170" s="114" t="s">
        <v>5313</v>
      </c>
      <c r="Z170" s="3035" t="s">
        <v>5314</v>
      </c>
      <c r="AA170" s="114" t="s">
        <v>5315</v>
      </c>
      <c r="AB170" s="3035" t="s">
        <v>5316</v>
      </c>
      <c r="AC170" s="114" t="s">
        <v>5317</v>
      </c>
      <c r="AD170" s="3035" t="s">
        <v>5318</v>
      </c>
      <c r="AE170" s="114" t="s">
        <v>5319</v>
      </c>
      <c r="AF170" s="3035" t="s">
        <v>5320</v>
      </c>
      <c r="AG170" s="114" t="s">
        <v>5321</v>
      </c>
      <c r="AH170" s="3035" t="s">
        <v>5322</v>
      </c>
      <c r="AI170" s="114" t="s">
        <v>5323</v>
      </c>
      <c r="AJ170" s="3035" t="s">
        <v>5324</v>
      </c>
      <c r="AK170" s="114" t="s">
        <v>5325</v>
      </c>
      <c r="AL170" s="3035" t="s">
        <v>5326</v>
      </c>
      <c r="AM170" s="118" t="s">
        <v>5327</v>
      </c>
      <c r="AN170" s="3080" t="s">
        <v>5328</v>
      </c>
      <c r="AO170" s="117" t="s">
        <v>5329</v>
      </c>
      <c r="AP170" s="153" t="s">
        <v>5330</v>
      </c>
      <c r="AQ170" s="153" t="s">
        <v>5331</v>
      </c>
      <c r="AR170" s="117" t="s">
        <v>5332</v>
      </c>
      <c r="AS170" t="str">
        <f t="shared" si="18"/>
        <v xml:space="preserve"> *   La variable Beneficiarios No puede ser mayor al Total.  * La variable Total de Controles No puede ser mayor al Total. *  * La variable Pueblos Originarios No puede ser mayor al Total. *  * La variable Migrantes No puede ser mayor al Total.</v>
      </c>
      <c r="BF170" s="2465" t="str">
        <f t="shared" si="19"/>
        <v xml:space="preserve"> *   La variable Beneficiarios No puede ser mayor al Total.</v>
      </c>
      <c r="BG170" s="2465" t="str">
        <f t="shared" si="20"/>
        <v xml:space="preserve">  * La variable Total de Controles No puede ser mayor al Total.</v>
      </c>
      <c r="BH170" s="2465" t="str">
        <f t="shared" si="21"/>
        <v xml:space="preserve"> *  * La variable Pueblos Originarios No puede ser mayor al Total.</v>
      </c>
      <c r="BI170" s="2465" t="str">
        <f t="shared" si="22"/>
        <v xml:space="preserve"> *  * La variable Migrantes No puede ser mayor al Total.</v>
      </c>
      <c r="BJ170" s="170"/>
      <c r="BK170" s="170"/>
      <c r="BM170" s="1725">
        <f t="shared" si="23"/>
        <v>1</v>
      </c>
      <c r="BN170" s="1725">
        <f t="shared" si="24"/>
        <v>1</v>
      </c>
      <c r="BO170" s="1725">
        <f t="shared" si="25"/>
        <v>1</v>
      </c>
      <c r="BP170" s="1725">
        <f t="shared" si="26"/>
        <v>1</v>
      </c>
    </row>
    <row r="171" spans="1:72" x14ac:dyDescent="0.3">
      <c r="A171" s="6238"/>
      <c r="B171" s="6648" t="s">
        <v>24</v>
      </c>
      <c r="C171" s="7118"/>
      <c r="D171" s="5111">
        <f t="shared" ref="D171:AR171" si="27">SUM(D160:D170)</f>
        <v>0</v>
      </c>
      <c r="E171" s="2730">
        <f t="shared" si="27"/>
        <v>0</v>
      </c>
      <c r="F171" s="5108">
        <f t="shared" si="27"/>
        <v>0</v>
      </c>
      <c r="G171" s="5886">
        <f t="shared" si="27"/>
        <v>0</v>
      </c>
      <c r="H171" s="5887">
        <f t="shared" si="27"/>
        <v>0</v>
      </c>
      <c r="I171" s="5886">
        <f t="shared" si="27"/>
        <v>0</v>
      </c>
      <c r="J171" s="5887">
        <f t="shared" si="27"/>
        <v>0</v>
      </c>
      <c r="K171" s="5607">
        <f t="shared" si="27"/>
        <v>0</v>
      </c>
      <c r="L171" s="5888">
        <f t="shared" si="27"/>
        <v>0</v>
      </c>
      <c r="M171" s="5607">
        <f t="shared" si="27"/>
        <v>0</v>
      </c>
      <c r="N171" s="5888">
        <f t="shared" si="27"/>
        <v>0</v>
      </c>
      <c r="O171" s="5607">
        <f t="shared" si="27"/>
        <v>0</v>
      </c>
      <c r="P171" s="5888">
        <f t="shared" si="27"/>
        <v>0</v>
      </c>
      <c r="Q171" s="5607">
        <f t="shared" si="27"/>
        <v>0</v>
      </c>
      <c r="R171" s="5888">
        <f t="shared" si="27"/>
        <v>0</v>
      </c>
      <c r="S171" s="5607">
        <f t="shared" si="27"/>
        <v>0</v>
      </c>
      <c r="T171" s="5888">
        <f t="shared" si="27"/>
        <v>0</v>
      </c>
      <c r="U171" s="5607">
        <f t="shared" si="27"/>
        <v>0</v>
      </c>
      <c r="V171" s="5888">
        <f t="shared" si="27"/>
        <v>0</v>
      </c>
      <c r="W171" s="5607">
        <f t="shared" si="27"/>
        <v>0</v>
      </c>
      <c r="X171" s="5888">
        <f t="shared" si="27"/>
        <v>0</v>
      </c>
      <c r="Y171" s="5607">
        <f t="shared" si="27"/>
        <v>0</v>
      </c>
      <c r="Z171" s="5888">
        <f t="shared" si="27"/>
        <v>0</v>
      </c>
      <c r="AA171" s="5607">
        <f t="shared" si="27"/>
        <v>0</v>
      </c>
      <c r="AB171" s="5888">
        <f t="shared" si="27"/>
        <v>0</v>
      </c>
      <c r="AC171" s="5607">
        <f t="shared" si="27"/>
        <v>0</v>
      </c>
      <c r="AD171" s="5888">
        <f t="shared" si="27"/>
        <v>0</v>
      </c>
      <c r="AE171" s="5607">
        <f t="shared" si="27"/>
        <v>0</v>
      </c>
      <c r="AF171" s="5888">
        <f t="shared" si="27"/>
        <v>0</v>
      </c>
      <c r="AG171" s="5607">
        <f t="shared" si="27"/>
        <v>0</v>
      </c>
      <c r="AH171" s="5888">
        <f t="shared" si="27"/>
        <v>0</v>
      </c>
      <c r="AI171" s="5607">
        <f t="shared" si="27"/>
        <v>0</v>
      </c>
      <c r="AJ171" s="5888">
        <f t="shared" si="27"/>
        <v>0</v>
      </c>
      <c r="AK171" s="5607">
        <f t="shared" si="27"/>
        <v>0</v>
      </c>
      <c r="AL171" s="5888">
        <f t="shared" si="27"/>
        <v>0</v>
      </c>
      <c r="AM171" s="5889">
        <f t="shared" si="27"/>
        <v>0</v>
      </c>
      <c r="AN171" s="5679">
        <f t="shared" si="27"/>
        <v>0</v>
      </c>
      <c r="AO171" s="5085">
        <f t="shared" si="27"/>
        <v>0</v>
      </c>
      <c r="AP171" s="5082">
        <f t="shared" si="27"/>
        <v>0</v>
      </c>
      <c r="AQ171" s="5762">
        <f t="shared" si="27"/>
        <v>0</v>
      </c>
      <c r="AR171" s="5085">
        <f t="shared" si="27"/>
        <v>0</v>
      </c>
    </row>
    <row r="172" spans="1:72" s="17" customFormat="1" ht="18" customHeight="1" x14ac:dyDescent="0.25">
      <c r="B172" s="5093" t="s">
        <v>2212</v>
      </c>
      <c r="C172" s="5112"/>
      <c r="D172" s="5112"/>
      <c r="E172" s="5112"/>
      <c r="F172" s="5112"/>
      <c r="G172" s="5112"/>
      <c r="H172" s="5113"/>
      <c r="I172" s="5113"/>
      <c r="J172" s="511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</row>
    <row r="173" spans="1:72" x14ac:dyDescent="0.3">
      <c r="B173" s="7096" t="s">
        <v>58</v>
      </c>
      <c r="C173" s="7107" t="s">
        <v>61</v>
      </c>
      <c r="D173" s="7147" t="s">
        <v>47</v>
      </c>
      <c r="E173" s="6752"/>
      <c r="F173" s="7148"/>
      <c r="G173" s="7130" t="s">
        <v>30</v>
      </c>
      <c r="H173" s="7132"/>
      <c r="I173" s="7132"/>
      <c r="J173" s="7132"/>
      <c r="K173" s="7132"/>
      <c r="L173" s="7132"/>
      <c r="M173" s="7132"/>
      <c r="N173" s="7132"/>
      <c r="O173" s="7132"/>
      <c r="P173" s="7132"/>
      <c r="Q173" s="7132"/>
      <c r="R173" s="7132"/>
      <c r="S173" s="7132"/>
      <c r="T173" s="7132"/>
      <c r="U173" s="7132"/>
      <c r="V173" s="7132"/>
      <c r="W173" s="7132"/>
      <c r="X173" s="7132"/>
      <c r="Y173" s="7132"/>
      <c r="Z173" s="7132"/>
      <c r="AA173" s="7132"/>
      <c r="AB173" s="7132"/>
      <c r="AC173" s="7132"/>
      <c r="AD173" s="7132"/>
      <c r="AE173" s="7132"/>
      <c r="AF173" s="7132"/>
      <c r="AG173" s="7132"/>
      <c r="AH173" s="7132"/>
      <c r="AI173" s="7132"/>
      <c r="AJ173" s="7132"/>
      <c r="AK173" s="7132"/>
      <c r="AL173" s="7132"/>
      <c r="AM173" s="7132"/>
      <c r="AN173" s="7159"/>
      <c r="AO173" s="7101" t="s">
        <v>67</v>
      </c>
      <c r="AP173" s="7100" t="s">
        <v>48</v>
      </c>
      <c r="AQ173" s="7101"/>
      <c r="AR173" s="6365" t="s">
        <v>2</v>
      </c>
      <c r="AS173" s="7101" t="s">
        <v>3</v>
      </c>
      <c r="AT173" s="7107" t="s">
        <v>2213</v>
      </c>
      <c r="AU173" s="7107" t="s">
        <v>45</v>
      </c>
    </row>
    <row r="174" spans="1:72" x14ac:dyDescent="0.3">
      <c r="B174" s="7097"/>
      <c r="C174" s="7108"/>
      <c r="D174" s="7149"/>
      <c r="E174" s="7151"/>
      <c r="F174" s="7150"/>
      <c r="G174" s="6648" t="s">
        <v>36</v>
      </c>
      <c r="H174" s="7118"/>
      <c r="I174" s="6648" t="s">
        <v>37</v>
      </c>
      <c r="J174" s="7118"/>
      <c r="K174" s="6648" t="s">
        <v>38</v>
      </c>
      <c r="L174" s="7118"/>
      <c r="M174" s="6648" t="s">
        <v>4</v>
      </c>
      <c r="N174" s="7118"/>
      <c r="O174" s="6648" t="s">
        <v>5</v>
      </c>
      <c r="P174" s="7118"/>
      <c r="Q174" s="7130" t="s">
        <v>6</v>
      </c>
      <c r="R174" s="7131"/>
      <c r="S174" s="7130" t="s">
        <v>7</v>
      </c>
      <c r="T174" s="7131"/>
      <c r="U174" s="7130" t="s">
        <v>8</v>
      </c>
      <c r="V174" s="7131"/>
      <c r="W174" s="7130" t="s">
        <v>9</v>
      </c>
      <c r="X174" s="7131"/>
      <c r="Y174" s="7130" t="s">
        <v>10</v>
      </c>
      <c r="Z174" s="7131"/>
      <c r="AA174" s="7130" t="s">
        <v>11</v>
      </c>
      <c r="AB174" s="7131"/>
      <c r="AC174" s="7130" t="s">
        <v>18</v>
      </c>
      <c r="AD174" s="7131"/>
      <c r="AE174" s="7130" t="s">
        <v>19</v>
      </c>
      <c r="AF174" s="7131"/>
      <c r="AG174" s="7130" t="s">
        <v>20</v>
      </c>
      <c r="AH174" s="7131"/>
      <c r="AI174" s="7130" t="s">
        <v>70</v>
      </c>
      <c r="AJ174" s="7131"/>
      <c r="AK174" s="7130" t="s">
        <v>71</v>
      </c>
      <c r="AL174" s="7131"/>
      <c r="AM174" s="7130" t="s">
        <v>32</v>
      </c>
      <c r="AN174" s="7159"/>
      <c r="AO174" s="6324"/>
      <c r="AP174" s="6344"/>
      <c r="AQ174" s="6324"/>
      <c r="AR174" s="7108"/>
      <c r="AS174" s="6324"/>
      <c r="AT174" s="7108"/>
      <c r="AU174" s="7108"/>
    </row>
    <row r="175" spans="1:72" x14ac:dyDescent="0.3">
      <c r="B175" s="7098"/>
      <c r="C175" s="7109"/>
      <c r="D175" s="4638" t="s">
        <v>26</v>
      </c>
      <c r="E175" s="5016" t="s">
        <v>250</v>
      </c>
      <c r="F175" s="164" t="s">
        <v>21</v>
      </c>
      <c r="G175" s="5012" t="s">
        <v>250</v>
      </c>
      <c r="H175" s="5043" t="s">
        <v>21</v>
      </c>
      <c r="I175" s="5042" t="s">
        <v>250</v>
      </c>
      <c r="J175" s="5014" t="s">
        <v>21</v>
      </c>
      <c r="K175" s="5012" t="s">
        <v>250</v>
      </c>
      <c r="L175" s="5043" t="s">
        <v>21</v>
      </c>
      <c r="M175" s="5012" t="s">
        <v>250</v>
      </c>
      <c r="N175" s="5043" t="s">
        <v>21</v>
      </c>
      <c r="O175" s="5012" t="s">
        <v>250</v>
      </c>
      <c r="P175" s="5043" t="s">
        <v>21</v>
      </c>
      <c r="Q175" s="5042" t="s">
        <v>250</v>
      </c>
      <c r="R175" s="5014" t="s">
        <v>21</v>
      </c>
      <c r="S175" s="5042" t="s">
        <v>250</v>
      </c>
      <c r="T175" s="5014" t="s">
        <v>21</v>
      </c>
      <c r="U175" s="5012" t="s">
        <v>250</v>
      </c>
      <c r="V175" s="5043" t="s">
        <v>21</v>
      </c>
      <c r="W175" s="5042" t="s">
        <v>250</v>
      </c>
      <c r="X175" s="5014" t="s">
        <v>21</v>
      </c>
      <c r="Y175" s="5042" t="s">
        <v>250</v>
      </c>
      <c r="Z175" s="5014" t="s">
        <v>21</v>
      </c>
      <c r="AA175" s="5012" t="s">
        <v>250</v>
      </c>
      <c r="AB175" s="5043" t="s">
        <v>21</v>
      </c>
      <c r="AC175" s="5012" t="s">
        <v>250</v>
      </c>
      <c r="AD175" s="5043" t="s">
        <v>21</v>
      </c>
      <c r="AE175" s="5042" t="s">
        <v>250</v>
      </c>
      <c r="AF175" s="5014" t="s">
        <v>21</v>
      </c>
      <c r="AG175" s="5042" t="s">
        <v>250</v>
      </c>
      <c r="AH175" s="5014" t="s">
        <v>21</v>
      </c>
      <c r="AI175" s="5012" t="s">
        <v>250</v>
      </c>
      <c r="AJ175" s="5043" t="s">
        <v>21</v>
      </c>
      <c r="AK175" s="5042" t="s">
        <v>250</v>
      </c>
      <c r="AL175" s="5014" t="s">
        <v>21</v>
      </c>
      <c r="AM175" s="5012" t="s">
        <v>250</v>
      </c>
      <c r="AN175" s="4786" t="s">
        <v>21</v>
      </c>
      <c r="AO175" s="7146"/>
      <c r="AP175" s="5013" t="s">
        <v>41</v>
      </c>
      <c r="AQ175" s="5043" t="s">
        <v>42</v>
      </c>
      <c r="AR175" s="6366"/>
      <c r="AS175" s="7146"/>
      <c r="AT175" s="7109"/>
      <c r="AU175" s="7109"/>
    </row>
    <row r="176" spans="1:72" x14ac:dyDescent="0.3">
      <c r="A176" s="6258" t="s">
        <v>4785</v>
      </c>
      <c r="B176" s="7160" t="s">
        <v>2214</v>
      </c>
      <c r="C176" s="5114" t="s">
        <v>76</v>
      </c>
      <c r="D176" s="5115" t="s">
        <v>5292</v>
      </c>
      <c r="E176" s="5116" t="s">
        <v>5293</v>
      </c>
      <c r="F176" s="5117" t="s">
        <v>5294</v>
      </c>
      <c r="G176" s="5022" t="s">
        <v>5295</v>
      </c>
      <c r="H176" s="4685" t="s">
        <v>5296</v>
      </c>
      <c r="I176" s="5022" t="s">
        <v>5297</v>
      </c>
      <c r="J176" s="4685" t="s">
        <v>5298</v>
      </c>
      <c r="K176" s="5022" t="s">
        <v>5299</v>
      </c>
      <c r="L176" s="5077" t="s">
        <v>5300</v>
      </c>
      <c r="M176" s="5022" t="s">
        <v>5301</v>
      </c>
      <c r="N176" s="5077" t="s">
        <v>5302</v>
      </c>
      <c r="O176" s="5022" t="s">
        <v>5303</v>
      </c>
      <c r="P176" s="5077" t="s">
        <v>5304</v>
      </c>
      <c r="Q176" s="5022" t="s">
        <v>5305</v>
      </c>
      <c r="R176" s="5077" t="s">
        <v>5306</v>
      </c>
      <c r="S176" s="5022" t="s">
        <v>5307</v>
      </c>
      <c r="T176" s="5077" t="s">
        <v>5308</v>
      </c>
      <c r="U176" s="5022" t="s">
        <v>5309</v>
      </c>
      <c r="V176" s="5077" t="s">
        <v>5310</v>
      </c>
      <c r="W176" s="5022" t="s">
        <v>5311</v>
      </c>
      <c r="X176" s="5077" t="s">
        <v>5312</v>
      </c>
      <c r="Y176" s="5022" t="s">
        <v>5313</v>
      </c>
      <c r="Z176" s="5077" t="s">
        <v>5314</v>
      </c>
      <c r="AA176" s="5022" t="s">
        <v>5315</v>
      </c>
      <c r="AB176" s="5077" t="s">
        <v>5316</v>
      </c>
      <c r="AC176" s="5022" t="s">
        <v>5317</v>
      </c>
      <c r="AD176" s="5077" t="s">
        <v>5318</v>
      </c>
      <c r="AE176" s="5022" t="s">
        <v>5319</v>
      </c>
      <c r="AF176" s="5077" t="s">
        <v>5320</v>
      </c>
      <c r="AG176" s="5022" t="s">
        <v>5321</v>
      </c>
      <c r="AH176" s="5077" t="s">
        <v>5322</v>
      </c>
      <c r="AI176" s="5022" t="s">
        <v>5323</v>
      </c>
      <c r="AJ176" s="5077" t="s">
        <v>5324</v>
      </c>
      <c r="AK176" s="5022" t="s">
        <v>5325</v>
      </c>
      <c r="AL176" s="5077" t="s">
        <v>5326</v>
      </c>
      <c r="AM176" s="5118" t="s">
        <v>5327</v>
      </c>
      <c r="AN176" s="5089" t="s">
        <v>5328</v>
      </c>
      <c r="AO176" s="4685" t="s">
        <v>5329</v>
      </c>
      <c r="AP176" s="5078" t="s">
        <v>5330</v>
      </c>
      <c r="AQ176" s="4685" t="s">
        <v>5331</v>
      </c>
      <c r="AR176" s="5663" t="s">
        <v>5332</v>
      </c>
      <c r="AS176" s="4685" t="s">
        <v>5333</v>
      </c>
      <c r="AT176" s="4685" t="s">
        <v>5334</v>
      </c>
      <c r="AU176" s="4685" t="s">
        <v>5335</v>
      </c>
      <c r="AV176" t="str">
        <f>BF176&amp;BG176&amp;BH176&amp;BI176&amp;BJ176&amp;BK176&amp;BL176</f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76" s="2465" t="str">
        <f>IF(AND(D176&gt;0,AO176="")," * No olvide digitar la variable Beneficiarios. Digite Cero si no tiene.",IF(AO176&gt;D176," *   La variable Beneficiarios No puede ser mayor al Total.",""))</f>
        <v xml:space="preserve"> *   La variable Beneficiarios No puede ser mayor al Total.</v>
      </c>
      <c r="BG176" s="2465" t="str">
        <f>IF(AND(F176&gt;0,OR(AP176=""))," * No olvide digitar la variable Trans (Masculino). Digite Cero si no tiene.",IF((AP176)&gt;F176," * La variable Trans (Masculino) No puede ser mayor al Total Mujeres.",""))</f>
        <v xml:space="preserve"> * La variable Trans (Masculino) No puede ser mayor al Total Mujeres.</v>
      </c>
      <c r="BH176" s="2465" t="str">
        <f>IF(AND(E176&gt;0,OR(AQ176=""))," * No olvide digitar la variable Trans (Femenino). Digite Cero si no tiene.",IF((AQ176)&gt;E176," * La variable Trans (Femenino) No puede ser mayor al Total Hombres.",""))</f>
        <v xml:space="preserve"> * La variable Trans (Femenino) No puede ser mayor al Total Hombres.</v>
      </c>
      <c r="BI176" s="2465" t="str">
        <f>IF(AND(D176&gt;0,AR176="")," * No olvide digitar la variable Pueblos Originarios. Digite Cero si no tiene.",IF(AR176&gt;D176," *  * La variable Pueblos Originarios No puede ser mayor al Total.",""))</f>
        <v xml:space="preserve"> *  * La variable Pueblos Originarios No puede ser mayor al Total.</v>
      </c>
      <c r="BJ176" s="2465" t="str">
        <f>IF(AND(D176&gt;0,AS176="")," * No olvide digitar la variable Migrantes. Digite Cero si no tiene.",IF(AS176&gt;D176," *  * La variable Migrantes No puede ser mayor al Total.",""))</f>
        <v xml:space="preserve"> *  * La variable Migrantes No puede ser mayor al Total.</v>
      </c>
      <c r="BK176" s="2465" t="str">
        <f>IF(AND(D176&gt;0,AT176="")," * No olvide digitar la variable Niños, niñas, Adolescentes SENAME. Digite Cero si no tiene.",IF(AT176&gt;D176," *  * La variable Niños, niñas, Adolescentes SENAME No puede ser mayor al Total.",""))</f>
        <v xml:space="preserve"> *  * La variable Niños, niñas, Adolescentes SENAME No puede ser mayor al Total.</v>
      </c>
      <c r="BL176" s="2465" t="str">
        <f>IF(AND(D176&gt;0,AU176="")," * No olvide digitar la variable Niños, Niñas, Adolescentes y Jóvenes Mejor Niñez. Digite Cero si no tiene.",IF(AU176&gt;D176," *  * La variable Niños, Niñas, Adolescentes y Jóvenes Mejor Niñez No puede ser mayor al Total.",""))</f>
        <v xml:space="preserve"> *  * La variable Niños, Niñas, Adolescentes y Jóvenes Mejor Niñez No puede ser mayor al Total.</v>
      </c>
      <c r="BN176" s="1725">
        <f>IF(AND(D176&gt;0,AO176=""),1,IF(AO176&gt;D176,1,0))</f>
        <v>1</v>
      </c>
      <c r="BO176" s="1725">
        <f>IF(AND(F176&gt;0,OR(AP176="")),1,IF((AP176)&gt;F176,1,0))</f>
        <v>1</v>
      </c>
      <c r="BP176" s="1725">
        <f>IF(AND(E176&gt;0,OR(AQ176="")),1,IF((AQ176)&gt;E176,1,0))</f>
        <v>1</v>
      </c>
      <c r="BQ176" s="1725">
        <f>IF(AND(D176&gt;0,AR176=""),1,IF(AR176&gt;D176,1,0))</f>
        <v>1</v>
      </c>
      <c r="BR176" s="1725">
        <f>IF(AND(D176&gt;0,AS176=""),1,IF(AS176&gt;D176,1,0))</f>
        <v>1</v>
      </c>
      <c r="BS176" s="1725">
        <f>IF(AND(D176&gt;0,AT176=""),1,IF(AT176&gt;D176,1,0))</f>
        <v>1</v>
      </c>
      <c r="BT176" s="1725">
        <f>IF(AND(D176&gt;0,AU176=""),1,IF(AU176&gt;D176,1,0))</f>
        <v>1</v>
      </c>
    </row>
    <row r="177" spans="1:72" x14ac:dyDescent="0.3">
      <c r="A177" s="6261" t="s">
        <v>4786</v>
      </c>
      <c r="B177" s="6610"/>
      <c r="C177" s="2420" t="s">
        <v>77</v>
      </c>
      <c r="D177" s="3516" t="s">
        <v>5292</v>
      </c>
      <c r="E177" s="5110" t="s">
        <v>5293</v>
      </c>
      <c r="F177" s="161" t="s">
        <v>5294</v>
      </c>
      <c r="G177" s="3023" t="s">
        <v>5295</v>
      </c>
      <c r="H177" s="117" t="s">
        <v>5296</v>
      </c>
      <c r="I177" s="3023" t="s">
        <v>5297</v>
      </c>
      <c r="J177" s="117" t="s">
        <v>5298</v>
      </c>
      <c r="K177" s="3023" t="s">
        <v>5299</v>
      </c>
      <c r="L177" s="3035" t="s">
        <v>5300</v>
      </c>
      <c r="M177" s="3023" t="s">
        <v>5301</v>
      </c>
      <c r="N177" s="3035" t="s">
        <v>5302</v>
      </c>
      <c r="O177" s="3023" t="s">
        <v>5303</v>
      </c>
      <c r="P177" s="3035" t="s">
        <v>5304</v>
      </c>
      <c r="Q177" s="3023" t="s">
        <v>5305</v>
      </c>
      <c r="R177" s="3035" t="s">
        <v>5306</v>
      </c>
      <c r="S177" s="3023" t="s">
        <v>5307</v>
      </c>
      <c r="T177" s="3035" t="s">
        <v>5308</v>
      </c>
      <c r="U177" s="3023" t="s">
        <v>5309</v>
      </c>
      <c r="V177" s="3035" t="s">
        <v>5310</v>
      </c>
      <c r="W177" s="3023" t="s">
        <v>5311</v>
      </c>
      <c r="X177" s="3035" t="s">
        <v>5312</v>
      </c>
      <c r="Y177" s="3023" t="s">
        <v>5313</v>
      </c>
      <c r="Z177" s="3035" t="s">
        <v>5314</v>
      </c>
      <c r="AA177" s="3023" t="s">
        <v>5315</v>
      </c>
      <c r="AB177" s="3035" t="s">
        <v>5316</v>
      </c>
      <c r="AC177" s="3023" t="s">
        <v>5317</v>
      </c>
      <c r="AD177" s="3035" t="s">
        <v>5318</v>
      </c>
      <c r="AE177" s="3023" t="s">
        <v>5319</v>
      </c>
      <c r="AF177" s="3035" t="s">
        <v>5320</v>
      </c>
      <c r="AG177" s="3023" t="s">
        <v>5321</v>
      </c>
      <c r="AH177" s="3035" t="s">
        <v>5322</v>
      </c>
      <c r="AI177" s="3023" t="s">
        <v>5323</v>
      </c>
      <c r="AJ177" s="3035" t="s">
        <v>5324</v>
      </c>
      <c r="AK177" s="3023" t="s">
        <v>5325</v>
      </c>
      <c r="AL177" s="3035" t="s">
        <v>5326</v>
      </c>
      <c r="AM177" s="118" t="s">
        <v>5327</v>
      </c>
      <c r="AN177" s="3080" t="s">
        <v>5328</v>
      </c>
      <c r="AO177" s="117" t="s">
        <v>5329</v>
      </c>
      <c r="AP177" s="121" t="s">
        <v>5330</v>
      </c>
      <c r="AQ177" s="117" t="s">
        <v>5331</v>
      </c>
      <c r="AR177" s="153" t="s">
        <v>5332</v>
      </c>
      <c r="AS177" s="117" t="s">
        <v>5333</v>
      </c>
      <c r="AT177" s="117" t="s">
        <v>5334</v>
      </c>
      <c r="AU177" s="117" t="s">
        <v>5335</v>
      </c>
      <c r="AV177" t="str">
        <f t="shared" ref="AV177:AV184" si="28">BF177&amp;BG177&amp;BH177&amp;BI177&amp;BJ177&amp;BK177&amp;BL177</f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77" s="2465" t="str">
        <f t="shared" ref="BF177:BF186" si="29">IF(AND(D177&gt;0,AO177="")," * No olvide digitar la variable Beneficiarios. Digite Cero si no tiene.",IF(AO177&gt;D177," *   La variable Beneficiarios No puede ser mayor al Total.",""))</f>
        <v xml:space="preserve"> *   La variable Beneficiarios No puede ser mayor al Total.</v>
      </c>
      <c r="BG177" s="2465" t="str">
        <f t="shared" ref="BG177:BG186" si="30">IF(AND(F177&gt;0,OR(AP177=""))," * No olvide digitar la variable Trans (Masculino). Digite Cero si no tiene.",IF((AP177)&gt;F177," * La variable Trans (Masculino) No puede ser mayor al Total Mujeres.",""))</f>
        <v xml:space="preserve"> * La variable Trans (Masculino) No puede ser mayor al Total Mujeres.</v>
      </c>
      <c r="BH177" s="2465" t="str">
        <f t="shared" ref="BH177:BH186" si="31">IF(AND(E177&gt;0,OR(AQ177=""))," * No olvide digitar la variable Trans (Femenino). Digite Cero si no tiene.",IF((AQ177)&gt;E177," * La variable Trans (Femenino) No puede ser mayor al Total Hombres.",""))</f>
        <v xml:space="preserve"> * La variable Trans (Femenino) No puede ser mayor al Total Hombres.</v>
      </c>
      <c r="BI177" s="2465" t="str">
        <f t="shared" ref="BI177:BI186" si="32">IF(AND(D177&gt;0,AR177="")," * No olvide digitar la variable Pueblos Originarios. Digite Cero si no tiene.",IF(AR177&gt;D177," *  * La variable Pueblos Originarios No puede ser mayor al Total.",""))</f>
        <v xml:space="preserve"> *  * La variable Pueblos Originarios No puede ser mayor al Total.</v>
      </c>
      <c r="BJ177" s="2465" t="str">
        <f t="shared" ref="BJ177:BJ186" si="33">IF(AND(D177&gt;0,AS177="")," * No olvide digitar la variable Migrantes. Digite Cero si no tiene.",IF(AS177&gt;D177," *  * La variable Migrantes No puede ser mayor al Total.",""))</f>
        <v xml:space="preserve"> *  * La variable Migrantes No puede ser mayor al Total.</v>
      </c>
      <c r="BK177" s="2465" t="str">
        <f t="shared" ref="BK177:BK186" si="34">IF(AND(D177&gt;0,AT177="")," * No olvide digitar la variable Niños, niñas, Adolescentes SENAME. Digite Cero si no tiene.",IF(AT177&gt;D177," *  * La variable Niños, niñas, Adolescentes SENAME No puede ser mayor al Total.",""))</f>
        <v xml:space="preserve"> *  * La variable Niños, niñas, Adolescentes SENAME No puede ser mayor al Total.</v>
      </c>
      <c r="BL177" s="2465" t="str">
        <f t="shared" ref="BL177:BL186" si="35">IF(AND(D177&gt;0,AU177="")," * No olvide digitar la variable Niños, Niñas, Adolescentes y Jóvenes Mejor Niñez. Digite Cero si no tiene.",IF(AU177&gt;D177," *  * La variable Niños, Niñas, Adolescentes y Jóvenes Mejor Niñez No puede ser mayor al Total.",""))</f>
        <v xml:space="preserve"> *  * La variable Niños, Niñas, Adolescentes y Jóvenes Mejor Niñez No puede ser mayor al Total.</v>
      </c>
      <c r="BN177" s="1725">
        <f t="shared" ref="BN177:BN186" si="36">IF(AND(D177&gt;0,AO177=""),1,IF(AO177&gt;D177,1,0))</f>
        <v>1</v>
      </c>
      <c r="BO177" s="1725">
        <f t="shared" ref="BO177:BO186" si="37">IF(AND(F177&gt;0,OR(AP177="")),1,IF((AP177)&gt;F177,1,0))</f>
        <v>1</v>
      </c>
      <c r="BP177" s="1725">
        <f t="shared" ref="BP177:BP186" si="38">IF(AND(E177&gt;0,OR(AQ177="")),1,IF((AQ177)&gt;E177,1,0))</f>
        <v>1</v>
      </c>
      <c r="BQ177" s="1725">
        <f t="shared" ref="BQ177:BQ186" si="39">IF(AND(D177&gt;0,AR177=""),1,IF(AR177&gt;D177,1,0))</f>
        <v>1</v>
      </c>
      <c r="BR177" s="1725">
        <f t="shared" ref="BR177:BR186" si="40">IF(AND(D177&gt;0,AS177=""),1,IF(AS177&gt;D177,1,0))</f>
        <v>1</v>
      </c>
      <c r="BS177" s="1725">
        <f t="shared" ref="BS177:BS186" si="41">IF(AND(D177&gt;0,AT177=""),1,IF(AT177&gt;D177,1,0))</f>
        <v>1</v>
      </c>
      <c r="BT177" s="1725">
        <f t="shared" ref="BT177:BT186" si="42">IF(AND(D177&gt;0,AU177=""),1,IF(AU177&gt;D177,1,0))</f>
        <v>1</v>
      </c>
    </row>
    <row r="178" spans="1:72" x14ac:dyDescent="0.3">
      <c r="A178" s="6261" t="s">
        <v>4787</v>
      </c>
      <c r="B178" s="7161" t="s">
        <v>2215</v>
      </c>
      <c r="C178" s="5114" t="s">
        <v>76</v>
      </c>
      <c r="D178" s="5115" t="s">
        <v>5292</v>
      </c>
      <c r="E178" s="5116" t="s">
        <v>5293</v>
      </c>
      <c r="F178" s="5117" t="s">
        <v>5294</v>
      </c>
      <c r="G178" s="5022" t="s">
        <v>5295</v>
      </c>
      <c r="H178" s="4685" t="s">
        <v>5296</v>
      </c>
      <c r="I178" s="5022" t="s">
        <v>5297</v>
      </c>
      <c r="J178" s="4685" t="s">
        <v>5298</v>
      </c>
      <c r="K178" s="5022" t="s">
        <v>5299</v>
      </c>
      <c r="L178" s="5077" t="s">
        <v>5300</v>
      </c>
      <c r="M178" s="5022" t="s">
        <v>5301</v>
      </c>
      <c r="N178" s="5077" t="s">
        <v>5302</v>
      </c>
      <c r="O178" s="5022" t="s">
        <v>5303</v>
      </c>
      <c r="P178" s="5077" t="s">
        <v>5304</v>
      </c>
      <c r="Q178" s="5022" t="s">
        <v>5305</v>
      </c>
      <c r="R178" s="5077" t="s">
        <v>5306</v>
      </c>
      <c r="S178" s="5022" t="s">
        <v>5307</v>
      </c>
      <c r="T178" s="5077" t="s">
        <v>5308</v>
      </c>
      <c r="U178" s="5022" t="s">
        <v>5309</v>
      </c>
      <c r="V178" s="5077" t="s">
        <v>5310</v>
      </c>
      <c r="W178" s="5022" t="s">
        <v>5311</v>
      </c>
      <c r="X178" s="5077" t="s">
        <v>5312</v>
      </c>
      <c r="Y178" s="5022" t="s">
        <v>5313</v>
      </c>
      <c r="Z178" s="5077" t="s">
        <v>5314</v>
      </c>
      <c r="AA178" s="5022" t="s">
        <v>5315</v>
      </c>
      <c r="AB178" s="5077" t="s">
        <v>5316</v>
      </c>
      <c r="AC178" s="5022" t="s">
        <v>5317</v>
      </c>
      <c r="AD178" s="5077" t="s">
        <v>5318</v>
      </c>
      <c r="AE178" s="5022" t="s">
        <v>5319</v>
      </c>
      <c r="AF178" s="5077" t="s">
        <v>5320</v>
      </c>
      <c r="AG178" s="5022" t="s">
        <v>5321</v>
      </c>
      <c r="AH178" s="5077" t="s">
        <v>5322</v>
      </c>
      <c r="AI178" s="5022" t="s">
        <v>5323</v>
      </c>
      <c r="AJ178" s="5077" t="s">
        <v>5324</v>
      </c>
      <c r="AK178" s="5022" t="s">
        <v>5325</v>
      </c>
      <c r="AL178" s="5077" t="s">
        <v>5326</v>
      </c>
      <c r="AM178" s="5118" t="s">
        <v>5327</v>
      </c>
      <c r="AN178" s="5089" t="s">
        <v>5328</v>
      </c>
      <c r="AO178" s="4685" t="s">
        <v>5329</v>
      </c>
      <c r="AP178" s="5078" t="s">
        <v>5330</v>
      </c>
      <c r="AQ178" s="4685" t="s">
        <v>5331</v>
      </c>
      <c r="AR178" s="5663" t="s">
        <v>5332</v>
      </c>
      <c r="AS178" s="4685" t="s">
        <v>5333</v>
      </c>
      <c r="AT178" s="4685" t="s">
        <v>5334</v>
      </c>
      <c r="AU178" s="4685" t="s">
        <v>5335</v>
      </c>
      <c r="AV178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78" s="2465" t="str">
        <f t="shared" si="29"/>
        <v xml:space="preserve"> *   La variable Beneficiarios No puede ser mayor al Total.</v>
      </c>
      <c r="BG178" s="2465" t="str">
        <f t="shared" si="30"/>
        <v xml:space="preserve"> * La variable Trans (Masculino) No puede ser mayor al Total Mujeres.</v>
      </c>
      <c r="BH178" s="2465" t="str">
        <f t="shared" si="31"/>
        <v xml:space="preserve"> * La variable Trans (Femenino) No puede ser mayor al Total Hombres.</v>
      </c>
      <c r="BI178" s="2465" t="str">
        <f t="shared" si="32"/>
        <v xml:space="preserve"> *  * La variable Pueblos Originarios No puede ser mayor al Total.</v>
      </c>
      <c r="BJ178" s="2465" t="str">
        <f t="shared" si="33"/>
        <v xml:space="preserve"> *  * La variable Migrantes No puede ser mayor al Total.</v>
      </c>
      <c r="BK178" s="2465" t="str">
        <f t="shared" si="34"/>
        <v xml:space="preserve"> *  * La variable Niños, niñas, Adolescentes SENAME No puede ser mayor al Total.</v>
      </c>
      <c r="BL178" s="2465" t="str">
        <f t="shared" si="35"/>
        <v xml:space="preserve"> *  * La variable Niños, Niñas, Adolescentes y Jóvenes Mejor Niñez No puede ser mayor al Total.</v>
      </c>
      <c r="BN178" s="1725">
        <f t="shared" si="36"/>
        <v>1</v>
      </c>
      <c r="BO178" s="1725">
        <f t="shared" si="37"/>
        <v>1</v>
      </c>
      <c r="BP178" s="1725">
        <f t="shared" si="38"/>
        <v>1</v>
      </c>
      <c r="BQ178" s="1725">
        <f t="shared" si="39"/>
        <v>1</v>
      </c>
      <c r="BR178" s="1725">
        <f t="shared" si="40"/>
        <v>1</v>
      </c>
      <c r="BS178" s="1725">
        <f t="shared" si="41"/>
        <v>1</v>
      </c>
      <c r="BT178" s="1725">
        <f t="shared" si="42"/>
        <v>1</v>
      </c>
    </row>
    <row r="179" spans="1:72" x14ac:dyDescent="0.3">
      <c r="A179" s="6261" t="s">
        <v>4788</v>
      </c>
      <c r="B179" s="6613"/>
      <c r="C179" s="2421" t="s">
        <v>77</v>
      </c>
      <c r="D179" s="1928" t="s">
        <v>5292</v>
      </c>
      <c r="E179" s="1927" t="s">
        <v>5293</v>
      </c>
      <c r="F179" s="3242" t="s">
        <v>5294</v>
      </c>
      <c r="G179" s="1072" t="s">
        <v>5295</v>
      </c>
      <c r="H179" s="3077" t="s">
        <v>5296</v>
      </c>
      <c r="I179" s="1072" t="s">
        <v>5297</v>
      </c>
      <c r="J179" s="3077" t="s">
        <v>5298</v>
      </c>
      <c r="K179" s="1072" t="s">
        <v>5299</v>
      </c>
      <c r="L179" s="1060" t="s">
        <v>5300</v>
      </c>
      <c r="M179" s="1072" t="s">
        <v>5301</v>
      </c>
      <c r="N179" s="1060" t="s">
        <v>5302</v>
      </c>
      <c r="O179" s="1072" t="s">
        <v>5303</v>
      </c>
      <c r="P179" s="1060" t="s">
        <v>5304</v>
      </c>
      <c r="Q179" s="1072" t="s">
        <v>5305</v>
      </c>
      <c r="R179" s="1060" t="s">
        <v>5306</v>
      </c>
      <c r="S179" s="1072" t="s">
        <v>5307</v>
      </c>
      <c r="T179" s="1060" t="s">
        <v>5308</v>
      </c>
      <c r="U179" s="1072" t="s">
        <v>5309</v>
      </c>
      <c r="V179" s="1060" t="s">
        <v>5310</v>
      </c>
      <c r="W179" s="1072" t="s">
        <v>5311</v>
      </c>
      <c r="X179" s="1060" t="s">
        <v>5312</v>
      </c>
      <c r="Y179" s="1072" t="s">
        <v>5313</v>
      </c>
      <c r="Z179" s="1060" t="s">
        <v>5314</v>
      </c>
      <c r="AA179" s="1072" t="s">
        <v>5315</v>
      </c>
      <c r="AB179" s="1060" t="s">
        <v>5316</v>
      </c>
      <c r="AC179" s="1072" t="s">
        <v>5317</v>
      </c>
      <c r="AD179" s="1060" t="s">
        <v>5318</v>
      </c>
      <c r="AE179" s="1072" t="s">
        <v>5319</v>
      </c>
      <c r="AF179" s="1060" t="s">
        <v>5320</v>
      </c>
      <c r="AG179" s="1072" t="s">
        <v>5321</v>
      </c>
      <c r="AH179" s="1060" t="s">
        <v>5322</v>
      </c>
      <c r="AI179" s="1072" t="s">
        <v>5323</v>
      </c>
      <c r="AJ179" s="1060" t="s">
        <v>5324</v>
      </c>
      <c r="AK179" s="1072" t="s">
        <v>5325</v>
      </c>
      <c r="AL179" s="1060" t="s">
        <v>5326</v>
      </c>
      <c r="AM179" s="3240" t="s">
        <v>5327</v>
      </c>
      <c r="AN179" s="1061" t="s">
        <v>5328</v>
      </c>
      <c r="AO179" s="3077" t="s">
        <v>5329</v>
      </c>
      <c r="AP179" s="3143" t="s">
        <v>5330</v>
      </c>
      <c r="AQ179" s="3077" t="s">
        <v>5331</v>
      </c>
      <c r="AR179" s="3145" t="s">
        <v>5332</v>
      </c>
      <c r="AS179" s="3077" t="s">
        <v>5333</v>
      </c>
      <c r="AT179" s="3077" t="s">
        <v>5334</v>
      </c>
      <c r="AU179" s="3077" t="s">
        <v>5335</v>
      </c>
      <c r="AV179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79" s="2465" t="str">
        <f t="shared" si="29"/>
        <v xml:space="preserve"> *   La variable Beneficiarios No puede ser mayor al Total.</v>
      </c>
      <c r="BG179" s="2465" t="str">
        <f t="shared" si="30"/>
        <v xml:space="preserve"> * La variable Trans (Masculino) No puede ser mayor al Total Mujeres.</v>
      </c>
      <c r="BH179" s="2465" t="str">
        <f t="shared" si="31"/>
        <v xml:space="preserve"> * La variable Trans (Femenino) No puede ser mayor al Total Hombres.</v>
      </c>
      <c r="BI179" s="2465" t="str">
        <f t="shared" si="32"/>
        <v xml:space="preserve"> *  * La variable Pueblos Originarios No puede ser mayor al Total.</v>
      </c>
      <c r="BJ179" s="2465" t="str">
        <f t="shared" si="33"/>
        <v xml:space="preserve"> *  * La variable Migrantes No puede ser mayor al Total.</v>
      </c>
      <c r="BK179" s="2465" t="str">
        <f t="shared" si="34"/>
        <v xml:space="preserve"> *  * La variable Niños, niñas, Adolescentes SENAME No puede ser mayor al Total.</v>
      </c>
      <c r="BL179" s="2465" t="str">
        <f t="shared" si="35"/>
        <v xml:space="preserve"> *  * La variable Niños, Niñas, Adolescentes y Jóvenes Mejor Niñez No puede ser mayor al Total.</v>
      </c>
      <c r="BN179" s="1725">
        <f t="shared" si="36"/>
        <v>1</v>
      </c>
      <c r="BO179" s="1725">
        <f t="shared" si="37"/>
        <v>1</v>
      </c>
      <c r="BP179" s="1725">
        <f t="shared" si="38"/>
        <v>1</v>
      </c>
      <c r="BQ179" s="1725">
        <f t="shared" si="39"/>
        <v>1</v>
      </c>
      <c r="BR179" s="1725">
        <f t="shared" si="40"/>
        <v>1</v>
      </c>
      <c r="BS179" s="1725">
        <f t="shared" si="41"/>
        <v>1</v>
      </c>
      <c r="BT179" s="1725">
        <f t="shared" si="42"/>
        <v>1</v>
      </c>
    </row>
    <row r="180" spans="1:72" x14ac:dyDescent="0.3">
      <c r="A180" s="6261" t="s">
        <v>4789</v>
      </c>
      <c r="B180" s="7162"/>
      <c r="C180" s="2420" t="s">
        <v>75</v>
      </c>
      <c r="D180" s="3516" t="s">
        <v>5292</v>
      </c>
      <c r="E180" s="5110" t="s">
        <v>5293</v>
      </c>
      <c r="F180" s="161" t="s">
        <v>5294</v>
      </c>
      <c r="G180" s="3023" t="s">
        <v>5295</v>
      </c>
      <c r="H180" s="117" t="s">
        <v>5296</v>
      </c>
      <c r="I180" s="3023" t="s">
        <v>5297</v>
      </c>
      <c r="J180" s="117" t="s">
        <v>5298</v>
      </c>
      <c r="K180" s="3023" t="s">
        <v>5299</v>
      </c>
      <c r="L180" s="3035" t="s">
        <v>5300</v>
      </c>
      <c r="M180" s="3023" t="s">
        <v>5301</v>
      </c>
      <c r="N180" s="3035" t="s">
        <v>5302</v>
      </c>
      <c r="O180" s="3023" t="s">
        <v>5303</v>
      </c>
      <c r="P180" s="3035" t="s">
        <v>5304</v>
      </c>
      <c r="Q180" s="3023" t="s">
        <v>5305</v>
      </c>
      <c r="R180" s="3035" t="s">
        <v>5306</v>
      </c>
      <c r="S180" s="3023" t="s">
        <v>5307</v>
      </c>
      <c r="T180" s="3035" t="s">
        <v>5308</v>
      </c>
      <c r="U180" s="3023" t="s">
        <v>5309</v>
      </c>
      <c r="V180" s="3035" t="s">
        <v>5310</v>
      </c>
      <c r="W180" s="3023" t="s">
        <v>5311</v>
      </c>
      <c r="X180" s="3035" t="s">
        <v>5312</v>
      </c>
      <c r="Y180" s="3023" t="s">
        <v>5313</v>
      </c>
      <c r="Z180" s="3035" t="s">
        <v>5314</v>
      </c>
      <c r="AA180" s="3023" t="s">
        <v>5315</v>
      </c>
      <c r="AB180" s="3035" t="s">
        <v>5316</v>
      </c>
      <c r="AC180" s="3023" t="s">
        <v>5317</v>
      </c>
      <c r="AD180" s="3035" t="s">
        <v>5318</v>
      </c>
      <c r="AE180" s="3023" t="s">
        <v>5319</v>
      </c>
      <c r="AF180" s="3035" t="s">
        <v>5320</v>
      </c>
      <c r="AG180" s="3023" t="s">
        <v>5321</v>
      </c>
      <c r="AH180" s="3035" t="s">
        <v>5322</v>
      </c>
      <c r="AI180" s="3023" t="s">
        <v>5323</v>
      </c>
      <c r="AJ180" s="3035" t="s">
        <v>5324</v>
      </c>
      <c r="AK180" s="3023" t="s">
        <v>5325</v>
      </c>
      <c r="AL180" s="3035" t="s">
        <v>5326</v>
      </c>
      <c r="AM180" s="118" t="s">
        <v>5327</v>
      </c>
      <c r="AN180" s="3080" t="s">
        <v>5328</v>
      </c>
      <c r="AO180" s="117" t="s">
        <v>5329</v>
      </c>
      <c r="AP180" s="121" t="s">
        <v>5330</v>
      </c>
      <c r="AQ180" s="117" t="s">
        <v>5331</v>
      </c>
      <c r="AR180" s="153" t="s">
        <v>5332</v>
      </c>
      <c r="AS180" s="117" t="s">
        <v>5333</v>
      </c>
      <c r="AT180" s="117" t="s">
        <v>5334</v>
      </c>
      <c r="AU180" s="117" t="s">
        <v>5335</v>
      </c>
      <c r="AV180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0" s="2465" t="str">
        <f t="shared" si="29"/>
        <v xml:space="preserve"> *   La variable Beneficiarios No puede ser mayor al Total.</v>
      </c>
      <c r="BG180" s="2465" t="str">
        <f t="shared" si="30"/>
        <v xml:space="preserve"> * La variable Trans (Masculino) No puede ser mayor al Total Mujeres.</v>
      </c>
      <c r="BH180" s="2465" t="str">
        <f t="shared" si="31"/>
        <v xml:space="preserve"> * La variable Trans (Femenino) No puede ser mayor al Total Hombres.</v>
      </c>
      <c r="BI180" s="2465" t="str">
        <f t="shared" si="32"/>
        <v xml:space="preserve"> *  * La variable Pueblos Originarios No puede ser mayor al Total.</v>
      </c>
      <c r="BJ180" s="2465" t="str">
        <f t="shared" si="33"/>
        <v xml:space="preserve"> *  * La variable Migrantes No puede ser mayor al Total.</v>
      </c>
      <c r="BK180" s="2465" t="str">
        <f t="shared" si="34"/>
        <v xml:space="preserve"> *  * La variable Niños, niñas, Adolescentes SENAME No puede ser mayor al Total.</v>
      </c>
      <c r="BL180" s="2465" t="str">
        <f t="shared" si="35"/>
        <v xml:space="preserve"> *  * La variable Niños, Niñas, Adolescentes y Jóvenes Mejor Niñez No puede ser mayor al Total.</v>
      </c>
      <c r="BN180" s="1725">
        <f t="shared" si="36"/>
        <v>1</v>
      </c>
      <c r="BO180" s="1725">
        <f t="shared" si="37"/>
        <v>1</v>
      </c>
      <c r="BP180" s="1725">
        <f t="shared" si="38"/>
        <v>1</v>
      </c>
      <c r="BQ180" s="1725">
        <f t="shared" si="39"/>
        <v>1</v>
      </c>
      <c r="BR180" s="1725">
        <f t="shared" si="40"/>
        <v>1</v>
      </c>
      <c r="BS180" s="1725">
        <f t="shared" si="41"/>
        <v>1</v>
      </c>
      <c r="BT180" s="1725">
        <f t="shared" si="42"/>
        <v>1</v>
      </c>
    </row>
    <row r="181" spans="1:72" x14ac:dyDescent="0.3">
      <c r="A181" s="6261" t="s">
        <v>4790</v>
      </c>
      <c r="B181" s="7145" t="s">
        <v>2216</v>
      </c>
      <c r="C181" s="5114" t="s">
        <v>76</v>
      </c>
      <c r="D181" s="5115" t="s">
        <v>5292</v>
      </c>
      <c r="E181" s="5116" t="s">
        <v>5293</v>
      </c>
      <c r="F181" s="5117" t="s">
        <v>5294</v>
      </c>
      <c r="G181" s="5022" t="s">
        <v>5295</v>
      </c>
      <c r="H181" s="4685" t="s">
        <v>5296</v>
      </c>
      <c r="I181" s="5022" t="s">
        <v>5297</v>
      </c>
      <c r="J181" s="4685" t="s">
        <v>5298</v>
      </c>
      <c r="K181" s="5022" t="s">
        <v>5299</v>
      </c>
      <c r="L181" s="5077" t="s">
        <v>5300</v>
      </c>
      <c r="M181" s="5022" t="s">
        <v>5301</v>
      </c>
      <c r="N181" s="5077" t="s">
        <v>5302</v>
      </c>
      <c r="O181" s="5022" t="s">
        <v>5303</v>
      </c>
      <c r="P181" s="5077" t="s">
        <v>5304</v>
      </c>
      <c r="Q181" s="5022" t="s">
        <v>5305</v>
      </c>
      <c r="R181" s="5077" t="s">
        <v>5306</v>
      </c>
      <c r="S181" s="5022" t="s">
        <v>5307</v>
      </c>
      <c r="T181" s="5077" t="s">
        <v>5308</v>
      </c>
      <c r="U181" s="5022" t="s">
        <v>5309</v>
      </c>
      <c r="V181" s="5077" t="s">
        <v>5310</v>
      </c>
      <c r="W181" s="5022" t="s">
        <v>5311</v>
      </c>
      <c r="X181" s="4685" t="s">
        <v>5312</v>
      </c>
      <c r="Y181" s="5022" t="s">
        <v>5313</v>
      </c>
      <c r="Z181" s="5077" t="s">
        <v>5314</v>
      </c>
      <c r="AA181" s="5022" t="s">
        <v>5315</v>
      </c>
      <c r="AB181" s="5077" t="s">
        <v>5316</v>
      </c>
      <c r="AC181" s="5022" t="s">
        <v>5317</v>
      </c>
      <c r="AD181" s="5077" t="s">
        <v>5318</v>
      </c>
      <c r="AE181" s="5022" t="s">
        <v>5319</v>
      </c>
      <c r="AF181" s="5077" t="s">
        <v>5320</v>
      </c>
      <c r="AG181" s="5022" t="s">
        <v>5321</v>
      </c>
      <c r="AH181" s="5077" t="s">
        <v>5322</v>
      </c>
      <c r="AI181" s="5022" t="s">
        <v>5323</v>
      </c>
      <c r="AJ181" s="5077" t="s">
        <v>5324</v>
      </c>
      <c r="AK181" s="5022" t="s">
        <v>5325</v>
      </c>
      <c r="AL181" s="5077" t="s">
        <v>5326</v>
      </c>
      <c r="AM181" s="5118" t="s">
        <v>5327</v>
      </c>
      <c r="AN181" s="5089" t="s">
        <v>5328</v>
      </c>
      <c r="AO181" s="4685" t="s">
        <v>5329</v>
      </c>
      <c r="AP181" s="5078" t="s">
        <v>5330</v>
      </c>
      <c r="AQ181" s="4685" t="s">
        <v>5331</v>
      </c>
      <c r="AR181" s="5663" t="s">
        <v>5332</v>
      </c>
      <c r="AS181" s="4685" t="s">
        <v>5333</v>
      </c>
      <c r="AT181" s="4685" t="s">
        <v>5334</v>
      </c>
      <c r="AU181" s="4685" t="s">
        <v>5335</v>
      </c>
      <c r="AV181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1" s="2465" t="str">
        <f t="shared" si="29"/>
        <v xml:space="preserve"> *   La variable Beneficiarios No puede ser mayor al Total.</v>
      </c>
      <c r="BG181" s="2465" t="str">
        <f t="shared" si="30"/>
        <v xml:space="preserve"> * La variable Trans (Masculino) No puede ser mayor al Total Mujeres.</v>
      </c>
      <c r="BH181" s="2465" t="str">
        <f t="shared" si="31"/>
        <v xml:space="preserve"> * La variable Trans (Femenino) No puede ser mayor al Total Hombres.</v>
      </c>
      <c r="BI181" s="2465" t="str">
        <f t="shared" si="32"/>
        <v xml:space="preserve"> *  * La variable Pueblos Originarios No puede ser mayor al Total.</v>
      </c>
      <c r="BJ181" s="2465" t="str">
        <f t="shared" si="33"/>
        <v xml:space="preserve"> *  * La variable Migrantes No puede ser mayor al Total.</v>
      </c>
      <c r="BK181" s="2465" t="str">
        <f t="shared" si="34"/>
        <v xml:space="preserve"> *  * La variable Niños, niñas, Adolescentes SENAME No puede ser mayor al Total.</v>
      </c>
      <c r="BL181" s="2465" t="str">
        <f t="shared" si="35"/>
        <v xml:space="preserve"> *  * La variable Niños, Niñas, Adolescentes y Jóvenes Mejor Niñez No puede ser mayor al Total.</v>
      </c>
      <c r="BN181" s="1725">
        <f t="shared" si="36"/>
        <v>1</v>
      </c>
      <c r="BO181" s="1725">
        <f t="shared" si="37"/>
        <v>1</v>
      </c>
      <c r="BP181" s="1725">
        <f t="shared" si="38"/>
        <v>1</v>
      </c>
      <c r="BQ181" s="1725">
        <f t="shared" si="39"/>
        <v>1</v>
      </c>
      <c r="BR181" s="1725">
        <f t="shared" si="40"/>
        <v>1</v>
      </c>
      <c r="BS181" s="1725">
        <f t="shared" si="41"/>
        <v>1</v>
      </c>
      <c r="BT181" s="1725">
        <f t="shared" si="42"/>
        <v>1</v>
      </c>
    </row>
    <row r="182" spans="1:72" x14ac:dyDescent="0.3">
      <c r="A182" s="6264" t="s">
        <v>4791</v>
      </c>
      <c r="B182" s="6576"/>
      <c r="C182" s="2420" t="s">
        <v>77</v>
      </c>
      <c r="D182" s="1928" t="s">
        <v>5292</v>
      </c>
      <c r="E182" s="1927" t="s">
        <v>5293</v>
      </c>
      <c r="F182" s="3242" t="s">
        <v>5294</v>
      </c>
      <c r="G182" s="3023" t="s">
        <v>5295</v>
      </c>
      <c r="H182" s="117" t="s">
        <v>5296</v>
      </c>
      <c r="I182" s="3023" t="s">
        <v>5297</v>
      </c>
      <c r="J182" s="117" t="s">
        <v>5298</v>
      </c>
      <c r="K182" s="3023" t="s">
        <v>5299</v>
      </c>
      <c r="L182" s="3035" t="s">
        <v>5300</v>
      </c>
      <c r="M182" s="3023" t="s">
        <v>5301</v>
      </c>
      <c r="N182" s="3035" t="s">
        <v>5302</v>
      </c>
      <c r="O182" s="3023" t="s">
        <v>5303</v>
      </c>
      <c r="P182" s="3035" t="s">
        <v>5304</v>
      </c>
      <c r="Q182" s="3023" t="s">
        <v>5305</v>
      </c>
      <c r="R182" s="3035" t="s">
        <v>5306</v>
      </c>
      <c r="S182" s="3023" t="s">
        <v>5307</v>
      </c>
      <c r="T182" s="3035" t="s">
        <v>5308</v>
      </c>
      <c r="U182" s="3023" t="s">
        <v>5309</v>
      </c>
      <c r="V182" s="3035" t="s">
        <v>5310</v>
      </c>
      <c r="W182" s="3023" t="s">
        <v>5311</v>
      </c>
      <c r="X182" s="3035" t="s">
        <v>5312</v>
      </c>
      <c r="Y182" s="3023" t="s">
        <v>5313</v>
      </c>
      <c r="Z182" s="3035" t="s">
        <v>5314</v>
      </c>
      <c r="AA182" s="3023" t="s">
        <v>5315</v>
      </c>
      <c r="AB182" s="3035" t="s">
        <v>5316</v>
      </c>
      <c r="AC182" s="3023" t="s">
        <v>5317</v>
      </c>
      <c r="AD182" s="3035" t="s">
        <v>5318</v>
      </c>
      <c r="AE182" s="3023" t="s">
        <v>5319</v>
      </c>
      <c r="AF182" s="3035" t="s">
        <v>5320</v>
      </c>
      <c r="AG182" s="3023" t="s">
        <v>5321</v>
      </c>
      <c r="AH182" s="3035" t="s">
        <v>5322</v>
      </c>
      <c r="AI182" s="3023" t="s">
        <v>5323</v>
      </c>
      <c r="AJ182" s="3035" t="s">
        <v>5324</v>
      </c>
      <c r="AK182" s="3023" t="s">
        <v>5325</v>
      </c>
      <c r="AL182" s="3035" t="s">
        <v>5326</v>
      </c>
      <c r="AM182" s="118" t="s">
        <v>5327</v>
      </c>
      <c r="AN182" s="3080" t="s">
        <v>5328</v>
      </c>
      <c r="AO182" s="117" t="s">
        <v>5329</v>
      </c>
      <c r="AP182" s="121" t="s">
        <v>5330</v>
      </c>
      <c r="AQ182" s="117" t="s">
        <v>5331</v>
      </c>
      <c r="AR182" s="153" t="s">
        <v>5332</v>
      </c>
      <c r="AS182" s="117" t="s">
        <v>5333</v>
      </c>
      <c r="AT182" s="117" t="s">
        <v>5334</v>
      </c>
      <c r="AU182" s="117" t="s">
        <v>5335</v>
      </c>
      <c r="AV182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2" s="2465" t="str">
        <f t="shared" si="29"/>
        <v xml:space="preserve"> *   La variable Beneficiarios No puede ser mayor al Total.</v>
      </c>
      <c r="BG182" s="2465" t="str">
        <f t="shared" si="30"/>
        <v xml:space="preserve"> * La variable Trans (Masculino) No puede ser mayor al Total Mujeres.</v>
      </c>
      <c r="BH182" s="2465" t="str">
        <f t="shared" si="31"/>
        <v xml:space="preserve"> * La variable Trans (Femenino) No puede ser mayor al Total Hombres.</v>
      </c>
      <c r="BI182" s="2465" t="str">
        <f t="shared" si="32"/>
        <v xml:space="preserve"> *  * La variable Pueblos Originarios No puede ser mayor al Total.</v>
      </c>
      <c r="BJ182" s="2465" t="str">
        <f t="shared" si="33"/>
        <v xml:space="preserve"> *  * La variable Migrantes No puede ser mayor al Total.</v>
      </c>
      <c r="BK182" s="2465" t="str">
        <f t="shared" si="34"/>
        <v xml:space="preserve"> *  * La variable Niños, niñas, Adolescentes SENAME No puede ser mayor al Total.</v>
      </c>
      <c r="BL182" s="2465" t="str">
        <f t="shared" si="35"/>
        <v xml:space="preserve"> *  * La variable Niños, Niñas, Adolescentes y Jóvenes Mejor Niñez No puede ser mayor al Total.</v>
      </c>
      <c r="BN182" s="1725">
        <f t="shared" si="36"/>
        <v>1</v>
      </c>
      <c r="BO182" s="1725">
        <f t="shared" si="37"/>
        <v>1</v>
      </c>
      <c r="BP182" s="1725">
        <f t="shared" si="38"/>
        <v>1</v>
      </c>
      <c r="BQ182" s="1725">
        <f t="shared" si="39"/>
        <v>1</v>
      </c>
      <c r="BR182" s="1725">
        <f t="shared" si="40"/>
        <v>1</v>
      </c>
      <c r="BS182" s="1725">
        <f t="shared" si="41"/>
        <v>1</v>
      </c>
      <c r="BT182" s="1725">
        <f t="shared" si="42"/>
        <v>1</v>
      </c>
    </row>
    <row r="183" spans="1:72" x14ac:dyDescent="0.3">
      <c r="A183" s="6261" t="s">
        <v>4792</v>
      </c>
      <c r="B183" s="7145" t="s">
        <v>2217</v>
      </c>
      <c r="C183" s="5114" t="s">
        <v>76</v>
      </c>
      <c r="D183" s="5115" t="s">
        <v>5292</v>
      </c>
      <c r="E183" s="5116" t="s">
        <v>5293</v>
      </c>
      <c r="F183" s="5117" t="s">
        <v>5294</v>
      </c>
      <c r="G183" s="5022" t="s">
        <v>5295</v>
      </c>
      <c r="H183" s="4685" t="s">
        <v>5296</v>
      </c>
      <c r="I183" s="5022" t="s">
        <v>5297</v>
      </c>
      <c r="J183" s="4685" t="s">
        <v>5298</v>
      </c>
      <c r="K183" s="5022" t="s">
        <v>5299</v>
      </c>
      <c r="L183" s="5077" t="s">
        <v>5300</v>
      </c>
      <c r="M183" s="5022" t="s">
        <v>5301</v>
      </c>
      <c r="N183" s="5077" t="s">
        <v>5302</v>
      </c>
      <c r="O183" s="5022" t="s">
        <v>5303</v>
      </c>
      <c r="P183" s="5077" t="s">
        <v>5304</v>
      </c>
      <c r="Q183" s="5022" t="s">
        <v>5305</v>
      </c>
      <c r="R183" s="5077" t="s">
        <v>5306</v>
      </c>
      <c r="S183" s="5022" t="s">
        <v>5307</v>
      </c>
      <c r="T183" s="5077" t="s">
        <v>5308</v>
      </c>
      <c r="U183" s="5022" t="s">
        <v>5309</v>
      </c>
      <c r="V183" s="5077" t="s">
        <v>5310</v>
      </c>
      <c r="W183" s="106" t="s">
        <v>5311</v>
      </c>
      <c r="X183" s="5047" t="s">
        <v>5312</v>
      </c>
      <c r="Y183" s="106" t="s">
        <v>5313</v>
      </c>
      <c r="Z183" s="5047" t="s">
        <v>5314</v>
      </c>
      <c r="AA183" s="106" t="s">
        <v>5315</v>
      </c>
      <c r="AB183" s="5047" t="s">
        <v>5316</v>
      </c>
      <c r="AC183" s="106" t="s">
        <v>5317</v>
      </c>
      <c r="AD183" s="5047" t="s">
        <v>5318</v>
      </c>
      <c r="AE183" s="106" t="s">
        <v>5319</v>
      </c>
      <c r="AF183" s="5047" t="s">
        <v>5320</v>
      </c>
      <c r="AG183" s="106" t="s">
        <v>5321</v>
      </c>
      <c r="AH183" s="5047" t="s">
        <v>5322</v>
      </c>
      <c r="AI183" s="106" t="s">
        <v>5323</v>
      </c>
      <c r="AJ183" s="5047" t="s">
        <v>5324</v>
      </c>
      <c r="AK183" s="106" t="s">
        <v>5325</v>
      </c>
      <c r="AL183" s="5047" t="s">
        <v>5326</v>
      </c>
      <c r="AM183" s="113" t="s">
        <v>5327</v>
      </c>
      <c r="AN183" s="5106" t="s">
        <v>5328</v>
      </c>
      <c r="AO183" s="4685" t="s">
        <v>5329</v>
      </c>
      <c r="AP183" s="5078" t="s">
        <v>5330</v>
      </c>
      <c r="AQ183" s="4685" t="s">
        <v>5331</v>
      </c>
      <c r="AR183" s="5663" t="s">
        <v>5332</v>
      </c>
      <c r="AS183" s="4685" t="s">
        <v>5333</v>
      </c>
      <c r="AT183" s="4685" t="s">
        <v>5334</v>
      </c>
      <c r="AU183" s="4685" t="s">
        <v>5335</v>
      </c>
      <c r="AV183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3" s="2465" t="str">
        <f t="shared" si="29"/>
        <v xml:space="preserve"> *   La variable Beneficiarios No puede ser mayor al Total.</v>
      </c>
      <c r="BG183" s="2465" t="str">
        <f t="shared" si="30"/>
        <v xml:space="preserve"> * La variable Trans (Masculino) No puede ser mayor al Total Mujeres.</v>
      </c>
      <c r="BH183" s="2465" t="str">
        <f t="shared" si="31"/>
        <v xml:space="preserve"> * La variable Trans (Femenino) No puede ser mayor al Total Hombres.</v>
      </c>
      <c r="BI183" s="2465" t="str">
        <f t="shared" si="32"/>
        <v xml:space="preserve"> *  * La variable Pueblos Originarios No puede ser mayor al Total.</v>
      </c>
      <c r="BJ183" s="2465" t="str">
        <f t="shared" si="33"/>
        <v xml:space="preserve"> *  * La variable Migrantes No puede ser mayor al Total.</v>
      </c>
      <c r="BK183" s="2465" t="str">
        <f t="shared" si="34"/>
        <v xml:space="preserve"> *  * La variable Niños, niñas, Adolescentes SENAME No puede ser mayor al Total.</v>
      </c>
      <c r="BL183" s="2465" t="str">
        <f t="shared" si="35"/>
        <v xml:space="preserve"> *  * La variable Niños, Niñas, Adolescentes y Jóvenes Mejor Niñez No puede ser mayor al Total.</v>
      </c>
      <c r="BN183" s="1725">
        <f t="shared" si="36"/>
        <v>1</v>
      </c>
      <c r="BO183" s="1725">
        <f t="shared" si="37"/>
        <v>1</v>
      </c>
      <c r="BP183" s="1725">
        <f t="shared" si="38"/>
        <v>1</v>
      </c>
      <c r="BQ183" s="1725">
        <f t="shared" si="39"/>
        <v>1</v>
      </c>
      <c r="BR183" s="1725">
        <f t="shared" si="40"/>
        <v>1</v>
      </c>
      <c r="BS183" s="1725">
        <f t="shared" si="41"/>
        <v>1</v>
      </c>
      <c r="BT183" s="1725">
        <f t="shared" si="42"/>
        <v>1</v>
      </c>
    </row>
    <row r="184" spans="1:72" x14ac:dyDescent="0.3">
      <c r="A184" s="6261" t="s">
        <v>4793</v>
      </c>
      <c r="B184" s="6576"/>
      <c r="C184" s="2420" t="s">
        <v>77</v>
      </c>
      <c r="D184" s="1928" t="s">
        <v>5292</v>
      </c>
      <c r="E184" s="1927" t="s">
        <v>5293</v>
      </c>
      <c r="F184" s="3242" t="s">
        <v>5294</v>
      </c>
      <c r="G184" s="3023" t="s">
        <v>5295</v>
      </c>
      <c r="H184" s="117" t="s">
        <v>5296</v>
      </c>
      <c r="I184" s="3023" t="s">
        <v>5297</v>
      </c>
      <c r="J184" s="117" t="s">
        <v>5298</v>
      </c>
      <c r="K184" s="3023" t="s">
        <v>5299</v>
      </c>
      <c r="L184" s="3035" t="s">
        <v>5300</v>
      </c>
      <c r="M184" s="3023" t="s">
        <v>5301</v>
      </c>
      <c r="N184" s="3035" t="s">
        <v>5302</v>
      </c>
      <c r="O184" s="3023" t="s">
        <v>5303</v>
      </c>
      <c r="P184" s="3035" t="s">
        <v>5304</v>
      </c>
      <c r="Q184" s="3023" t="s">
        <v>5305</v>
      </c>
      <c r="R184" s="3035" t="s">
        <v>5306</v>
      </c>
      <c r="S184" s="3023" t="s">
        <v>5307</v>
      </c>
      <c r="T184" s="3035" t="s">
        <v>5308</v>
      </c>
      <c r="U184" s="3023" t="s">
        <v>5309</v>
      </c>
      <c r="V184" s="3035" t="s">
        <v>5310</v>
      </c>
      <c r="W184" s="131" t="s">
        <v>5311</v>
      </c>
      <c r="X184" s="4424" t="s">
        <v>5312</v>
      </c>
      <c r="Y184" s="106" t="s">
        <v>5313</v>
      </c>
      <c r="Z184" s="5047" t="s">
        <v>5314</v>
      </c>
      <c r="AA184" s="106" t="s">
        <v>5315</v>
      </c>
      <c r="AB184" s="5047" t="s">
        <v>5316</v>
      </c>
      <c r="AC184" s="106" t="s">
        <v>5317</v>
      </c>
      <c r="AD184" s="5047" t="s">
        <v>5318</v>
      </c>
      <c r="AE184" s="106" t="s">
        <v>5319</v>
      </c>
      <c r="AF184" s="5047" t="s">
        <v>5320</v>
      </c>
      <c r="AG184" s="106" t="s">
        <v>5321</v>
      </c>
      <c r="AH184" s="5047" t="s">
        <v>5322</v>
      </c>
      <c r="AI184" s="106" t="s">
        <v>5323</v>
      </c>
      <c r="AJ184" s="5047" t="s">
        <v>5324</v>
      </c>
      <c r="AK184" s="106" t="s">
        <v>5325</v>
      </c>
      <c r="AL184" s="5047" t="s">
        <v>5326</v>
      </c>
      <c r="AM184" s="113" t="s">
        <v>5327</v>
      </c>
      <c r="AN184" s="5106" t="s">
        <v>5328</v>
      </c>
      <c r="AO184" s="4424" t="s">
        <v>5329</v>
      </c>
      <c r="AP184" s="588" t="s">
        <v>5330</v>
      </c>
      <c r="AQ184" s="4424" t="s">
        <v>5331</v>
      </c>
      <c r="AR184" s="784" t="s">
        <v>5332</v>
      </c>
      <c r="AS184" s="4424" t="s">
        <v>5333</v>
      </c>
      <c r="AT184" s="4424" t="s">
        <v>5334</v>
      </c>
      <c r="AU184" s="4424" t="s">
        <v>5335</v>
      </c>
      <c r="AV184" t="str">
        <f t="shared" si="28"/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4" s="2465" t="str">
        <f t="shared" si="29"/>
        <v xml:space="preserve"> *   La variable Beneficiarios No puede ser mayor al Total.</v>
      </c>
      <c r="BG184" s="2465" t="str">
        <f t="shared" si="30"/>
        <v xml:space="preserve"> * La variable Trans (Masculino) No puede ser mayor al Total Mujeres.</v>
      </c>
      <c r="BH184" s="2465" t="str">
        <f t="shared" si="31"/>
        <v xml:space="preserve"> * La variable Trans (Femenino) No puede ser mayor al Total Hombres.</v>
      </c>
      <c r="BI184" s="2465" t="str">
        <f t="shared" si="32"/>
        <v xml:space="preserve"> *  * La variable Pueblos Originarios No puede ser mayor al Total.</v>
      </c>
      <c r="BJ184" s="2465" t="str">
        <f t="shared" si="33"/>
        <v xml:space="preserve"> *  * La variable Migrantes No puede ser mayor al Total.</v>
      </c>
      <c r="BK184" s="2465" t="str">
        <f t="shared" si="34"/>
        <v xml:space="preserve"> *  * La variable Niños, niñas, Adolescentes SENAME No puede ser mayor al Total.</v>
      </c>
      <c r="BL184" s="2465" t="str">
        <f t="shared" si="35"/>
        <v xml:space="preserve"> *  * La variable Niños, Niñas, Adolescentes y Jóvenes Mejor Niñez No puede ser mayor al Total.</v>
      </c>
      <c r="BN184" s="1725">
        <f t="shared" si="36"/>
        <v>1</v>
      </c>
      <c r="BO184" s="1725">
        <f t="shared" si="37"/>
        <v>1</v>
      </c>
      <c r="BP184" s="1725">
        <f t="shared" si="38"/>
        <v>1</v>
      </c>
      <c r="BQ184" s="1725">
        <f t="shared" si="39"/>
        <v>1</v>
      </c>
      <c r="BR184" s="1725">
        <f t="shared" si="40"/>
        <v>1</v>
      </c>
      <c r="BS184" s="1725">
        <f t="shared" si="41"/>
        <v>1</v>
      </c>
      <c r="BT184" s="1725">
        <f t="shared" si="42"/>
        <v>1</v>
      </c>
    </row>
    <row r="185" spans="1:72" x14ac:dyDescent="0.3">
      <c r="A185" s="6261" t="s">
        <v>4794</v>
      </c>
      <c r="B185" s="7163" t="s">
        <v>2218</v>
      </c>
      <c r="C185" s="5114" t="s">
        <v>76</v>
      </c>
      <c r="D185" s="5119" t="s">
        <v>5292</v>
      </c>
      <c r="E185" s="5094" t="s">
        <v>5293</v>
      </c>
      <c r="F185" s="5095" t="s">
        <v>5294</v>
      </c>
      <c r="G185" s="5120" t="s">
        <v>5295</v>
      </c>
      <c r="H185" s="5121" t="s">
        <v>5296</v>
      </c>
      <c r="I185" s="5120" t="s">
        <v>5297</v>
      </c>
      <c r="J185" s="5121" t="s">
        <v>5298</v>
      </c>
      <c r="K185" s="5120" t="s">
        <v>5299</v>
      </c>
      <c r="L185" s="5121" t="s">
        <v>5300</v>
      </c>
      <c r="M185" s="5122" t="s">
        <v>5301</v>
      </c>
      <c r="N185" s="5097" t="s">
        <v>5302</v>
      </c>
      <c r="O185" s="5073" t="s">
        <v>5303</v>
      </c>
      <c r="P185" s="5097" t="s">
        <v>5304</v>
      </c>
      <c r="Q185" s="5073" t="s">
        <v>5305</v>
      </c>
      <c r="R185" s="5097" t="s">
        <v>5306</v>
      </c>
      <c r="S185" s="5073" t="s">
        <v>5307</v>
      </c>
      <c r="T185" s="5097" t="s">
        <v>5308</v>
      </c>
      <c r="U185" s="5073" t="s">
        <v>5309</v>
      </c>
      <c r="V185" s="5097" t="s">
        <v>5310</v>
      </c>
      <c r="W185" s="5073" t="s">
        <v>5311</v>
      </c>
      <c r="X185" s="5097" t="s">
        <v>5312</v>
      </c>
      <c r="Y185" s="5073" t="s">
        <v>5313</v>
      </c>
      <c r="Z185" s="5097" t="s">
        <v>5314</v>
      </c>
      <c r="AA185" s="5073" t="s">
        <v>5315</v>
      </c>
      <c r="AB185" s="5097" t="s">
        <v>5316</v>
      </c>
      <c r="AC185" s="5073" t="s">
        <v>5317</v>
      </c>
      <c r="AD185" s="5097" t="s">
        <v>5318</v>
      </c>
      <c r="AE185" s="5073" t="s">
        <v>5319</v>
      </c>
      <c r="AF185" s="5097" t="s">
        <v>5320</v>
      </c>
      <c r="AG185" s="5073" t="s">
        <v>5321</v>
      </c>
      <c r="AH185" s="5097" t="s">
        <v>5322</v>
      </c>
      <c r="AI185" s="5073" t="s">
        <v>5323</v>
      </c>
      <c r="AJ185" s="5097" t="s">
        <v>5324</v>
      </c>
      <c r="AK185" s="5073" t="s">
        <v>5325</v>
      </c>
      <c r="AL185" s="5097" t="s">
        <v>5326</v>
      </c>
      <c r="AM185" s="5098" t="s">
        <v>5327</v>
      </c>
      <c r="AN185" s="5099" t="s">
        <v>5328</v>
      </c>
      <c r="AO185" s="5096" t="s">
        <v>5329</v>
      </c>
      <c r="AP185" s="5101" t="s">
        <v>5330</v>
      </c>
      <c r="AQ185" s="5096" t="s">
        <v>5331</v>
      </c>
      <c r="AR185" s="5346" t="s">
        <v>5332</v>
      </c>
      <c r="AS185" s="5096" t="s">
        <v>5333</v>
      </c>
      <c r="AT185" s="5096" t="s">
        <v>5334</v>
      </c>
      <c r="AU185" s="5096" t="s">
        <v>5335</v>
      </c>
      <c r="AV185" t="str">
        <f>BF185&amp;BG185&amp;BH185&amp;BI185&amp;BJ185&amp;BK185&amp;BL185</f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5" s="2465" t="str">
        <f t="shared" si="29"/>
        <v xml:space="preserve"> *   La variable Beneficiarios No puede ser mayor al Total.</v>
      </c>
      <c r="BG185" s="2465" t="str">
        <f t="shared" si="30"/>
        <v xml:space="preserve"> * La variable Trans (Masculino) No puede ser mayor al Total Mujeres.</v>
      </c>
      <c r="BH185" s="2465" t="str">
        <f t="shared" si="31"/>
        <v xml:space="preserve"> * La variable Trans (Femenino) No puede ser mayor al Total Hombres.</v>
      </c>
      <c r="BI185" s="2465" t="str">
        <f t="shared" si="32"/>
        <v xml:space="preserve"> *  * La variable Pueblos Originarios No puede ser mayor al Total.</v>
      </c>
      <c r="BJ185" s="2465" t="str">
        <f t="shared" si="33"/>
        <v xml:space="preserve"> *  * La variable Migrantes No puede ser mayor al Total.</v>
      </c>
      <c r="BK185" s="2465" t="str">
        <f t="shared" si="34"/>
        <v xml:space="preserve"> *  * La variable Niños, niñas, Adolescentes SENAME No puede ser mayor al Total.</v>
      </c>
      <c r="BL185" s="2465" t="str">
        <f t="shared" si="35"/>
        <v xml:space="preserve"> *  * La variable Niños, Niñas, Adolescentes y Jóvenes Mejor Niñez No puede ser mayor al Total.</v>
      </c>
      <c r="BN185" s="1725">
        <f t="shared" si="36"/>
        <v>1</v>
      </c>
      <c r="BO185" s="1725">
        <f t="shared" si="37"/>
        <v>1</v>
      </c>
      <c r="BP185" s="1725">
        <f t="shared" si="38"/>
        <v>1</v>
      </c>
      <c r="BQ185" s="1725">
        <f t="shared" si="39"/>
        <v>1</v>
      </c>
      <c r="BR185" s="1725">
        <f t="shared" si="40"/>
        <v>1</v>
      </c>
      <c r="BS185" s="1725">
        <f t="shared" si="41"/>
        <v>1</v>
      </c>
      <c r="BT185" s="1725">
        <f t="shared" si="42"/>
        <v>1</v>
      </c>
    </row>
    <row r="186" spans="1:72" x14ac:dyDescent="0.3">
      <c r="A186" s="6261" t="s">
        <v>4795</v>
      </c>
      <c r="B186" s="7164"/>
      <c r="C186" s="2420" t="s">
        <v>77</v>
      </c>
      <c r="D186" s="3516" t="s">
        <v>5292</v>
      </c>
      <c r="E186" s="5110" t="s">
        <v>5293</v>
      </c>
      <c r="F186" s="161" t="s">
        <v>5294</v>
      </c>
      <c r="G186" s="3019" t="s">
        <v>5295</v>
      </c>
      <c r="H186" s="152" t="s">
        <v>5296</v>
      </c>
      <c r="I186" s="3019" t="s">
        <v>5297</v>
      </c>
      <c r="J186" s="152" t="s">
        <v>5298</v>
      </c>
      <c r="K186" s="3019" t="s">
        <v>5299</v>
      </c>
      <c r="L186" s="152" t="s">
        <v>5300</v>
      </c>
      <c r="M186" s="5123" t="s">
        <v>5301</v>
      </c>
      <c r="N186" s="3035" t="s">
        <v>5302</v>
      </c>
      <c r="O186" s="3023" t="s">
        <v>5303</v>
      </c>
      <c r="P186" s="3035" t="s">
        <v>5304</v>
      </c>
      <c r="Q186" s="3023" t="s">
        <v>5305</v>
      </c>
      <c r="R186" s="3035" t="s">
        <v>5306</v>
      </c>
      <c r="S186" s="3023" t="s">
        <v>5307</v>
      </c>
      <c r="T186" s="3035" t="s">
        <v>5308</v>
      </c>
      <c r="U186" s="3023" t="s">
        <v>5309</v>
      </c>
      <c r="V186" s="3035" t="s">
        <v>5310</v>
      </c>
      <c r="W186" s="3023" t="s">
        <v>5311</v>
      </c>
      <c r="X186" s="3035" t="s">
        <v>5312</v>
      </c>
      <c r="Y186" s="3023" t="s">
        <v>5313</v>
      </c>
      <c r="Z186" s="3035" t="s">
        <v>5314</v>
      </c>
      <c r="AA186" s="3023" t="s">
        <v>5315</v>
      </c>
      <c r="AB186" s="3035" t="s">
        <v>5316</v>
      </c>
      <c r="AC186" s="3023" t="s">
        <v>5317</v>
      </c>
      <c r="AD186" s="3035" t="s">
        <v>5318</v>
      </c>
      <c r="AE186" s="3023" t="s">
        <v>5319</v>
      </c>
      <c r="AF186" s="3035" t="s">
        <v>5320</v>
      </c>
      <c r="AG186" s="3023" t="s">
        <v>5321</v>
      </c>
      <c r="AH186" s="3035" t="s">
        <v>5322</v>
      </c>
      <c r="AI186" s="3023" t="s">
        <v>5323</v>
      </c>
      <c r="AJ186" s="3035" t="s">
        <v>5324</v>
      </c>
      <c r="AK186" s="3023" t="s">
        <v>5325</v>
      </c>
      <c r="AL186" s="3035" t="s">
        <v>5326</v>
      </c>
      <c r="AM186" s="118" t="s">
        <v>5327</v>
      </c>
      <c r="AN186" s="3080" t="s">
        <v>5328</v>
      </c>
      <c r="AO186" s="117" t="s">
        <v>5329</v>
      </c>
      <c r="AP186" s="121" t="s">
        <v>5330</v>
      </c>
      <c r="AQ186" s="117" t="s">
        <v>5331</v>
      </c>
      <c r="AR186" s="153" t="s">
        <v>5332</v>
      </c>
      <c r="AS186" s="117" t="s">
        <v>5333</v>
      </c>
      <c r="AT186" s="117" t="s">
        <v>5334</v>
      </c>
      <c r="AU186" s="117" t="s">
        <v>5335</v>
      </c>
      <c r="AV186" t="str">
        <f>BF186&amp;BG186&amp;BH186&amp;BI186&amp;BJ186&amp;BK186&amp;BL186</f>
        <v xml:space="preserve"> *   La variable Beneficiarios No puede ser mayor al Total. * La variable Trans (Masculino) No puede ser mayor al Total Mujeres. * La variable Trans (Femenino) No puede ser mayor al Total Hombres. *  * La variable Pueblos Originarios No puede ser mayor al Total. *  * La variable Migrantes No puede ser mayor al Total. *  * La variable Niños, niñas, Adolescentes SENAME No puede ser mayor al Total. *  * La variable Niños, Niñas, Adolescentes y Jóvenes Mejor Niñez No puede ser mayor al Total.</v>
      </c>
      <c r="BF186" s="2465" t="str">
        <f t="shared" si="29"/>
        <v xml:space="preserve"> *   La variable Beneficiarios No puede ser mayor al Total.</v>
      </c>
      <c r="BG186" s="2465" t="str">
        <f t="shared" si="30"/>
        <v xml:space="preserve"> * La variable Trans (Masculino) No puede ser mayor al Total Mujeres.</v>
      </c>
      <c r="BH186" s="2465" t="str">
        <f t="shared" si="31"/>
        <v xml:space="preserve"> * La variable Trans (Femenino) No puede ser mayor al Total Hombres.</v>
      </c>
      <c r="BI186" s="2465" t="str">
        <f t="shared" si="32"/>
        <v xml:space="preserve"> *  * La variable Pueblos Originarios No puede ser mayor al Total.</v>
      </c>
      <c r="BJ186" s="2465" t="str">
        <f t="shared" si="33"/>
        <v xml:space="preserve"> *  * La variable Migrantes No puede ser mayor al Total.</v>
      </c>
      <c r="BK186" s="2465" t="str">
        <f t="shared" si="34"/>
        <v xml:space="preserve"> *  * La variable Niños, niñas, Adolescentes SENAME No puede ser mayor al Total.</v>
      </c>
      <c r="BL186" s="2465" t="str">
        <f t="shared" si="35"/>
        <v xml:space="preserve"> *  * La variable Niños, Niñas, Adolescentes y Jóvenes Mejor Niñez No puede ser mayor al Total.</v>
      </c>
      <c r="BN186" s="1725">
        <f t="shared" si="36"/>
        <v>1</v>
      </c>
      <c r="BO186" s="1725">
        <f t="shared" si="37"/>
        <v>1</v>
      </c>
      <c r="BP186" s="1725">
        <f t="shared" si="38"/>
        <v>1</v>
      </c>
      <c r="BQ186" s="1725">
        <f t="shared" si="39"/>
        <v>1</v>
      </c>
      <c r="BR186" s="1725">
        <f t="shared" si="40"/>
        <v>1</v>
      </c>
      <c r="BS186" s="1725">
        <f t="shared" si="41"/>
        <v>1</v>
      </c>
      <c r="BT186" s="1725">
        <f t="shared" si="42"/>
        <v>1</v>
      </c>
    </row>
    <row r="187" spans="1:72" s="505" customFormat="1" ht="18" customHeight="1" x14ac:dyDescent="0.25">
      <c r="B187" s="2732" t="s">
        <v>2219</v>
      </c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</row>
    <row r="188" spans="1:72" ht="15" customHeight="1" x14ac:dyDescent="0.3">
      <c r="A188" s="6265"/>
      <c r="B188" s="7165" t="s">
        <v>2220</v>
      </c>
      <c r="C188" s="7166"/>
      <c r="D188" s="7171" t="s">
        <v>59</v>
      </c>
      <c r="E188" s="7172"/>
      <c r="F188" s="7166"/>
      <c r="G188" s="7174" t="s">
        <v>30</v>
      </c>
      <c r="H188" s="7175"/>
      <c r="I188" s="7175"/>
      <c r="J188" s="7175"/>
      <c r="K188" s="7175"/>
      <c r="L188" s="7175"/>
      <c r="M188" s="7175"/>
      <c r="N188" s="7175"/>
      <c r="O188" s="7175"/>
      <c r="P188" s="7175"/>
      <c r="Q188" s="7175"/>
      <c r="R188" s="7175"/>
      <c r="S188" s="7175"/>
      <c r="T188" s="7175"/>
      <c r="U188" s="7175"/>
      <c r="V188" s="7175"/>
      <c r="W188" s="7175"/>
      <c r="X188" s="7175"/>
      <c r="Y188" s="7175"/>
      <c r="Z188" s="7175"/>
      <c r="AA188" s="7175"/>
      <c r="AB188" s="7175"/>
      <c r="AC188" s="7175"/>
      <c r="AD188" s="7175"/>
      <c r="AE188" s="7175"/>
      <c r="AF188" s="7175"/>
      <c r="AG188" s="7175"/>
      <c r="AH188" s="7176"/>
      <c r="AI188" s="7177" t="s">
        <v>2221</v>
      </c>
      <c r="AJ188" s="7177"/>
      <c r="AK188" s="7177"/>
      <c r="AL188" s="7178"/>
      <c r="AM188" s="7179" t="s">
        <v>2222</v>
      </c>
      <c r="AN188" s="7183" t="s">
        <v>2223</v>
      </c>
      <c r="AO188" s="7182"/>
      <c r="AP188" s="7184" t="s">
        <v>3</v>
      </c>
      <c r="AQ188" s="7187" t="s">
        <v>2</v>
      </c>
    </row>
    <row r="189" spans="1:72" x14ac:dyDescent="0.3">
      <c r="A189" s="6265"/>
      <c r="B189" s="7167"/>
      <c r="C189" s="7168"/>
      <c r="D189" s="7169"/>
      <c r="E189" s="7173"/>
      <c r="F189" s="7170"/>
      <c r="G189" s="7174" t="s">
        <v>4</v>
      </c>
      <c r="H189" s="7182"/>
      <c r="I189" s="7174" t="s">
        <v>5</v>
      </c>
      <c r="J189" s="7182"/>
      <c r="K189" s="7174" t="s">
        <v>6</v>
      </c>
      <c r="L189" s="7182"/>
      <c r="M189" s="7174" t="s">
        <v>7</v>
      </c>
      <c r="N189" s="7182"/>
      <c r="O189" s="7174" t="s">
        <v>8</v>
      </c>
      <c r="P189" s="7182"/>
      <c r="Q189" s="7174" t="s">
        <v>9</v>
      </c>
      <c r="R189" s="7182"/>
      <c r="S189" s="7174" t="s">
        <v>10</v>
      </c>
      <c r="T189" s="7182"/>
      <c r="U189" s="7174" t="s">
        <v>11</v>
      </c>
      <c r="V189" s="7182"/>
      <c r="W189" s="7174" t="s">
        <v>18</v>
      </c>
      <c r="X189" s="7182"/>
      <c r="Y189" s="7174" t="s">
        <v>19</v>
      </c>
      <c r="Z189" s="7182"/>
      <c r="AA189" s="7174" t="s">
        <v>20</v>
      </c>
      <c r="AB189" s="7182"/>
      <c r="AC189" s="7174" t="s">
        <v>70</v>
      </c>
      <c r="AD189" s="7182"/>
      <c r="AE189" s="7174" t="s">
        <v>71</v>
      </c>
      <c r="AF189" s="7182"/>
      <c r="AG189" s="7174" t="s">
        <v>32</v>
      </c>
      <c r="AH189" s="7176"/>
      <c r="AI189" s="7191" t="s">
        <v>220</v>
      </c>
      <c r="AJ189" s="7197" t="s">
        <v>1338</v>
      </c>
      <c r="AK189" s="7179" t="s">
        <v>3719</v>
      </c>
      <c r="AL189" s="7191" t="s">
        <v>221</v>
      </c>
      <c r="AM189" s="7180"/>
      <c r="AN189" s="7179" t="s">
        <v>2224</v>
      </c>
      <c r="AO189" s="7179" t="s">
        <v>1470</v>
      </c>
      <c r="AP189" s="7185"/>
      <c r="AQ189" s="7168"/>
    </row>
    <row r="190" spans="1:72" x14ac:dyDescent="0.3">
      <c r="A190" s="6265"/>
      <c r="B190" s="7169"/>
      <c r="C190" s="7170"/>
      <c r="D190" s="2733" t="s">
        <v>26</v>
      </c>
      <c r="E190" s="2734" t="s">
        <v>22</v>
      </c>
      <c r="F190" s="664" t="s">
        <v>27</v>
      </c>
      <c r="G190" s="2735" t="s">
        <v>22</v>
      </c>
      <c r="H190" s="664" t="s">
        <v>27</v>
      </c>
      <c r="I190" s="2735" t="s">
        <v>22</v>
      </c>
      <c r="J190" s="664" t="s">
        <v>27</v>
      </c>
      <c r="K190" s="2735" t="s">
        <v>51</v>
      </c>
      <c r="L190" s="664" t="s">
        <v>27</v>
      </c>
      <c r="M190" s="2735" t="s">
        <v>51</v>
      </c>
      <c r="N190" s="664" t="s">
        <v>27</v>
      </c>
      <c r="O190" s="2735" t="s">
        <v>51</v>
      </c>
      <c r="P190" s="664" t="s">
        <v>27</v>
      </c>
      <c r="Q190" s="2735" t="s">
        <v>51</v>
      </c>
      <c r="R190" s="664" t="s">
        <v>27</v>
      </c>
      <c r="S190" s="2735" t="s">
        <v>51</v>
      </c>
      <c r="T190" s="664" t="s">
        <v>27</v>
      </c>
      <c r="U190" s="2735" t="s">
        <v>51</v>
      </c>
      <c r="V190" s="664" t="s">
        <v>27</v>
      </c>
      <c r="W190" s="2735" t="s">
        <v>51</v>
      </c>
      <c r="X190" s="664" t="s">
        <v>27</v>
      </c>
      <c r="Y190" s="2735" t="s">
        <v>51</v>
      </c>
      <c r="Z190" s="664" t="s">
        <v>27</v>
      </c>
      <c r="AA190" s="2735" t="s">
        <v>51</v>
      </c>
      <c r="AB190" s="664" t="s">
        <v>27</v>
      </c>
      <c r="AC190" s="2735" t="s">
        <v>51</v>
      </c>
      <c r="AD190" s="664" t="s">
        <v>27</v>
      </c>
      <c r="AE190" s="2735" t="s">
        <v>51</v>
      </c>
      <c r="AF190" s="664" t="s">
        <v>27</v>
      </c>
      <c r="AG190" s="2735" t="s">
        <v>51</v>
      </c>
      <c r="AH190" s="2736" t="s">
        <v>27</v>
      </c>
      <c r="AI190" s="7192"/>
      <c r="AJ190" s="7192"/>
      <c r="AK190" s="7181"/>
      <c r="AL190" s="7192"/>
      <c r="AM190" s="7181"/>
      <c r="AN190" s="7193"/>
      <c r="AO190" s="7193"/>
      <c r="AP190" s="7186"/>
      <c r="AQ190" s="7170"/>
    </row>
    <row r="191" spans="1:72" ht="15" customHeight="1" x14ac:dyDescent="0.3">
      <c r="A191" s="6266" t="s">
        <v>4796</v>
      </c>
      <c r="B191" s="7188" t="s">
        <v>2225</v>
      </c>
      <c r="C191" s="2422" t="s">
        <v>2084</v>
      </c>
      <c r="D191" s="2423" t="s">
        <v>5292</v>
      </c>
      <c r="E191" s="2423" t="s">
        <v>5293</v>
      </c>
      <c r="F191" s="2423" t="s">
        <v>5294</v>
      </c>
      <c r="G191" s="5124" t="s">
        <v>5295</v>
      </c>
      <c r="H191" s="5125" t="s">
        <v>5296</v>
      </c>
      <c r="I191" s="5124" t="s">
        <v>5297</v>
      </c>
      <c r="J191" s="5125" t="s">
        <v>5298</v>
      </c>
      <c r="K191" s="5124" t="s">
        <v>5299</v>
      </c>
      <c r="L191" s="5125" t="s">
        <v>5300</v>
      </c>
      <c r="M191" s="5124" t="s">
        <v>5301</v>
      </c>
      <c r="N191" s="5125" t="s">
        <v>5302</v>
      </c>
      <c r="O191" s="5124" t="s">
        <v>5303</v>
      </c>
      <c r="P191" s="5125" t="s">
        <v>5304</v>
      </c>
      <c r="Q191" s="5124" t="s">
        <v>5305</v>
      </c>
      <c r="R191" s="5125" t="s">
        <v>5306</v>
      </c>
      <c r="S191" s="5124" t="s">
        <v>5307</v>
      </c>
      <c r="T191" s="5125" t="s">
        <v>5308</v>
      </c>
      <c r="U191" s="5124" t="s">
        <v>5309</v>
      </c>
      <c r="V191" s="5125" t="s">
        <v>5310</v>
      </c>
      <c r="W191" s="5124" t="s">
        <v>5311</v>
      </c>
      <c r="X191" s="5125" t="s">
        <v>5312</v>
      </c>
      <c r="Y191" s="5124" t="s">
        <v>5313</v>
      </c>
      <c r="Z191" s="5125" t="s">
        <v>5314</v>
      </c>
      <c r="AA191" s="5124" t="s">
        <v>5315</v>
      </c>
      <c r="AB191" s="5125" t="s">
        <v>5316</v>
      </c>
      <c r="AC191" s="5124" t="s">
        <v>5317</v>
      </c>
      <c r="AD191" s="5125" t="s">
        <v>5318</v>
      </c>
      <c r="AE191" s="5124" t="s">
        <v>5319</v>
      </c>
      <c r="AF191" s="5125" t="s">
        <v>5320</v>
      </c>
      <c r="AG191" s="5124" t="s">
        <v>5321</v>
      </c>
      <c r="AH191" s="5126" t="s">
        <v>5322</v>
      </c>
      <c r="AI191" s="4327" t="s">
        <v>5323</v>
      </c>
      <c r="AJ191" s="4328" t="s">
        <v>5324</v>
      </c>
      <c r="AK191" s="4328" t="s">
        <v>5325</v>
      </c>
      <c r="AL191" s="4328" t="s">
        <v>5326</v>
      </c>
      <c r="AM191" s="4329" t="s">
        <v>5327</v>
      </c>
      <c r="AN191" s="4328" t="s">
        <v>5328</v>
      </c>
      <c r="AO191" s="4330" t="s">
        <v>5329</v>
      </c>
      <c r="AP191" s="5765" t="s">
        <v>5330</v>
      </c>
      <c r="AQ191" s="5763" t="s">
        <v>5331</v>
      </c>
      <c r="AR191" t="str">
        <f>BF191&amp;BG191</f>
        <v xml:space="preserve"> * La variable Migrantes No puede ser mayor al Total Ambos Sexos. * La variable Pueblos Originarios No puede ser mayor al Total Ambos Sexos.</v>
      </c>
      <c r="BF191" s="2465" t="str">
        <f>IF(AND(D191&gt;0,AP191="")," * No olvide digitar la variable Migrantes. Digite Cero si no tiene.",IF(AP191&gt;D191," * La variable Migrantes No puede ser mayor al Total Ambos Sexos.",""))</f>
        <v xml:space="preserve"> * La variable Migrantes No puede ser mayor al Total Ambos Sexos.</v>
      </c>
      <c r="BG191" s="2465" t="str">
        <f>IF(AND(D191&gt;0,AQ191="")," * No olvide digitar la variable Pueblos Originarios. Digite Cero si no tiene.",IF(AQ191&gt;D191," * La variable Pueblos Originarios No puede ser mayor al Total Ambos Sexos.",""))</f>
        <v xml:space="preserve"> * La variable Pueblos Originarios No puede ser mayor al Total Ambos Sexos.</v>
      </c>
      <c r="BM191" s="1725">
        <f>IF(AND(D191&gt;0,AP191=""),1,IF(AP191&gt;D191,1,0))</f>
        <v>1</v>
      </c>
      <c r="BN191" s="1725">
        <f>IF(AND(D191&gt;0,AQ191=""),1,IF(AQ191&gt;D191,1,0))</f>
        <v>1</v>
      </c>
    </row>
    <row r="192" spans="1:72" ht="15" customHeight="1" x14ac:dyDescent="0.3">
      <c r="A192" s="6266" t="s">
        <v>4797</v>
      </c>
      <c r="B192" s="7194"/>
      <c r="C192" s="2424" t="s">
        <v>2083</v>
      </c>
      <c r="D192" s="5127" t="s">
        <v>5292</v>
      </c>
      <c r="E192" s="5127" t="s">
        <v>5293</v>
      </c>
      <c r="F192" s="5127" t="s">
        <v>5294</v>
      </c>
      <c r="G192" s="5128" t="s">
        <v>5295</v>
      </c>
      <c r="H192" s="5129" t="s">
        <v>5296</v>
      </c>
      <c r="I192" s="5128" t="s">
        <v>5297</v>
      </c>
      <c r="J192" s="5129" t="s">
        <v>5298</v>
      </c>
      <c r="K192" s="5128" t="s">
        <v>5299</v>
      </c>
      <c r="L192" s="5129" t="s">
        <v>5300</v>
      </c>
      <c r="M192" s="5128" t="s">
        <v>5301</v>
      </c>
      <c r="N192" s="5129" t="s">
        <v>5302</v>
      </c>
      <c r="O192" s="5128" t="s">
        <v>5303</v>
      </c>
      <c r="P192" s="5129" t="s">
        <v>5304</v>
      </c>
      <c r="Q192" s="5128" t="s">
        <v>5305</v>
      </c>
      <c r="R192" s="5129" t="s">
        <v>5306</v>
      </c>
      <c r="S192" s="5128" t="s">
        <v>5307</v>
      </c>
      <c r="T192" s="5129" t="s">
        <v>5308</v>
      </c>
      <c r="U192" s="5128" t="s">
        <v>5309</v>
      </c>
      <c r="V192" s="5129" t="s">
        <v>5310</v>
      </c>
      <c r="W192" s="5128" t="s">
        <v>5311</v>
      </c>
      <c r="X192" s="5129" t="s">
        <v>5312</v>
      </c>
      <c r="Y192" s="5128" t="s">
        <v>5313</v>
      </c>
      <c r="Z192" s="5129" t="s">
        <v>5314</v>
      </c>
      <c r="AA192" s="5128" t="s">
        <v>5315</v>
      </c>
      <c r="AB192" s="5129" t="s">
        <v>5316</v>
      </c>
      <c r="AC192" s="5128" t="s">
        <v>5317</v>
      </c>
      <c r="AD192" s="5129" t="s">
        <v>5318</v>
      </c>
      <c r="AE192" s="5128" t="s">
        <v>5319</v>
      </c>
      <c r="AF192" s="5129" t="s">
        <v>5320</v>
      </c>
      <c r="AG192" s="5128" t="s">
        <v>5321</v>
      </c>
      <c r="AH192" s="5130" t="s">
        <v>5322</v>
      </c>
      <c r="AI192" s="4331" t="s">
        <v>5323</v>
      </c>
      <c r="AJ192" s="4332" t="s">
        <v>5324</v>
      </c>
      <c r="AK192" s="4332" t="s">
        <v>5325</v>
      </c>
      <c r="AL192" s="4332" t="s">
        <v>5326</v>
      </c>
      <c r="AM192" s="4333" t="s">
        <v>5327</v>
      </c>
      <c r="AN192" s="4332" t="s">
        <v>5328</v>
      </c>
      <c r="AO192" s="4334" t="s">
        <v>5329</v>
      </c>
      <c r="AP192" s="5766" t="s">
        <v>5330</v>
      </c>
      <c r="AQ192" s="5764" t="s">
        <v>5331</v>
      </c>
      <c r="AR192" t="str">
        <f t="shared" ref="AR192:AR200" si="43">BF192&amp;BG192</f>
        <v xml:space="preserve"> * La variable Migrantes No puede ser mayor al Total Ambos Sexos. * La variable Pueblos Originarios No puede ser mayor al Total Ambos Sexos.</v>
      </c>
      <c r="BF192" s="2465" t="str">
        <f t="shared" ref="BF192:BF200" si="44">IF(AND(D192&gt;0,AP192="")," * No olvide digitar la variable Migrantes. Digite Cero si no tiene.",IF(AP192&gt;D192," * La variable Migrantes No puede ser mayor al Total Ambos Sexos.",""))</f>
        <v xml:space="preserve"> * La variable Migrantes No puede ser mayor al Total Ambos Sexos.</v>
      </c>
      <c r="BG192" s="2465" t="str">
        <f t="shared" ref="BG192:BG200" si="45">IF(AND(D192&gt;0,AQ192="")," * No olvide digitar la variable Pueblos Originarios. Digite Cero si no tiene.",IF(AQ192&gt;D192," * La variable Pueblos Originarios No puede ser mayor al Total Ambos Sexos.",""))</f>
        <v xml:space="preserve"> * La variable Pueblos Originarios No puede ser mayor al Total Ambos Sexos.</v>
      </c>
      <c r="BM192" s="1725">
        <f t="shared" ref="BM192:BM200" si="46">IF(AND(D192&gt;0,AP192=""),1,IF(AP192&gt;D192,1,0))</f>
        <v>1</v>
      </c>
      <c r="BN192" s="1725">
        <f t="shared" ref="BN192:BN200" si="47">IF(AND(D192&gt;0,AQ192=""),1,IF(AQ192&gt;D192,1,0))</f>
        <v>1</v>
      </c>
    </row>
    <row r="193" spans="1:66" ht="15" customHeight="1" x14ac:dyDescent="0.3">
      <c r="A193" s="6266" t="s">
        <v>4798</v>
      </c>
      <c r="B193" s="7195" t="s">
        <v>2226</v>
      </c>
      <c r="C193" s="2425" t="s">
        <v>2084</v>
      </c>
      <c r="D193" s="5131" t="s">
        <v>5292</v>
      </c>
      <c r="E193" s="5131" t="s">
        <v>5293</v>
      </c>
      <c r="F193" s="5131" t="s">
        <v>5294</v>
      </c>
      <c r="G193" s="5124" t="s">
        <v>5295</v>
      </c>
      <c r="H193" s="5125" t="s">
        <v>5296</v>
      </c>
      <c r="I193" s="5124" t="s">
        <v>5297</v>
      </c>
      <c r="J193" s="5125" t="s">
        <v>5298</v>
      </c>
      <c r="K193" s="5124" t="s">
        <v>5299</v>
      </c>
      <c r="L193" s="5125" t="s">
        <v>5300</v>
      </c>
      <c r="M193" s="5124" t="s">
        <v>5301</v>
      </c>
      <c r="N193" s="5125" t="s">
        <v>5302</v>
      </c>
      <c r="O193" s="5124" t="s">
        <v>5303</v>
      </c>
      <c r="P193" s="5125" t="s">
        <v>5304</v>
      </c>
      <c r="Q193" s="5124" t="s">
        <v>5305</v>
      </c>
      <c r="R193" s="5125" t="s">
        <v>5306</v>
      </c>
      <c r="S193" s="5124" t="s">
        <v>5307</v>
      </c>
      <c r="T193" s="5125" t="s">
        <v>5308</v>
      </c>
      <c r="U193" s="5124" t="s">
        <v>5309</v>
      </c>
      <c r="V193" s="5125" t="s">
        <v>5310</v>
      </c>
      <c r="W193" s="5124" t="s">
        <v>5311</v>
      </c>
      <c r="X193" s="5125" t="s">
        <v>5312</v>
      </c>
      <c r="Y193" s="5124" t="s">
        <v>5313</v>
      </c>
      <c r="Z193" s="5125" t="s">
        <v>5314</v>
      </c>
      <c r="AA193" s="5124" t="s">
        <v>5315</v>
      </c>
      <c r="AB193" s="5125" t="s">
        <v>5316</v>
      </c>
      <c r="AC193" s="5124" t="s">
        <v>5317</v>
      </c>
      <c r="AD193" s="5125" t="s">
        <v>5318</v>
      </c>
      <c r="AE193" s="5124" t="s">
        <v>5319</v>
      </c>
      <c r="AF193" s="5125" t="s">
        <v>5320</v>
      </c>
      <c r="AG193" s="5124" t="s">
        <v>5321</v>
      </c>
      <c r="AH193" s="5126" t="s">
        <v>5322</v>
      </c>
      <c r="AI193" s="4327" t="s">
        <v>5323</v>
      </c>
      <c r="AJ193" s="4328" t="s">
        <v>5324</v>
      </c>
      <c r="AK193" s="4328" t="s">
        <v>5325</v>
      </c>
      <c r="AL193" s="4328" t="s">
        <v>5326</v>
      </c>
      <c r="AM193" s="4328" t="s">
        <v>5327</v>
      </c>
      <c r="AN193" s="4328" t="s">
        <v>5328</v>
      </c>
      <c r="AO193" s="4328" t="s">
        <v>5329</v>
      </c>
      <c r="AP193" s="5765" t="s">
        <v>5330</v>
      </c>
      <c r="AQ193" s="5763" t="s">
        <v>5331</v>
      </c>
      <c r="AR193" t="str">
        <f t="shared" si="43"/>
        <v xml:space="preserve"> * La variable Migrantes No puede ser mayor al Total Ambos Sexos. * La variable Pueblos Originarios No puede ser mayor al Total Ambos Sexos.</v>
      </c>
      <c r="BF193" s="2465" t="str">
        <f t="shared" si="44"/>
        <v xml:space="preserve"> * La variable Migrantes No puede ser mayor al Total Ambos Sexos.</v>
      </c>
      <c r="BG193" s="2465" t="str">
        <f t="shared" si="45"/>
        <v xml:space="preserve"> * La variable Pueblos Originarios No puede ser mayor al Total Ambos Sexos.</v>
      </c>
      <c r="BM193" s="1725">
        <f t="shared" si="46"/>
        <v>1</v>
      </c>
      <c r="BN193" s="1725">
        <f t="shared" si="47"/>
        <v>1</v>
      </c>
    </row>
    <row r="194" spans="1:66" ht="15" customHeight="1" x14ac:dyDescent="0.3">
      <c r="A194" s="6266" t="s">
        <v>4799</v>
      </c>
      <c r="B194" s="7186"/>
      <c r="C194" s="2426" t="s">
        <v>2083</v>
      </c>
      <c r="D194" s="5127" t="s">
        <v>5292</v>
      </c>
      <c r="E194" s="5127" t="s">
        <v>5293</v>
      </c>
      <c r="F194" s="5127" t="s">
        <v>5294</v>
      </c>
      <c r="G194" s="5128" t="s">
        <v>5295</v>
      </c>
      <c r="H194" s="5129" t="s">
        <v>5296</v>
      </c>
      <c r="I194" s="5128" t="s">
        <v>5297</v>
      </c>
      <c r="J194" s="5129" t="s">
        <v>5298</v>
      </c>
      <c r="K194" s="5128" t="s">
        <v>5299</v>
      </c>
      <c r="L194" s="5129" t="s">
        <v>5300</v>
      </c>
      <c r="M194" s="5128" t="s">
        <v>5301</v>
      </c>
      <c r="N194" s="5129" t="s">
        <v>5302</v>
      </c>
      <c r="O194" s="5128" t="s">
        <v>5303</v>
      </c>
      <c r="P194" s="5129" t="s">
        <v>5304</v>
      </c>
      <c r="Q194" s="5128" t="s">
        <v>5305</v>
      </c>
      <c r="R194" s="5129" t="s">
        <v>5306</v>
      </c>
      <c r="S194" s="5128" t="s">
        <v>5307</v>
      </c>
      <c r="T194" s="5129" t="s">
        <v>5308</v>
      </c>
      <c r="U194" s="5128" t="s">
        <v>5309</v>
      </c>
      <c r="V194" s="5129" t="s">
        <v>5310</v>
      </c>
      <c r="W194" s="5128" t="s">
        <v>5311</v>
      </c>
      <c r="X194" s="5129" t="s">
        <v>5312</v>
      </c>
      <c r="Y194" s="5128" t="s">
        <v>5313</v>
      </c>
      <c r="Z194" s="5129" t="s">
        <v>5314</v>
      </c>
      <c r="AA194" s="5128" t="s">
        <v>5315</v>
      </c>
      <c r="AB194" s="5129" t="s">
        <v>5316</v>
      </c>
      <c r="AC194" s="5128" t="s">
        <v>5317</v>
      </c>
      <c r="AD194" s="5129" t="s">
        <v>5318</v>
      </c>
      <c r="AE194" s="5128" t="s">
        <v>5319</v>
      </c>
      <c r="AF194" s="5129" t="s">
        <v>5320</v>
      </c>
      <c r="AG194" s="5128" t="s">
        <v>5321</v>
      </c>
      <c r="AH194" s="5130" t="s">
        <v>5322</v>
      </c>
      <c r="AI194" s="4331" t="s">
        <v>5323</v>
      </c>
      <c r="AJ194" s="4332" t="s">
        <v>5324</v>
      </c>
      <c r="AK194" s="4332" t="s">
        <v>5325</v>
      </c>
      <c r="AL194" s="4332" t="s">
        <v>5326</v>
      </c>
      <c r="AM194" s="4332" t="s">
        <v>5327</v>
      </c>
      <c r="AN194" s="4332" t="s">
        <v>5328</v>
      </c>
      <c r="AO194" s="4332" t="s">
        <v>5329</v>
      </c>
      <c r="AP194" s="5766" t="s">
        <v>5330</v>
      </c>
      <c r="AQ194" s="5764" t="s">
        <v>5331</v>
      </c>
      <c r="AR194" t="str">
        <f t="shared" si="43"/>
        <v xml:space="preserve"> * La variable Migrantes No puede ser mayor al Total Ambos Sexos. * La variable Pueblos Originarios No puede ser mayor al Total Ambos Sexos.</v>
      </c>
      <c r="BF194" s="2465" t="str">
        <f t="shared" si="44"/>
        <v xml:space="preserve"> * La variable Migrantes No puede ser mayor al Total Ambos Sexos.</v>
      </c>
      <c r="BG194" s="2465" t="str">
        <f t="shared" si="45"/>
        <v xml:space="preserve"> * La variable Pueblos Originarios No puede ser mayor al Total Ambos Sexos.</v>
      </c>
      <c r="BM194" s="1725">
        <f t="shared" si="46"/>
        <v>1</v>
      </c>
      <c r="BN194" s="1725">
        <f t="shared" si="47"/>
        <v>1</v>
      </c>
    </row>
    <row r="195" spans="1:66" ht="15" customHeight="1" x14ac:dyDescent="0.3">
      <c r="A195" s="6266" t="s">
        <v>4800</v>
      </c>
      <c r="B195" s="7196" t="s">
        <v>2227</v>
      </c>
      <c r="C195" s="2422" t="s">
        <v>2084</v>
      </c>
      <c r="D195" s="5131" t="s">
        <v>5292</v>
      </c>
      <c r="E195" s="5131" t="s">
        <v>5293</v>
      </c>
      <c r="F195" s="5131" t="s">
        <v>5294</v>
      </c>
      <c r="G195" s="5124" t="s">
        <v>5295</v>
      </c>
      <c r="H195" s="5125" t="s">
        <v>5296</v>
      </c>
      <c r="I195" s="5124" t="s">
        <v>5297</v>
      </c>
      <c r="J195" s="5125" t="s">
        <v>5298</v>
      </c>
      <c r="K195" s="5124" t="s">
        <v>5299</v>
      </c>
      <c r="L195" s="5125" t="s">
        <v>5300</v>
      </c>
      <c r="M195" s="5124" t="s">
        <v>5301</v>
      </c>
      <c r="N195" s="5125" t="s">
        <v>5302</v>
      </c>
      <c r="O195" s="5124" t="s">
        <v>5303</v>
      </c>
      <c r="P195" s="5125" t="s">
        <v>5304</v>
      </c>
      <c r="Q195" s="5124" t="s">
        <v>5305</v>
      </c>
      <c r="R195" s="5125" t="s">
        <v>5306</v>
      </c>
      <c r="S195" s="5124" t="s">
        <v>5307</v>
      </c>
      <c r="T195" s="5125" t="s">
        <v>5308</v>
      </c>
      <c r="U195" s="5124" t="s">
        <v>5309</v>
      </c>
      <c r="V195" s="5125" t="s">
        <v>5310</v>
      </c>
      <c r="W195" s="5124" t="s">
        <v>5311</v>
      </c>
      <c r="X195" s="5125" t="s">
        <v>5312</v>
      </c>
      <c r="Y195" s="5124" t="s">
        <v>5313</v>
      </c>
      <c r="Z195" s="5125" t="s">
        <v>5314</v>
      </c>
      <c r="AA195" s="5124" t="s">
        <v>5315</v>
      </c>
      <c r="AB195" s="5125" t="s">
        <v>5316</v>
      </c>
      <c r="AC195" s="5124" t="s">
        <v>5317</v>
      </c>
      <c r="AD195" s="5125" t="s">
        <v>5318</v>
      </c>
      <c r="AE195" s="5124" t="s">
        <v>5319</v>
      </c>
      <c r="AF195" s="5125" t="s">
        <v>5320</v>
      </c>
      <c r="AG195" s="5124" t="s">
        <v>5321</v>
      </c>
      <c r="AH195" s="5126" t="s">
        <v>5322</v>
      </c>
      <c r="AI195" s="4327" t="s">
        <v>5323</v>
      </c>
      <c r="AJ195" s="4328" t="s">
        <v>5324</v>
      </c>
      <c r="AK195" s="4328" t="s">
        <v>5325</v>
      </c>
      <c r="AL195" s="4328" t="s">
        <v>5326</v>
      </c>
      <c r="AM195" s="4335" t="s">
        <v>5327</v>
      </c>
      <c r="AN195" s="4329" t="s">
        <v>5328</v>
      </c>
      <c r="AO195" s="4329" t="s">
        <v>5329</v>
      </c>
      <c r="AP195" s="5765" t="s">
        <v>5330</v>
      </c>
      <c r="AQ195" s="5763" t="s">
        <v>5331</v>
      </c>
      <c r="AR195" t="str">
        <f t="shared" si="43"/>
        <v xml:space="preserve"> * La variable Migrantes No puede ser mayor al Total Ambos Sexos. * La variable Pueblos Originarios No puede ser mayor al Total Ambos Sexos.</v>
      </c>
      <c r="BF195" s="2465" t="str">
        <f t="shared" si="44"/>
        <v xml:space="preserve"> * La variable Migrantes No puede ser mayor al Total Ambos Sexos.</v>
      </c>
      <c r="BG195" s="2465" t="str">
        <f t="shared" si="45"/>
        <v xml:space="preserve"> * La variable Pueblos Originarios No puede ser mayor al Total Ambos Sexos.</v>
      </c>
      <c r="BM195" s="1725">
        <f t="shared" si="46"/>
        <v>1</v>
      </c>
      <c r="BN195" s="1725">
        <f t="shared" si="47"/>
        <v>1</v>
      </c>
    </row>
    <row r="196" spans="1:66" ht="15" customHeight="1" x14ac:dyDescent="0.3">
      <c r="A196" s="6266" t="s">
        <v>4801</v>
      </c>
      <c r="B196" s="7193"/>
      <c r="C196" s="2424" t="s">
        <v>2083</v>
      </c>
      <c r="D196" s="5127" t="s">
        <v>5292</v>
      </c>
      <c r="E196" s="5127" t="s">
        <v>5293</v>
      </c>
      <c r="F196" s="5127" t="s">
        <v>5294</v>
      </c>
      <c r="G196" s="5128" t="s">
        <v>5295</v>
      </c>
      <c r="H196" s="5129" t="s">
        <v>5296</v>
      </c>
      <c r="I196" s="5128" t="s">
        <v>5297</v>
      </c>
      <c r="J196" s="5129" t="s">
        <v>5298</v>
      </c>
      <c r="K196" s="5128" t="s">
        <v>5299</v>
      </c>
      <c r="L196" s="5129" t="s">
        <v>5300</v>
      </c>
      <c r="M196" s="5128" t="s">
        <v>5301</v>
      </c>
      <c r="N196" s="5129" t="s">
        <v>5302</v>
      </c>
      <c r="O196" s="5128" t="s">
        <v>5303</v>
      </c>
      <c r="P196" s="5129" t="s">
        <v>5304</v>
      </c>
      <c r="Q196" s="5128" t="s">
        <v>5305</v>
      </c>
      <c r="R196" s="5129" t="s">
        <v>5306</v>
      </c>
      <c r="S196" s="5128" t="s">
        <v>5307</v>
      </c>
      <c r="T196" s="5129" t="s">
        <v>5308</v>
      </c>
      <c r="U196" s="5128" t="s">
        <v>5309</v>
      </c>
      <c r="V196" s="5129" t="s">
        <v>5310</v>
      </c>
      <c r="W196" s="5128" t="s">
        <v>5311</v>
      </c>
      <c r="X196" s="5129" t="s">
        <v>5312</v>
      </c>
      <c r="Y196" s="5128" t="s">
        <v>5313</v>
      </c>
      <c r="Z196" s="5129" t="s">
        <v>5314</v>
      </c>
      <c r="AA196" s="5128" t="s">
        <v>5315</v>
      </c>
      <c r="AB196" s="5129" t="s">
        <v>5316</v>
      </c>
      <c r="AC196" s="5128" t="s">
        <v>5317</v>
      </c>
      <c r="AD196" s="5129" t="s">
        <v>5318</v>
      </c>
      <c r="AE196" s="5128" t="s">
        <v>5319</v>
      </c>
      <c r="AF196" s="5129" t="s">
        <v>5320</v>
      </c>
      <c r="AG196" s="5128" t="s">
        <v>5321</v>
      </c>
      <c r="AH196" s="5130" t="s">
        <v>5322</v>
      </c>
      <c r="AI196" s="4331" t="s">
        <v>5323</v>
      </c>
      <c r="AJ196" s="4332" t="s">
        <v>5324</v>
      </c>
      <c r="AK196" s="4332" t="s">
        <v>5325</v>
      </c>
      <c r="AL196" s="4332" t="s">
        <v>5326</v>
      </c>
      <c r="AM196" s="4336" t="s">
        <v>5327</v>
      </c>
      <c r="AN196" s="4333" t="s">
        <v>5328</v>
      </c>
      <c r="AO196" s="4333" t="s">
        <v>5329</v>
      </c>
      <c r="AP196" s="5766" t="s">
        <v>5330</v>
      </c>
      <c r="AQ196" s="5764" t="s">
        <v>5331</v>
      </c>
      <c r="AR196" t="str">
        <f t="shared" si="43"/>
        <v xml:space="preserve"> * La variable Migrantes No puede ser mayor al Total Ambos Sexos. * La variable Pueblos Originarios No puede ser mayor al Total Ambos Sexos.</v>
      </c>
      <c r="BF196" s="2465" t="str">
        <f t="shared" si="44"/>
        <v xml:space="preserve"> * La variable Migrantes No puede ser mayor al Total Ambos Sexos.</v>
      </c>
      <c r="BG196" s="2465" t="str">
        <f t="shared" si="45"/>
        <v xml:space="preserve"> * La variable Pueblos Originarios No puede ser mayor al Total Ambos Sexos.</v>
      </c>
      <c r="BM196" s="1725">
        <f t="shared" si="46"/>
        <v>1</v>
      </c>
      <c r="BN196" s="1725">
        <f t="shared" si="47"/>
        <v>1</v>
      </c>
    </row>
    <row r="197" spans="1:66" ht="15" customHeight="1" x14ac:dyDescent="0.3">
      <c r="A197" s="6266" t="s">
        <v>4802</v>
      </c>
      <c r="B197" s="7188" t="s">
        <v>2228</v>
      </c>
      <c r="C197" s="2422" t="s">
        <v>2084</v>
      </c>
      <c r="D197" s="5131" t="s">
        <v>5292</v>
      </c>
      <c r="E197" s="5131" t="s">
        <v>5293</v>
      </c>
      <c r="F197" s="5131" t="s">
        <v>5294</v>
      </c>
      <c r="G197" s="5124" t="s">
        <v>5295</v>
      </c>
      <c r="H197" s="5125" t="s">
        <v>5296</v>
      </c>
      <c r="I197" s="5124" t="s">
        <v>5297</v>
      </c>
      <c r="J197" s="5125" t="s">
        <v>5298</v>
      </c>
      <c r="K197" s="5124" t="s">
        <v>5299</v>
      </c>
      <c r="L197" s="5125" t="s">
        <v>5300</v>
      </c>
      <c r="M197" s="5124" t="s">
        <v>5301</v>
      </c>
      <c r="N197" s="5125" t="s">
        <v>5302</v>
      </c>
      <c r="O197" s="5124" t="s">
        <v>5303</v>
      </c>
      <c r="P197" s="5125" t="s">
        <v>5304</v>
      </c>
      <c r="Q197" s="5124" t="s">
        <v>5305</v>
      </c>
      <c r="R197" s="5125" t="s">
        <v>5306</v>
      </c>
      <c r="S197" s="5124" t="s">
        <v>5307</v>
      </c>
      <c r="T197" s="5125" t="s">
        <v>5308</v>
      </c>
      <c r="U197" s="5124" t="s">
        <v>5309</v>
      </c>
      <c r="V197" s="5125" t="s">
        <v>5310</v>
      </c>
      <c r="W197" s="5124" t="s">
        <v>5311</v>
      </c>
      <c r="X197" s="5125" t="s">
        <v>5312</v>
      </c>
      <c r="Y197" s="5124" t="s">
        <v>5313</v>
      </c>
      <c r="Z197" s="5125" t="s">
        <v>5314</v>
      </c>
      <c r="AA197" s="5124" t="s">
        <v>5315</v>
      </c>
      <c r="AB197" s="5125" t="s">
        <v>5316</v>
      </c>
      <c r="AC197" s="5124" t="s">
        <v>5317</v>
      </c>
      <c r="AD197" s="5125" t="s">
        <v>5318</v>
      </c>
      <c r="AE197" s="5124" t="s">
        <v>5319</v>
      </c>
      <c r="AF197" s="5125" t="s">
        <v>5320</v>
      </c>
      <c r="AG197" s="5124" t="s">
        <v>5321</v>
      </c>
      <c r="AH197" s="5126" t="s">
        <v>5322</v>
      </c>
      <c r="AI197" s="4327" t="s">
        <v>5323</v>
      </c>
      <c r="AJ197" s="4328" t="s">
        <v>5324</v>
      </c>
      <c r="AK197" s="4328" t="s">
        <v>5325</v>
      </c>
      <c r="AL197" s="4328" t="s">
        <v>5326</v>
      </c>
      <c r="AM197" s="4337" t="s">
        <v>5327</v>
      </c>
      <c r="AN197" s="4329" t="s">
        <v>5328</v>
      </c>
      <c r="AO197" s="4329" t="s">
        <v>5329</v>
      </c>
      <c r="AP197" s="5765" t="s">
        <v>5330</v>
      </c>
      <c r="AQ197" s="5763" t="s">
        <v>5331</v>
      </c>
      <c r="AR197" t="str">
        <f t="shared" si="43"/>
        <v xml:space="preserve"> * La variable Migrantes No puede ser mayor al Total Ambos Sexos. * La variable Pueblos Originarios No puede ser mayor al Total Ambos Sexos.</v>
      </c>
      <c r="BF197" s="2465" t="str">
        <f t="shared" si="44"/>
        <v xml:space="preserve"> * La variable Migrantes No puede ser mayor al Total Ambos Sexos.</v>
      </c>
      <c r="BG197" s="2465" t="str">
        <f t="shared" si="45"/>
        <v xml:space="preserve"> * La variable Pueblos Originarios No puede ser mayor al Total Ambos Sexos.</v>
      </c>
      <c r="BM197" s="1725">
        <f t="shared" si="46"/>
        <v>1</v>
      </c>
      <c r="BN197" s="1725">
        <f t="shared" si="47"/>
        <v>1</v>
      </c>
    </row>
    <row r="198" spans="1:66" ht="15" customHeight="1" x14ac:dyDescent="0.3">
      <c r="A198" s="6266" t="s">
        <v>4803</v>
      </c>
      <c r="B198" s="7189"/>
      <c r="C198" s="2424" t="s">
        <v>2083</v>
      </c>
      <c r="D198" s="5127" t="s">
        <v>5292</v>
      </c>
      <c r="E198" s="5127" t="s">
        <v>5293</v>
      </c>
      <c r="F198" s="5127" t="s">
        <v>5294</v>
      </c>
      <c r="G198" s="5128" t="s">
        <v>5295</v>
      </c>
      <c r="H198" s="5129" t="s">
        <v>5296</v>
      </c>
      <c r="I198" s="5128" t="s">
        <v>5297</v>
      </c>
      <c r="J198" s="5129" t="s">
        <v>5298</v>
      </c>
      <c r="K198" s="5128" t="s">
        <v>5299</v>
      </c>
      <c r="L198" s="5129" t="s">
        <v>5300</v>
      </c>
      <c r="M198" s="5128" t="s">
        <v>5301</v>
      </c>
      <c r="N198" s="5129" t="s">
        <v>5302</v>
      </c>
      <c r="O198" s="5128" t="s">
        <v>5303</v>
      </c>
      <c r="P198" s="5129" t="s">
        <v>5304</v>
      </c>
      <c r="Q198" s="5128" t="s">
        <v>5305</v>
      </c>
      <c r="R198" s="5129" t="s">
        <v>5306</v>
      </c>
      <c r="S198" s="5128" t="s">
        <v>5307</v>
      </c>
      <c r="T198" s="5129" t="s">
        <v>5308</v>
      </c>
      <c r="U198" s="5128" t="s">
        <v>5309</v>
      </c>
      <c r="V198" s="5129" t="s">
        <v>5310</v>
      </c>
      <c r="W198" s="5128" t="s">
        <v>5311</v>
      </c>
      <c r="X198" s="5129" t="s">
        <v>5312</v>
      </c>
      <c r="Y198" s="5128" t="s">
        <v>5313</v>
      </c>
      <c r="Z198" s="5129" t="s">
        <v>5314</v>
      </c>
      <c r="AA198" s="5128" t="s">
        <v>5315</v>
      </c>
      <c r="AB198" s="5129" t="s">
        <v>5316</v>
      </c>
      <c r="AC198" s="5128" t="s">
        <v>5317</v>
      </c>
      <c r="AD198" s="5129" t="s">
        <v>5318</v>
      </c>
      <c r="AE198" s="5128" t="s">
        <v>5319</v>
      </c>
      <c r="AF198" s="5129" t="s">
        <v>5320</v>
      </c>
      <c r="AG198" s="5128" t="s">
        <v>5321</v>
      </c>
      <c r="AH198" s="5130" t="s">
        <v>5322</v>
      </c>
      <c r="AI198" s="4331" t="s">
        <v>5323</v>
      </c>
      <c r="AJ198" s="4332" t="s">
        <v>5324</v>
      </c>
      <c r="AK198" s="4332" t="s">
        <v>5325</v>
      </c>
      <c r="AL198" s="4332" t="s">
        <v>5326</v>
      </c>
      <c r="AM198" s="4338" t="s">
        <v>5327</v>
      </c>
      <c r="AN198" s="4333" t="s">
        <v>5328</v>
      </c>
      <c r="AO198" s="4333" t="s">
        <v>5329</v>
      </c>
      <c r="AP198" s="5766" t="s">
        <v>5330</v>
      </c>
      <c r="AQ198" s="5764" t="s">
        <v>5331</v>
      </c>
      <c r="AR198" t="str">
        <f t="shared" si="43"/>
        <v xml:space="preserve"> * La variable Migrantes No puede ser mayor al Total Ambos Sexos. * La variable Pueblos Originarios No puede ser mayor al Total Ambos Sexos.</v>
      </c>
      <c r="BF198" s="2465" t="str">
        <f t="shared" si="44"/>
        <v xml:space="preserve"> * La variable Migrantes No puede ser mayor al Total Ambos Sexos.</v>
      </c>
      <c r="BG198" s="2465" t="str">
        <f t="shared" si="45"/>
        <v xml:space="preserve"> * La variable Pueblos Originarios No puede ser mayor al Total Ambos Sexos.</v>
      </c>
      <c r="BM198" s="1725">
        <f t="shared" si="46"/>
        <v>1</v>
      </c>
      <c r="BN198" s="1725">
        <f t="shared" si="47"/>
        <v>1</v>
      </c>
    </row>
    <row r="199" spans="1:66" ht="15" customHeight="1" x14ac:dyDescent="0.3">
      <c r="A199" s="6266" t="s">
        <v>4804</v>
      </c>
      <c r="B199" s="7188" t="s">
        <v>2229</v>
      </c>
      <c r="C199" s="2422" t="s">
        <v>2084</v>
      </c>
      <c r="D199" s="2427" t="s">
        <v>5292</v>
      </c>
      <c r="E199" s="2427" t="s">
        <v>5293</v>
      </c>
      <c r="F199" s="2427" t="s">
        <v>5294</v>
      </c>
      <c r="G199" s="4339" t="s">
        <v>5295</v>
      </c>
      <c r="H199" s="4340" t="s">
        <v>5296</v>
      </c>
      <c r="I199" s="4339" t="s">
        <v>5297</v>
      </c>
      <c r="J199" s="4340" t="s">
        <v>5298</v>
      </c>
      <c r="K199" s="4339" t="s">
        <v>5299</v>
      </c>
      <c r="L199" s="4340" t="s">
        <v>5300</v>
      </c>
      <c r="M199" s="4339" t="s">
        <v>5301</v>
      </c>
      <c r="N199" s="4340" t="s">
        <v>5302</v>
      </c>
      <c r="O199" s="4339" t="s">
        <v>5303</v>
      </c>
      <c r="P199" s="4340" t="s">
        <v>5304</v>
      </c>
      <c r="Q199" s="4339" t="s">
        <v>5305</v>
      </c>
      <c r="R199" s="4340" t="s">
        <v>5306</v>
      </c>
      <c r="S199" s="4339" t="s">
        <v>5307</v>
      </c>
      <c r="T199" s="4340" t="s">
        <v>5308</v>
      </c>
      <c r="U199" s="4339" t="s">
        <v>5309</v>
      </c>
      <c r="V199" s="4340" t="s">
        <v>5310</v>
      </c>
      <c r="W199" s="4339" t="s">
        <v>5311</v>
      </c>
      <c r="X199" s="4340" t="s">
        <v>5312</v>
      </c>
      <c r="Y199" s="4339" t="s">
        <v>5313</v>
      </c>
      <c r="Z199" s="4340" t="s">
        <v>5314</v>
      </c>
      <c r="AA199" s="4339" t="s">
        <v>5315</v>
      </c>
      <c r="AB199" s="4340" t="s">
        <v>5316</v>
      </c>
      <c r="AC199" s="4339" t="s">
        <v>5317</v>
      </c>
      <c r="AD199" s="4340" t="s">
        <v>5318</v>
      </c>
      <c r="AE199" s="4339" t="s">
        <v>5319</v>
      </c>
      <c r="AF199" s="4340" t="s">
        <v>5320</v>
      </c>
      <c r="AG199" s="4339" t="s">
        <v>5321</v>
      </c>
      <c r="AH199" s="4341" t="s">
        <v>5322</v>
      </c>
      <c r="AI199" s="4342" t="s">
        <v>5323</v>
      </c>
      <c r="AJ199" s="4343" t="s">
        <v>5324</v>
      </c>
      <c r="AK199" s="4343" t="s">
        <v>5325</v>
      </c>
      <c r="AL199" s="4343" t="s">
        <v>5326</v>
      </c>
      <c r="AM199" s="4344" t="s">
        <v>5327</v>
      </c>
      <c r="AN199" s="4329" t="s">
        <v>5328</v>
      </c>
      <c r="AO199" s="4329" t="s">
        <v>5329</v>
      </c>
      <c r="AP199" s="5765" t="s">
        <v>5330</v>
      </c>
      <c r="AQ199" s="5763" t="s">
        <v>5331</v>
      </c>
      <c r="AR199" t="str">
        <f t="shared" si="43"/>
        <v xml:space="preserve"> * La variable Migrantes No puede ser mayor al Total Ambos Sexos. * La variable Pueblos Originarios No puede ser mayor al Total Ambos Sexos.</v>
      </c>
      <c r="BF199" s="2465" t="str">
        <f t="shared" si="44"/>
        <v xml:space="preserve"> * La variable Migrantes No puede ser mayor al Total Ambos Sexos.</v>
      </c>
      <c r="BG199" s="2465" t="str">
        <f t="shared" si="45"/>
        <v xml:space="preserve"> * La variable Pueblos Originarios No puede ser mayor al Total Ambos Sexos.</v>
      </c>
      <c r="BM199" s="1725">
        <f t="shared" si="46"/>
        <v>1</v>
      </c>
      <c r="BN199" s="1725">
        <f t="shared" si="47"/>
        <v>1</v>
      </c>
    </row>
    <row r="200" spans="1:66" ht="15" customHeight="1" x14ac:dyDescent="0.3">
      <c r="A200" s="6266" t="s">
        <v>4805</v>
      </c>
      <c r="B200" s="7190"/>
      <c r="C200" s="2428" t="s">
        <v>2083</v>
      </c>
      <c r="D200" s="5127" t="s">
        <v>5292</v>
      </c>
      <c r="E200" s="5127" t="s">
        <v>5293</v>
      </c>
      <c r="F200" s="5127" t="s">
        <v>5294</v>
      </c>
      <c r="G200" s="5128" t="s">
        <v>5295</v>
      </c>
      <c r="H200" s="5129" t="s">
        <v>5296</v>
      </c>
      <c r="I200" s="5128" t="s">
        <v>5297</v>
      </c>
      <c r="J200" s="5129" t="s">
        <v>5298</v>
      </c>
      <c r="K200" s="5128" t="s">
        <v>5299</v>
      </c>
      <c r="L200" s="5129" t="s">
        <v>5300</v>
      </c>
      <c r="M200" s="5128" t="s">
        <v>5301</v>
      </c>
      <c r="N200" s="5129" t="s">
        <v>5302</v>
      </c>
      <c r="O200" s="5128" t="s">
        <v>5303</v>
      </c>
      <c r="P200" s="5129" t="s">
        <v>5304</v>
      </c>
      <c r="Q200" s="5128" t="s">
        <v>5305</v>
      </c>
      <c r="R200" s="5129" t="s">
        <v>5306</v>
      </c>
      <c r="S200" s="5128" t="s">
        <v>5307</v>
      </c>
      <c r="T200" s="5129" t="s">
        <v>5308</v>
      </c>
      <c r="U200" s="5128" t="s">
        <v>5309</v>
      </c>
      <c r="V200" s="5129" t="s">
        <v>5310</v>
      </c>
      <c r="W200" s="5128" t="s">
        <v>5311</v>
      </c>
      <c r="X200" s="5129" t="s">
        <v>5312</v>
      </c>
      <c r="Y200" s="5128" t="s">
        <v>5313</v>
      </c>
      <c r="Z200" s="5129" t="s">
        <v>5314</v>
      </c>
      <c r="AA200" s="5128" t="s">
        <v>5315</v>
      </c>
      <c r="AB200" s="5129" t="s">
        <v>5316</v>
      </c>
      <c r="AC200" s="5128" t="s">
        <v>5317</v>
      </c>
      <c r="AD200" s="5129" t="s">
        <v>5318</v>
      </c>
      <c r="AE200" s="5128" t="s">
        <v>5319</v>
      </c>
      <c r="AF200" s="5129" t="s">
        <v>5320</v>
      </c>
      <c r="AG200" s="5128" t="s">
        <v>5321</v>
      </c>
      <c r="AH200" s="5130" t="s">
        <v>5322</v>
      </c>
      <c r="AI200" s="4345" t="s">
        <v>5323</v>
      </c>
      <c r="AJ200" s="4346" t="s">
        <v>5324</v>
      </c>
      <c r="AK200" s="4346" t="s">
        <v>5325</v>
      </c>
      <c r="AL200" s="4346" t="s">
        <v>5326</v>
      </c>
      <c r="AM200" s="4347" t="s">
        <v>5327</v>
      </c>
      <c r="AN200" s="4348" t="s">
        <v>5328</v>
      </c>
      <c r="AO200" s="4333" t="s">
        <v>5329</v>
      </c>
      <c r="AP200" s="5766" t="s">
        <v>5330</v>
      </c>
      <c r="AQ200" s="5764" t="s">
        <v>5331</v>
      </c>
      <c r="AR200" t="str">
        <f t="shared" si="43"/>
        <v xml:space="preserve"> * La variable Migrantes No puede ser mayor al Total Ambos Sexos. * La variable Pueblos Originarios No puede ser mayor al Total Ambos Sexos.</v>
      </c>
      <c r="BF200" s="2465" t="str">
        <f t="shared" si="44"/>
        <v xml:space="preserve"> * La variable Migrantes No puede ser mayor al Total Ambos Sexos.</v>
      </c>
      <c r="BG200" s="2465" t="str">
        <f t="shared" si="45"/>
        <v xml:space="preserve"> * La variable Pueblos Originarios No puede ser mayor al Total Ambos Sexos.</v>
      </c>
      <c r="BM200" s="1725">
        <f t="shared" si="46"/>
        <v>1</v>
      </c>
      <c r="BN200" s="1725">
        <f t="shared" si="47"/>
        <v>1</v>
      </c>
    </row>
    <row r="202" spans="1:66" x14ac:dyDescent="0.3">
      <c r="A202" t="s">
        <v>4637</v>
      </c>
    </row>
    <row r="203" spans="1:66" x14ac:dyDescent="0.3">
      <c r="A203" s="6266" t="s">
        <v>4796</v>
      </c>
    </row>
    <row r="204" spans="1:66" x14ac:dyDescent="0.3">
      <c r="A204" s="6266" t="s">
        <v>4797</v>
      </c>
    </row>
    <row r="205" spans="1:66" x14ac:dyDescent="0.3">
      <c r="A205" s="6266" t="s">
        <v>4798</v>
      </c>
    </row>
    <row r="206" spans="1:66" x14ac:dyDescent="0.3">
      <c r="A206" s="6266" t="s">
        <v>4799</v>
      </c>
    </row>
    <row r="207" spans="1:66" x14ac:dyDescent="0.3">
      <c r="A207" s="6266" t="s">
        <v>4800</v>
      </c>
    </row>
    <row r="208" spans="1:66" x14ac:dyDescent="0.3">
      <c r="A208" s="6266" t="s">
        <v>4801</v>
      </c>
    </row>
    <row r="209" spans="1:1" x14ac:dyDescent="0.3">
      <c r="A209" s="6266" t="s">
        <v>4802</v>
      </c>
    </row>
    <row r="210" spans="1:1" x14ac:dyDescent="0.3">
      <c r="A210" s="6266" t="s">
        <v>4803</v>
      </c>
    </row>
    <row r="211" spans="1:1" x14ac:dyDescent="0.3">
      <c r="A211" s="6266" t="s">
        <v>4804</v>
      </c>
    </row>
    <row r="212" spans="1:1" x14ac:dyDescent="0.3">
      <c r="A212" s="6266" t="s">
        <v>4805</v>
      </c>
    </row>
    <row r="249" spans="2:3" hidden="1" x14ac:dyDescent="0.3">
      <c r="B249" s="4463">
        <f>SUM(C12:C72,X12:X71,AB12:AB71,AF12:AG71,C76:C136,G76:G136,K76:K136,O76:O136,R76:AJ136,C139:C155,D160:D171,D176:D186,D191:D200)</f>
        <v>0</v>
      </c>
      <c r="C249" s="4437" t="e">
        <f>SUM(BM12:BT200)</f>
        <v>#VALUE!</v>
      </c>
    </row>
  </sheetData>
  <mergeCells count="124">
    <mergeCell ref="B197:B198"/>
    <mergeCell ref="B199:B200"/>
    <mergeCell ref="AL189:AL190"/>
    <mergeCell ref="AN189:AN190"/>
    <mergeCell ref="AO189:AO190"/>
    <mergeCell ref="B191:B192"/>
    <mergeCell ref="B193:B194"/>
    <mergeCell ref="B195:B196"/>
    <mergeCell ref="AC189:AD189"/>
    <mergeCell ref="AE189:AF189"/>
    <mergeCell ref="AG189:AH189"/>
    <mergeCell ref="AI189:AI190"/>
    <mergeCell ref="AJ189:AJ190"/>
    <mergeCell ref="AK189:AK190"/>
    <mergeCell ref="AN188:AO188"/>
    <mergeCell ref="AP188:AP190"/>
    <mergeCell ref="AQ188:AQ190"/>
    <mergeCell ref="G189:H189"/>
    <mergeCell ref="I189:J189"/>
    <mergeCell ref="K189:L189"/>
    <mergeCell ref="M189:N189"/>
    <mergeCell ref="O189:P189"/>
    <mergeCell ref="Q189:R189"/>
    <mergeCell ref="S189:T189"/>
    <mergeCell ref="B185:B186"/>
    <mergeCell ref="B188:C190"/>
    <mergeCell ref="D188:F189"/>
    <mergeCell ref="G188:AH188"/>
    <mergeCell ref="AI188:AL188"/>
    <mergeCell ref="AM188:AM190"/>
    <mergeCell ref="U189:V189"/>
    <mergeCell ref="W189:X189"/>
    <mergeCell ref="Y189:Z189"/>
    <mergeCell ref="AA189:AB189"/>
    <mergeCell ref="B176:B177"/>
    <mergeCell ref="B178:B180"/>
    <mergeCell ref="B181:B182"/>
    <mergeCell ref="B183:B184"/>
    <mergeCell ref="Y174:Z174"/>
    <mergeCell ref="AA174:AB174"/>
    <mergeCell ref="AC174:AD174"/>
    <mergeCell ref="AE174:AF174"/>
    <mergeCell ref="AG174:AH174"/>
    <mergeCell ref="AP173:AQ174"/>
    <mergeCell ref="AR173:AR175"/>
    <mergeCell ref="AS173:AS175"/>
    <mergeCell ref="AT173:AT175"/>
    <mergeCell ref="AU173:AU175"/>
    <mergeCell ref="G174:H174"/>
    <mergeCell ref="I174:J174"/>
    <mergeCell ref="K174:L174"/>
    <mergeCell ref="M174:N174"/>
    <mergeCell ref="O174:P174"/>
    <mergeCell ref="AK174:AL174"/>
    <mergeCell ref="AM174:AN174"/>
    <mergeCell ref="AI174:AJ174"/>
    <mergeCell ref="B171:C171"/>
    <mergeCell ref="B173:B175"/>
    <mergeCell ref="C173:C175"/>
    <mergeCell ref="D173:F174"/>
    <mergeCell ref="G173:AN173"/>
    <mergeCell ref="AO173:AO175"/>
    <mergeCell ref="Q174:R174"/>
    <mergeCell ref="S174:T174"/>
    <mergeCell ref="U174:V174"/>
    <mergeCell ref="W174:X174"/>
    <mergeCell ref="B165:C165"/>
    <mergeCell ref="B166:C166"/>
    <mergeCell ref="B167:C167"/>
    <mergeCell ref="B168:C168"/>
    <mergeCell ref="B169:C169"/>
    <mergeCell ref="B170:C170"/>
    <mergeCell ref="AG158:AH158"/>
    <mergeCell ref="AI158:AJ158"/>
    <mergeCell ref="AK158:AL158"/>
    <mergeCell ref="AM158:AN158"/>
    <mergeCell ref="B160:C160"/>
    <mergeCell ref="B161:B164"/>
    <mergeCell ref="AR157:AR159"/>
    <mergeCell ref="G158:H158"/>
    <mergeCell ref="I158:J158"/>
    <mergeCell ref="K158:L158"/>
    <mergeCell ref="M158:N158"/>
    <mergeCell ref="O158:P158"/>
    <mergeCell ref="Q158:R158"/>
    <mergeCell ref="S158:T158"/>
    <mergeCell ref="U158:V158"/>
    <mergeCell ref="W158:X158"/>
    <mergeCell ref="B157:C159"/>
    <mergeCell ref="D157:F158"/>
    <mergeCell ref="G157:AN157"/>
    <mergeCell ref="AO157:AO159"/>
    <mergeCell ref="AP157:AP159"/>
    <mergeCell ref="AQ157:AQ159"/>
    <mergeCell ref="Y158:Z158"/>
    <mergeCell ref="AA158:AB158"/>
    <mergeCell ref="AC158:AD158"/>
    <mergeCell ref="AE158:AF158"/>
    <mergeCell ref="Y74:Z74"/>
    <mergeCell ref="AA74:AB74"/>
    <mergeCell ref="AC74:AD74"/>
    <mergeCell ref="AE74:AE75"/>
    <mergeCell ref="AF74:AG74"/>
    <mergeCell ref="AH74:AJ74"/>
    <mergeCell ref="AB10:AE10"/>
    <mergeCell ref="B74:B75"/>
    <mergeCell ref="C74:F74"/>
    <mergeCell ref="G74:J74"/>
    <mergeCell ref="K74:N74"/>
    <mergeCell ref="O74:Q74"/>
    <mergeCell ref="R74:S74"/>
    <mergeCell ref="T74:U74"/>
    <mergeCell ref="V74:W74"/>
    <mergeCell ref="X74:X75"/>
    <mergeCell ref="B6:AE6"/>
    <mergeCell ref="B9:B11"/>
    <mergeCell ref="C9:W9"/>
    <mergeCell ref="X9:AE9"/>
    <mergeCell ref="AF9:AG10"/>
    <mergeCell ref="C10:C11"/>
    <mergeCell ref="D10:T10"/>
    <mergeCell ref="U10:U11"/>
    <mergeCell ref="V10:W10"/>
    <mergeCell ref="X10:AA10"/>
  </mergeCells>
  <dataValidations count="3">
    <dataValidation type="whole" operator="greaterThanOrEqual" allowBlank="1" showInputMessage="1" showErrorMessage="1" sqref="AF12:AG71 L76:N135 D76:F135 H76:J135 P76:AJ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D12:AE71 D139:V154 G160:AR170 G176:AU186" xr:uid="{00000000-0002-0000-0700-000001000000}">
      <formula1>0</formula1>
    </dataValidation>
    <dataValidation type="whole" operator="greaterThanOrEqual" allowBlank="1" showErrorMessage="1" sqref="G191:AQ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workbookViewId="0"/>
  </sheetViews>
  <sheetFormatPr baseColWidth="10" defaultRowHeight="14.4" x14ac:dyDescent="0.3"/>
  <cols>
    <col min="1" max="1" width="16.88671875" customWidth="1"/>
    <col min="2" max="2" width="44.6640625" customWidth="1"/>
    <col min="3" max="3" width="32.5546875" customWidth="1"/>
    <col min="4" max="4" width="14.109375" customWidth="1"/>
    <col min="5" max="5" width="12.44140625" customWidth="1"/>
    <col min="6" max="6" width="13.109375" customWidth="1"/>
    <col min="8" max="8" width="11.88671875" customWidth="1"/>
    <col min="9" max="10" width="14.44140625" customWidth="1"/>
    <col min="11" max="11" width="12.5546875" customWidth="1"/>
    <col min="15" max="15" width="12.44140625" customWidth="1"/>
    <col min="16" max="16" width="12" customWidth="1"/>
    <col min="18" max="18" width="11.88671875" bestFit="1" customWidth="1"/>
    <col min="24" max="26" width="13.5546875" customWidth="1"/>
    <col min="27" max="27" width="13" customWidth="1"/>
    <col min="32" max="32" width="13.33203125" customWidth="1"/>
    <col min="40" max="40" width="11.109375" customWidth="1"/>
    <col min="41" max="41" width="13" customWidth="1"/>
    <col min="42" max="42" width="13.109375" customWidth="1"/>
    <col min="44" max="44" width="13.33203125" customWidth="1"/>
    <col min="45" max="45" width="14.33203125" customWidth="1"/>
    <col min="46" max="46" width="13.33203125" customWidth="1"/>
    <col min="58" max="58" width="11.44140625" hidden="1" customWidth="1"/>
    <col min="59" max="60" width="11.5546875" hidden="1" customWidth="1"/>
    <col min="61" max="75" width="11.44140625" hidden="1" customWidth="1"/>
    <col min="76" max="78" width="11.44140625" customWidth="1"/>
  </cols>
  <sheetData>
    <row r="1" spans="1:72" x14ac:dyDescent="0.3">
      <c r="B1" s="774" t="s">
        <v>3879</v>
      </c>
    </row>
    <row r="2" spans="1:72" x14ac:dyDescent="0.3">
      <c r="B2" s="774" t="str">
        <f>CONCATENATE("COMUNA: ",NOMBRE!B2," - ","( ",NOMBRE!C2,NOMBRE!D2,NOMBRE!E2,NOMBRE!F2,NOMBRE!G2," )")</f>
        <v>COMUNA:  - (  )</v>
      </c>
    </row>
    <row r="3" spans="1:72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72" x14ac:dyDescent="0.3">
      <c r="B4" s="774" t="str">
        <f>CONCATENATE("MES: ",NOMBRE!B6," - ","( ",NOMBRE!C6,NOMBRE!D6," )")</f>
        <v>MES:  - (  )</v>
      </c>
    </row>
    <row r="5" spans="1:72" x14ac:dyDescent="0.3">
      <c r="B5" s="774" t="str">
        <f>CONCATENATE("AÑO: ",NOMBRE!B7)</f>
        <v>AÑO: 2024</v>
      </c>
    </row>
    <row r="6" spans="1:72" ht="18" customHeight="1" x14ac:dyDescent="0.3">
      <c r="B6" s="7125" t="s">
        <v>252</v>
      </c>
      <c r="C6" s="7125"/>
      <c r="D6" s="7125"/>
      <c r="E6" s="7125"/>
      <c r="F6" s="7125"/>
      <c r="G6" s="7125"/>
      <c r="H6" s="7125"/>
      <c r="I6" s="7125"/>
      <c r="J6" s="7125"/>
      <c r="K6" s="7125"/>
      <c r="L6" s="7125"/>
      <c r="M6" s="7125"/>
      <c r="N6" s="7125"/>
      <c r="O6" s="7125"/>
      <c r="P6" s="7125"/>
    </row>
    <row r="7" spans="1:72" ht="18" customHeight="1" x14ac:dyDescent="0.3"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</row>
    <row r="8" spans="1:72" s="17" customFormat="1" ht="18" customHeight="1" x14ac:dyDescent="0.25">
      <c r="B8" s="123" t="s">
        <v>543</v>
      </c>
      <c r="C8" s="123"/>
      <c r="D8" s="123"/>
      <c r="E8" s="123"/>
    </row>
    <row r="9" spans="1:72" s="17" customFormat="1" ht="18" customHeight="1" x14ac:dyDescent="0.25">
      <c r="B9" s="74" t="s">
        <v>253</v>
      </c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98"/>
      <c r="O9" s="123"/>
      <c r="P9" s="123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40"/>
    </row>
    <row r="10" spans="1:72" ht="21.75" customHeight="1" x14ac:dyDescent="0.3">
      <c r="B10" s="7198" t="s">
        <v>254</v>
      </c>
      <c r="C10" s="7201" t="s">
        <v>63</v>
      </c>
      <c r="D10" s="6341"/>
      <c r="E10" s="7202"/>
      <c r="F10" s="7206" t="s">
        <v>30</v>
      </c>
      <c r="G10" s="7207"/>
      <c r="H10" s="7207"/>
      <c r="I10" s="7207"/>
      <c r="J10" s="7207"/>
      <c r="K10" s="7207"/>
      <c r="L10" s="7207"/>
      <c r="M10" s="7207"/>
      <c r="N10" s="7207"/>
      <c r="O10" s="7207"/>
      <c r="P10" s="7207"/>
      <c r="Q10" s="7207"/>
      <c r="R10" s="7207"/>
      <c r="S10" s="7207"/>
      <c r="T10" s="7207"/>
      <c r="U10" s="7207"/>
      <c r="V10" s="7207"/>
      <c r="W10" s="7207"/>
      <c r="X10" s="7207"/>
      <c r="Y10" s="7207"/>
      <c r="Z10" s="7207"/>
      <c r="AA10" s="7207"/>
      <c r="AB10" s="7207"/>
      <c r="AC10" s="7207"/>
      <c r="AD10" s="7207"/>
      <c r="AE10" s="7207"/>
      <c r="AF10" s="7207"/>
      <c r="AG10" s="7207"/>
      <c r="AH10" s="7207"/>
      <c r="AI10" s="7207"/>
      <c r="AJ10" s="7207"/>
      <c r="AK10" s="7207"/>
      <c r="AL10" s="7207"/>
      <c r="AM10" s="7208"/>
      <c r="AN10" s="7209" t="s">
        <v>67</v>
      </c>
      <c r="AO10" s="7206" t="s">
        <v>544</v>
      </c>
      <c r="AP10" s="7207"/>
      <c r="AQ10" s="7207"/>
      <c r="AR10" s="7208"/>
      <c r="AS10" s="7209" t="s">
        <v>255</v>
      </c>
      <c r="AT10" s="7209" t="s">
        <v>256</v>
      </c>
    </row>
    <row r="11" spans="1:72" x14ac:dyDescent="0.3">
      <c r="B11" s="7199"/>
      <c r="C11" s="7203"/>
      <c r="D11" s="7204"/>
      <c r="E11" s="7205"/>
      <c r="F11" s="7206" t="s">
        <v>36</v>
      </c>
      <c r="G11" s="7208"/>
      <c r="H11" s="7206" t="s">
        <v>37</v>
      </c>
      <c r="I11" s="7208"/>
      <c r="J11" s="7206" t="s">
        <v>38</v>
      </c>
      <c r="K11" s="7208"/>
      <c r="L11" s="7206" t="s">
        <v>4</v>
      </c>
      <c r="M11" s="7208"/>
      <c r="N11" s="7206" t="s">
        <v>5</v>
      </c>
      <c r="O11" s="7208"/>
      <c r="P11" s="7211" t="s">
        <v>6</v>
      </c>
      <c r="Q11" s="7212"/>
      <c r="R11" s="7211" t="s">
        <v>7</v>
      </c>
      <c r="S11" s="7212"/>
      <c r="T11" s="7211" t="s">
        <v>8</v>
      </c>
      <c r="U11" s="7212"/>
      <c r="V11" s="7211" t="s">
        <v>9</v>
      </c>
      <c r="W11" s="7212"/>
      <c r="X11" s="7211" t="s">
        <v>10</v>
      </c>
      <c r="Y11" s="7212"/>
      <c r="Z11" s="7211" t="s">
        <v>11</v>
      </c>
      <c r="AA11" s="7212"/>
      <c r="AB11" s="7211" t="s">
        <v>18</v>
      </c>
      <c r="AC11" s="7212"/>
      <c r="AD11" s="7211" t="s">
        <v>19</v>
      </c>
      <c r="AE11" s="7212"/>
      <c r="AF11" s="7211" t="s">
        <v>20</v>
      </c>
      <c r="AG11" s="7212"/>
      <c r="AH11" s="7211" t="s">
        <v>70</v>
      </c>
      <c r="AI11" s="7212"/>
      <c r="AJ11" s="7211" t="s">
        <v>71</v>
      </c>
      <c r="AK11" s="7212"/>
      <c r="AL11" s="6677" t="s">
        <v>32</v>
      </c>
      <c r="AM11" s="6682"/>
      <c r="AN11" s="6324"/>
      <c r="AO11" s="7220" t="s">
        <v>257</v>
      </c>
      <c r="AP11" s="7214" t="s">
        <v>258</v>
      </c>
      <c r="AQ11" s="7214" t="s">
        <v>259</v>
      </c>
      <c r="AR11" s="7216" t="s">
        <v>1471</v>
      </c>
      <c r="AS11" s="7213"/>
      <c r="AT11" s="7213"/>
    </row>
    <row r="12" spans="1:72" x14ac:dyDescent="0.3">
      <c r="B12" s="7200"/>
      <c r="C12" s="1731" t="s">
        <v>26</v>
      </c>
      <c r="D12" s="1732" t="s">
        <v>22</v>
      </c>
      <c r="E12" s="76" t="s">
        <v>27</v>
      </c>
      <c r="F12" s="177" t="s">
        <v>22</v>
      </c>
      <c r="G12" s="172" t="s">
        <v>27</v>
      </c>
      <c r="H12" s="177" t="s">
        <v>22</v>
      </c>
      <c r="I12" s="172" t="s">
        <v>27</v>
      </c>
      <c r="J12" s="177" t="s">
        <v>22</v>
      </c>
      <c r="K12" s="172" t="s">
        <v>27</v>
      </c>
      <c r="L12" s="177" t="s">
        <v>22</v>
      </c>
      <c r="M12" s="172" t="s">
        <v>27</v>
      </c>
      <c r="N12" s="177" t="s">
        <v>22</v>
      </c>
      <c r="O12" s="172" t="s">
        <v>27</v>
      </c>
      <c r="P12" s="177" t="s">
        <v>22</v>
      </c>
      <c r="Q12" s="172" t="s">
        <v>27</v>
      </c>
      <c r="R12" s="177" t="s">
        <v>22</v>
      </c>
      <c r="S12" s="172" t="s">
        <v>27</v>
      </c>
      <c r="T12" s="177" t="s">
        <v>22</v>
      </c>
      <c r="U12" s="172" t="s">
        <v>27</v>
      </c>
      <c r="V12" s="177" t="s">
        <v>22</v>
      </c>
      <c r="W12" s="172" t="s">
        <v>27</v>
      </c>
      <c r="X12" s="177" t="s">
        <v>22</v>
      </c>
      <c r="Y12" s="172" t="s">
        <v>27</v>
      </c>
      <c r="Z12" s="177" t="s">
        <v>22</v>
      </c>
      <c r="AA12" s="172" t="s">
        <v>27</v>
      </c>
      <c r="AB12" s="177" t="s">
        <v>22</v>
      </c>
      <c r="AC12" s="172" t="s">
        <v>27</v>
      </c>
      <c r="AD12" s="177" t="s">
        <v>22</v>
      </c>
      <c r="AE12" s="172" t="s">
        <v>27</v>
      </c>
      <c r="AF12" s="177" t="s">
        <v>22</v>
      </c>
      <c r="AG12" s="172" t="s">
        <v>27</v>
      </c>
      <c r="AH12" s="179" t="s">
        <v>22</v>
      </c>
      <c r="AI12" s="1705" t="s">
        <v>27</v>
      </c>
      <c r="AJ12" s="177" t="s">
        <v>22</v>
      </c>
      <c r="AK12" s="172" t="s">
        <v>27</v>
      </c>
      <c r="AL12" s="179" t="s">
        <v>22</v>
      </c>
      <c r="AM12" s="172" t="s">
        <v>27</v>
      </c>
      <c r="AN12" s="7210"/>
      <c r="AO12" s="7221"/>
      <c r="AP12" s="7215"/>
      <c r="AQ12" s="7215"/>
      <c r="AR12" s="7217"/>
      <c r="AS12" s="7210"/>
      <c r="AT12" s="7210"/>
    </row>
    <row r="13" spans="1:72" x14ac:dyDescent="0.3">
      <c r="A13" s="6254" t="s">
        <v>4806</v>
      </c>
      <c r="B13" s="180" t="s">
        <v>260</v>
      </c>
      <c r="C13" s="181" t="s">
        <v>5292</v>
      </c>
      <c r="D13" s="182" t="s">
        <v>5293</v>
      </c>
      <c r="E13" s="183" t="s">
        <v>5294</v>
      </c>
      <c r="F13" s="184" t="s">
        <v>5295</v>
      </c>
      <c r="G13" s="185" t="s">
        <v>5296</v>
      </c>
      <c r="H13" s="184" t="s">
        <v>5297</v>
      </c>
      <c r="I13" s="185" t="s">
        <v>5298</v>
      </c>
      <c r="J13" s="184" t="s">
        <v>5299</v>
      </c>
      <c r="K13" s="185" t="s">
        <v>5300</v>
      </c>
      <c r="L13" s="186" t="s">
        <v>5301</v>
      </c>
      <c r="M13" s="185" t="s">
        <v>5302</v>
      </c>
      <c r="N13" s="184" t="s">
        <v>5303</v>
      </c>
      <c r="O13" s="185" t="s">
        <v>5304</v>
      </c>
      <c r="P13" s="186" t="s">
        <v>5305</v>
      </c>
      <c r="Q13" s="185" t="s">
        <v>5306</v>
      </c>
      <c r="R13" s="184" t="s">
        <v>5307</v>
      </c>
      <c r="S13" s="185" t="s">
        <v>5308</v>
      </c>
      <c r="T13" s="186" t="s">
        <v>5309</v>
      </c>
      <c r="U13" s="187" t="s">
        <v>5310</v>
      </c>
      <c r="V13" s="186" t="s">
        <v>5311</v>
      </c>
      <c r="W13" s="187" t="s">
        <v>5312</v>
      </c>
      <c r="X13" s="186" t="s">
        <v>5313</v>
      </c>
      <c r="Y13" s="187" t="s">
        <v>5314</v>
      </c>
      <c r="Z13" s="186" t="s">
        <v>5315</v>
      </c>
      <c r="AA13" s="187" t="s">
        <v>5316</v>
      </c>
      <c r="AB13" s="186" t="s">
        <v>5317</v>
      </c>
      <c r="AC13" s="185" t="s">
        <v>5318</v>
      </c>
      <c r="AD13" s="186" t="s">
        <v>5319</v>
      </c>
      <c r="AE13" s="185" t="s">
        <v>5320</v>
      </c>
      <c r="AF13" s="186" t="s">
        <v>5321</v>
      </c>
      <c r="AG13" s="185" t="s">
        <v>5322</v>
      </c>
      <c r="AH13" s="186" t="s">
        <v>5323</v>
      </c>
      <c r="AI13" s="187" t="s">
        <v>5324</v>
      </c>
      <c r="AJ13" s="186" t="s">
        <v>5325</v>
      </c>
      <c r="AK13" s="187" t="s">
        <v>5326</v>
      </c>
      <c r="AL13" s="186" t="s">
        <v>5327</v>
      </c>
      <c r="AM13" s="187" t="s">
        <v>5328</v>
      </c>
      <c r="AN13" s="188" t="s">
        <v>5329</v>
      </c>
      <c r="AO13" s="186" t="s">
        <v>5330</v>
      </c>
      <c r="AP13" s="184" t="s">
        <v>5331</v>
      </c>
      <c r="AQ13" s="184" t="s">
        <v>5332</v>
      </c>
      <c r="AR13" s="187" t="s">
        <v>5333</v>
      </c>
      <c r="AS13" s="187" t="s">
        <v>5334</v>
      </c>
      <c r="AT13" s="187" t="s">
        <v>5335</v>
      </c>
      <c r="AU13" t="e">
        <f>BJ13&amp;BK13&amp;BL13&amp;BM13&amp;BN13</f>
        <v>#VALUE!</v>
      </c>
      <c r="BJ13" s="1723" t="str">
        <f>IF(AND(C13&gt;0,AN13="")," * No olvide digitar la columna Beneficiarios",IF(AN13&gt;C13," * La variable Beneficiarios no pueder mayor al Total.",""))</f>
        <v xml:space="preserve"> * La variable Beneficiarios no pueder mayor al Total.</v>
      </c>
      <c r="BK13" s="1723" t="str">
        <f>IF(AND(C13&gt;0,OR(AO13="",AP13="",AQ13="",AR13=""))," * No olvide digitar el Origen de la Procedencia "&amp;AO$11&amp;""&amp;", "&amp;""&amp;AP$11&amp;""&amp;", "&amp;""&amp;AQ$11&amp;""&amp;", "&amp;""&amp;AR$11&amp;". ""Digite CERO si no tiene datos"""," ")</f>
        <v xml:space="preserve"> </v>
      </c>
      <c r="BL13" s="1723" t="e">
        <f>IF(AO13+AP13+AQ13+AR13&gt;C13," * La variable Origen de la procedencia no pueder mayor al Total.","")</f>
        <v>#VALUE!</v>
      </c>
      <c r="BM13" s="1723" t="str">
        <f>IF(AND(C13&gt;0,AS13="")," * No olvide digitar la columna Establecimientos de otra Red (Digite cero si no tiene)",IF(AS13&gt;C13," * La variable Establecimientos de otra Red no pueder mayor al Total.",""))</f>
        <v xml:space="preserve"> * La variable Establecimientos de otra Red no pueder mayor al Total.</v>
      </c>
      <c r="BN13" s="1723" t="str">
        <f>IF(AND(C13&gt;0,AT13="")," * No olvide digitar la columna Demanda de Urgencia. ",IF(AT13&lt;C13," * La variable Demanda de Urgencia debe ser mayor o igual al Total Ambos Sexos.",""))</f>
        <v/>
      </c>
      <c r="BP13" s="1725">
        <f>IF(AND(C13&gt;0,AN13=""),1,IF(AN13&gt;C13,1,0))</f>
        <v>1</v>
      </c>
      <c r="BQ13" s="1725">
        <f>IF(AND(C13&gt;0,OR(AO13="",AP13="",AQ13="",AR13="")),1,0)</f>
        <v>0</v>
      </c>
      <c r="BR13" s="1725" t="e">
        <f>IF(AO13+AP13+AQ13+AR13&gt;C13,1,0)</f>
        <v>#VALUE!</v>
      </c>
      <c r="BS13" s="1725">
        <f>IF(AND(C13&gt;0,AS13=""),1,IF(AS13&gt;C13,1,0))</f>
        <v>1</v>
      </c>
      <c r="BT13" s="1725">
        <f>IF(AND(C13&gt;0,AT13=""),1,IF(AT13&lt;C13,1,0))</f>
        <v>0</v>
      </c>
    </row>
    <row r="14" spans="1:72" x14ac:dyDescent="0.3">
      <c r="A14" s="6254" t="s">
        <v>4807</v>
      </c>
      <c r="B14" s="66" t="s">
        <v>261</v>
      </c>
      <c r="C14" s="189" t="s">
        <v>5292</v>
      </c>
      <c r="D14" s="190" t="s">
        <v>5293</v>
      </c>
      <c r="E14" s="191" t="s">
        <v>5294</v>
      </c>
      <c r="F14" s="110" t="s">
        <v>5295</v>
      </c>
      <c r="G14" s="84" t="s">
        <v>5296</v>
      </c>
      <c r="H14" s="110" t="s">
        <v>5297</v>
      </c>
      <c r="I14" s="84" t="s">
        <v>5298</v>
      </c>
      <c r="J14" s="110" t="s">
        <v>5299</v>
      </c>
      <c r="K14" s="84" t="s">
        <v>5300</v>
      </c>
      <c r="L14" s="110" t="s">
        <v>5301</v>
      </c>
      <c r="M14" s="84" t="s">
        <v>5302</v>
      </c>
      <c r="N14" s="82" t="s">
        <v>5303</v>
      </c>
      <c r="O14" s="83" t="s">
        <v>5304</v>
      </c>
      <c r="P14" s="82" t="s">
        <v>5305</v>
      </c>
      <c r="Q14" s="83" t="s">
        <v>5306</v>
      </c>
      <c r="R14" s="82" t="s">
        <v>5307</v>
      </c>
      <c r="S14" s="83" t="s">
        <v>5308</v>
      </c>
      <c r="T14" s="82" t="s">
        <v>5309</v>
      </c>
      <c r="U14" s="83" t="s">
        <v>5310</v>
      </c>
      <c r="V14" s="82" t="s">
        <v>5311</v>
      </c>
      <c r="W14" s="83" t="s">
        <v>5312</v>
      </c>
      <c r="X14" s="82" t="s">
        <v>5313</v>
      </c>
      <c r="Y14" s="83" t="s">
        <v>5314</v>
      </c>
      <c r="Z14" s="82" t="s">
        <v>5315</v>
      </c>
      <c r="AA14" s="83" t="s">
        <v>5316</v>
      </c>
      <c r="AB14" s="82" t="s">
        <v>5317</v>
      </c>
      <c r="AC14" s="83" t="s">
        <v>5318</v>
      </c>
      <c r="AD14" s="82" t="s">
        <v>5319</v>
      </c>
      <c r="AE14" s="83" t="s">
        <v>5320</v>
      </c>
      <c r="AF14" s="82" t="s">
        <v>5321</v>
      </c>
      <c r="AG14" s="83" t="s">
        <v>5322</v>
      </c>
      <c r="AH14" s="82" t="s">
        <v>5323</v>
      </c>
      <c r="AI14" s="83" t="s">
        <v>5324</v>
      </c>
      <c r="AJ14" s="82" t="s">
        <v>5325</v>
      </c>
      <c r="AK14" s="83" t="s">
        <v>5326</v>
      </c>
      <c r="AL14" s="82" t="s">
        <v>5327</v>
      </c>
      <c r="AM14" s="83" t="s">
        <v>5328</v>
      </c>
      <c r="AN14" s="83" t="s">
        <v>5329</v>
      </c>
      <c r="AO14" s="82" t="s">
        <v>5330</v>
      </c>
      <c r="AP14" s="110" t="s">
        <v>5331</v>
      </c>
      <c r="AQ14" s="110" t="s">
        <v>5332</v>
      </c>
      <c r="AR14" s="83" t="s">
        <v>5333</v>
      </c>
      <c r="AS14" s="83" t="s">
        <v>5334</v>
      </c>
      <c r="AT14" s="83" t="s">
        <v>5335</v>
      </c>
      <c r="AU14" t="e">
        <f>BJ14&amp;BK14&amp;BL14&amp;BM14&amp;BN14</f>
        <v>#VALUE!</v>
      </c>
      <c r="BJ14" s="1723" t="str">
        <f>IF(AND(C14&gt;0,AN14="")," * No olvide digitar la columna Beneficiarios",IF(AN14&gt;C14," * La variable Beneficiarios no pueder mayor al Total.",""))</f>
        <v xml:space="preserve"> * La variable Beneficiarios no pueder mayor al Total.</v>
      </c>
      <c r="BK14" s="1723" t="str">
        <f>IF(AND(C14&gt;0,OR(AO14="",AP14="",AQ14="",AR14=""))," * No olvide digitar el Origen de la Procedencia "&amp;AO$11&amp;""&amp;", "&amp;""&amp;AP$11&amp;""&amp;", "&amp;""&amp;AQ$11&amp;""&amp;", "&amp;""&amp;AR$11&amp;". ""Digite CERO si no tiene datos"""," ")</f>
        <v xml:space="preserve"> </v>
      </c>
      <c r="BL14" s="1723" t="e">
        <f>IF(AO14+AP14+AQ14+AR14&gt;C14," * La variable Origen de la procedencia no pueder mayor al Total.","")</f>
        <v>#VALUE!</v>
      </c>
      <c r="BM14" s="1723" t="str">
        <f>IF(AND(C14&gt;0,AS14="")," * No olvide digitar la columna Establecimientos de otra Red (Digite cero si no tiene)",IF(AS14&gt;C14," * La variable Establecimientos de otra Red no pueder mayor al Total.",""))</f>
        <v xml:space="preserve"> * La variable Establecimientos de otra Red no pueder mayor al Total.</v>
      </c>
      <c r="BN14" s="1723" t="str">
        <f>IF(AND(C14&gt;0,AT14="")," * No olvide digitar la columna Demanda de Urgencia. ",IF(AT14&lt;C14," * La variable Demanda de Urgencia debe ser mayor o igual al Total Ambos Sexos.",""))</f>
        <v/>
      </c>
      <c r="BP14" s="1725">
        <f>IF(AND(C14&gt;0,AN14=""),1,IF(AN14&gt;C14,1,0))</f>
        <v>1</v>
      </c>
      <c r="BQ14" s="1725">
        <f>IF(AND(C14&gt;0,OR(AO14="",AP14="",AQ14="",AR14="")),1,0)</f>
        <v>0</v>
      </c>
      <c r="BR14" s="1725" t="e">
        <f>IF(AO14+AP14+AQ14+AR14&gt;C14,1,0)</f>
        <v>#VALUE!</v>
      </c>
      <c r="BS14" s="1725">
        <f>IF(AND(C14&gt;0,AS14=""),1,IF(AS14&gt;C14,1,0))</f>
        <v>1</v>
      </c>
      <c r="BT14" s="1725">
        <f>IF(AND(C14&gt;0,AT14=""),1,IF(AT14&lt;C14,1,0))</f>
        <v>0</v>
      </c>
    </row>
    <row r="15" spans="1:72" x14ac:dyDescent="0.3">
      <c r="A15" s="6254" t="s">
        <v>4808</v>
      </c>
      <c r="B15" s="192" t="s">
        <v>262</v>
      </c>
      <c r="C15" s="155" t="s">
        <v>5292</v>
      </c>
      <c r="D15" s="149" t="s">
        <v>5293</v>
      </c>
      <c r="E15" s="146" t="s">
        <v>5294</v>
      </c>
      <c r="F15" s="82" t="s">
        <v>5295</v>
      </c>
      <c r="G15" s="83" t="s">
        <v>5296</v>
      </c>
      <c r="H15" s="82" t="s">
        <v>5297</v>
      </c>
      <c r="I15" s="83" t="s">
        <v>5298</v>
      </c>
      <c r="J15" s="82" t="s">
        <v>5299</v>
      </c>
      <c r="K15" s="83" t="s">
        <v>5300</v>
      </c>
      <c r="L15" s="82" t="s">
        <v>5301</v>
      </c>
      <c r="M15" s="83" t="s">
        <v>5302</v>
      </c>
      <c r="N15" s="82" t="s">
        <v>5303</v>
      </c>
      <c r="O15" s="83" t="s">
        <v>5304</v>
      </c>
      <c r="P15" s="82" t="s">
        <v>5305</v>
      </c>
      <c r="Q15" s="83" t="s">
        <v>5306</v>
      </c>
      <c r="R15" s="82" t="s">
        <v>5307</v>
      </c>
      <c r="S15" s="83" t="s">
        <v>5308</v>
      </c>
      <c r="T15" s="82" t="s">
        <v>5309</v>
      </c>
      <c r="U15" s="83" t="s">
        <v>5310</v>
      </c>
      <c r="V15" s="82" t="s">
        <v>5311</v>
      </c>
      <c r="W15" s="83" t="s">
        <v>5312</v>
      </c>
      <c r="X15" s="82" t="s">
        <v>5313</v>
      </c>
      <c r="Y15" s="83" t="s">
        <v>5314</v>
      </c>
      <c r="Z15" s="82" t="s">
        <v>5315</v>
      </c>
      <c r="AA15" s="83" t="s">
        <v>5316</v>
      </c>
      <c r="AB15" s="82" t="s">
        <v>5317</v>
      </c>
      <c r="AC15" s="83" t="s">
        <v>5318</v>
      </c>
      <c r="AD15" s="82" t="s">
        <v>5319</v>
      </c>
      <c r="AE15" s="83" t="s">
        <v>5320</v>
      </c>
      <c r="AF15" s="82" t="s">
        <v>5321</v>
      </c>
      <c r="AG15" s="83" t="s">
        <v>5322</v>
      </c>
      <c r="AH15" s="82" t="s">
        <v>5323</v>
      </c>
      <c r="AI15" s="83" t="s">
        <v>5324</v>
      </c>
      <c r="AJ15" s="82" t="s">
        <v>5325</v>
      </c>
      <c r="AK15" s="83" t="s">
        <v>5326</v>
      </c>
      <c r="AL15" s="82" t="s">
        <v>5327</v>
      </c>
      <c r="AM15" s="83" t="s">
        <v>5328</v>
      </c>
      <c r="AN15" s="83" t="s">
        <v>5329</v>
      </c>
      <c r="AO15" s="193" t="s">
        <v>5330</v>
      </c>
      <c r="AP15" s="193" t="s">
        <v>5331</v>
      </c>
      <c r="AQ15" s="193" t="s">
        <v>5332</v>
      </c>
      <c r="AR15" s="194" t="s">
        <v>5333</v>
      </c>
      <c r="AS15" s="194" t="s">
        <v>5334</v>
      </c>
      <c r="AT15" s="194" t="s">
        <v>5335</v>
      </c>
      <c r="AU15" t="str">
        <f>BJ15</f>
        <v xml:space="preserve"> * La variable Beneficiarios no pueder mayor al Total.</v>
      </c>
      <c r="BJ15" s="1723" t="str">
        <f t="shared" ref="BJ15:BJ16" si="0">IF(AND(C15&gt;0,AN15="")," * No olvide digitar la columna Beneficiarios",IF(AN15&gt;C15," * La variable Beneficiarios no pueder mayor al Total.",""))</f>
        <v xml:space="preserve"> * La variable Beneficiarios no pueder mayor al Total.</v>
      </c>
      <c r="BP15" s="1725">
        <f t="shared" ref="BP15:BP16" si="1">IF(AND(C15&gt;0,AN15=""),1,IF(AN15&gt;C15,1,0))</f>
        <v>1</v>
      </c>
    </row>
    <row r="16" spans="1:72" x14ac:dyDescent="0.3">
      <c r="A16" s="6254" t="s">
        <v>4809</v>
      </c>
      <c r="B16" s="195" t="s">
        <v>263</v>
      </c>
      <c r="C16" s="159" t="s">
        <v>5292</v>
      </c>
      <c r="D16" s="160" t="s">
        <v>5293</v>
      </c>
      <c r="E16" s="196" t="s">
        <v>5294</v>
      </c>
      <c r="F16" s="114" t="s">
        <v>5295</v>
      </c>
      <c r="G16" s="117" t="s">
        <v>5296</v>
      </c>
      <c r="H16" s="114" t="s">
        <v>5297</v>
      </c>
      <c r="I16" s="117" t="s">
        <v>5298</v>
      </c>
      <c r="J16" s="114" t="s">
        <v>5299</v>
      </c>
      <c r="K16" s="117" t="s">
        <v>5300</v>
      </c>
      <c r="L16" s="114" t="s">
        <v>5301</v>
      </c>
      <c r="M16" s="117" t="s">
        <v>5302</v>
      </c>
      <c r="N16" s="114" t="s">
        <v>5303</v>
      </c>
      <c r="O16" s="117" t="s">
        <v>5304</v>
      </c>
      <c r="P16" s="114" t="s">
        <v>5305</v>
      </c>
      <c r="Q16" s="117" t="s">
        <v>5306</v>
      </c>
      <c r="R16" s="114" t="s">
        <v>5307</v>
      </c>
      <c r="S16" s="117" t="s">
        <v>5308</v>
      </c>
      <c r="T16" s="114" t="s">
        <v>5309</v>
      </c>
      <c r="U16" s="117" t="s">
        <v>5310</v>
      </c>
      <c r="V16" s="114" t="s">
        <v>5311</v>
      </c>
      <c r="W16" s="117" t="s">
        <v>5312</v>
      </c>
      <c r="X16" s="114" t="s">
        <v>5313</v>
      </c>
      <c r="Y16" s="117" t="s">
        <v>5314</v>
      </c>
      <c r="Z16" s="114" t="s">
        <v>5315</v>
      </c>
      <c r="AA16" s="117" t="s">
        <v>5316</v>
      </c>
      <c r="AB16" s="114" t="s">
        <v>5317</v>
      </c>
      <c r="AC16" s="117" t="s">
        <v>5318</v>
      </c>
      <c r="AD16" s="114" t="s">
        <v>5319</v>
      </c>
      <c r="AE16" s="117" t="s">
        <v>5320</v>
      </c>
      <c r="AF16" s="114" t="s">
        <v>5321</v>
      </c>
      <c r="AG16" s="117" t="s">
        <v>5322</v>
      </c>
      <c r="AH16" s="114" t="s">
        <v>5323</v>
      </c>
      <c r="AI16" s="117" t="s">
        <v>5324</v>
      </c>
      <c r="AJ16" s="114" t="s">
        <v>5325</v>
      </c>
      <c r="AK16" s="117" t="s">
        <v>5326</v>
      </c>
      <c r="AL16" s="114" t="s">
        <v>5327</v>
      </c>
      <c r="AM16" s="117" t="s">
        <v>5328</v>
      </c>
      <c r="AN16" s="117" t="s">
        <v>5329</v>
      </c>
      <c r="AO16" s="197" t="s">
        <v>5330</v>
      </c>
      <c r="AP16" s="197" t="s">
        <v>5331</v>
      </c>
      <c r="AQ16" s="197" t="s">
        <v>5332</v>
      </c>
      <c r="AR16" s="152" t="s">
        <v>5333</v>
      </c>
      <c r="AS16" s="152" t="s">
        <v>5334</v>
      </c>
      <c r="AT16" s="152" t="s">
        <v>5335</v>
      </c>
      <c r="AU16" t="str">
        <f>BJ16</f>
        <v xml:space="preserve"> * La variable Beneficiarios no pueder mayor al Total.</v>
      </c>
      <c r="BJ16" s="1723" t="str">
        <f t="shared" si="0"/>
        <v xml:space="preserve"> * La variable Beneficiarios no pueder mayor al Total.</v>
      </c>
      <c r="BP16" s="1725">
        <f t="shared" si="1"/>
        <v>1</v>
      </c>
    </row>
    <row r="17" spans="1:70" s="17" customFormat="1" ht="18" customHeight="1" x14ac:dyDescent="0.25">
      <c r="A17" s="103"/>
      <c r="B17" s="122" t="s">
        <v>264</v>
      </c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</row>
    <row r="18" spans="1:70" x14ac:dyDescent="0.3">
      <c r="A18" s="103"/>
      <c r="B18" s="7198" t="s">
        <v>265</v>
      </c>
      <c r="C18" s="7201" t="s">
        <v>63</v>
      </c>
      <c r="D18" s="6341"/>
      <c r="E18" s="7202"/>
      <c r="F18" s="7206" t="s">
        <v>30</v>
      </c>
      <c r="G18" s="7207"/>
      <c r="H18" s="7207"/>
      <c r="I18" s="7207"/>
      <c r="J18" s="7207"/>
      <c r="K18" s="7207"/>
      <c r="L18" s="7207"/>
      <c r="M18" s="7207"/>
      <c r="N18" s="7207"/>
      <c r="O18" s="7207"/>
      <c r="P18" s="7207"/>
      <c r="Q18" s="7207"/>
      <c r="R18" s="7207"/>
      <c r="S18" s="7207"/>
      <c r="T18" s="7207"/>
      <c r="U18" s="7207"/>
      <c r="V18" s="7207"/>
      <c r="W18" s="7207"/>
      <c r="X18" s="7207"/>
      <c r="Y18" s="7207"/>
      <c r="Z18" s="7207"/>
      <c r="AA18" s="7207"/>
      <c r="AB18" s="7207"/>
      <c r="AC18" s="7207"/>
      <c r="AD18" s="7207"/>
      <c r="AE18" s="7207"/>
      <c r="AF18" s="7207"/>
      <c r="AG18" s="7207"/>
      <c r="AH18" s="7207"/>
      <c r="AI18" s="7207"/>
      <c r="AJ18" s="7207"/>
      <c r="AK18" s="7207"/>
      <c r="AL18" s="7207"/>
      <c r="AM18" s="7208"/>
      <c r="AN18" s="7202" t="s">
        <v>67</v>
      </c>
      <c r="AO18" s="7219" t="s">
        <v>266</v>
      </c>
      <c r="AP18" s="7219" t="s">
        <v>256</v>
      </c>
      <c r="AQ18" s="7219" t="s">
        <v>267</v>
      </c>
    </row>
    <row r="19" spans="1:70" x14ac:dyDescent="0.3">
      <c r="A19" s="103"/>
      <c r="B19" s="7199"/>
      <c r="C19" s="7203"/>
      <c r="D19" s="7204"/>
      <c r="E19" s="7205"/>
      <c r="F19" s="7206" t="s">
        <v>36</v>
      </c>
      <c r="G19" s="7208"/>
      <c r="H19" s="7206" t="s">
        <v>37</v>
      </c>
      <c r="I19" s="7208"/>
      <c r="J19" s="7206" t="s">
        <v>38</v>
      </c>
      <c r="K19" s="7208"/>
      <c r="L19" s="7206" t="s">
        <v>4</v>
      </c>
      <c r="M19" s="7208"/>
      <c r="N19" s="7206" t="s">
        <v>5</v>
      </c>
      <c r="O19" s="7208"/>
      <c r="P19" s="7211" t="s">
        <v>6</v>
      </c>
      <c r="Q19" s="7212"/>
      <c r="R19" s="7211" t="s">
        <v>7</v>
      </c>
      <c r="S19" s="7212"/>
      <c r="T19" s="7211" t="s">
        <v>8</v>
      </c>
      <c r="U19" s="7212"/>
      <c r="V19" s="7211" t="s">
        <v>9</v>
      </c>
      <c r="W19" s="7212"/>
      <c r="X19" s="7211" t="s">
        <v>10</v>
      </c>
      <c r="Y19" s="7212"/>
      <c r="Z19" s="7211" t="s">
        <v>11</v>
      </c>
      <c r="AA19" s="7212"/>
      <c r="AB19" s="7211" t="s">
        <v>18</v>
      </c>
      <c r="AC19" s="7212"/>
      <c r="AD19" s="7211" t="s">
        <v>19</v>
      </c>
      <c r="AE19" s="7212"/>
      <c r="AF19" s="7211" t="s">
        <v>20</v>
      </c>
      <c r="AG19" s="7212"/>
      <c r="AH19" s="7211" t="s">
        <v>70</v>
      </c>
      <c r="AI19" s="7212"/>
      <c r="AJ19" s="7211" t="s">
        <v>71</v>
      </c>
      <c r="AK19" s="7212"/>
      <c r="AL19" s="7211" t="s">
        <v>32</v>
      </c>
      <c r="AM19" s="7212"/>
      <c r="AN19" s="7218"/>
      <c r="AO19" s="7213"/>
      <c r="AP19" s="7213"/>
      <c r="AQ19" s="7213"/>
    </row>
    <row r="20" spans="1:70" x14ac:dyDescent="0.3">
      <c r="A20" s="103"/>
      <c r="B20" s="7200"/>
      <c r="C20" s="199" t="s">
        <v>26</v>
      </c>
      <c r="D20" s="200" t="s">
        <v>51</v>
      </c>
      <c r="E20" s="175" t="s">
        <v>27</v>
      </c>
      <c r="F20" s="201" t="s">
        <v>51</v>
      </c>
      <c r="G20" s="175" t="s">
        <v>27</v>
      </c>
      <c r="H20" s="201" t="s">
        <v>51</v>
      </c>
      <c r="I20" s="175" t="s">
        <v>27</v>
      </c>
      <c r="J20" s="201" t="s">
        <v>51</v>
      </c>
      <c r="K20" s="175" t="s">
        <v>27</v>
      </c>
      <c r="L20" s="201" t="s">
        <v>51</v>
      </c>
      <c r="M20" s="175" t="s">
        <v>27</v>
      </c>
      <c r="N20" s="201" t="s">
        <v>51</v>
      </c>
      <c r="O20" s="175" t="s">
        <v>27</v>
      </c>
      <c r="P20" s="201" t="s">
        <v>51</v>
      </c>
      <c r="Q20" s="175" t="s">
        <v>27</v>
      </c>
      <c r="R20" s="201" t="s">
        <v>51</v>
      </c>
      <c r="S20" s="175" t="s">
        <v>27</v>
      </c>
      <c r="T20" s="201" t="s">
        <v>51</v>
      </c>
      <c r="U20" s="175" t="s">
        <v>27</v>
      </c>
      <c r="V20" s="201" t="s">
        <v>51</v>
      </c>
      <c r="W20" s="175" t="s">
        <v>27</v>
      </c>
      <c r="X20" s="201" t="s">
        <v>51</v>
      </c>
      <c r="Y20" s="175" t="s">
        <v>27</v>
      </c>
      <c r="Z20" s="201" t="s">
        <v>51</v>
      </c>
      <c r="AA20" s="175" t="s">
        <v>27</v>
      </c>
      <c r="AB20" s="201" t="s">
        <v>51</v>
      </c>
      <c r="AC20" s="175" t="s">
        <v>27</v>
      </c>
      <c r="AD20" s="201" t="s">
        <v>51</v>
      </c>
      <c r="AE20" s="175" t="s">
        <v>27</v>
      </c>
      <c r="AF20" s="201" t="s">
        <v>51</v>
      </c>
      <c r="AG20" s="175" t="s">
        <v>27</v>
      </c>
      <c r="AH20" s="201" t="s">
        <v>51</v>
      </c>
      <c r="AI20" s="175" t="s">
        <v>27</v>
      </c>
      <c r="AJ20" s="201" t="s">
        <v>51</v>
      </c>
      <c r="AK20" s="175" t="s">
        <v>27</v>
      </c>
      <c r="AL20" s="201" t="s">
        <v>51</v>
      </c>
      <c r="AM20" s="175" t="s">
        <v>27</v>
      </c>
      <c r="AN20" s="7205"/>
      <c r="AO20" s="7210"/>
      <c r="AP20" s="7210"/>
      <c r="AQ20" s="7210"/>
    </row>
    <row r="21" spans="1:70" x14ac:dyDescent="0.3">
      <c r="A21" s="6259" t="s">
        <v>4810</v>
      </c>
      <c r="B21" s="5166" t="s">
        <v>268</v>
      </c>
      <c r="C21" s="5237" t="s">
        <v>5292</v>
      </c>
      <c r="D21" s="5238" t="s">
        <v>5293</v>
      </c>
      <c r="E21" s="5141" t="s">
        <v>5294</v>
      </c>
      <c r="F21" s="5227" t="s">
        <v>5295</v>
      </c>
      <c r="G21" s="5231" t="s">
        <v>5296</v>
      </c>
      <c r="H21" s="5227" t="s">
        <v>5297</v>
      </c>
      <c r="I21" s="5231" t="s">
        <v>5298</v>
      </c>
      <c r="J21" s="5227" t="s">
        <v>5299</v>
      </c>
      <c r="K21" s="5257" t="s">
        <v>5300</v>
      </c>
      <c r="L21" s="5227" t="s">
        <v>5301</v>
      </c>
      <c r="M21" s="5257" t="s">
        <v>5302</v>
      </c>
      <c r="N21" s="5227" t="s">
        <v>5303</v>
      </c>
      <c r="O21" s="5257" t="s">
        <v>5304</v>
      </c>
      <c r="P21" s="5406" t="s">
        <v>5305</v>
      </c>
      <c r="Q21" s="5257" t="s">
        <v>5306</v>
      </c>
      <c r="R21" s="5406" t="s">
        <v>5307</v>
      </c>
      <c r="S21" s="5257" t="s">
        <v>5308</v>
      </c>
      <c r="T21" s="5406" t="s">
        <v>5309</v>
      </c>
      <c r="U21" s="5257" t="s">
        <v>5310</v>
      </c>
      <c r="V21" s="5406" t="s">
        <v>5311</v>
      </c>
      <c r="W21" s="5257" t="s">
        <v>5312</v>
      </c>
      <c r="X21" s="5406" t="s">
        <v>5313</v>
      </c>
      <c r="Y21" s="5257" t="s">
        <v>5314</v>
      </c>
      <c r="Z21" s="5406" t="s">
        <v>5315</v>
      </c>
      <c r="AA21" s="5257" t="s">
        <v>5316</v>
      </c>
      <c r="AB21" s="5406" t="s">
        <v>5317</v>
      </c>
      <c r="AC21" s="5257" t="s">
        <v>5318</v>
      </c>
      <c r="AD21" s="5406" t="s">
        <v>5319</v>
      </c>
      <c r="AE21" s="5257" t="s">
        <v>5320</v>
      </c>
      <c r="AF21" s="5406" t="s">
        <v>5321</v>
      </c>
      <c r="AG21" s="5257" t="s">
        <v>5322</v>
      </c>
      <c r="AH21" s="5406" t="s">
        <v>5323</v>
      </c>
      <c r="AI21" s="5257" t="s">
        <v>5324</v>
      </c>
      <c r="AJ21" s="5406" t="s">
        <v>5325</v>
      </c>
      <c r="AK21" s="5257" t="s">
        <v>5326</v>
      </c>
      <c r="AL21" s="5406" t="s">
        <v>5327</v>
      </c>
      <c r="AM21" s="5257" t="s">
        <v>5328</v>
      </c>
      <c r="AN21" s="5231" t="s">
        <v>5329</v>
      </c>
      <c r="AO21" s="5273" t="s">
        <v>5330</v>
      </c>
      <c r="AP21" s="5273" t="s">
        <v>5331</v>
      </c>
      <c r="AQ21" s="5273" t="s">
        <v>5332</v>
      </c>
      <c r="AR21" t="str">
        <f>BJ21&amp;BK21&amp;BL21&amp;BM21</f>
        <v xml:space="preserve"> * La variable Beneficiarios no puede ser mayor al Total. * La variable Atenciones por profesionales  a Honorarios no puede ser mayor al Total. * La variable Por Campaña de Invierno no puede ser mayor al Total.</v>
      </c>
      <c r="BJ21" s="1723" t="str">
        <f>IF(AND(C21&gt;0,AN21="")," * No olvide digitar la columna Beneficiarios Digite cero si no tiene",IF(AN21&gt;C21," * La variable Beneficiarios no puede ser mayor al Total.",""))</f>
        <v xml:space="preserve"> * La variable Beneficiarios no puede ser mayor al Total.</v>
      </c>
      <c r="BK21" s="1723" t="str">
        <f>IF(AND(C21&gt;0,AO21="")," * No olvide digitar la columna Atenciones por profesionales  a Honorarios (Digite Cero si no tiene)",IF(AO21&gt;C21," * La variable Atenciones por profesionales  a Honorarios no puede ser mayor al Total.",""))</f>
        <v xml:space="preserve"> * La variable Atenciones por profesionales  a Honorarios no puede ser mayor al Total.</v>
      </c>
      <c r="BL21" s="1723" t="str">
        <f>IF(AND(C21&gt;0,AP21="")," * No olvide digitar la columna Demanda de Urgencia.",IF(AP21&lt;C21," * La variable Demanda de Urgencia debe ser mayor o igual al Total Ambos Sexos.",""))</f>
        <v/>
      </c>
      <c r="BM21" s="1723" t="str">
        <f>IF(AND(C21&gt;0,AQ21="")," * No olvide digitar la columna Por Campaña de Invierno (Digite Cero si no tiene)",IF(AQ21&gt;C21," * La variable Por Campaña de Invierno no puede ser mayor al Total.",""))</f>
        <v xml:space="preserve"> * La variable Por Campaña de Invierno no puede ser mayor al Total.</v>
      </c>
      <c r="BO21" s="1725">
        <f>IF(AND(C21&gt;0,AN21=""),1,IF(AN21&gt;C21,1,0))</f>
        <v>1</v>
      </c>
      <c r="BP21" s="1725">
        <f>IF(AND(C21&gt;0,AO21=""),1,IF(AO21&gt;C21,1,0))</f>
        <v>1</v>
      </c>
      <c r="BQ21" s="1725">
        <f>IF(AND(C21&gt;0,AP21=""),1,IF(AP21&lt;C21,1,0))</f>
        <v>0</v>
      </c>
      <c r="BR21" s="1725">
        <f>IF(AND(C21&gt;0,AQ21=""),1,IF(AQ21&gt;C21,1,0))</f>
        <v>1</v>
      </c>
    </row>
    <row r="22" spans="1:70" x14ac:dyDescent="0.3">
      <c r="A22" s="6259" t="s">
        <v>4811</v>
      </c>
      <c r="B22" s="5463" t="s">
        <v>269</v>
      </c>
      <c r="C22" s="1037" t="s">
        <v>5292</v>
      </c>
      <c r="D22" s="3270" t="s">
        <v>5293</v>
      </c>
      <c r="E22" s="4524" t="s">
        <v>5294</v>
      </c>
      <c r="F22" s="586" t="s">
        <v>5295</v>
      </c>
      <c r="G22" s="4424" t="s">
        <v>5296</v>
      </c>
      <c r="H22" s="586" t="s">
        <v>5297</v>
      </c>
      <c r="I22" s="4424" t="s">
        <v>5298</v>
      </c>
      <c r="J22" s="586" t="s">
        <v>5299</v>
      </c>
      <c r="K22" s="5047" t="s">
        <v>5300</v>
      </c>
      <c r="L22" s="586" t="s">
        <v>5301</v>
      </c>
      <c r="M22" s="5047" t="s">
        <v>5302</v>
      </c>
      <c r="N22" s="586" t="s">
        <v>5303</v>
      </c>
      <c r="O22" s="5047" t="s">
        <v>5304</v>
      </c>
      <c r="P22" s="113" t="s">
        <v>5305</v>
      </c>
      <c r="Q22" s="5047" t="s">
        <v>5306</v>
      </c>
      <c r="R22" s="113" t="s">
        <v>5307</v>
      </c>
      <c r="S22" s="5047" t="s">
        <v>5308</v>
      </c>
      <c r="T22" s="113" t="s">
        <v>5309</v>
      </c>
      <c r="U22" s="5047" t="s">
        <v>5310</v>
      </c>
      <c r="V22" s="113" t="s">
        <v>5311</v>
      </c>
      <c r="W22" s="5047" t="s">
        <v>5312</v>
      </c>
      <c r="X22" s="113" t="s">
        <v>5313</v>
      </c>
      <c r="Y22" s="5047" t="s">
        <v>5314</v>
      </c>
      <c r="Z22" s="113" t="s">
        <v>5315</v>
      </c>
      <c r="AA22" s="5047" t="s">
        <v>5316</v>
      </c>
      <c r="AB22" s="113" t="s">
        <v>5317</v>
      </c>
      <c r="AC22" s="5047" t="s">
        <v>5318</v>
      </c>
      <c r="AD22" s="113" t="s">
        <v>5319</v>
      </c>
      <c r="AE22" s="5047" t="s">
        <v>5320</v>
      </c>
      <c r="AF22" s="113" t="s">
        <v>5321</v>
      </c>
      <c r="AG22" s="5047" t="s">
        <v>5322</v>
      </c>
      <c r="AH22" s="113" t="s">
        <v>5323</v>
      </c>
      <c r="AI22" s="5047" t="s">
        <v>5324</v>
      </c>
      <c r="AJ22" s="113" t="s">
        <v>5325</v>
      </c>
      <c r="AK22" s="5047" t="s">
        <v>5326</v>
      </c>
      <c r="AL22" s="113" t="s">
        <v>5327</v>
      </c>
      <c r="AM22" s="5047" t="s">
        <v>5328</v>
      </c>
      <c r="AN22" s="4424" t="s">
        <v>5329</v>
      </c>
      <c r="AO22" s="784" t="s">
        <v>5330</v>
      </c>
      <c r="AP22" s="784" t="s">
        <v>5331</v>
      </c>
      <c r="AQ22" s="784" t="s">
        <v>5332</v>
      </c>
      <c r="AR22" t="str">
        <f>BJ22&amp;BK22&amp;BL22&amp;BM22</f>
        <v xml:space="preserve"> * La variable Beneficiarios no puede ser mayor al Total. * La variable Atenciones por profesionales  a Honorarios no puede ser mayor al Total. * La variable Por Campaña de Invierno no puede ser mayor al Total.</v>
      </c>
      <c r="BJ22" s="1723" t="str">
        <f t="shared" ref="BJ22:BJ26" si="2">IF(AND(C22&gt;0,AN22="")," * No olvide digitar la columna Beneficiarios Digite cero si no tiene",IF(AN22&gt;C22," * La variable Beneficiarios no puede ser mayor al Total.",""))</f>
        <v xml:space="preserve"> * La variable Beneficiarios no puede ser mayor al Total.</v>
      </c>
      <c r="BK22" s="1723" t="str">
        <f t="shared" ref="BK22:BK26" si="3">IF(AND(C22&gt;0,AO22="")," * No olvide digitar la columna Atenciones por profesionales  a Honorarios (Digite Cero si no tiene)",IF(AO22&gt;C22," * La variable Atenciones por profesionales  a Honorarios no puede ser mayor al Total.",""))</f>
        <v xml:space="preserve"> * La variable Atenciones por profesionales  a Honorarios no puede ser mayor al Total.</v>
      </c>
      <c r="BL22" s="1723" t="str">
        <f t="shared" ref="BL22:BL24" si="4">IF(AND(C22&gt;0,AP22="")," * No olvide digitar la columna Demanda de Urgencia.",IF(AP22&lt;C22," * La variable Demanda de Urgencia debe ser mayor o igual al Total Ambos Sexos.",""))</f>
        <v/>
      </c>
      <c r="BM22" s="1723" t="str">
        <f t="shared" ref="BM22:BM24" si="5">IF(AND(C22&gt;0,AQ22="")," * No olvide digitar la columna Por Campaña de Invierno (Digite Cero si no tiene)",IF(AQ22&gt;C22," * La variable Por Campaña de Invierno no puede ser mayor al Total.",""))</f>
        <v xml:space="preserve"> * La variable Por Campaña de Invierno no puede ser mayor al Total.</v>
      </c>
      <c r="BO22" s="1725">
        <f t="shared" ref="BO22:BO26" si="6">IF(AND(C22&gt;0,AN22=""),1,IF(AN22&gt;C22,1,0))</f>
        <v>1</v>
      </c>
      <c r="BP22" s="1725">
        <f t="shared" ref="BP22:BP26" si="7">IF(AND(C22&gt;0,AO22=""),1,IF(AO22&gt;C22,1,0))</f>
        <v>1</v>
      </c>
      <c r="BQ22" s="1725">
        <f t="shared" ref="BQ22:BQ24" si="8">IF(AND(C22&gt;0,AP22=""),1,IF(AP22&lt;C22,1,0))</f>
        <v>0</v>
      </c>
      <c r="BR22" s="1725">
        <f t="shared" ref="BR22:BR24" si="9">IF(AND(C22&gt;0,AQ22=""),1,IF(AQ22&gt;C22,1,0))</f>
        <v>1</v>
      </c>
    </row>
    <row r="23" spans="1:70" x14ac:dyDescent="0.3">
      <c r="A23" s="6259" t="s">
        <v>4812</v>
      </c>
      <c r="B23" s="3239" t="s">
        <v>270</v>
      </c>
      <c r="C23" s="1037" t="s">
        <v>5292</v>
      </c>
      <c r="D23" s="3270" t="s">
        <v>5293</v>
      </c>
      <c r="E23" s="3242" t="s">
        <v>5294</v>
      </c>
      <c r="F23" s="1072" t="s">
        <v>5295</v>
      </c>
      <c r="G23" s="3077" t="s">
        <v>5296</v>
      </c>
      <c r="H23" s="1072" t="s">
        <v>5297</v>
      </c>
      <c r="I23" s="3077" t="s">
        <v>5298</v>
      </c>
      <c r="J23" s="1072" t="s">
        <v>5299</v>
      </c>
      <c r="K23" s="626" t="s">
        <v>5300</v>
      </c>
      <c r="L23" s="1072" t="s">
        <v>5301</v>
      </c>
      <c r="M23" s="626" t="s">
        <v>5302</v>
      </c>
      <c r="N23" s="1072" t="s">
        <v>5303</v>
      </c>
      <c r="O23" s="626" t="s">
        <v>5304</v>
      </c>
      <c r="P23" s="3240" t="s">
        <v>5305</v>
      </c>
      <c r="Q23" s="626" t="s">
        <v>5306</v>
      </c>
      <c r="R23" s="3240" t="s">
        <v>5307</v>
      </c>
      <c r="S23" s="626" t="s">
        <v>5308</v>
      </c>
      <c r="T23" s="3240" t="s">
        <v>5309</v>
      </c>
      <c r="U23" s="626" t="s">
        <v>5310</v>
      </c>
      <c r="V23" s="3240" t="s">
        <v>5311</v>
      </c>
      <c r="W23" s="626" t="s">
        <v>5312</v>
      </c>
      <c r="X23" s="3240" t="s">
        <v>5313</v>
      </c>
      <c r="Y23" s="626" t="s">
        <v>5314</v>
      </c>
      <c r="Z23" s="3240" t="s">
        <v>5315</v>
      </c>
      <c r="AA23" s="626" t="s">
        <v>5316</v>
      </c>
      <c r="AB23" s="3240" t="s">
        <v>5317</v>
      </c>
      <c r="AC23" s="626" t="s">
        <v>5318</v>
      </c>
      <c r="AD23" s="3240" t="s">
        <v>5319</v>
      </c>
      <c r="AE23" s="626" t="s">
        <v>5320</v>
      </c>
      <c r="AF23" s="3240" t="s">
        <v>5321</v>
      </c>
      <c r="AG23" s="626" t="s">
        <v>5322</v>
      </c>
      <c r="AH23" s="3240" t="s">
        <v>5323</v>
      </c>
      <c r="AI23" s="626" t="s">
        <v>5324</v>
      </c>
      <c r="AJ23" s="3240" t="s">
        <v>5325</v>
      </c>
      <c r="AK23" s="626" t="s">
        <v>5326</v>
      </c>
      <c r="AL23" s="3240" t="s">
        <v>5327</v>
      </c>
      <c r="AM23" s="626" t="s">
        <v>5328</v>
      </c>
      <c r="AN23" s="3077" t="s">
        <v>5329</v>
      </c>
      <c r="AO23" s="3145" t="s">
        <v>5330</v>
      </c>
      <c r="AP23" s="3145" t="s">
        <v>5331</v>
      </c>
      <c r="AQ23" s="4464" t="s">
        <v>5332</v>
      </c>
      <c r="AR23" t="str">
        <f>BJ23&amp;BK23&amp;BL23</f>
        <v xml:space="preserve"> * La variable Beneficiarios no puede ser mayor al Total. * La variable Atenciones por profesionales  a Honorarios no puede ser mayor al Total.</v>
      </c>
      <c r="BJ23" s="1723" t="str">
        <f t="shared" si="2"/>
        <v xml:space="preserve"> * La variable Beneficiarios no puede ser mayor al Total.</v>
      </c>
      <c r="BK23" s="1723" t="str">
        <f t="shared" si="3"/>
        <v xml:space="preserve"> * La variable Atenciones por profesionales  a Honorarios no puede ser mayor al Total.</v>
      </c>
      <c r="BL23" s="1723" t="str">
        <f t="shared" si="4"/>
        <v/>
      </c>
      <c r="BM23" s="1725"/>
      <c r="BO23" s="1725">
        <f t="shared" si="6"/>
        <v>1</v>
      </c>
      <c r="BP23" s="1725">
        <f t="shared" si="7"/>
        <v>1</v>
      </c>
      <c r="BQ23" s="1725">
        <f t="shared" si="8"/>
        <v>0</v>
      </c>
      <c r="BR23" s="1723"/>
    </row>
    <row r="24" spans="1:70" x14ac:dyDescent="0.3">
      <c r="A24" s="6259" t="s">
        <v>4813</v>
      </c>
      <c r="B24" s="207" t="s">
        <v>271</v>
      </c>
      <c r="C24" s="3217" t="s">
        <v>5292</v>
      </c>
      <c r="D24" s="208" t="s">
        <v>5293</v>
      </c>
      <c r="E24" s="5466" t="s">
        <v>5294</v>
      </c>
      <c r="F24" s="3023" t="s">
        <v>5295</v>
      </c>
      <c r="G24" s="2800" t="s">
        <v>5296</v>
      </c>
      <c r="H24" s="3023" t="s">
        <v>5297</v>
      </c>
      <c r="I24" s="2800" t="s">
        <v>5298</v>
      </c>
      <c r="J24" s="3023" t="s">
        <v>5299</v>
      </c>
      <c r="K24" s="3035" t="s">
        <v>5300</v>
      </c>
      <c r="L24" s="121" t="s">
        <v>5301</v>
      </c>
      <c r="M24" s="2800" t="s">
        <v>5302</v>
      </c>
      <c r="N24" s="3023" t="s">
        <v>5303</v>
      </c>
      <c r="O24" s="2800" t="s">
        <v>5304</v>
      </c>
      <c r="P24" s="3023" t="s">
        <v>5305</v>
      </c>
      <c r="Q24" s="2800" t="s">
        <v>5306</v>
      </c>
      <c r="R24" s="3023" t="s">
        <v>5307</v>
      </c>
      <c r="S24" s="2800" t="s">
        <v>5308</v>
      </c>
      <c r="T24" s="3023" t="s">
        <v>5309</v>
      </c>
      <c r="U24" s="2800" t="s">
        <v>5310</v>
      </c>
      <c r="V24" s="3023" t="s">
        <v>5311</v>
      </c>
      <c r="W24" s="2800" t="s">
        <v>5312</v>
      </c>
      <c r="X24" s="3023" t="s">
        <v>5313</v>
      </c>
      <c r="Y24" s="2800" t="s">
        <v>5314</v>
      </c>
      <c r="Z24" s="3023" t="s">
        <v>5315</v>
      </c>
      <c r="AA24" s="2800" t="s">
        <v>5316</v>
      </c>
      <c r="AB24" s="3023" t="s">
        <v>5317</v>
      </c>
      <c r="AC24" s="2800" t="s">
        <v>5318</v>
      </c>
      <c r="AD24" s="3023" t="s">
        <v>5319</v>
      </c>
      <c r="AE24" s="2800" t="s">
        <v>5320</v>
      </c>
      <c r="AF24" s="3023" t="s">
        <v>5321</v>
      </c>
      <c r="AG24" s="2800" t="s">
        <v>5322</v>
      </c>
      <c r="AH24" s="3023" t="s">
        <v>5323</v>
      </c>
      <c r="AI24" s="2800" t="s">
        <v>5324</v>
      </c>
      <c r="AJ24" s="3023" t="s">
        <v>5325</v>
      </c>
      <c r="AK24" s="2800" t="s">
        <v>5326</v>
      </c>
      <c r="AL24" s="3023" t="s">
        <v>5327</v>
      </c>
      <c r="AM24" s="2800" t="s">
        <v>5328</v>
      </c>
      <c r="AN24" s="2800" t="s">
        <v>5329</v>
      </c>
      <c r="AO24" s="2800" t="s">
        <v>5330</v>
      </c>
      <c r="AP24" s="2800" t="s">
        <v>5331</v>
      </c>
      <c r="AQ24" s="2800" t="s">
        <v>5332</v>
      </c>
      <c r="AR24" t="str">
        <f>BJ24&amp;BK24&amp;BL24&amp;BM24</f>
        <v xml:space="preserve"> * La variable Beneficiarios no puede ser mayor al Total. * La variable Atenciones por profesionales  a Honorarios no puede ser mayor al Total. * La variable Por Campaña de Invierno no puede ser mayor al Total.</v>
      </c>
      <c r="BJ24" s="1723" t="str">
        <f t="shared" si="2"/>
        <v xml:space="preserve"> * La variable Beneficiarios no puede ser mayor al Total.</v>
      </c>
      <c r="BK24" s="1723" t="str">
        <f t="shared" si="3"/>
        <v xml:space="preserve"> * La variable Atenciones por profesionales  a Honorarios no puede ser mayor al Total.</v>
      </c>
      <c r="BL24" s="1723" t="str">
        <f t="shared" si="4"/>
        <v/>
      </c>
      <c r="BM24" s="1723" t="str">
        <f t="shared" si="5"/>
        <v xml:space="preserve"> * La variable Por Campaña de Invierno no puede ser mayor al Total.</v>
      </c>
      <c r="BO24" s="1725">
        <f t="shared" si="6"/>
        <v>1</v>
      </c>
      <c r="BP24" s="1725">
        <f t="shared" si="7"/>
        <v>1</v>
      </c>
      <c r="BQ24" s="1725">
        <f t="shared" si="8"/>
        <v>0</v>
      </c>
      <c r="BR24" s="1725">
        <f t="shared" si="9"/>
        <v>1</v>
      </c>
    </row>
    <row r="25" spans="1:70" x14ac:dyDescent="0.3">
      <c r="A25" s="6259" t="s">
        <v>4814</v>
      </c>
      <c r="B25" s="5463" t="s">
        <v>272</v>
      </c>
      <c r="C25" s="5467" t="s">
        <v>5292</v>
      </c>
      <c r="D25" s="946" t="s">
        <v>5293</v>
      </c>
      <c r="E25" s="4524" t="s">
        <v>5294</v>
      </c>
      <c r="F25" s="586" t="s">
        <v>5295</v>
      </c>
      <c r="G25" s="4424" t="s">
        <v>5296</v>
      </c>
      <c r="H25" s="586" t="s">
        <v>5297</v>
      </c>
      <c r="I25" s="4424" t="s">
        <v>5298</v>
      </c>
      <c r="J25" s="586" t="s">
        <v>5299</v>
      </c>
      <c r="K25" s="5047" t="s">
        <v>5300</v>
      </c>
      <c r="L25" s="588" t="s">
        <v>5301</v>
      </c>
      <c r="M25" s="4424" t="s">
        <v>5302</v>
      </c>
      <c r="N25" s="586" t="s">
        <v>5303</v>
      </c>
      <c r="O25" s="4424" t="s">
        <v>5304</v>
      </c>
      <c r="P25" s="586" t="s">
        <v>5305</v>
      </c>
      <c r="Q25" s="4424" t="s">
        <v>5306</v>
      </c>
      <c r="R25" s="586" t="s">
        <v>5307</v>
      </c>
      <c r="S25" s="4424" t="s">
        <v>5308</v>
      </c>
      <c r="T25" s="586" t="s">
        <v>5309</v>
      </c>
      <c r="U25" s="4424" t="s">
        <v>5310</v>
      </c>
      <c r="V25" s="586" t="s">
        <v>5311</v>
      </c>
      <c r="W25" s="4424" t="s">
        <v>5312</v>
      </c>
      <c r="X25" s="586" t="s">
        <v>5313</v>
      </c>
      <c r="Y25" s="4424" t="s">
        <v>5314</v>
      </c>
      <c r="Z25" s="586" t="s">
        <v>5315</v>
      </c>
      <c r="AA25" s="4424" t="s">
        <v>5316</v>
      </c>
      <c r="AB25" s="586" t="s">
        <v>5317</v>
      </c>
      <c r="AC25" s="4424" t="s">
        <v>5318</v>
      </c>
      <c r="AD25" s="586" t="s">
        <v>5319</v>
      </c>
      <c r="AE25" s="4424" t="s">
        <v>5320</v>
      </c>
      <c r="AF25" s="586" t="s">
        <v>5321</v>
      </c>
      <c r="AG25" s="4424" t="s">
        <v>5322</v>
      </c>
      <c r="AH25" s="586" t="s">
        <v>5323</v>
      </c>
      <c r="AI25" s="4424" t="s">
        <v>5324</v>
      </c>
      <c r="AJ25" s="586" t="s">
        <v>5325</v>
      </c>
      <c r="AK25" s="4424" t="s">
        <v>5326</v>
      </c>
      <c r="AL25" s="586" t="s">
        <v>5327</v>
      </c>
      <c r="AM25" s="4424" t="s">
        <v>5328</v>
      </c>
      <c r="AN25" s="4424" t="s">
        <v>5329</v>
      </c>
      <c r="AO25" s="4424" t="s">
        <v>5330</v>
      </c>
      <c r="AP25" s="5464" t="s">
        <v>5331</v>
      </c>
      <c r="AQ25" s="5465" t="s">
        <v>5332</v>
      </c>
      <c r="AR25" t="str">
        <f>BJ25&amp;BK25</f>
        <v xml:space="preserve"> * La variable Beneficiarios no puede ser mayor al Total. * La variable Atenciones por profesionales  a Honorarios no puede ser mayor al Total.</v>
      </c>
      <c r="BJ25" s="1723" t="str">
        <f t="shared" si="2"/>
        <v xml:space="preserve"> * La variable Beneficiarios no puede ser mayor al Total.</v>
      </c>
      <c r="BK25" s="1723" t="str">
        <f t="shared" si="3"/>
        <v xml:space="preserve"> * La variable Atenciones por profesionales  a Honorarios no puede ser mayor al Total.</v>
      </c>
      <c r="BL25" s="6089"/>
      <c r="BM25" s="1725"/>
      <c r="BO25" s="1725">
        <f t="shared" si="6"/>
        <v>1</v>
      </c>
      <c r="BP25" s="1725">
        <f t="shared" si="7"/>
        <v>1</v>
      </c>
      <c r="BQ25" s="1723"/>
      <c r="BR25" s="1723"/>
    </row>
    <row r="26" spans="1:70" x14ac:dyDescent="0.3">
      <c r="A26" s="6259" t="s">
        <v>4815</v>
      </c>
      <c r="B26" s="207" t="s">
        <v>273</v>
      </c>
      <c r="C26" s="3217" t="s">
        <v>5292</v>
      </c>
      <c r="D26" s="208" t="s">
        <v>5293</v>
      </c>
      <c r="E26" s="98" t="s">
        <v>5294</v>
      </c>
      <c r="F26" s="144" t="s">
        <v>5295</v>
      </c>
      <c r="G26" s="99" t="s">
        <v>5296</v>
      </c>
      <c r="H26" s="144" t="s">
        <v>5297</v>
      </c>
      <c r="I26" s="99" t="s">
        <v>5298</v>
      </c>
      <c r="J26" s="144" t="s">
        <v>5299</v>
      </c>
      <c r="K26" s="100" t="s">
        <v>5300</v>
      </c>
      <c r="L26" s="209" t="s">
        <v>5301</v>
      </c>
      <c r="M26" s="99" t="s">
        <v>5302</v>
      </c>
      <c r="N26" s="144" t="s">
        <v>5303</v>
      </c>
      <c r="O26" s="99" t="s">
        <v>5304</v>
      </c>
      <c r="P26" s="144" t="s">
        <v>5305</v>
      </c>
      <c r="Q26" s="99" t="s">
        <v>5306</v>
      </c>
      <c r="R26" s="144" t="s">
        <v>5307</v>
      </c>
      <c r="S26" s="99" t="s">
        <v>5308</v>
      </c>
      <c r="T26" s="144" t="s">
        <v>5309</v>
      </c>
      <c r="U26" s="99" t="s">
        <v>5310</v>
      </c>
      <c r="V26" s="144" t="s">
        <v>5311</v>
      </c>
      <c r="W26" s="99" t="s">
        <v>5312</v>
      </c>
      <c r="X26" s="144" t="s">
        <v>5313</v>
      </c>
      <c r="Y26" s="99" t="s">
        <v>5314</v>
      </c>
      <c r="Z26" s="144" t="s">
        <v>5315</v>
      </c>
      <c r="AA26" s="99" t="s">
        <v>5316</v>
      </c>
      <c r="AB26" s="144" t="s">
        <v>5317</v>
      </c>
      <c r="AC26" s="99" t="s">
        <v>5318</v>
      </c>
      <c r="AD26" s="144" t="s">
        <v>5319</v>
      </c>
      <c r="AE26" s="99" t="s">
        <v>5320</v>
      </c>
      <c r="AF26" s="144" t="s">
        <v>5321</v>
      </c>
      <c r="AG26" s="99" t="s">
        <v>5322</v>
      </c>
      <c r="AH26" s="144" t="s">
        <v>5323</v>
      </c>
      <c r="AI26" s="99" t="s">
        <v>5324</v>
      </c>
      <c r="AJ26" s="144" t="s">
        <v>5325</v>
      </c>
      <c r="AK26" s="99" t="s">
        <v>5326</v>
      </c>
      <c r="AL26" s="144" t="s">
        <v>5327</v>
      </c>
      <c r="AM26" s="99" t="s">
        <v>5328</v>
      </c>
      <c r="AN26" s="153" t="s">
        <v>5329</v>
      </c>
      <c r="AO26" s="117" t="s">
        <v>5330</v>
      </c>
      <c r="AP26" s="211" t="s">
        <v>5331</v>
      </c>
      <c r="AQ26" s="211" t="s">
        <v>5332</v>
      </c>
      <c r="AR26" t="str">
        <f>BJ26&amp;BK26</f>
        <v xml:space="preserve"> * La variable Beneficiarios no puede ser mayor al Total. * La variable Atenciones por profesionales  a Honorarios no puede ser mayor al Total.</v>
      </c>
      <c r="BJ26" s="1723" t="str">
        <f t="shared" si="2"/>
        <v xml:space="preserve"> * La variable Beneficiarios no puede ser mayor al Total.</v>
      </c>
      <c r="BK26" s="1723" t="str">
        <f t="shared" si="3"/>
        <v xml:space="preserve"> * La variable Atenciones por profesionales  a Honorarios no puede ser mayor al Total.</v>
      </c>
      <c r="BL26" s="6089"/>
      <c r="BM26" s="1725"/>
      <c r="BO26" s="1725">
        <f t="shared" si="6"/>
        <v>1</v>
      </c>
      <c r="BP26" s="1725">
        <f t="shared" si="7"/>
        <v>1</v>
      </c>
      <c r="BQ26" s="1723"/>
      <c r="BR26" s="1723"/>
    </row>
    <row r="27" spans="1:70" s="17" customFormat="1" ht="18" customHeight="1" x14ac:dyDescent="0.25">
      <c r="B27" s="7222" t="s">
        <v>274</v>
      </c>
      <c r="C27" s="7222"/>
      <c r="D27" s="7222"/>
      <c r="E27" s="7222"/>
      <c r="F27" s="7222"/>
      <c r="G27" s="7222"/>
      <c r="H27" s="7222"/>
      <c r="I27" s="7222"/>
      <c r="J27" s="122"/>
      <c r="K27" s="122"/>
      <c r="L27" s="122"/>
      <c r="M27" s="122"/>
      <c r="N27" s="122"/>
      <c r="O27" s="122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734"/>
      <c r="AO27" s="163"/>
    </row>
    <row r="28" spans="1:70" x14ac:dyDescent="0.3">
      <c r="B28" s="7223" t="s">
        <v>61</v>
      </c>
      <c r="C28" s="7201" t="s">
        <v>63</v>
      </c>
      <c r="D28" s="6341"/>
      <c r="E28" s="7202"/>
      <c r="F28" s="7206" t="s">
        <v>30</v>
      </c>
      <c r="G28" s="7207"/>
      <c r="H28" s="7207"/>
      <c r="I28" s="7207"/>
      <c r="J28" s="7207"/>
      <c r="K28" s="7207"/>
      <c r="L28" s="7207"/>
      <c r="M28" s="7207"/>
      <c r="N28" s="7207"/>
      <c r="O28" s="7207"/>
      <c r="P28" s="7207"/>
      <c r="Q28" s="7207"/>
      <c r="R28" s="7207"/>
      <c r="S28" s="7207"/>
      <c r="T28" s="7207"/>
      <c r="U28" s="7207"/>
      <c r="V28" s="7207"/>
      <c r="W28" s="7207"/>
      <c r="X28" s="7207"/>
      <c r="Y28" s="7207"/>
      <c r="Z28" s="7207"/>
      <c r="AA28" s="7207"/>
      <c r="AB28" s="7207"/>
      <c r="AC28" s="7207"/>
      <c r="AD28" s="7207"/>
      <c r="AE28" s="7207"/>
      <c r="AF28" s="7207"/>
      <c r="AG28" s="7207"/>
      <c r="AH28" s="7207"/>
      <c r="AI28" s="7207"/>
      <c r="AJ28" s="7207"/>
      <c r="AK28" s="7207"/>
      <c r="AL28" s="7207"/>
      <c r="AM28" s="7208"/>
      <c r="AN28" s="7219" t="s">
        <v>67</v>
      </c>
      <c r="AO28" s="7219" t="s">
        <v>256</v>
      </c>
    </row>
    <row r="29" spans="1:70" x14ac:dyDescent="0.3">
      <c r="B29" s="7224"/>
      <c r="C29" s="7203"/>
      <c r="D29" s="7204"/>
      <c r="E29" s="7205"/>
      <c r="F29" s="7206" t="s">
        <v>36</v>
      </c>
      <c r="G29" s="7208"/>
      <c r="H29" s="7206" t="s">
        <v>37</v>
      </c>
      <c r="I29" s="7208"/>
      <c r="J29" s="7206" t="s">
        <v>38</v>
      </c>
      <c r="K29" s="7208"/>
      <c r="L29" s="7206" t="s">
        <v>4</v>
      </c>
      <c r="M29" s="7208"/>
      <c r="N29" s="7206" t="s">
        <v>5</v>
      </c>
      <c r="O29" s="7208"/>
      <c r="P29" s="7211" t="s">
        <v>6</v>
      </c>
      <c r="Q29" s="7212"/>
      <c r="R29" s="7211" t="s">
        <v>7</v>
      </c>
      <c r="S29" s="7212"/>
      <c r="T29" s="7211" t="s">
        <v>8</v>
      </c>
      <c r="U29" s="7212"/>
      <c r="V29" s="7211" t="s">
        <v>9</v>
      </c>
      <c r="W29" s="7212"/>
      <c r="X29" s="7211" t="s">
        <v>10</v>
      </c>
      <c r="Y29" s="7212"/>
      <c r="Z29" s="7211" t="s">
        <v>11</v>
      </c>
      <c r="AA29" s="7212"/>
      <c r="AB29" s="7211" t="s">
        <v>18</v>
      </c>
      <c r="AC29" s="7212"/>
      <c r="AD29" s="7211" t="s">
        <v>19</v>
      </c>
      <c r="AE29" s="7212"/>
      <c r="AF29" s="7211" t="s">
        <v>20</v>
      </c>
      <c r="AG29" s="7212"/>
      <c r="AH29" s="7211" t="s">
        <v>70</v>
      </c>
      <c r="AI29" s="7212"/>
      <c r="AJ29" s="7211" t="s">
        <v>71</v>
      </c>
      <c r="AK29" s="7212"/>
      <c r="AL29" s="7211" t="s">
        <v>32</v>
      </c>
      <c r="AM29" s="7212"/>
      <c r="AN29" s="7213"/>
      <c r="AO29" s="7213"/>
    </row>
    <row r="30" spans="1:70" x14ac:dyDescent="0.3">
      <c r="B30" s="7225"/>
      <c r="C30" s="199" t="s">
        <v>26</v>
      </c>
      <c r="D30" s="1732" t="s">
        <v>51</v>
      </c>
      <c r="E30" s="76" t="s">
        <v>27</v>
      </c>
      <c r="F30" s="1707" t="s">
        <v>51</v>
      </c>
      <c r="G30" s="172" t="s">
        <v>27</v>
      </c>
      <c r="H30" s="1707" t="s">
        <v>51</v>
      </c>
      <c r="I30" s="172" t="s">
        <v>27</v>
      </c>
      <c r="J30" s="1707" t="s">
        <v>51</v>
      </c>
      <c r="K30" s="172" t="s">
        <v>27</v>
      </c>
      <c r="L30" s="1707" t="s">
        <v>51</v>
      </c>
      <c r="M30" s="172" t="s">
        <v>27</v>
      </c>
      <c r="N30" s="1707" t="s">
        <v>51</v>
      </c>
      <c r="O30" s="172" t="s">
        <v>27</v>
      </c>
      <c r="P30" s="1707" t="s">
        <v>51</v>
      </c>
      <c r="Q30" s="172" t="s">
        <v>27</v>
      </c>
      <c r="R30" s="1707" t="s">
        <v>51</v>
      </c>
      <c r="S30" s="172" t="s">
        <v>27</v>
      </c>
      <c r="T30" s="1707" t="s">
        <v>51</v>
      </c>
      <c r="U30" s="172" t="s">
        <v>27</v>
      </c>
      <c r="V30" s="1707" t="s">
        <v>51</v>
      </c>
      <c r="W30" s="172" t="s">
        <v>27</v>
      </c>
      <c r="X30" s="1707" t="s">
        <v>51</v>
      </c>
      <c r="Y30" s="172" t="s">
        <v>27</v>
      </c>
      <c r="Z30" s="1707" t="s">
        <v>51</v>
      </c>
      <c r="AA30" s="172" t="s">
        <v>27</v>
      </c>
      <c r="AB30" s="1707" t="s">
        <v>51</v>
      </c>
      <c r="AC30" s="172" t="s">
        <v>27</v>
      </c>
      <c r="AD30" s="1707" t="s">
        <v>51</v>
      </c>
      <c r="AE30" s="172" t="s">
        <v>27</v>
      </c>
      <c r="AF30" s="1707" t="s">
        <v>51</v>
      </c>
      <c r="AG30" s="172" t="s">
        <v>27</v>
      </c>
      <c r="AH30" s="1707" t="s">
        <v>51</v>
      </c>
      <c r="AI30" s="172" t="s">
        <v>27</v>
      </c>
      <c r="AJ30" s="1707" t="s">
        <v>51</v>
      </c>
      <c r="AK30" s="172" t="s">
        <v>27</v>
      </c>
      <c r="AL30" s="1707" t="s">
        <v>51</v>
      </c>
      <c r="AM30" s="172" t="s">
        <v>27</v>
      </c>
      <c r="AN30" s="7210"/>
      <c r="AO30" s="7210"/>
    </row>
    <row r="31" spans="1:70" x14ac:dyDescent="0.3">
      <c r="A31" s="6259" t="s">
        <v>4816</v>
      </c>
      <c r="B31" s="202" t="s">
        <v>60</v>
      </c>
      <c r="C31" s="212" t="s">
        <v>5292</v>
      </c>
      <c r="D31" s="213" t="s">
        <v>5293</v>
      </c>
      <c r="E31" s="214" t="s">
        <v>5294</v>
      </c>
      <c r="F31" s="186" t="s">
        <v>5295</v>
      </c>
      <c r="G31" s="187" t="s">
        <v>5296</v>
      </c>
      <c r="H31" s="186" t="s">
        <v>5297</v>
      </c>
      <c r="I31" s="187" t="s">
        <v>5298</v>
      </c>
      <c r="J31" s="186" t="s">
        <v>5299</v>
      </c>
      <c r="K31" s="185" t="s">
        <v>5300</v>
      </c>
      <c r="L31" s="186" t="s">
        <v>5301</v>
      </c>
      <c r="M31" s="185" t="s">
        <v>5302</v>
      </c>
      <c r="N31" s="186" t="s">
        <v>5303</v>
      </c>
      <c r="O31" s="185" t="s">
        <v>5304</v>
      </c>
      <c r="P31" s="215" t="s">
        <v>5305</v>
      </c>
      <c r="Q31" s="185" t="s">
        <v>5306</v>
      </c>
      <c r="R31" s="215" t="s">
        <v>5307</v>
      </c>
      <c r="S31" s="185" t="s">
        <v>5308</v>
      </c>
      <c r="T31" s="215" t="s">
        <v>5309</v>
      </c>
      <c r="U31" s="185" t="s">
        <v>5310</v>
      </c>
      <c r="V31" s="215" t="s">
        <v>5311</v>
      </c>
      <c r="W31" s="185" t="s">
        <v>5312</v>
      </c>
      <c r="X31" s="215" t="s">
        <v>5313</v>
      </c>
      <c r="Y31" s="185" t="s">
        <v>5314</v>
      </c>
      <c r="Z31" s="215" t="s">
        <v>5315</v>
      </c>
      <c r="AA31" s="185" t="s">
        <v>5316</v>
      </c>
      <c r="AB31" s="215" t="s">
        <v>5317</v>
      </c>
      <c r="AC31" s="185" t="s">
        <v>5318</v>
      </c>
      <c r="AD31" s="215" t="s">
        <v>5319</v>
      </c>
      <c r="AE31" s="185" t="s">
        <v>5320</v>
      </c>
      <c r="AF31" s="215" t="s">
        <v>5321</v>
      </c>
      <c r="AG31" s="185" t="s">
        <v>5322</v>
      </c>
      <c r="AH31" s="215" t="s">
        <v>5323</v>
      </c>
      <c r="AI31" s="185" t="s">
        <v>5324</v>
      </c>
      <c r="AJ31" s="215" t="s">
        <v>5325</v>
      </c>
      <c r="AK31" s="185" t="s">
        <v>5326</v>
      </c>
      <c r="AL31" s="215" t="s">
        <v>5327</v>
      </c>
      <c r="AM31" s="185" t="s">
        <v>5328</v>
      </c>
      <c r="AN31" s="188" t="s">
        <v>5329</v>
      </c>
      <c r="AO31" s="188" t="s">
        <v>5330</v>
      </c>
      <c r="AP31" t="str">
        <f>BJ31&amp;BK31</f>
        <v xml:space="preserve"> * La variable Beneficiarios no puede ser mayor al Total.</v>
      </c>
      <c r="BJ31" s="1723" t="str">
        <f>IF(AND(C31&gt;0,AN31="")," * No olvide digitar la columna Beneficiarios (Digite Cero si no tiene)",IF(AN31&gt;C31," * La variable Beneficiarios no puede ser mayor al Total.",""))</f>
        <v xml:space="preserve"> * La variable Beneficiarios no puede ser mayor al Total.</v>
      </c>
      <c r="BK31" s="1723" t="str">
        <f>IF(AND(C31&gt;0,AO31="")," * No olvide digitar la columna Demanda de Urgencia. ",IF(AO31&lt;C31," *  La variable Demanda de Urgencia debe ser mayor o igual al Total Ambos Sexos.",""))</f>
        <v/>
      </c>
      <c r="BO31" s="1725">
        <f>IF(AND(C31&gt;0,AN31=""),1,IF(AN31&gt;C31,1,0))</f>
        <v>1</v>
      </c>
      <c r="BP31" s="1725">
        <f>IF(AND(C31&gt;0,AO31=""),1,IF(AO31&lt;C31,1,0))</f>
        <v>0</v>
      </c>
    </row>
    <row r="32" spans="1:70" x14ac:dyDescent="0.3">
      <c r="A32" s="6259" t="s">
        <v>4817</v>
      </c>
      <c r="B32" s="204" t="s">
        <v>275</v>
      </c>
      <c r="C32" s="79" t="s">
        <v>5292</v>
      </c>
      <c r="D32" s="80" t="s">
        <v>5293</v>
      </c>
      <c r="E32" s="81" t="s">
        <v>5294</v>
      </c>
      <c r="F32" s="82" t="s">
        <v>5295</v>
      </c>
      <c r="G32" s="83" t="s">
        <v>5296</v>
      </c>
      <c r="H32" s="82" t="s">
        <v>5297</v>
      </c>
      <c r="I32" s="83" t="s">
        <v>5298</v>
      </c>
      <c r="J32" s="82" t="s">
        <v>5299</v>
      </c>
      <c r="K32" s="84" t="s">
        <v>5300</v>
      </c>
      <c r="L32" s="82" t="s">
        <v>5301</v>
      </c>
      <c r="M32" s="84" t="s">
        <v>5302</v>
      </c>
      <c r="N32" s="82" t="s">
        <v>5303</v>
      </c>
      <c r="O32" s="84" t="s">
        <v>5304</v>
      </c>
      <c r="P32" s="85" t="s">
        <v>5305</v>
      </c>
      <c r="Q32" s="84" t="s">
        <v>5306</v>
      </c>
      <c r="R32" s="85" t="s">
        <v>5307</v>
      </c>
      <c r="S32" s="84" t="s">
        <v>5308</v>
      </c>
      <c r="T32" s="85" t="s">
        <v>5309</v>
      </c>
      <c r="U32" s="84" t="s">
        <v>5310</v>
      </c>
      <c r="V32" s="85" t="s">
        <v>5311</v>
      </c>
      <c r="W32" s="84" t="s">
        <v>5312</v>
      </c>
      <c r="X32" s="85" t="s">
        <v>5313</v>
      </c>
      <c r="Y32" s="84" t="s">
        <v>5314</v>
      </c>
      <c r="Z32" s="85" t="s">
        <v>5315</v>
      </c>
      <c r="AA32" s="84" t="s">
        <v>5316</v>
      </c>
      <c r="AB32" s="85" t="s">
        <v>5317</v>
      </c>
      <c r="AC32" s="84" t="s">
        <v>5318</v>
      </c>
      <c r="AD32" s="85" t="s">
        <v>5319</v>
      </c>
      <c r="AE32" s="84" t="s">
        <v>5320</v>
      </c>
      <c r="AF32" s="85" t="s">
        <v>5321</v>
      </c>
      <c r="AG32" s="84" t="s">
        <v>5322</v>
      </c>
      <c r="AH32" s="85" t="s">
        <v>5323</v>
      </c>
      <c r="AI32" s="84" t="s">
        <v>5324</v>
      </c>
      <c r="AJ32" s="85" t="s">
        <v>5325</v>
      </c>
      <c r="AK32" s="84" t="s">
        <v>5326</v>
      </c>
      <c r="AL32" s="85" t="s">
        <v>5327</v>
      </c>
      <c r="AM32" s="84" t="s">
        <v>5328</v>
      </c>
      <c r="AN32" s="136" t="s">
        <v>5329</v>
      </c>
      <c r="AO32" s="216" t="s">
        <v>5330</v>
      </c>
      <c r="AP32" t="str">
        <f t="shared" ref="AP32:AP36" si="10">BJ32</f>
        <v xml:space="preserve"> * La variable Beneficiarios no puede ser mayor al Total.</v>
      </c>
      <c r="BJ32" s="1723" t="str">
        <f t="shared" ref="BJ32:BJ36" si="11">IF(AND(C32&gt;0,AN32="")," * No olvide digitar la columna Beneficiarios (Digite Cero si no tiene)",IF(AN32&gt;C32," * La variable Beneficiarios no puede ser mayor al Total.",""))</f>
        <v xml:space="preserve"> * La variable Beneficiarios no puede ser mayor al Total.</v>
      </c>
      <c r="BK32" s="1725"/>
      <c r="BO32" s="1725">
        <f t="shared" ref="BO32:BO36" si="12">IF(AND(C32&gt;0,AN32=""),1,IF(AN32&gt;C32,1,0))</f>
        <v>1</v>
      </c>
      <c r="BP32" s="1723"/>
    </row>
    <row r="33" spans="1:69" x14ac:dyDescent="0.3">
      <c r="A33" s="6259" t="s">
        <v>4818</v>
      </c>
      <c r="B33" s="204" t="s">
        <v>276</v>
      </c>
      <c r="C33" s="79" t="s">
        <v>5292</v>
      </c>
      <c r="D33" s="80" t="s">
        <v>5293</v>
      </c>
      <c r="E33" s="81" t="s">
        <v>5294</v>
      </c>
      <c r="F33" s="82" t="s">
        <v>5295</v>
      </c>
      <c r="G33" s="83" t="s">
        <v>5296</v>
      </c>
      <c r="H33" s="82" t="s">
        <v>5297</v>
      </c>
      <c r="I33" s="83" t="s">
        <v>5298</v>
      </c>
      <c r="J33" s="82" t="s">
        <v>5299</v>
      </c>
      <c r="K33" s="84" t="s">
        <v>5300</v>
      </c>
      <c r="L33" s="82" t="s">
        <v>5301</v>
      </c>
      <c r="M33" s="84" t="s">
        <v>5302</v>
      </c>
      <c r="N33" s="82" t="s">
        <v>5303</v>
      </c>
      <c r="O33" s="84" t="s">
        <v>5304</v>
      </c>
      <c r="P33" s="85" t="s">
        <v>5305</v>
      </c>
      <c r="Q33" s="84" t="s">
        <v>5306</v>
      </c>
      <c r="R33" s="85" t="s">
        <v>5307</v>
      </c>
      <c r="S33" s="84" t="s">
        <v>5308</v>
      </c>
      <c r="T33" s="85" t="s">
        <v>5309</v>
      </c>
      <c r="U33" s="84" t="s">
        <v>5310</v>
      </c>
      <c r="V33" s="85" t="s">
        <v>5311</v>
      </c>
      <c r="W33" s="84" t="s">
        <v>5312</v>
      </c>
      <c r="X33" s="85" t="s">
        <v>5313</v>
      </c>
      <c r="Y33" s="84" t="s">
        <v>5314</v>
      </c>
      <c r="Z33" s="85" t="s">
        <v>5315</v>
      </c>
      <c r="AA33" s="84" t="s">
        <v>5316</v>
      </c>
      <c r="AB33" s="85" t="s">
        <v>5317</v>
      </c>
      <c r="AC33" s="84" t="s">
        <v>5318</v>
      </c>
      <c r="AD33" s="85" t="s">
        <v>5319</v>
      </c>
      <c r="AE33" s="84" t="s">
        <v>5320</v>
      </c>
      <c r="AF33" s="85" t="s">
        <v>5321</v>
      </c>
      <c r="AG33" s="84" t="s">
        <v>5322</v>
      </c>
      <c r="AH33" s="85" t="s">
        <v>5323</v>
      </c>
      <c r="AI33" s="84" t="s">
        <v>5324</v>
      </c>
      <c r="AJ33" s="85" t="s">
        <v>5325</v>
      </c>
      <c r="AK33" s="84" t="s">
        <v>5326</v>
      </c>
      <c r="AL33" s="85" t="s">
        <v>5327</v>
      </c>
      <c r="AM33" s="84" t="s">
        <v>5328</v>
      </c>
      <c r="AN33" s="136" t="s">
        <v>5329</v>
      </c>
      <c r="AO33" s="216" t="s">
        <v>5330</v>
      </c>
      <c r="AP33" t="str">
        <f t="shared" si="10"/>
        <v xml:space="preserve"> * La variable Beneficiarios no puede ser mayor al Total.</v>
      </c>
      <c r="BJ33" s="1723" t="str">
        <f t="shared" si="11"/>
        <v xml:space="preserve"> * La variable Beneficiarios no puede ser mayor al Total.</v>
      </c>
      <c r="BK33" s="1725"/>
      <c r="BO33" s="1725">
        <f t="shared" si="12"/>
        <v>1</v>
      </c>
      <c r="BP33" s="1723"/>
    </row>
    <row r="34" spans="1:69" x14ac:dyDescent="0.3">
      <c r="A34" s="6259" t="s">
        <v>4819</v>
      </c>
      <c r="B34" s="204" t="s">
        <v>277</v>
      </c>
      <c r="C34" s="79" t="s">
        <v>5292</v>
      </c>
      <c r="D34" s="80" t="s">
        <v>5293</v>
      </c>
      <c r="E34" s="81" t="s">
        <v>5294</v>
      </c>
      <c r="F34" s="82" t="s">
        <v>5295</v>
      </c>
      <c r="G34" s="83" t="s">
        <v>5296</v>
      </c>
      <c r="H34" s="82" t="s">
        <v>5297</v>
      </c>
      <c r="I34" s="83" t="s">
        <v>5298</v>
      </c>
      <c r="J34" s="82" t="s">
        <v>5299</v>
      </c>
      <c r="K34" s="84" t="s">
        <v>5300</v>
      </c>
      <c r="L34" s="82" t="s">
        <v>5301</v>
      </c>
      <c r="M34" s="84" t="s">
        <v>5302</v>
      </c>
      <c r="N34" s="82" t="s">
        <v>5303</v>
      </c>
      <c r="O34" s="84" t="s">
        <v>5304</v>
      </c>
      <c r="P34" s="85" t="s">
        <v>5305</v>
      </c>
      <c r="Q34" s="84" t="s">
        <v>5306</v>
      </c>
      <c r="R34" s="85" t="s">
        <v>5307</v>
      </c>
      <c r="S34" s="84" t="s">
        <v>5308</v>
      </c>
      <c r="T34" s="85" t="s">
        <v>5309</v>
      </c>
      <c r="U34" s="84" t="s">
        <v>5310</v>
      </c>
      <c r="V34" s="85" t="s">
        <v>5311</v>
      </c>
      <c r="W34" s="84" t="s">
        <v>5312</v>
      </c>
      <c r="X34" s="85" t="s">
        <v>5313</v>
      </c>
      <c r="Y34" s="84" t="s">
        <v>5314</v>
      </c>
      <c r="Z34" s="85" t="s">
        <v>5315</v>
      </c>
      <c r="AA34" s="84" t="s">
        <v>5316</v>
      </c>
      <c r="AB34" s="85" t="s">
        <v>5317</v>
      </c>
      <c r="AC34" s="84" t="s">
        <v>5318</v>
      </c>
      <c r="AD34" s="85" t="s">
        <v>5319</v>
      </c>
      <c r="AE34" s="84" t="s">
        <v>5320</v>
      </c>
      <c r="AF34" s="85" t="s">
        <v>5321</v>
      </c>
      <c r="AG34" s="84" t="s">
        <v>5322</v>
      </c>
      <c r="AH34" s="85" t="s">
        <v>5323</v>
      </c>
      <c r="AI34" s="84" t="s">
        <v>5324</v>
      </c>
      <c r="AJ34" s="85" t="s">
        <v>5325</v>
      </c>
      <c r="AK34" s="84" t="s">
        <v>5326</v>
      </c>
      <c r="AL34" s="85" t="s">
        <v>5327</v>
      </c>
      <c r="AM34" s="84" t="s">
        <v>5328</v>
      </c>
      <c r="AN34" s="136" t="s">
        <v>5329</v>
      </c>
      <c r="AO34" s="216" t="s">
        <v>5330</v>
      </c>
      <c r="AP34" t="str">
        <f t="shared" si="10"/>
        <v xml:space="preserve"> * La variable Beneficiarios no puede ser mayor al Total.</v>
      </c>
      <c r="BJ34" s="1723" t="str">
        <f t="shared" si="11"/>
        <v xml:space="preserve"> * La variable Beneficiarios no puede ser mayor al Total.</v>
      </c>
      <c r="BK34" s="1725"/>
      <c r="BO34" s="1725">
        <f t="shared" si="12"/>
        <v>1</v>
      </c>
      <c r="BP34" s="1723"/>
    </row>
    <row r="35" spans="1:69" x14ac:dyDescent="0.3">
      <c r="A35" s="6259" t="s">
        <v>4820</v>
      </c>
      <c r="B35" s="204" t="s">
        <v>192</v>
      </c>
      <c r="C35" s="79" t="s">
        <v>5292</v>
      </c>
      <c r="D35" s="80" t="s">
        <v>5293</v>
      </c>
      <c r="E35" s="81" t="s">
        <v>5294</v>
      </c>
      <c r="F35" s="82" t="s">
        <v>5295</v>
      </c>
      <c r="G35" s="83" t="s">
        <v>5296</v>
      </c>
      <c r="H35" s="82" t="s">
        <v>5297</v>
      </c>
      <c r="I35" s="83" t="s">
        <v>5298</v>
      </c>
      <c r="J35" s="82" t="s">
        <v>5299</v>
      </c>
      <c r="K35" s="84" t="s">
        <v>5300</v>
      </c>
      <c r="L35" s="82" t="s">
        <v>5301</v>
      </c>
      <c r="M35" s="84" t="s">
        <v>5302</v>
      </c>
      <c r="N35" s="82" t="s">
        <v>5303</v>
      </c>
      <c r="O35" s="84" t="s">
        <v>5304</v>
      </c>
      <c r="P35" s="85" t="s">
        <v>5305</v>
      </c>
      <c r="Q35" s="84" t="s">
        <v>5306</v>
      </c>
      <c r="R35" s="85" t="s">
        <v>5307</v>
      </c>
      <c r="S35" s="84" t="s">
        <v>5308</v>
      </c>
      <c r="T35" s="85" t="s">
        <v>5309</v>
      </c>
      <c r="U35" s="84" t="s">
        <v>5310</v>
      </c>
      <c r="V35" s="85" t="s">
        <v>5311</v>
      </c>
      <c r="W35" s="84" t="s">
        <v>5312</v>
      </c>
      <c r="X35" s="85" t="s">
        <v>5313</v>
      </c>
      <c r="Y35" s="84" t="s">
        <v>5314</v>
      </c>
      <c r="Z35" s="85" t="s">
        <v>5315</v>
      </c>
      <c r="AA35" s="84" t="s">
        <v>5316</v>
      </c>
      <c r="AB35" s="85" t="s">
        <v>5317</v>
      </c>
      <c r="AC35" s="84" t="s">
        <v>5318</v>
      </c>
      <c r="AD35" s="85" t="s">
        <v>5319</v>
      </c>
      <c r="AE35" s="84" t="s">
        <v>5320</v>
      </c>
      <c r="AF35" s="85" t="s">
        <v>5321</v>
      </c>
      <c r="AG35" s="84" t="s">
        <v>5322</v>
      </c>
      <c r="AH35" s="85" t="s">
        <v>5323</v>
      </c>
      <c r="AI35" s="84" t="s">
        <v>5324</v>
      </c>
      <c r="AJ35" s="85" t="s">
        <v>5325</v>
      </c>
      <c r="AK35" s="84" t="s">
        <v>5326</v>
      </c>
      <c r="AL35" s="85" t="s">
        <v>5327</v>
      </c>
      <c r="AM35" s="84" t="s">
        <v>5328</v>
      </c>
      <c r="AN35" s="136" t="s">
        <v>5329</v>
      </c>
      <c r="AO35" s="216" t="s">
        <v>5330</v>
      </c>
      <c r="AP35" t="str">
        <f t="shared" si="10"/>
        <v xml:space="preserve"> * La variable Beneficiarios no puede ser mayor al Total.</v>
      </c>
      <c r="BJ35" s="1723" t="str">
        <f t="shared" si="11"/>
        <v xml:space="preserve"> * La variable Beneficiarios no puede ser mayor al Total.</v>
      </c>
      <c r="BK35" s="1725"/>
      <c r="BO35" s="1725">
        <f t="shared" si="12"/>
        <v>1</v>
      </c>
      <c r="BP35" s="1723"/>
    </row>
    <row r="36" spans="1:69" x14ac:dyDescent="0.3">
      <c r="A36" s="6259" t="s">
        <v>4821</v>
      </c>
      <c r="B36" s="207" t="s">
        <v>123</v>
      </c>
      <c r="C36" s="217" t="s">
        <v>5292</v>
      </c>
      <c r="D36" s="95" t="s">
        <v>5293</v>
      </c>
      <c r="E36" s="161" t="s">
        <v>5294</v>
      </c>
      <c r="F36" s="114" t="s">
        <v>5295</v>
      </c>
      <c r="G36" s="117" t="s">
        <v>5296</v>
      </c>
      <c r="H36" s="114" t="s">
        <v>5297</v>
      </c>
      <c r="I36" s="117" t="s">
        <v>5298</v>
      </c>
      <c r="J36" s="114" t="s">
        <v>5299</v>
      </c>
      <c r="K36" s="116" t="s">
        <v>5300</v>
      </c>
      <c r="L36" s="114" t="s">
        <v>5301</v>
      </c>
      <c r="M36" s="116" t="s">
        <v>5302</v>
      </c>
      <c r="N36" s="114" t="s">
        <v>5303</v>
      </c>
      <c r="O36" s="116" t="s">
        <v>5304</v>
      </c>
      <c r="P36" s="118" t="s">
        <v>5305</v>
      </c>
      <c r="Q36" s="116" t="s">
        <v>5306</v>
      </c>
      <c r="R36" s="118" t="s">
        <v>5307</v>
      </c>
      <c r="S36" s="116" t="s">
        <v>5308</v>
      </c>
      <c r="T36" s="118" t="s">
        <v>5309</v>
      </c>
      <c r="U36" s="116" t="s">
        <v>5310</v>
      </c>
      <c r="V36" s="118" t="s">
        <v>5311</v>
      </c>
      <c r="W36" s="116" t="s">
        <v>5312</v>
      </c>
      <c r="X36" s="118" t="s">
        <v>5313</v>
      </c>
      <c r="Y36" s="116" t="s">
        <v>5314</v>
      </c>
      <c r="Z36" s="118" t="s">
        <v>5315</v>
      </c>
      <c r="AA36" s="116" t="s">
        <v>5316</v>
      </c>
      <c r="AB36" s="118" t="s">
        <v>5317</v>
      </c>
      <c r="AC36" s="116" t="s">
        <v>5318</v>
      </c>
      <c r="AD36" s="118" t="s">
        <v>5319</v>
      </c>
      <c r="AE36" s="116" t="s">
        <v>5320</v>
      </c>
      <c r="AF36" s="118" t="s">
        <v>5321</v>
      </c>
      <c r="AG36" s="116" t="s">
        <v>5322</v>
      </c>
      <c r="AH36" s="118" t="s">
        <v>5323</v>
      </c>
      <c r="AI36" s="116" t="s">
        <v>5324</v>
      </c>
      <c r="AJ36" s="118" t="s">
        <v>5325</v>
      </c>
      <c r="AK36" s="116" t="s">
        <v>5326</v>
      </c>
      <c r="AL36" s="118" t="s">
        <v>5327</v>
      </c>
      <c r="AM36" s="116" t="s">
        <v>5328</v>
      </c>
      <c r="AN36" s="153" t="s">
        <v>5329</v>
      </c>
      <c r="AO36" s="218" t="s">
        <v>5330</v>
      </c>
      <c r="AP36" t="str">
        <f t="shared" si="10"/>
        <v xml:space="preserve"> * La variable Beneficiarios no puede ser mayor al Total.</v>
      </c>
      <c r="BJ36" s="1723" t="str">
        <f t="shared" si="11"/>
        <v xml:space="preserve"> * La variable Beneficiarios no puede ser mayor al Total.</v>
      </c>
      <c r="BK36" s="1725"/>
      <c r="BO36" s="1725">
        <f t="shared" si="12"/>
        <v>1</v>
      </c>
      <c r="BP36" s="1723"/>
    </row>
    <row r="37" spans="1:69" s="17" customFormat="1" ht="18" customHeight="1" x14ac:dyDescent="0.25">
      <c r="A37" s="103"/>
      <c r="B37" s="122" t="s">
        <v>278</v>
      </c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</row>
    <row r="38" spans="1:69" x14ac:dyDescent="0.3">
      <c r="A38" s="103"/>
      <c r="B38" s="7223" t="s">
        <v>61</v>
      </c>
      <c r="C38" s="7201" t="s">
        <v>63</v>
      </c>
      <c r="D38" s="6341"/>
      <c r="E38" s="7202"/>
      <c r="F38" s="7206" t="s">
        <v>30</v>
      </c>
      <c r="G38" s="7207"/>
      <c r="H38" s="7207"/>
      <c r="I38" s="7207"/>
      <c r="J38" s="7207"/>
      <c r="K38" s="7207"/>
      <c r="L38" s="7207"/>
      <c r="M38" s="7207"/>
      <c r="N38" s="7207"/>
      <c r="O38" s="7207"/>
      <c r="P38" s="7207"/>
      <c r="Q38" s="7207"/>
      <c r="R38" s="7207"/>
      <c r="S38" s="7207"/>
      <c r="T38" s="7207"/>
      <c r="U38" s="7207"/>
      <c r="V38" s="7207"/>
      <c r="W38" s="7207"/>
      <c r="X38" s="7207"/>
      <c r="Y38" s="7207"/>
      <c r="Z38" s="7207"/>
      <c r="AA38" s="7207"/>
      <c r="AB38" s="7207"/>
      <c r="AC38" s="7207"/>
      <c r="AD38" s="7207"/>
      <c r="AE38" s="7207"/>
      <c r="AF38" s="7207"/>
      <c r="AG38" s="7207"/>
      <c r="AH38" s="7207"/>
      <c r="AI38" s="7207"/>
      <c r="AJ38" s="7207"/>
      <c r="AK38" s="7207"/>
      <c r="AL38" s="7207"/>
      <c r="AM38" s="7208"/>
      <c r="AN38" s="7219" t="s">
        <v>67</v>
      </c>
      <c r="AO38" s="7219" t="s">
        <v>256</v>
      </c>
    </row>
    <row r="39" spans="1:69" x14ac:dyDescent="0.3">
      <c r="A39" s="103"/>
      <c r="B39" s="7224"/>
      <c r="C39" s="7203"/>
      <c r="D39" s="7204"/>
      <c r="E39" s="7205"/>
      <c r="F39" s="7206" t="s">
        <v>36</v>
      </c>
      <c r="G39" s="7208"/>
      <c r="H39" s="7206" t="s">
        <v>37</v>
      </c>
      <c r="I39" s="7208"/>
      <c r="J39" s="7206" t="s">
        <v>38</v>
      </c>
      <c r="K39" s="7208"/>
      <c r="L39" s="7206" t="s">
        <v>4</v>
      </c>
      <c r="M39" s="7208"/>
      <c r="N39" s="7206" t="s">
        <v>5</v>
      </c>
      <c r="O39" s="7208"/>
      <c r="P39" s="7211" t="s">
        <v>6</v>
      </c>
      <c r="Q39" s="7212"/>
      <c r="R39" s="7211" t="s">
        <v>7</v>
      </c>
      <c r="S39" s="7212"/>
      <c r="T39" s="7211" t="s">
        <v>8</v>
      </c>
      <c r="U39" s="7212"/>
      <c r="V39" s="7211" t="s">
        <v>9</v>
      </c>
      <c r="W39" s="7212"/>
      <c r="X39" s="7211" t="s">
        <v>10</v>
      </c>
      <c r="Y39" s="7212"/>
      <c r="Z39" s="7211" t="s">
        <v>11</v>
      </c>
      <c r="AA39" s="7212"/>
      <c r="AB39" s="7211" t="s">
        <v>18</v>
      </c>
      <c r="AC39" s="7212"/>
      <c r="AD39" s="7211" t="s">
        <v>19</v>
      </c>
      <c r="AE39" s="7212"/>
      <c r="AF39" s="7211" t="s">
        <v>20</v>
      </c>
      <c r="AG39" s="7212"/>
      <c r="AH39" s="7211" t="s">
        <v>70</v>
      </c>
      <c r="AI39" s="7212"/>
      <c r="AJ39" s="7211" t="s">
        <v>71</v>
      </c>
      <c r="AK39" s="7212"/>
      <c r="AL39" s="6677" t="s">
        <v>32</v>
      </c>
      <c r="AM39" s="6682"/>
      <c r="AN39" s="6324"/>
      <c r="AO39" s="7213"/>
    </row>
    <row r="40" spans="1:69" x14ac:dyDescent="0.3">
      <c r="A40" s="103"/>
      <c r="B40" s="7225"/>
      <c r="C40" s="199" t="s">
        <v>26</v>
      </c>
      <c r="D40" s="1732" t="s">
        <v>51</v>
      </c>
      <c r="E40" s="76" t="s">
        <v>27</v>
      </c>
      <c r="F40" s="173" t="s">
        <v>51</v>
      </c>
      <c r="G40" s="175" t="s">
        <v>27</v>
      </c>
      <c r="H40" s="173" t="s">
        <v>51</v>
      </c>
      <c r="I40" s="175" t="s">
        <v>27</v>
      </c>
      <c r="J40" s="173" t="s">
        <v>51</v>
      </c>
      <c r="K40" s="175" t="s">
        <v>27</v>
      </c>
      <c r="L40" s="173" t="s">
        <v>51</v>
      </c>
      <c r="M40" s="175" t="s">
        <v>27</v>
      </c>
      <c r="N40" s="173" t="s">
        <v>51</v>
      </c>
      <c r="O40" s="175" t="s">
        <v>27</v>
      </c>
      <c r="P40" s="173" t="s">
        <v>51</v>
      </c>
      <c r="Q40" s="175" t="s">
        <v>27</v>
      </c>
      <c r="R40" s="173" t="s">
        <v>51</v>
      </c>
      <c r="S40" s="175" t="s">
        <v>27</v>
      </c>
      <c r="T40" s="173" t="s">
        <v>51</v>
      </c>
      <c r="U40" s="175" t="s">
        <v>27</v>
      </c>
      <c r="V40" s="173" t="s">
        <v>51</v>
      </c>
      <c r="W40" s="175" t="s">
        <v>27</v>
      </c>
      <c r="X40" s="173" t="s">
        <v>51</v>
      </c>
      <c r="Y40" s="175" t="s">
        <v>27</v>
      </c>
      <c r="Z40" s="173" t="s">
        <v>51</v>
      </c>
      <c r="AA40" s="175" t="s">
        <v>27</v>
      </c>
      <c r="AB40" s="173" t="s">
        <v>51</v>
      </c>
      <c r="AC40" s="175" t="s">
        <v>27</v>
      </c>
      <c r="AD40" s="173" t="s">
        <v>51</v>
      </c>
      <c r="AE40" s="175" t="s">
        <v>27</v>
      </c>
      <c r="AF40" s="173" t="s">
        <v>51</v>
      </c>
      <c r="AG40" s="175" t="s">
        <v>27</v>
      </c>
      <c r="AH40" s="173" t="s">
        <v>51</v>
      </c>
      <c r="AI40" s="175" t="s">
        <v>27</v>
      </c>
      <c r="AJ40" s="173" t="s">
        <v>51</v>
      </c>
      <c r="AK40" s="175" t="s">
        <v>27</v>
      </c>
      <c r="AL40" s="173" t="s">
        <v>51</v>
      </c>
      <c r="AM40" s="175" t="s">
        <v>27</v>
      </c>
      <c r="AN40" s="7210"/>
      <c r="AO40" s="7210"/>
    </row>
    <row r="41" spans="1:69" x14ac:dyDescent="0.3">
      <c r="A41" s="6259" t="s">
        <v>4822</v>
      </c>
      <c r="B41" s="202" t="s">
        <v>60</v>
      </c>
      <c r="C41" s="212" t="s">
        <v>5292</v>
      </c>
      <c r="D41" s="213" t="s">
        <v>5293</v>
      </c>
      <c r="E41" s="214" t="s">
        <v>5294</v>
      </c>
      <c r="F41" s="106" t="s">
        <v>5295</v>
      </c>
      <c r="G41" s="105" t="s">
        <v>5296</v>
      </c>
      <c r="H41" s="106" t="s">
        <v>5297</v>
      </c>
      <c r="I41" s="105" t="s">
        <v>5298</v>
      </c>
      <c r="J41" s="106" t="s">
        <v>5299</v>
      </c>
      <c r="K41" s="107" t="s">
        <v>5300</v>
      </c>
      <c r="L41" s="106" t="s">
        <v>5301</v>
      </c>
      <c r="M41" s="107" t="s">
        <v>5302</v>
      </c>
      <c r="N41" s="106" t="s">
        <v>5303</v>
      </c>
      <c r="O41" s="107" t="s">
        <v>5304</v>
      </c>
      <c r="P41" s="113" t="s">
        <v>5305</v>
      </c>
      <c r="Q41" s="107" t="s">
        <v>5306</v>
      </c>
      <c r="R41" s="113" t="s">
        <v>5307</v>
      </c>
      <c r="S41" s="107" t="s">
        <v>5308</v>
      </c>
      <c r="T41" s="113" t="s">
        <v>5309</v>
      </c>
      <c r="U41" s="107" t="s">
        <v>5310</v>
      </c>
      <c r="V41" s="113" t="s">
        <v>5311</v>
      </c>
      <c r="W41" s="107" t="s">
        <v>5312</v>
      </c>
      <c r="X41" s="113" t="s">
        <v>5313</v>
      </c>
      <c r="Y41" s="107" t="s">
        <v>5314</v>
      </c>
      <c r="Z41" s="113" t="s">
        <v>5315</v>
      </c>
      <c r="AA41" s="107" t="s">
        <v>5316</v>
      </c>
      <c r="AB41" s="113" t="s">
        <v>5317</v>
      </c>
      <c r="AC41" s="107" t="s">
        <v>5318</v>
      </c>
      <c r="AD41" s="113" t="s">
        <v>5319</v>
      </c>
      <c r="AE41" s="107" t="s">
        <v>5320</v>
      </c>
      <c r="AF41" s="113" t="s">
        <v>5321</v>
      </c>
      <c r="AG41" s="107" t="s">
        <v>5322</v>
      </c>
      <c r="AH41" s="113" t="s">
        <v>5323</v>
      </c>
      <c r="AI41" s="107" t="s">
        <v>5324</v>
      </c>
      <c r="AJ41" s="113" t="s">
        <v>5325</v>
      </c>
      <c r="AK41" s="107" t="s">
        <v>5326</v>
      </c>
      <c r="AL41" s="113" t="s">
        <v>5327</v>
      </c>
      <c r="AM41" s="107" t="s">
        <v>5328</v>
      </c>
      <c r="AN41" s="136" t="s">
        <v>5329</v>
      </c>
      <c r="AO41" s="188" t="s">
        <v>5330</v>
      </c>
      <c r="AP41" t="str">
        <f>BJ41&amp;BK41</f>
        <v xml:space="preserve"> * La variable Beneficiarios no puede ser mayor al Total.</v>
      </c>
      <c r="BJ41" s="1723" t="str">
        <f>IF(AND(C41&gt;0,AN41="")," * No olvide digitar la columna Beneficiarios (Digite Cero si no tiene)",IF(AN41&gt;C41," * La variable Beneficiarios no puede ser mayor al Total.",""))</f>
        <v xml:space="preserve"> * La variable Beneficiarios no puede ser mayor al Total.</v>
      </c>
      <c r="BK41" s="1723" t="str">
        <f>IF(AND(C41&gt;0,AO41="")," * No olvide digitar la columna Demanda de Urgencia. ",IF(AO41&lt;C41," * La variable Demanda de Urgencia debe ser mayor o igual al Total Ambos Sexos.",""))</f>
        <v/>
      </c>
      <c r="BO41" s="1725">
        <f>IF(AND(C41&gt;0,AN41=""),1,IF(AN41&gt;C41,1,0))</f>
        <v>1</v>
      </c>
      <c r="BP41" s="1725">
        <f>IF(AND(C41&gt;0,AO41=""),1,IF(AO41&lt;C41,1,0))</f>
        <v>0</v>
      </c>
      <c r="BQ41" s="1725"/>
    </row>
    <row r="42" spans="1:69" x14ac:dyDescent="0.3">
      <c r="A42" s="6259" t="s">
        <v>4823</v>
      </c>
      <c r="B42" s="204" t="s">
        <v>275</v>
      </c>
      <c r="C42" s="79" t="s">
        <v>5292</v>
      </c>
      <c r="D42" s="80" t="s">
        <v>5293</v>
      </c>
      <c r="E42" s="81" t="s">
        <v>5294</v>
      </c>
      <c r="F42" s="82" t="s">
        <v>5295</v>
      </c>
      <c r="G42" s="83" t="s">
        <v>5296</v>
      </c>
      <c r="H42" s="82" t="s">
        <v>5297</v>
      </c>
      <c r="I42" s="83" t="s">
        <v>5298</v>
      </c>
      <c r="J42" s="82" t="s">
        <v>5299</v>
      </c>
      <c r="K42" s="84" t="s">
        <v>5300</v>
      </c>
      <c r="L42" s="82" t="s">
        <v>5301</v>
      </c>
      <c r="M42" s="84" t="s">
        <v>5302</v>
      </c>
      <c r="N42" s="82" t="s">
        <v>5303</v>
      </c>
      <c r="O42" s="84" t="s">
        <v>5304</v>
      </c>
      <c r="P42" s="85" t="s">
        <v>5305</v>
      </c>
      <c r="Q42" s="84" t="s">
        <v>5306</v>
      </c>
      <c r="R42" s="85" t="s">
        <v>5307</v>
      </c>
      <c r="S42" s="84" t="s">
        <v>5308</v>
      </c>
      <c r="T42" s="85" t="s">
        <v>5309</v>
      </c>
      <c r="U42" s="84" t="s">
        <v>5310</v>
      </c>
      <c r="V42" s="85" t="s">
        <v>5311</v>
      </c>
      <c r="W42" s="84" t="s">
        <v>5312</v>
      </c>
      <c r="X42" s="85" t="s">
        <v>5313</v>
      </c>
      <c r="Y42" s="84" t="s">
        <v>5314</v>
      </c>
      <c r="Z42" s="85" t="s">
        <v>5315</v>
      </c>
      <c r="AA42" s="84" t="s">
        <v>5316</v>
      </c>
      <c r="AB42" s="85" t="s">
        <v>5317</v>
      </c>
      <c r="AC42" s="84" t="s">
        <v>5318</v>
      </c>
      <c r="AD42" s="85" t="s">
        <v>5319</v>
      </c>
      <c r="AE42" s="84" t="s">
        <v>5320</v>
      </c>
      <c r="AF42" s="85" t="s">
        <v>5321</v>
      </c>
      <c r="AG42" s="84" t="s">
        <v>5322</v>
      </c>
      <c r="AH42" s="85" t="s">
        <v>5323</v>
      </c>
      <c r="AI42" s="84" t="s">
        <v>5324</v>
      </c>
      <c r="AJ42" s="85" t="s">
        <v>5325</v>
      </c>
      <c r="AK42" s="84" t="s">
        <v>5326</v>
      </c>
      <c r="AL42" s="85" t="s">
        <v>5327</v>
      </c>
      <c r="AM42" s="84" t="s">
        <v>5328</v>
      </c>
      <c r="AN42" s="136" t="s">
        <v>5329</v>
      </c>
      <c r="AO42" s="136" t="s">
        <v>5330</v>
      </c>
      <c r="AP42" t="str">
        <f t="shared" ref="AP42:AP46" si="13">BJ42&amp;BK42</f>
        <v xml:space="preserve"> * La variable Beneficiarios no puede ser mayor al Total.</v>
      </c>
      <c r="BJ42" s="1723" t="str">
        <f t="shared" ref="BJ42:BJ46" si="14">IF(AND(C42&gt;0,AN42="")," * No olvide digitar la columna Beneficiarios (Digite Cero si no tiene)",IF(AN42&gt;C42," * La variable Beneficiarios no puede ser mayor al Total.",""))</f>
        <v xml:space="preserve"> * La variable Beneficiarios no puede ser mayor al Total.</v>
      </c>
      <c r="BK42" s="1723" t="str">
        <f t="shared" ref="BK42:BK46" si="15">IF(AND(C42&gt;0,AO42="")," * No olvide digitar la columna Demanda de Urgencia. ",IF(AO42&lt;C42," * La variable Demanda de Urgencia debe ser mayor o igual al Total Ambos Sexos.",""))</f>
        <v/>
      </c>
      <c r="BO42" s="1725">
        <f t="shared" ref="BO42:BO46" si="16">IF(AND(C42&gt;0,AN42=""),1,IF(AN42&gt;C42,1,0))</f>
        <v>1</v>
      </c>
      <c r="BP42" s="1725">
        <f t="shared" ref="BP42:BP46" si="17">IF(AND(C42&gt;0,AO42=""),1,IF(AO42&lt;C42,1,0))</f>
        <v>0</v>
      </c>
      <c r="BQ42" s="1725"/>
    </row>
    <row r="43" spans="1:69" x14ac:dyDescent="0.3">
      <c r="A43" s="6259" t="s">
        <v>4824</v>
      </c>
      <c r="B43" s="204" t="s">
        <v>276</v>
      </c>
      <c r="C43" s="79" t="s">
        <v>5292</v>
      </c>
      <c r="D43" s="80" t="s">
        <v>5293</v>
      </c>
      <c r="E43" s="81" t="s">
        <v>5294</v>
      </c>
      <c r="F43" s="82" t="s">
        <v>5295</v>
      </c>
      <c r="G43" s="83" t="s">
        <v>5296</v>
      </c>
      <c r="H43" s="82" t="s">
        <v>5297</v>
      </c>
      <c r="I43" s="83" t="s">
        <v>5298</v>
      </c>
      <c r="J43" s="82" t="s">
        <v>5299</v>
      </c>
      <c r="K43" s="84" t="s">
        <v>5300</v>
      </c>
      <c r="L43" s="82" t="s">
        <v>5301</v>
      </c>
      <c r="M43" s="84" t="s">
        <v>5302</v>
      </c>
      <c r="N43" s="82" t="s">
        <v>5303</v>
      </c>
      <c r="O43" s="84" t="s">
        <v>5304</v>
      </c>
      <c r="P43" s="85" t="s">
        <v>5305</v>
      </c>
      <c r="Q43" s="84" t="s">
        <v>5306</v>
      </c>
      <c r="R43" s="85" t="s">
        <v>5307</v>
      </c>
      <c r="S43" s="84" t="s">
        <v>5308</v>
      </c>
      <c r="T43" s="85" t="s">
        <v>5309</v>
      </c>
      <c r="U43" s="84" t="s">
        <v>5310</v>
      </c>
      <c r="V43" s="85" t="s">
        <v>5311</v>
      </c>
      <c r="W43" s="84" t="s">
        <v>5312</v>
      </c>
      <c r="X43" s="85" t="s">
        <v>5313</v>
      </c>
      <c r="Y43" s="84" t="s">
        <v>5314</v>
      </c>
      <c r="Z43" s="85" t="s">
        <v>5315</v>
      </c>
      <c r="AA43" s="84" t="s">
        <v>5316</v>
      </c>
      <c r="AB43" s="85" t="s">
        <v>5317</v>
      </c>
      <c r="AC43" s="84" t="s">
        <v>5318</v>
      </c>
      <c r="AD43" s="85" t="s">
        <v>5319</v>
      </c>
      <c r="AE43" s="84" t="s">
        <v>5320</v>
      </c>
      <c r="AF43" s="85" t="s">
        <v>5321</v>
      </c>
      <c r="AG43" s="84" t="s">
        <v>5322</v>
      </c>
      <c r="AH43" s="85" t="s">
        <v>5323</v>
      </c>
      <c r="AI43" s="84" t="s">
        <v>5324</v>
      </c>
      <c r="AJ43" s="85" t="s">
        <v>5325</v>
      </c>
      <c r="AK43" s="84" t="s">
        <v>5326</v>
      </c>
      <c r="AL43" s="85" t="s">
        <v>5327</v>
      </c>
      <c r="AM43" s="84" t="s">
        <v>5328</v>
      </c>
      <c r="AN43" s="136" t="s">
        <v>5329</v>
      </c>
      <c r="AO43" s="136" t="s">
        <v>5330</v>
      </c>
      <c r="AP43" t="str">
        <f t="shared" si="13"/>
        <v xml:space="preserve"> * La variable Beneficiarios no puede ser mayor al Total.</v>
      </c>
      <c r="BJ43" s="1723" t="str">
        <f t="shared" si="14"/>
        <v xml:space="preserve"> * La variable Beneficiarios no puede ser mayor al Total.</v>
      </c>
      <c r="BK43" s="1723" t="str">
        <f t="shared" si="15"/>
        <v/>
      </c>
      <c r="BO43" s="1725">
        <f t="shared" si="16"/>
        <v>1</v>
      </c>
      <c r="BP43" s="1725">
        <f t="shared" si="17"/>
        <v>0</v>
      </c>
      <c r="BQ43" s="1725"/>
    </row>
    <row r="44" spans="1:69" x14ac:dyDescent="0.3">
      <c r="A44" s="6259" t="s">
        <v>4825</v>
      </c>
      <c r="B44" s="204" t="s">
        <v>277</v>
      </c>
      <c r="C44" s="79" t="s">
        <v>5292</v>
      </c>
      <c r="D44" s="80" t="s">
        <v>5293</v>
      </c>
      <c r="E44" s="81" t="s">
        <v>5294</v>
      </c>
      <c r="F44" s="82" t="s">
        <v>5295</v>
      </c>
      <c r="G44" s="83" t="s">
        <v>5296</v>
      </c>
      <c r="H44" s="82" t="s">
        <v>5297</v>
      </c>
      <c r="I44" s="83" t="s">
        <v>5298</v>
      </c>
      <c r="J44" s="82" t="s">
        <v>5299</v>
      </c>
      <c r="K44" s="84" t="s">
        <v>5300</v>
      </c>
      <c r="L44" s="82" t="s">
        <v>5301</v>
      </c>
      <c r="M44" s="84" t="s">
        <v>5302</v>
      </c>
      <c r="N44" s="82" t="s">
        <v>5303</v>
      </c>
      <c r="O44" s="84" t="s">
        <v>5304</v>
      </c>
      <c r="P44" s="85" t="s">
        <v>5305</v>
      </c>
      <c r="Q44" s="84" t="s">
        <v>5306</v>
      </c>
      <c r="R44" s="85" t="s">
        <v>5307</v>
      </c>
      <c r="S44" s="84" t="s">
        <v>5308</v>
      </c>
      <c r="T44" s="85" t="s">
        <v>5309</v>
      </c>
      <c r="U44" s="84" t="s">
        <v>5310</v>
      </c>
      <c r="V44" s="85" t="s">
        <v>5311</v>
      </c>
      <c r="W44" s="84" t="s">
        <v>5312</v>
      </c>
      <c r="X44" s="85" t="s">
        <v>5313</v>
      </c>
      <c r="Y44" s="84" t="s">
        <v>5314</v>
      </c>
      <c r="Z44" s="85" t="s">
        <v>5315</v>
      </c>
      <c r="AA44" s="84" t="s">
        <v>5316</v>
      </c>
      <c r="AB44" s="85" t="s">
        <v>5317</v>
      </c>
      <c r="AC44" s="84" t="s">
        <v>5318</v>
      </c>
      <c r="AD44" s="85" t="s">
        <v>5319</v>
      </c>
      <c r="AE44" s="84" t="s">
        <v>5320</v>
      </c>
      <c r="AF44" s="85" t="s">
        <v>5321</v>
      </c>
      <c r="AG44" s="84" t="s">
        <v>5322</v>
      </c>
      <c r="AH44" s="85" t="s">
        <v>5323</v>
      </c>
      <c r="AI44" s="84" t="s">
        <v>5324</v>
      </c>
      <c r="AJ44" s="85" t="s">
        <v>5325</v>
      </c>
      <c r="AK44" s="84" t="s">
        <v>5326</v>
      </c>
      <c r="AL44" s="85" t="s">
        <v>5327</v>
      </c>
      <c r="AM44" s="84" t="s">
        <v>5328</v>
      </c>
      <c r="AN44" s="136" t="s">
        <v>5329</v>
      </c>
      <c r="AO44" s="136" t="s">
        <v>5330</v>
      </c>
      <c r="AP44" t="str">
        <f t="shared" si="13"/>
        <v xml:space="preserve"> * La variable Beneficiarios no puede ser mayor al Total.</v>
      </c>
      <c r="BJ44" s="1723" t="str">
        <f t="shared" si="14"/>
        <v xml:space="preserve"> * La variable Beneficiarios no puede ser mayor al Total.</v>
      </c>
      <c r="BK44" s="1723" t="str">
        <f t="shared" si="15"/>
        <v/>
      </c>
      <c r="BO44" s="1725">
        <f t="shared" si="16"/>
        <v>1</v>
      </c>
      <c r="BP44" s="1725">
        <f t="shared" si="17"/>
        <v>0</v>
      </c>
      <c r="BQ44" s="1725"/>
    </row>
    <row r="45" spans="1:69" x14ac:dyDescent="0.3">
      <c r="A45" s="6259" t="s">
        <v>4826</v>
      </c>
      <c r="B45" s="204" t="s">
        <v>192</v>
      </c>
      <c r="C45" s="79" t="s">
        <v>5292</v>
      </c>
      <c r="D45" s="80" t="s">
        <v>5293</v>
      </c>
      <c r="E45" s="81" t="s">
        <v>5294</v>
      </c>
      <c r="F45" s="82" t="s">
        <v>5295</v>
      </c>
      <c r="G45" s="83" t="s">
        <v>5296</v>
      </c>
      <c r="H45" s="82" t="s">
        <v>5297</v>
      </c>
      <c r="I45" s="83" t="s">
        <v>5298</v>
      </c>
      <c r="J45" s="82" t="s">
        <v>5299</v>
      </c>
      <c r="K45" s="84" t="s">
        <v>5300</v>
      </c>
      <c r="L45" s="82" t="s">
        <v>5301</v>
      </c>
      <c r="M45" s="84" t="s">
        <v>5302</v>
      </c>
      <c r="N45" s="82" t="s">
        <v>5303</v>
      </c>
      <c r="O45" s="84" t="s">
        <v>5304</v>
      </c>
      <c r="P45" s="85" t="s">
        <v>5305</v>
      </c>
      <c r="Q45" s="84" t="s">
        <v>5306</v>
      </c>
      <c r="R45" s="85" t="s">
        <v>5307</v>
      </c>
      <c r="S45" s="84" t="s">
        <v>5308</v>
      </c>
      <c r="T45" s="85" t="s">
        <v>5309</v>
      </c>
      <c r="U45" s="84" t="s">
        <v>5310</v>
      </c>
      <c r="V45" s="85" t="s">
        <v>5311</v>
      </c>
      <c r="W45" s="84" t="s">
        <v>5312</v>
      </c>
      <c r="X45" s="85" t="s">
        <v>5313</v>
      </c>
      <c r="Y45" s="84" t="s">
        <v>5314</v>
      </c>
      <c r="Z45" s="85" t="s">
        <v>5315</v>
      </c>
      <c r="AA45" s="84" t="s">
        <v>5316</v>
      </c>
      <c r="AB45" s="85" t="s">
        <v>5317</v>
      </c>
      <c r="AC45" s="84" t="s">
        <v>5318</v>
      </c>
      <c r="AD45" s="85" t="s">
        <v>5319</v>
      </c>
      <c r="AE45" s="84" t="s">
        <v>5320</v>
      </c>
      <c r="AF45" s="85" t="s">
        <v>5321</v>
      </c>
      <c r="AG45" s="84" t="s">
        <v>5322</v>
      </c>
      <c r="AH45" s="85" t="s">
        <v>5323</v>
      </c>
      <c r="AI45" s="84" t="s">
        <v>5324</v>
      </c>
      <c r="AJ45" s="85" t="s">
        <v>5325</v>
      </c>
      <c r="AK45" s="84" t="s">
        <v>5326</v>
      </c>
      <c r="AL45" s="85" t="s">
        <v>5327</v>
      </c>
      <c r="AM45" s="84" t="s">
        <v>5328</v>
      </c>
      <c r="AN45" s="136" t="s">
        <v>5329</v>
      </c>
      <c r="AO45" s="136" t="s">
        <v>5330</v>
      </c>
      <c r="AP45" t="str">
        <f t="shared" si="13"/>
        <v xml:space="preserve"> * La variable Beneficiarios no puede ser mayor al Total.</v>
      </c>
      <c r="BJ45" s="1723" t="str">
        <f t="shared" si="14"/>
        <v xml:space="preserve"> * La variable Beneficiarios no puede ser mayor al Total.</v>
      </c>
      <c r="BK45" s="1723" t="str">
        <f t="shared" si="15"/>
        <v/>
      </c>
      <c r="BO45" s="1725">
        <f t="shared" si="16"/>
        <v>1</v>
      </c>
      <c r="BP45" s="1725">
        <f t="shared" si="17"/>
        <v>0</v>
      </c>
      <c r="BQ45" s="1725"/>
    </row>
    <row r="46" spans="1:69" x14ac:dyDescent="0.3">
      <c r="A46" s="6259" t="s">
        <v>4827</v>
      </c>
      <c r="B46" s="207" t="s">
        <v>123</v>
      </c>
      <c r="C46" s="217" t="s">
        <v>5292</v>
      </c>
      <c r="D46" s="95" t="s">
        <v>5293</v>
      </c>
      <c r="E46" s="161" t="s">
        <v>5294</v>
      </c>
      <c r="F46" s="114" t="s">
        <v>5295</v>
      </c>
      <c r="G46" s="117" t="s">
        <v>5296</v>
      </c>
      <c r="H46" s="114" t="s">
        <v>5297</v>
      </c>
      <c r="I46" s="117" t="s">
        <v>5298</v>
      </c>
      <c r="J46" s="114" t="s">
        <v>5299</v>
      </c>
      <c r="K46" s="116" t="s">
        <v>5300</v>
      </c>
      <c r="L46" s="114" t="s">
        <v>5301</v>
      </c>
      <c r="M46" s="116" t="s">
        <v>5302</v>
      </c>
      <c r="N46" s="114" t="s">
        <v>5303</v>
      </c>
      <c r="O46" s="116" t="s">
        <v>5304</v>
      </c>
      <c r="P46" s="118" t="s">
        <v>5305</v>
      </c>
      <c r="Q46" s="116" t="s">
        <v>5306</v>
      </c>
      <c r="R46" s="118" t="s">
        <v>5307</v>
      </c>
      <c r="S46" s="116" t="s">
        <v>5308</v>
      </c>
      <c r="T46" s="118" t="s">
        <v>5309</v>
      </c>
      <c r="U46" s="116" t="s">
        <v>5310</v>
      </c>
      <c r="V46" s="118" t="s">
        <v>5311</v>
      </c>
      <c r="W46" s="116" t="s">
        <v>5312</v>
      </c>
      <c r="X46" s="118" t="s">
        <v>5313</v>
      </c>
      <c r="Y46" s="116" t="s">
        <v>5314</v>
      </c>
      <c r="Z46" s="118" t="s">
        <v>5315</v>
      </c>
      <c r="AA46" s="116" t="s">
        <v>5316</v>
      </c>
      <c r="AB46" s="118" t="s">
        <v>5317</v>
      </c>
      <c r="AC46" s="116" t="s">
        <v>5318</v>
      </c>
      <c r="AD46" s="118" t="s">
        <v>5319</v>
      </c>
      <c r="AE46" s="116" t="s">
        <v>5320</v>
      </c>
      <c r="AF46" s="118" t="s">
        <v>5321</v>
      </c>
      <c r="AG46" s="116" t="s">
        <v>5322</v>
      </c>
      <c r="AH46" s="118" t="s">
        <v>5323</v>
      </c>
      <c r="AI46" s="116" t="s">
        <v>5324</v>
      </c>
      <c r="AJ46" s="118" t="s">
        <v>5325</v>
      </c>
      <c r="AK46" s="116" t="s">
        <v>5326</v>
      </c>
      <c r="AL46" s="118" t="s">
        <v>5327</v>
      </c>
      <c r="AM46" s="116" t="s">
        <v>5328</v>
      </c>
      <c r="AN46" s="153" t="s">
        <v>5329</v>
      </c>
      <c r="AO46" s="153" t="s">
        <v>5330</v>
      </c>
      <c r="AP46" t="str">
        <f t="shared" si="13"/>
        <v xml:space="preserve"> * La variable Beneficiarios no puede ser mayor al Total.</v>
      </c>
      <c r="BJ46" s="1723" t="str">
        <f t="shared" si="14"/>
        <v xml:space="preserve"> * La variable Beneficiarios no puede ser mayor al Total.</v>
      </c>
      <c r="BK46" s="1723" t="str">
        <f t="shared" si="15"/>
        <v/>
      </c>
      <c r="BO46" s="1725">
        <f t="shared" si="16"/>
        <v>1</v>
      </c>
      <c r="BP46" s="1725">
        <f t="shared" si="17"/>
        <v>0</v>
      </c>
      <c r="BQ46" s="1725"/>
    </row>
    <row r="47" spans="1:69" s="17" customFormat="1" ht="18" customHeight="1" x14ac:dyDescent="0.25">
      <c r="B47" s="122" t="s">
        <v>279</v>
      </c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734"/>
      <c r="AO47" s="163"/>
    </row>
    <row r="48" spans="1:69" x14ac:dyDescent="0.3">
      <c r="B48" s="7223" t="s">
        <v>61</v>
      </c>
      <c r="C48" s="7201" t="s">
        <v>63</v>
      </c>
      <c r="D48" s="6341"/>
      <c r="E48" s="7202"/>
      <c r="F48" s="7206" t="s">
        <v>30</v>
      </c>
      <c r="G48" s="7207"/>
      <c r="H48" s="7207"/>
      <c r="I48" s="7207"/>
      <c r="J48" s="7207"/>
      <c r="K48" s="7207"/>
      <c r="L48" s="7207"/>
      <c r="M48" s="7207"/>
      <c r="N48" s="7207"/>
      <c r="O48" s="7207"/>
      <c r="P48" s="7207"/>
      <c r="Q48" s="7207"/>
      <c r="R48" s="7207"/>
      <c r="S48" s="7207"/>
      <c r="T48" s="7207"/>
      <c r="U48" s="7207"/>
      <c r="V48" s="7207"/>
      <c r="W48" s="7207"/>
      <c r="X48" s="7207"/>
      <c r="Y48" s="7207"/>
      <c r="Z48" s="7207"/>
      <c r="AA48" s="7207"/>
      <c r="AB48" s="7207"/>
      <c r="AC48" s="7207"/>
      <c r="AD48" s="7207"/>
      <c r="AE48" s="7207"/>
      <c r="AF48" s="7207"/>
      <c r="AG48" s="7207"/>
      <c r="AH48" s="7207"/>
      <c r="AI48" s="7207"/>
      <c r="AJ48" s="7207"/>
      <c r="AK48" s="7207"/>
      <c r="AL48" s="7207"/>
      <c r="AM48" s="7208"/>
      <c r="AN48" s="7219" t="s">
        <v>67</v>
      </c>
      <c r="AO48" s="7219" t="s">
        <v>256</v>
      </c>
    </row>
    <row r="49" spans="1:69" x14ac:dyDescent="0.3">
      <c r="B49" s="7224"/>
      <c r="C49" s="7203"/>
      <c r="D49" s="7204"/>
      <c r="E49" s="7205"/>
      <c r="F49" s="7206" t="s">
        <v>36</v>
      </c>
      <c r="G49" s="7208"/>
      <c r="H49" s="7206" t="s">
        <v>37</v>
      </c>
      <c r="I49" s="7208"/>
      <c r="J49" s="7206" t="s">
        <v>38</v>
      </c>
      <c r="K49" s="7208"/>
      <c r="L49" s="7206" t="s">
        <v>4</v>
      </c>
      <c r="M49" s="7208"/>
      <c r="N49" s="7206" t="s">
        <v>5</v>
      </c>
      <c r="O49" s="7208"/>
      <c r="P49" s="7211" t="s">
        <v>6</v>
      </c>
      <c r="Q49" s="7212"/>
      <c r="R49" s="7211" t="s">
        <v>7</v>
      </c>
      <c r="S49" s="7212"/>
      <c r="T49" s="7211" t="s">
        <v>8</v>
      </c>
      <c r="U49" s="7212"/>
      <c r="V49" s="7211" t="s">
        <v>9</v>
      </c>
      <c r="W49" s="7212"/>
      <c r="X49" s="7211" t="s">
        <v>10</v>
      </c>
      <c r="Y49" s="7212"/>
      <c r="Z49" s="7211" t="s">
        <v>11</v>
      </c>
      <c r="AA49" s="7212"/>
      <c r="AB49" s="7211" t="s">
        <v>18</v>
      </c>
      <c r="AC49" s="7212"/>
      <c r="AD49" s="7211" t="s">
        <v>19</v>
      </c>
      <c r="AE49" s="7212"/>
      <c r="AF49" s="7211" t="s">
        <v>20</v>
      </c>
      <c r="AG49" s="7212"/>
      <c r="AH49" s="7211" t="s">
        <v>70</v>
      </c>
      <c r="AI49" s="7212"/>
      <c r="AJ49" s="7211" t="s">
        <v>71</v>
      </c>
      <c r="AK49" s="7212"/>
      <c r="AL49" s="6677" t="s">
        <v>32</v>
      </c>
      <c r="AM49" s="6682"/>
      <c r="AN49" s="6324"/>
      <c r="AO49" s="7213"/>
    </row>
    <row r="50" spans="1:69" x14ac:dyDescent="0.3">
      <c r="B50" s="7225"/>
      <c r="C50" s="199" t="s">
        <v>26</v>
      </c>
      <c r="D50" s="1732" t="s">
        <v>51</v>
      </c>
      <c r="E50" s="76" t="s">
        <v>27</v>
      </c>
      <c r="F50" s="1707" t="s">
        <v>51</v>
      </c>
      <c r="G50" s="172" t="s">
        <v>27</v>
      </c>
      <c r="H50" s="1707" t="s">
        <v>51</v>
      </c>
      <c r="I50" s="172" t="s">
        <v>27</v>
      </c>
      <c r="J50" s="1707" t="s">
        <v>51</v>
      </c>
      <c r="K50" s="172" t="s">
        <v>27</v>
      </c>
      <c r="L50" s="1707" t="s">
        <v>51</v>
      </c>
      <c r="M50" s="172" t="s">
        <v>27</v>
      </c>
      <c r="N50" s="1707" t="s">
        <v>51</v>
      </c>
      <c r="O50" s="172" t="s">
        <v>27</v>
      </c>
      <c r="P50" s="1707" t="s">
        <v>51</v>
      </c>
      <c r="Q50" s="172" t="s">
        <v>27</v>
      </c>
      <c r="R50" s="1707" t="s">
        <v>51</v>
      </c>
      <c r="S50" s="172" t="s">
        <v>27</v>
      </c>
      <c r="T50" s="1707" t="s">
        <v>51</v>
      </c>
      <c r="U50" s="172" t="s">
        <v>27</v>
      </c>
      <c r="V50" s="1707" t="s">
        <v>51</v>
      </c>
      <c r="W50" s="172" t="s">
        <v>27</v>
      </c>
      <c r="X50" s="1707" t="s">
        <v>51</v>
      </c>
      <c r="Y50" s="172" t="s">
        <v>27</v>
      </c>
      <c r="Z50" s="1707" t="s">
        <v>51</v>
      </c>
      <c r="AA50" s="172" t="s">
        <v>27</v>
      </c>
      <c r="AB50" s="1707" t="s">
        <v>51</v>
      </c>
      <c r="AC50" s="172" t="s">
        <v>27</v>
      </c>
      <c r="AD50" s="1707" t="s">
        <v>51</v>
      </c>
      <c r="AE50" s="172" t="s">
        <v>27</v>
      </c>
      <c r="AF50" s="1707" t="s">
        <v>51</v>
      </c>
      <c r="AG50" s="172" t="s">
        <v>27</v>
      </c>
      <c r="AH50" s="1707" t="s">
        <v>51</v>
      </c>
      <c r="AI50" s="172" t="s">
        <v>27</v>
      </c>
      <c r="AJ50" s="1707" t="s">
        <v>51</v>
      </c>
      <c r="AK50" s="172" t="s">
        <v>27</v>
      </c>
      <c r="AL50" s="1707" t="s">
        <v>51</v>
      </c>
      <c r="AM50" s="172" t="s">
        <v>27</v>
      </c>
      <c r="AN50" s="7210"/>
      <c r="AO50" s="7210"/>
    </row>
    <row r="51" spans="1:69" x14ac:dyDescent="0.3">
      <c r="A51" s="6259" t="s">
        <v>4828</v>
      </c>
      <c r="B51" s="202" t="s">
        <v>60</v>
      </c>
      <c r="C51" s="212" t="s">
        <v>5292</v>
      </c>
      <c r="D51" s="213" t="s">
        <v>5293</v>
      </c>
      <c r="E51" s="214" t="s">
        <v>5294</v>
      </c>
      <c r="F51" s="186" t="s">
        <v>5295</v>
      </c>
      <c r="G51" s="187" t="s">
        <v>5296</v>
      </c>
      <c r="H51" s="186" t="s">
        <v>5297</v>
      </c>
      <c r="I51" s="187" t="s">
        <v>5298</v>
      </c>
      <c r="J51" s="186" t="s">
        <v>5299</v>
      </c>
      <c r="K51" s="185" t="s">
        <v>5300</v>
      </c>
      <c r="L51" s="186" t="s">
        <v>5301</v>
      </c>
      <c r="M51" s="185" t="s">
        <v>5302</v>
      </c>
      <c r="N51" s="186" t="s">
        <v>5303</v>
      </c>
      <c r="O51" s="185" t="s">
        <v>5304</v>
      </c>
      <c r="P51" s="215" t="s">
        <v>5305</v>
      </c>
      <c r="Q51" s="185" t="s">
        <v>5306</v>
      </c>
      <c r="R51" s="215" t="s">
        <v>5307</v>
      </c>
      <c r="S51" s="185" t="s">
        <v>5308</v>
      </c>
      <c r="T51" s="215" t="s">
        <v>5309</v>
      </c>
      <c r="U51" s="185" t="s">
        <v>5310</v>
      </c>
      <c r="V51" s="215" t="s">
        <v>5311</v>
      </c>
      <c r="W51" s="185" t="s">
        <v>5312</v>
      </c>
      <c r="X51" s="215" t="s">
        <v>5313</v>
      </c>
      <c r="Y51" s="185" t="s">
        <v>5314</v>
      </c>
      <c r="Z51" s="215" t="s">
        <v>5315</v>
      </c>
      <c r="AA51" s="185" t="s">
        <v>5316</v>
      </c>
      <c r="AB51" s="215" t="s">
        <v>5317</v>
      </c>
      <c r="AC51" s="185" t="s">
        <v>5318</v>
      </c>
      <c r="AD51" s="215" t="s">
        <v>5319</v>
      </c>
      <c r="AE51" s="185" t="s">
        <v>5320</v>
      </c>
      <c r="AF51" s="215" t="s">
        <v>5321</v>
      </c>
      <c r="AG51" s="185" t="s">
        <v>5322</v>
      </c>
      <c r="AH51" s="215" t="s">
        <v>5323</v>
      </c>
      <c r="AI51" s="185" t="s">
        <v>5324</v>
      </c>
      <c r="AJ51" s="215" t="s">
        <v>5325</v>
      </c>
      <c r="AK51" s="185" t="s">
        <v>5326</v>
      </c>
      <c r="AL51" s="215" t="s">
        <v>5327</v>
      </c>
      <c r="AM51" s="185" t="s">
        <v>5328</v>
      </c>
      <c r="AN51" s="188" t="s">
        <v>5329</v>
      </c>
      <c r="AO51" s="188" t="s">
        <v>5330</v>
      </c>
      <c r="AP51" t="str">
        <f>BJ51&amp;BK51</f>
        <v xml:space="preserve"> * La variable Beneficiarios no puede ser mayor al Total.</v>
      </c>
      <c r="BJ51" s="1723" t="str">
        <f>IF(AND(C51&gt;0,AN51="")," * No olvide digitar la columna Beneficiarios (Digite Cero si no tiene)",IF(AN51&gt;C51," * La variable Beneficiarios no puede ser mayor al Total.",""))</f>
        <v xml:space="preserve"> * La variable Beneficiarios no puede ser mayor al Total.</v>
      </c>
      <c r="BK51" s="1723" t="str">
        <f>IF(AND(C51&gt;0,AO51="")," * No olvide digitar la columna Demanda de Urgencia. ",IF(AO51&lt;C51," *  La variable Demanda de Urgencia debe ser mayor o igual al Total Ambos Sexos.",""))</f>
        <v/>
      </c>
      <c r="BO51" s="1725">
        <f t="shared" ref="BO51" si="18">IF(AND(C51&gt;0,AN51=""),1,IF(AN51&gt;C51,1,0))</f>
        <v>1</v>
      </c>
      <c r="BP51" s="1725">
        <f>IF(AND(C51&gt;0,AO51=""),1,IF(AO51&lt;C51,1,0))</f>
        <v>0</v>
      </c>
      <c r="BQ51" s="1725"/>
    </row>
    <row r="52" spans="1:69" x14ac:dyDescent="0.3">
      <c r="A52" s="6259" t="s">
        <v>4829</v>
      </c>
      <c r="B52" s="204" t="s">
        <v>275</v>
      </c>
      <c r="C52" s="79" t="s">
        <v>5292</v>
      </c>
      <c r="D52" s="80" t="s">
        <v>5293</v>
      </c>
      <c r="E52" s="81" t="s">
        <v>5294</v>
      </c>
      <c r="F52" s="82" t="s">
        <v>5295</v>
      </c>
      <c r="G52" s="83" t="s">
        <v>5296</v>
      </c>
      <c r="H52" s="82" t="s">
        <v>5297</v>
      </c>
      <c r="I52" s="83" t="s">
        <v>5298</v>
      </c>
      <c r="J52" s="82" t="s">
        <v>5299</v>
      </c>
      <c r="K52" s="84" t="s">
        <v>5300</v>
      </c>
      <c r="L52" s="82" t="s">
        <v>5301</v>
      </c>
      <c r="M52" s="84" t="s">
        <v>5302</v>
      </c>
      <c r="N52" s="82" t="s">
        <v>5303</v>
      </c>
      <c r="O52" s="84" t="s">
        <v>5304</v>
      </c>
      <c r="P52" s="85" t="s">
        <v>5305</v>
      </c>
      <c r="Q52" s="84" t="s">
        <v>5306</v>
      </c>
      <c r="R52" s="85" t="s">
        <v>5307</v>
      </c>
      <c r="S52" s="84" t="s">
        <v>5308</v>
      </c>
      <c r="T52" s="85" t="s">
        <v>5309</v>
      </c>
      <c r="U52" s="84" t="s">
        <v>5310</v>
      </c>
      <c r="V52" s="85" t="s">
        <v>5311</v>
      </c>
      <c r="W52" s="84" t="s">
        <v>5312</v>
      </c>
      <c r="X52" s="85" t="s">
        <v>5313</v>
      </c>
      <c r="Y52" s="84" t="s">
        <v>5314</v>
      </c>
      <c r="Z52" s="85" t="s">
        <v>5315</v>
      </c>
      <c r="AA52" s="84" t="s">
        <v>5316</v>
      </c>
      <c r="AB52" s="85" t="s">
        <v>5317</v>
      </c>
      <c r="AC52" s="84" t="s">
        <v>5318</v>
      </c>
      <c r="AD52" s="85" t="s">
        <v>5319</v>
      </c>
      <c r="AE52" s="84" t="s">
        <v>5320</v>
      </c>
      <c r="AF52" s="85" t="s">
        <v>5321</v>
      </c>
      <c r="AG52" s="84" t="s">
        <v>5322</v>
      </c>
      <c r="AH52" s="85" t="s">
        <v>5323</v>
      </c>
      <c r="AI52" s="84" t="s">
        <v>5324</v>
      </c>
      <c r="AJ52" s="85" t="s">
        <v>5325</v>
      </c>
      <c r="AK52" s="84" t="s">
        <v>5326</v>
      </c>
      <c r="AL52" s="85" t="s">
        <v>5327</v>
      </c>
      <c r="AM52" s="84" t="s">
        <v>5328</v>
      </c>
      <c r="AN52" s="136" t="s">
        <v>5329</v>
      </c>
      <c r="AO52" s="136" t="s">
        <v>5330</v>
      </c>
      <c r="AP52" t="str">
        <f t="shared" ref="AP52:AP56" si="19">BJ52&amp;BK52</f>
        <v xml:space="preserve"> * La variable Beneficiarios no puede ser mayor al Total.</v>
      </c>
      <c r="BJ52" s="1723" t="str">
        <f t="shared" ref="BJ52:BJ56" si="20">IF(AND(C52&gt;0,AN52="")," * No olvide digitar la columna Beneficiarios (Digite Cero si no tiene)",IF(AN52&gt;C52," * La variable Beneficiarios no puede ser mayor al Total.",""))</f>
        <v xml:space="preserve"> * La variable Beneficiarios no puede ser mayor al Total.</v>
      </c>
      <c r="BK52" s="1723" t="str">
        <f t="shared" ref="BK52:BK56" si="21">IF(AND(C52&gt;0,AO52="")," * No olvide digitar la columna Demanda de Urgencia. ",IF(AO52&lt;C52," *  La variable Demanda de Urgencia debe ser mayor o igual al Total Ambos Sexos.",""))</f>
        <v/>
      </c>
      <c r="BO52" s="1725">
        <f t="shared" ref="BO52:BO56" si="22">IF(AND(C52&gt;0,AN52=""),1,IF(AN52&gt;C52,1,0))</f>
        <v>1</v>
      </c>
      <c r="BP52" s="1725">
        <f t="shared" ref="BP52:BP56" si="23">IF(AND(C52&gt;0,AO52=""),1,IF(AO52&lt;C52,1,0))</f>
        <v>0</v>
      </c>
      <c r="BQ52" s="1725"/>
    </row>
    <row r="53" spans="1:69" x14ac:dyDescent="0.3">
      <c r="A53" s="6259" t="s">
        <v>4830</v>
      </c>
      <c r="B53" s="204" t="s">
        <v>276</v>
      </c>
      <c r="C53" s="79" t="s">
        <v>5292</v>
      </c>
      <c r="D53" s="80" t="s">
        <v>5293</v>
      </c>
      <c r="E53" s="81" t="s">
        <v>5294</v>
      </c>
      <c r="F53" s="82" t="s">
        <v>5295</v>
      </c>
      <c r="G53" s="83" t="s">
        <v>5296</v>
      </c>
      <c r="H53" s="82" t="s">
        <v>5297</v>
      </c>
      <c r="I53" s="83" t="s">
        <v>5298</v>
      </c>
      <c r="J53" s="82" t="s">
        <v>5299</v>
      </c>
      <c r="K53" s="84" t="s">
        <v>5300</v>
      </c>
      <c r="L53" s="82" t="s">
        <v>5301</v>
      </c>
      <c r="M53" s="84" t="s">
        <v>5302</v>
      </c>
      <c r="N53" s="82" t="s">
        <v>5303</v>
      </c>
      <c r="O53" s="84" t="s">
        <v>5304</v>
      </c>
      <c r="P53" s="85" t="s">
        <v>5305</v>
      </c>
      <c r="Q53" s="84" t="s">
        <v>5306</v>
      </c>
      <c r="R53" s="85" t="s">
        <v>5307</v>
      </c>
      <c r="S53" s="84" t="s">
        <v>5308</v>
      </c>
      <c r="T53" s="85" t="s">
        <v>5309</v>
      </c>
      <c r="U53" s="84" t="s">
        <v>5310</v>
      </c>
      <c r="V53" s="85" t="s">
        <v>5311</v>
      </c>
      <c r="W53" s="84" t="s">
        <v>5312</v>
      </c>
      <c r="X53" s="85" t="s">
        <v>5313</v>
      </c>
      <c r="Y53" s="84" t="s">
        <v>5314</v>
      </c>
      <c r="Z53" s="85" t="s">
        <v>5315</v>
      </c>
      <c r="AA53" s="84" t="s">
        <v>5316</v>
      </c>
      <c r="AB53" s="85" t="s">
        <v>5317</v>
      </c>
      <c r="AC53" s="84" t="s">
        <v>5318</v>
      </c>
      <c r="AD53" s="85" t="s">
        <v>5319</v>
      </c>
      <c r="AE53" s="84" t="s">
        <v>5320</v>
      </c>
      <c r="AF53" s="85" t="s">
        <v>5321</v>
      </c>
      <c r="AG53" s="84" t="s">
        <v>5322</v>
      </c>
      <c r="AH53" s="85" t="s">
        <v>5323</v>
      </c>
      <c r="AI53" s="84" t="s">
        <v>5324</v>
      </c>
      <c r="AJ53" s="85" t="s">
        <v>5325</v>
      </c>
      <c r="AK53" s="84" t="s">
        <v>5326</v>
      </c>
      <c r="AL53" s="85" t="s">
        <v>5327</v>
      </c>
      <c r="AM53" s="84" t="s">
        <v>5328</v>
      </c>
      <c r="AN53" s="136" t="s">
        <v>5329</v>
      </c>
      <c r="AO53" s="136" t="s">
        <v>5330</v>
      </c>
      <c r="AP53" t="str">
        <f t="shared" si="19"/>
        <v xml:space="preserve"> * La variable Beneficiarios no puede ser mayor al Total.</v>
      </c>
      <c r="BJ53" s="1723" t="str">
        <f t="shared" si="20"/>
        <v xml:space="preserve"> * La variable Beneficiarios no puede ser mayor al Total.</v>
      </c>
      <c r="BK53" s="1723" t="str">
        <f t="shared" si="21"/>
        <v/>
      </c>
      <c r="BO53" s="1725">
        <f t="shared" si="22"/>
        <v>1</v>
      </c>
      <c r="BP53" s="1725">
        <f t="shared" si="23"/>
        <v>0</v>
      </c>
      <c r="BQ53" s="1725"/>
    </row>
    <row r="54" spans="1:69" x14ac:dyDescent="0.3">
      <c r="A54" s="6259" t="s">
        <v>4831</v>
      </c>
      <c r="B54" s="204" t="s">
        <v>277</v>
      </c>
      <c r="C54" s="79" t="s">
        <v>5292</v>
      </c>
      <c r="D54" s="80" t="s">
        <v>5293</v>
      </c>
      <c r="E54" s="81" t="s">
        <v>5294</v>
      </c>
      <c r="F54" s="82" t="s">
        <v>5295</v>
      </c>
      <c r="G54" s="83" t="s">
        <v>5296</v>
      </c>
      <c r="H54" s="82" t="s">
        <v>5297</v>
      </c>
      <c r="I54" s="83" t="s">
        <v>5298</v>
      </c>
      <c r="J54" s="82" t="s">
        <v>5299</v>
      </c>
      <c r="K54" s="84" t="s">
        <v>5300</v>
      </c>
      <c r="L54" s="82" t="s">
        <v>5301</v>
      </c>
      <c r="M54" s="84" t="s">
        <v>5302</v>
      </c>
      <c r="N54" s="82" t="s">
        <v>5303</v>
      </c>
      <c r="O54" s="84" t="s">
        <v>5304</v>
      </c>
      <c r="P54" s="85" t="s">
        <v>5305</v>
      </c>
      <c r="Q54" s="84" t="s">
        <v>5306</v>
      </c>
      <c r="R54" s="85" t="s">
        <v>5307</v>
      </c>
      <c r="S54" s="84" t="s">
        <v>5308</v>
      </c>
      <c r="T54" s="85" t="s">
        <v>5309</v>
      </c>
      <c r="U54" s="84" t="s">
        <v>5310</v>
      </c>
      <c r="V54" s="85" t="s">
        <v>5311</v>
      </c>
      <c r="W54" s="84" t="s">
        <v>5312</v>
      </c>
      <c r="X54" s="85" t="s">
        <v>5313</v>
      </c>
      <c r="Y54" s="84" t="s">
        <v>5314</v>
      </c>
      <c r="Z54" s="85" t="s">
        <v>5315</v>
      </c>
      <c r="AA54" s="84" t="s">
        <v>5316</v>
      </c>
      <c r="AB54" s="85" t="s">
        <v>5317</v>
      </c>
      <c r="AC54" s="84" t="s">
        <v>5318</v>
      </c>
      <c r="AD54" s="85" t="s">
        <v>5319</v>
      </c>
      <c r="AE54" s="84" t="s">
        <v>5320</v>
      </c>
      <c r="AF54" s="85" t="s">
        <v>5321</v>
      </c>
      <c r="AG54" s="84" t="s">
        <v>5322</v>
      </c>
      <c r="AH54" s="85" t="s">
        <v>5323</v>
      </c>
      <c r="AI54" s="84" t="s">
        <v>5324</v>
      </c>
      <c r="AJ54" s="85" t="s">
        <v>5325</v>
      </c>
      <c r="AK54" s="84" t="s">
        <v>5326</v>
      </c>
      <c r="AL54" s="85" t="s">
        <v>5327</v>
      </c>
      <c r="AM54" s="84" t="s">
        <v>5328</v>
      </c>
      <c r="AN54" s="136" t="s">
        <v>5329</v>
      </c>
      <c r="AO54" s="136" t="s">
        <v>5330</v>
      </c>
      <c r="AP54" t="str">
        <f t="shared" si="19"/>
        <v xml:space="preserve"> * La variable Beneficiarios no puede ser mayor al Total.</v>
      </c>
      <c r="BJ54" s="1723" t="str">
        <f t="shared" si="20"/>
        <v xml:space="preserve"> * La variable Beneficiarios no puede ser mayor al Total.</v>
      </c>
      <c r="BK54" s="1723" t="str">
        <f t="shared" si="21"/>
        <v/>
      </c>
      <c r="BO54" s="1725">
        <f t="shared" si="22"/>
        <v>1</v>
      </c>
      <c r="BP54" s="1725">
        <f t="shared" si="23"/>
        <v>0</v>
      </c>
      <c r="BQ54" s="1725"/>
    </row>
    <row r="55" spans="1:69" x14ac:dyDescent="0.3">
      <c r="A55" s="6259" t="s">
        <v>4832</v>
      </c>
      <c r="B55" s="204" t="s">
        <v>192</v>
      </c>
      <c r="C55" s="79" t="s">
        <v>5292</v>
      </c>
      <c r="D55" s="80" t="s">
        <v>5293</v>
      </c>
      <c r="E55" s="81" t="s">
        <v>5294</v>
      </c>
      <c r="F55" s="82" t="s">
        <v>5295</v>
      </c>
      <c r="G55" s="83" t="s">
        <v>5296</v>
      </c>
      <c r="H55" s="82" t="s">
        <v>5297</v>
      </c>
      <c r="I55" s="83" t="s">
        <v>5298</v>
      </c>
      <c r="J55" s="82" t="s">
        <v>5299</v>
      </c>
      <c r="K55" s="84" t="s">
        <v>5300</v>
      </c>
      <c r="L55" s="82" t="s">
        <v>5301</v>
      </c>
      <c r="M55" s="84" t="s">
        <v>5302</v>
      </c>
      <c r="N55" s="82" t="s">
        <v>5303</v>
      </c>
      <c r="O55" s="84" t="s">
        <v>5304</v>
      </c>
      <c r="P55" s="85" t="s">
        <v>5305</v>
      </c>
      <c r="Q55" s="84" t="s">
        <v>5306</v>
      </c>
      <c r="R55" s="85" t="s">
        <v>5307</v>
      </c>
      <c r="S55" s="84" t="s">
        <v>5308</v>
      </c>
      <c r="T55" s="85" t="s">
        <v>5309</v>
      </c>
      <c r="U55" s="84" t="s">
        <v>5310</v>
      </c>
      <c r="V55" s="85" t="s">
        <v>5311</v>
      </c>
      <c r="W55" s="84" t="s">
        <v>5312</v>
      </c>
      <c r="X55" s="85" t="s">
        <v>5313</v>
      </c>
      <c r="Y55" s="84" t="s">
        <v>5314</v>
      </c>
      <c r="Z55" s="85" t="s">
        <v>5315</v>
      </c>
      <c r="AA55" s="84" t="s">
        <v>5316</v>
      </c>
      <c r="AB55" s="85" t="s">
        <v>5317</v>
      </c>
      <c r="AC55" s="84" t="s">
        <v>5318</v>
      </c>
      <c r="AD55" s="85" t="s">
        <v>5319</v>
      </c>
      <c r="AE55" s="84" t="s">
        <v>5320</v>
      </c>
      <c r="AF55" s="85" t="s">
        <v>5321</v>
      </c>
      <c r="AG55" s="84" t="s">
        <v>5322</v>
      </c>
      <c r="AH55" s="85" t="s">
        <v>5323</v>
      </c>
      <c r="AI55" s="84" t="s">
        <v>5324</v>
      </c>
      <c r="AJ55" s="85" t="s">
        <v>5325</v>
      </c>
      <c r="AK55" s="84" t="s">
        <v>5326</v>
      </c>
      <c r="AL55" s="85" t="s">
        <v>5327</v>
      </c>
      <c r="AM55" s="84" t="s">
        <v>5328</v>
      </c>
      <c r="AN55" s="136" t="s">
        <v>5329</v>
      </c>
      <c r="AO55" s="136" t="s">
        <v>5330</v>
      </c>
      <c r="AP55" t="str">
        <f t="shared" si="19"/>
        <v xml:space="preserve"> * La variable Beneficiarios no puede ser mayor al Total.</v>
      </c>
      <c r="BJ55" s="1723" t="str">
        <f t="shared" si="20"/>
        <v xml:space="preserve"> * La variable Beneficiarios no puede ser mayor al Total.</v>
      </c>
      <c r="BK55" s="1723" t="str">
        <f t="shared" si="21"/>
        <v/>
      </c>
      <c r="BO55" s="1725">
        <f t="shared" si="22"/>
        <v>1</v>
      </c>
      <c r="BP55" s="1725">
        <f t="shared" si="23"/>
        <v>0</v>
      </c>
      <c r="BQ55" s="1725"/>
    </row>
    <row r="56" spans="1:69" x14ac:dyDescent="0.3">
      <c r="A56" s="6259" t="s">
        <v>4833</v>
      </c>
      <c r="B56" s="207" t="s">
        <v>123</v>
      </c>
      <c r="C56" s="217" t="s">
        <v>5292</v>
      </c>
      <c r="D56" s="95" t="s">
        <v>5293</v>
      </c>
      <c r="E56" s="161" t="s">
        <v>5294</v>
      </c>
      <c r="F56" s="114" t="s">
        <v>5295</v>
      </c>
      <c r="G56" s="117" t="s">
        <v>5296</v>
      </c>
      <c r="H56" s="114" t="s">
        <v>5297</v>
      </c>
      <c r="I56" s="117" t="s">
        <v>5298</v>
      </c>
      <c r="J56" s="114" t="s">
        <v>5299</v>
      </c>
      <c r="K56" s="116" t="s">
        <v>5300</v>
      </c>
      <c r="L56" s="114" t="s">
        <v>5301</v>
      </c>
      <c r="M56" s="116" t="s">
        <v>5302</v>
      </c>
      <c r="N56" s="114" t="s">
        <v>5303</v>
      </c>
      <c r="O56" s="116" t="s">
        <v>5304</v>
      </c>
      <c r="P56" s="118" t="s">
        <v>5305</v>
      </c>
      <c r="Q56" s="116" t="s">
        <v>5306</v>
      </c>
      <c r="R56" s="118" t="s">
        <v>5307</v>
      </c>
      <c r="S56" s="116" t="s">
        <v>5308</v>
      </c>
      <c r="T56" s="118" t="s">
        <v>5309</v>
      </c>
      <c r="U56" s="116" t="s">
        <v>5310</v>
      </c>
      <c r="V56" s="118" t="s">
        <v>5311</v>
      </c>
      <c r="W56" s="116" t="s">
        <v>5312</v>
      </c>
      <c r="X56" s="118" t="s">
        <v>5313</v>
      </c>
      <c r="Y56" s="116" t="s">
        <v>5314</v>
      </c>
      <c r="Z56" s="118" t="s">
        <v>5315</v>
      </c>
      <c r="AA56" s="116" t="s">
        <v>5316</v>
      </c>
      <c r="AB56" s="118" t="s">
        <v>5317</v>
      </c>
      <c r="AC56" s="116" t="s">
        <v>5318</v>
      </c>
      <c r="AD56" s="118" t="s">
        <v>5319</v>
      </c>
      <c r="AE56" s="116" t="s">
        <v>5320</v>
      </c>
      <c r="AF56" s="118" t="s">
        <v>5321</v>
      </c>
      <c r="AG56" s="116" t="s">
        <v>5322</v>
      </c>
      <c r="AH56" s="118" t="s">
        <v>5323</v>
      </c>
      <c r="AI56" s="116" t="s">
        <v>5324</v>
      </c>
      <c r="AJ56" s="118" t="s">
        <v>5325</v>
      </c>
      <c r="AK56" s="116" t="s">
        <v>5326</v>
      </c>
      <c r="AL56" s="118" t="s">
        <v>5327</v>
      </c>
      <c r="AM56" s="116" t="s">
        <v>5328</v>
      </c>
      <c r="AN56" s="153" t="s">
        <v>5329</v>
      </c>
      <c r="AO56" s="153" t="s">
        <v>5330</v>
      </c>
      <c r="AP56" t="str">
        <f t="shared" si="19"/>
        <v xml:space="preserve"> * La variable Beneficiarios no puede ser mayor al Total.</v>
      </c>
      <c r="BJ56" s="1723" t="str">
        <f t="shared" si="20"/>
        <v xml:space="preserve"> * La variable Beneficiarios no puede ser mayor al Total.</v>
      </c>
      <c r="BK56" s="1723" t="str">
        <f t="shared" si="21"/>
        <v/>
      </c>
      <c r="BO56" s="1725">
        <f t="shared" si="22"/>
        <v>1</v>
      </c>
      <c r="BP56" s="1725">
        <f t="shared" si="23"/>
        <v>0</v>
      </c>
      <c r="BQ56" s="1725"/>
    </row>
    <row r="57" spans="1:69" s="17" customFormat="1" ht="18" customHeight="1" x14ac:dyDescent="0.25">
      <c r="B57" s="1735" t="s">
        <v>3928</v>
      </c>
      <c r="C57" s="1735"/>
      <c r="D57" s="1735"/>
      <c r="E57" s="1735"/>
      <c r="F57" s="1735"/>
      <c r="G57" s="1735"/>
      <c r="H57" s="1735"/>
      <c r="I57" s="1735"/>
      <c r="J57" s="1735"/>
      <c r="K57" s="1736"/>
      <c r="L57" s="1736"/>
      <c r="M57" s="1736"/>
      <c r="N57" s="1736"/>
      <c r="O57" s="1736"/>
      <c r="P57" s="1736"/>
      <c r="Q57" s="1736"/>
      <c r="R57" s="1736"/>
      <c r="S57" s="1736"/>
      <c r="T57" s="1736"/>
      <c r="U57" s="1736"/>
      <c r="V57" s="1736"/>
      <c r="W57" s="1736"/>
      <c r="X57" s="1736"/>
      <c r="Y57" s="1736"/>
      <c r="Z57" s="1736"/>
      <c r="AA57" s="1736"/>
      <c r="AB57" s="1736"/>
      <c r="AC57" s="1736"/>
      <c r="AD57" s="1736"/>
      <c r="AE57" s="1736"/>
      <c r="AF57" s="1736"/>
      <c r="AG57" s="1736"/>
      <c r="AH57" s="1736"/>
      <c r="AI57" s="1736"/>
      <c r="AJ57" s="1736"/>
      <c r="AK57" s="1736"/>
      <c r="AL57" s="1736"/>
      <c r="AM57" s="1736"/>
      <c r="AN57" s="1736"/>
      <c r="AO57" s="1736"/>
    </row>
    <row r="58" spans="1:69" x14ac:dyDescent="0.3">
      <c r="A58" s="6236"/>
      <c r="B58" s="6341" t="s">
        <v>280</v>
      </c>
      <c r="C58" s="7223" t="s">
        <v>24</v>
      </c>
      <c r="D58" s="6611"/>
      <c r="E58" s="7226"/>
      <c r="F58" s="7211" t="s">
        <v>30</v>
      </c>
      <c r="G58" s="7229"/>
      <c r="H58" s="7229"/>
      <c r="I58" s="7229"/>
      <c r="J58" s="7229"/>
      <c r="K58" s="7229"/>
      <c r="L58" s="7229"/>
      <c r="M58" s="7229"/>
      <c r="N58" s="7229"/>
      <c r="O58" s="7229"/>
      <c r="P58" s="7229"/>
      <c r="Q58" s="7229"/>
      <c r="R58" s="7229"/>
      <c r="S58" s="7229"/>
      <c r="T58" s="7229"/>
      <c r="U58" s="7229"/>
      <c r="V58" s="7229"/>
      <c r="W58" s="7229"/>
      <c r="X58" s="7229"/>
      <c r="Y58" s="7229"/>
      <c r="Z58" s="7229"/>
      <c r="AA58" s="7229"/>
      <c r="AB58" s="7229"/>
      <c r="AC58" s="7229"/>
      <c r="AD58" s="7229"/>
      <c r="AE58" s="7229"/>
      <c r="AF58" s="7229"/>
      <c r="AG58" s="7229"/>
      <c r="AH58" s="7229"/>
      <c r="AI58" s="7229"/>
      <c r="AJ58" s="7229"/>
      <c r="AK58" s="7229"/>
      <c r="AL58" s="7229"/>
      <c r="AM58" s="7212"/>
      <c r="AN58" s="6341" t="s">
        <v>281</v>
      </c>
      <c r="AO58" s="7202"/>
    </row>
    <row r="59" spans="1:69" x14ac:dyDescent="0.3">
      <c r="A59" s="6236"/>
      <c r="B59" s="6344"/>
      <c r="C59" s="7225"/>
      <c r="D59" s="7227"/>
      <c r="E59" s="7228"/>
      <c r="F59" s="7206" t="s">
        <v>36</v>
      </c>
      <c r="G59" s="7208"/>
      <c r="H59" s="7206" t="s">
        <v>37</v>
      </c>
      <c r="I59" s="7208"/>
      <c r="J59" s="7206" t="s">
        <v>38</v>
      </c>
      <c r="K59" s="7208"/>
      <c r="L59" s="7206" t="s">
        <v>4</v>
      </c>
      <c r="M59" s="7208"/>
      <c r="N59" s="7206" t="s">
        <v>5</v>
      </c>
      <c r="O59" s="7208"/>
      <c r="P59" s="7211" t="s">
        <v>6</v>
      </c>
      <c r="Q59" s="7212"/>
      <c r="R59" s="7211" t="s">
        <v>7</v>
      </c>
      <c r="S59" s="7212"/>
      <c r="T59" s="7211" t="s">
        <v>8</v>
      </c>
      <c r="U59" s="7212"/>
      <c r="V59" s="7211" t="s">
        <v>9</v>
      </c>
      <c r="W59" s="7212"/>
      <c r="X59" s="7211" t="s">
        <v>10</v>
      </c>
      <c r="Y59" s="7212"/>
      <c r="Z59" s="7211" t="s">
        <v>11</v>
      </c>
      <c r="AA59" s="7212"/>
      <c r="AB59" s="7211" t="s">
        <v>18</v>
      </c>
      <c r="AC59" s="7212"/>
      <c r="AD59" s="7211" t="s">
        <v>19</v>
      </c>
      <c r="AE59" s="7212"/>
      <c r="AF59" s="7211" t="s">
        <v>20</v>
      </c>
      <c r="AG59" s="7212"/>
      <c r="AH59" s="7211" t="s">
        <v>70</v>
      </c>
      <c r="AI59" s="7212"/>
      <c r="AJ59" s="7211" t="s">
        <v>71</v>
      </c>
      <c r="AK59" s="7212"/>
      <c r="AL59" s="6677" t="s">
        <v>32</v>
      </c>
      <c r="AM59" s="6682"/>
      <c r="AN59" s="7204"/>
      <c r="AO59" s="7205"/>
    </row>
    <row r="60" spans="1:69" ht="20.399999999999999" x14ac:dyDescent="0.3">
      <c r="A60" s="6236"/>
      <c r="B60" s="7204"/>
      <c r="C60" s="177" t="s">
        <v>26</v>
      </c>
      <c r="D60" s="178" t="s">
        <v>22</v>
      </c>
      <c r="E60" s="175" t="s">
        <v>27</v>
      </c>
      <c r="F60" s="201" t="s">
        <v>22</v>
      </c>
      <c r="G60" s="175" t="s">
        <v>27</v>
      </c>
      <c r="H60" s="201" t="s">
        <v>22</v>
      </c>
      <c r="I60" s="175" t="s">
        <v>27</v>
      </c>
      <c r="J60" s="201" t="s">
        <v>22</v>
      </c>
      <c r="K60" s="175" t="s">
        <v>27</v>
      </c>
      <c r="L60" s="201" t="s">
        <v>22</v>
      </c>
      <c r="M60" s="175" t="s">
        <v>27</v>
      </c>
      <c r="N60" s="201" t="s">
        <v>22</v>
      </c>
      <c r="O60" s="175" t="s">
        <v>27</v>
      </c>
      <c r="P60" s="201" t="s">
        <v>22</v>
      </c>
      <c r="Q60" s="175" t="s">
        <v>27</v>
      </c>
      <c r="R60" s="201" t="s">
        <v>22</v>
      </c>
      <c r="S60" s="175" t="s">
        <v>27</v>
      </c>
      <c r="T60" s="201" t="s">
        <v>22</v>
      </c>
      <c r="U60" s="175" t="s">
        <v>27</v>
      </c>
      <c r="V60" s="201" t="s">
        <v>22</v>
      </c>
      <c r="W60" s="174" t="s">
        <v>27</v>
      </c>
      <c r="X60" s="201" t="s">
        <v>22</v>
      </c>
      <c r="Y60" s="175" t="s">
        <v>27</v>
      </c>
      <c r="Z60" s="201" t="s">
        <v>22</v>
      </c>
      <c r="AA60" s="175" t="s">
        <v>27</v>
      </c>
      <c r="AB60" s="201" t="s">
        <v>22</v>
      </c>
      <c r="AC60" s="175" t="s">
        <v>27</v>
      </c>
      <c r="AD60" s="201" t="s">
        <v>22</v>
      </c>
      <c r="AE60" s="175" t="s">
        <v>27</v>
      </c>
      <c r="AF60" s="201" t="s">
        <v>22</v>
      </c>
      <c r="AG60" s="175" t="s">
        <v>27</v>
      </c>
      <c r="AH60" s="201" t="s">
        <v>22</v>
      </c>
      <c r="AI60" s="175" t="s">
        <v>27</v>
      </c>
      <c r="AJ60" s="201" t="s">
        <v>22</v>
      </c>
      <c r="AK60" s="175" t="s">
        <v>27</v>
      </c>
      <c r="AL60" s="201" t="s">
        <v>22</v>
      </c>
      <c r="AM60" s="175" t="s">
        <v>27</v>
      </c>
      <c r="AN60" s="219" t="s">
        <v>282</v>
      </c>
      <c r="AO60" s="175" t="s">
        <v>283</v>
      </c>
    </row>
    <row r="61" spans="1:69" x14ac:dyDescent="0.3">
      <c r="A61" s="6259" t="s">
        <v>4834</v>
      </c>
      <c r="B61" s="220" t="s">
        <v>284</v>
      </c>
      <c r="C61" s="212" t="s">
        <v>5292</v>
      </c>
      <c r="D61" s="213" t="s">
        <v>5293</v>
      </c>
      <c r="E61" s="214" t="s">
        <v>5294</v>
      </c>
      <c r="F61" s="186" t="s">
        <v>5295</v>
      </c>
      <c r="G61" s="187" t="s">
        <v>5296</v>
      </c>
      <c r="H61" s="186" t="s">
        <v>5297</v>
      </c>
      <c r="I61" s="185" t="s">
        <v>5298</v>
      </c>
      <c r="J61" s="186" t="s">
        <v>5299</v>
      </c>
      <c r="K61" s="185" t="s">
        <v>5300</v>
      </c>
      <c r="L61" s="186" t="s">
        <v>5301</v>
      </c>
      <c r="M61" s="185" t="s">
        <v>5302</v>
      </c>
      <c r="N61" s="186" t="s">
        <v>5303</v>
      </c>
      <c r="O61" s="185" t="s">
        <v>5304</v>
      </c>
      <c r="P61" s="186" t="s">
        <v>5305</v>
      </c>
      <c r="Q61" s="185" t="s">
        <v>5306</v>
      </c>
      <c r="R61" s="186" t="s">
        <v>5307</v>
      </c>
      <c r="S61" s="185" t="s">
        <v>5308</v>
      </c>
      <c r="T61" s="186" t="s">
        <v>5309</v>
      </c>
      <c r="U61" s="185" t="s">
        <v>5310</v>
      </c>
      <c r="V61" s="186" t="s">
        <v>5311</v>
      </c>
      <c r="W61" s="221" t="s">
        <v>5312</v>
      </c>
      <c r="X61" s="186" t="s">
        <v>5313</v>
      </c>
      <c r="Y61" s="185" t="s">
        <v>5314</v>
      </c>
      <c r="Z61" s="186" t="s">
        <v>5315</v>
      </c>
      <c r="AA61" s="185" t="s">
        <v>5316</v>
      </c>
      <c r="AB61" s="186" t="s">
        <v>5317</v>
      </c>
      <c r="AC61" s="185" t="s">
        <v>5318</v>
      </c>
      <c r="AD61" s="186" t="s">
        <v>5319</v>
      </c>
      <c r="AE61" s="185" t="s">
        <v>5320</v>
      </c>
      <c r="AF61" s="186" t="s">
        <v>5321</v>
      </c>
      <c r="AG61" s="185" t="s">
        <v>5322</v>
      </c>
      <c r="AH61" s="186" t="s">
        <v>5323</v>
      </c>
      <c r="AI61" s="185" t="s">
        <v>5324</v>
      </c>
      <c r="AJ61" s="186" t="s">
        <v>5325</v>
      </c>
      <c r="AK61" s="185" t="s">
        <v>5326</v>
      </c>
      <c r="AL61" s="215" t="s">
        <v>5327</v>
      </c>
      <c r="AM61" s="185" t="s">
        <v>5328</v>
      </c>
      <c r="AN61" s="215" t="s">
        <v>5329</v>
      </c>
      <c r="AO61" s="185" t="s">
        <v>5330</v>
      </c>
      <c r="AP61" t="e">
        <f>BJ61</f>
        <v>#VALUE!</v>
      </c>
      <c r="BJ61" s="1723" t="e">
        <f>IF((AN61+AO61)&lt;&gt;C61,"* La suma de las Herramientas de categorización debe ser igual al Total","")</f>
        <v>#VALUE!</v>
      </c>
      <c r="BK61" s="1723"/>
      <c r="BO61" s="1725" t="e">
        <f>IF((AN61+AO61)&lt;&gt;C61,1,0)</f>
        <v>#VALUE!</v>
      </c>
      <c r="BP61" s="1725"/>
      <c r="BQ61" s="1725"/>
    </row>
    <row r="62" spans="1:69" x14ac:dyDescent="0.3">
      <c r="A62" s="6259" t="s">
        <v>4835</v>
      </c>
      <c r="B62" s="222" t="s">
        <v>285</v>
      </c>
      <c r="C62" s="79" t="s">
        <v>5292</v>
      </c>
      <c r="D62" s="80" t="s">
        <v>5293</v>
      </c>
      <c r="E62" s="81" t="s">
        <v>5294</v>
      </c>
      <c r="F62" s="82" t="s">
        <v>5295</v>
      </c>
      <c r="G62" s="83" t="s">
        <v>5296</v>
      </c>
      <c r="H62" s="82" t="s">
        <v>5297</v>
      </c>
      <c r="I62" s="84" t="s">
        <v>5298</v>
      </c>
      <c r="J62" s="82" t="s">
        <v>5299</v>
      </c>
      <c r="K62" s="84" t="s">
        <v>5300</v>
      </c>
      <c r="L62" s="82" t="s">
        <v>5301</v>
      </c>
      <c r="M62" s="84" t="s">
        <v>5302</v>
      </c>
      <c r="N62" s="82" t="s">
        <v>5303</v>
      </c>
      <c r="O62" s="84" t="s">
        <v>5304</v>
      </c>
      <c r="P62" s="82" t="s">
        <v>5305</v>
      </c>
      <c r="Q62" s="84" t="s">
        <v>5306</v>
      </c>
      <c r="R62" s="82" t="s">
        <v>5307</v>
      </c>
      <c r="S62" s="84" t="s">
        <v>5308</v>
      </c>
      <c r="T62" s="82" t="s">
        <v>5309</v>
      </c>
      <c r="U62" s="84" t="s">
        <v>5310</v>
      </c>
      <c r="V62" s="82" t="s">
        <v>5311</v>
      </c>
      <c r="W62" s="130" t="s">
        <v>5312</v>
      </c>
      <c r="X62" s="82" t="s">
        <v>5313</v>
      </c>
      <c r="Y62" s="84" t="s">
        <v>5314</v>
      </c>
      <c r="Z62" s="82" t="s">
        <v>5315</v>
      </c>
      <c r="AA62" s="84" t="s">
        <v>5316</v>
      </c>
      <c r="AB62" s="82" t="s">
        <v>5317</v>
      </c>
      <c r="AC62" s="84" t="s">
        <v>5318</v>
      </c>
      <c r="AD62" s="82" t="s">
        <v>5319</v>
      </c>
      <c r="AE62" s="84" t="s">
        <v>5320</v>
      </c>
      <c r="AF62" s="82" t="s">
        <v>5321</v>
      </c>
      <c r="AG62" s="84" t="s">
        <v>5322</v>
      </c>
      <c r="AH62" s="82" t="s">
        <v>5323</v>
      </c>
      <c r="AI62" s="84" t="s">
        <v>5324</v>
      </c>
      <c r="AJ62" s="82" t="s">
        <v>5325</v>
      </c>
      <c r="AK62" s="84" t="s">
        <v>5326</v>
      </c>
      <c r="AL62" s="85" t="s">
        <v>5327</v>
      </c>
      <c r="AM62" s="84" t="s">
        <v>5328</v>
      </c>
      <c r="AN62" s="85" t="s">
        <v>5329</v>
      </c>
      <c r="AO62" s="84" t="s">
        <v>5330</v>
      </c>
      <c r="AP62" t="e">
        <f t="shared" ref="AP62:AP65" si="24">BJ62</f>
        <v>#VALUE!</v>
      </c>
      <c r="BJ62" s="1723" t="e">
        <f t="shared" ref="BJ62:BJ65" si="25">IF((AN62+AO62)&lt;&gt;C62,"* La suma de las Herramientas de categorización debe ser igual al Total","")</f>
        <v>#VALUE!</v>
      </c>
      <c r="BK62" s="1723"/>
      <c r="BO62" s="1725" t="e">
        <f t="shared" ref="BO62:BO65" si="26">IF((AN62+AO62)&lt;&gt;C62,1,0)</f>
        <v>#VALUE!</v>
      </c>
      <c r="BP62" s="1725"/>
      <c r="BQ62" s="1725"/>
    </row>
    <row r="63" spans="1:69" x14ac:dyDescent="0.3">
      <c r="A63" s="6259" t="s">
        <v>4836</v>
      </c>
      <c r="B63" s="222" t="s">
        <v>286</v>
      </c>
      <c r="C63" s="79" t="s">
        <v>5292</v>
      </c>
      <c r="D63" s="80" t="s">
        <v>5293</v>
      </c>
      <c r="E63" s="81" t="s">
        <v>5294</v>
      </c>
      <c r="F63" s="82" t="s">
        <v>5295</v>
      </c>
      <c r="G63" s="83" t="s">
        <v>5296</v>
      </c>
      <c r="H63" s="82" t="s">
        <v>5297</v>
      </c>
      <c r="I63" s="84" t="s">
        <v>5298</v>
      </c>
      <c r="J63" s="82" t="s">
        <v>5299</v>
      </c>
      <c r="K63" s="84" t="s">
        <v>5300</v>
      </c>
      <c r="L63" s="82" t="s">
        <v>5301</v>
      </c>
      <c r="M63" s="84" t="s">
        <v>5302</v>
      </c>
      <c r="N63" s="82" t="s">
        <v>5303</v>
      </c>
      <c r="O63" s="84" t="s">
        <v>5304</v>
      </c>
      <c r="P63" s="82" t="s">
        <v>5305</v>
      </c>
      <c r="Q63" s="84" t="s">
        <v>5306</v>
      </c>
      <c r="R63" s="82" t="s">
        <v>5307</v>
      </c>
      <c r="S63" s="84" t="s">
        <v>5308</v>
      </c>
      <c r="T63" s="82" t="s">
        <v>5309</v>
      </c>
      <c r="U63" s="84" t="s">
        <v>5310</v>
      </c>
      <c r="V63" s="82" t="s">
        <v>5311</v>
      </c>
      <c r="W63" s="130" t="s">
        <v>5312</v>
      </c>
      <c r="X63" s="82" t="s">
        <v>5313</v>
      </c>
      <c r="Y63" s="84" t="s">
        <v>5314</v>
      </c>
      <c r="Z63" s="82" t="s">
        <v>5315</v>
      </c>
      <c r="AA63" s="84" t="s">
        <v>5316</v>
      </c>
      <c r="AB63" s="82" t="s">
        <v>5317</v>
      </c>
      <c r="AC63" s="84" t="s">
        <v>5318</v>
      </c>
      <c r="AD63" s="82" t="s">
        <v>5319</v>
      </c>
      <c r="AE63" s="84" t="s">
        <v>5320</v>
      </c>
      <c r="AF63" s="82" t="s">
        <v>5321</v>
      </c>
      <c r="AG63" s="84" t="s">
        <v>5322</v>
      </c>
      <c r="AH63" s="82" t="s">
        <v>5323</v>
      </c>
      <c r="AI63" s="84" t="s">
        <v>5324</v>
      </c>
      <c r="AJ63" s="82" t="s">
        <v>5325</v>
      </c>
      <c r="AK63" s="84" t="s">
        <v>5326</v>
      </c>
      <c r="AL63" s="85" t="s">
        <v>5327</v>
      </c>
      <c r="AM63" s="84" t="s">
        <v>5328</v>
      </c>
      <c r="AN63" s="85" t="s">
        <v>5329</v>
      </c>
      <c r="AO63" s="84" t="s">
        <v>5330</v>
      </c>
      <c r="AP63" t="e">
        <f t="shared" si="24"/>
        <v>#VALUE!</v>
      </c>
      <c r="BJ63" s="1723" t="e">
        <f t="shared" si="25"/>
        <v>#VALUE!</v>
      </c>
      <c r="BK63" s="1723"/>
      <c r="BO63" s="1725" t="e">
        <f t="shared" si="26"/>
        <v>#VALUE!</v>
      </c>
      <c r="BP63" s="1725"/>
      <c r="BQ63" s="1725"/>
    </row>
    <row r="64" spans="1:69" x14ac:dyDescent="0.3">
      <c r="A64" s="6259" t="s">
        <v>4837</v>
      </c>
      <c r="B64" s="222" t="s">
        <v>287</v>
      </c>
      <c r="C64" s="79" t="s">
        <v>5292</v>
      </c>
      <c r="D64" s="80" t="s">
        <v>5293</v>
      </c>
      <c r="E64" s="81" t="s">
        <v>5294</v>
      </c>
      <c r="F64" s="82" t="s">
        <v>5295</v>
      </c>
      <c r="G64" s="83" t="s">
        <v>5296</v>
      </c>
      <c r="H64" s="82" t="s">
        <v>5297</v>
      </c>
      <c r="I64" s="84" t="s">
        <v>5298</v>
      </c>
      <c r="J64" s="82" t="s">
        <v>5299</v>
      </c>
      <c r="K64" s="84" t="s">
        <v>5300</v>
      </c>
      <c r="L64" s="82" t="s">
        <v>5301</v>
      </c>
      <c r="M64" s="84" t="s">
        <v>5302</v>
      </c>
      <c r="N64" s="82" t="s">
        <v>5303</v>
      </c>
      <c r="O64" s="84" t="s">
        <v>5304</v>
      </c>
      <c r="P64" s="82" t="s">
        <v>5305</v>
      </c>
      <c r="Q64" s="84" t="s">
        <v>5306</v>
      </c>
      <c r="R64" s="82" t="s">
        <v>5307</v>
      </c>
      <c r="S64" s="84" t="s">
        <v>5308</v>
      </c>
      <c r="T64" s="82" t="s">
        <v>5309</v>
      </c>
      <c r="U64" s="84" t="s">
        <v>5310</v>
      </c>
      <c r="V64" s="82" t="s">
        <v>5311</v>
      </c>
      <c r="W64" s="130" t="s">
        <v>5312</v>
      </c>
      <c r="X64" s="82" t="s">
        <v>5313</v>
      </c>
      <c r="Y64" s="84" t="s">
        <v>5314</v>
      </c>
      <c r="Z64" s="82" t="s">
        <v>5315</v>
      </c>
      <c r="AA64" s="84" t="s">
        <v>5316</v>
      </c>
      <c r="AB64" s="82" t="s">
        <v>5317</v>
      </c>
      <c r="AC64" s="84" t="s">
        <v>5318</v>
      </c>
      <c r="AD64" s="82" t="s">
        <v>5319</v>
      </c>
      <c r="AE64" s="84" t="s">
        <v>5320</v>
      </c>
      <c r="AF64" s="82" t="s">
        <v>5321</v>
      </c>
      <c r="AG64" s="84" t="s">
        <v>5322</v>
      </c>
      <c r="AH64" s="82" t="s">
        <v>5323</v>
      </c>
      <c r="AI64" s="84" t="s">
        <v>5324</v>
      </c>
      <c r="AJ64" s="82" t="s">
        <v>5325</v>
      </c>
      <c r="AK64" s="84" t="s">
        <v>5326</v>
      </c>
      <c r="AL64" s="85" t="s">
        <v>5327</v>
      </c>
      <c r="AM64" s="84" t="s">
        <v>5328</v>
      </c>
      <c r="AN64" s="85" t="s">
        <v>5329</v>
      </c>
      <c r="AO64" s="84" t="s">
        <v>5330</v>
      </c>
      <c r="AP64" t="e">
        <f t="shared" si="24"/>
        <v>#VALUE!</v>
      </c>
      <c r="BJ64" s="1723" t="e">
        <f t="shared" si="25"/>
        <v>#VALUE!</v>
      </c>
      <c r="BK64" s="1723"/>
      <c r="BO64" s="1725" t="e">
        <f t="shared" si="26"/>
        <v>#VALUE!</v>
      </c>
      <c r="BP64" s="1725"/>
      <c r="BQ64" s="1725"/>
    </row>
    <row r="65" spans="1:69" x14ac:dyDescent="0.3">
      <c r="A65" s="6259" t="s">
        <v>4838</v>
      </c>
      <c r="B65" s="223" t="s">
        <v>288</v>
      </c>
      <c r="C65" s="87" t="s">
        <v>5292</v>
      </c>
      <c r="D65" s="88" t="s">
        <v>5293</v>
      </c>
      <c r="E65" s="89" t="s">
        <v>5294</v>
      </c>
      <c r="F65" s="90" t="s">
        <v>5295</v>
      </c>
      <c r="G65" s="91" t="s">
        <v>5296</v>
      </c>
      <c r="H65" s="90" t="s">
        <v>5297</v>
      </c>
      <c r="I65" s="92" t="s">
        <v>5298</v>
      </c>
      <c r="J65" s="90" t="s">
        <v>5299</v>
      </c>
      <c r="K65" s="92" t="s">
        <v>5300</v>
      </c>
      <c r="L65" s="90" t="s">
        <v>5301</v>
      </c>
      <c r="M65" s="92" t="s">
        <v>5302</v>
      </c>
      <c r="N65" s="90" t="s">
        <v>5303</v>
      </c>
      <c r="O65" s="92" t="s">
        <v>5304</v>
      </c>
      <c r="P65" s="90" t="s">
        <v>5305</v>
      </c>
      <c r="Q65" s="92" t="s">
        <v>5306</v>
      </c>
      <c r="R65" s="90" t="s">
        <v>5307</v>
      </c>
      <c r="S65" s="92" t="s">
        <v>5308</v>
      </c>
      <c r="T65" s="90" t="s">
        <v>5309</v>
      </c>
      <c r="U65" s="92" t="s">
        <v>5310</v>
      </c>
      <c r="V65" s="90" t="s">
        <v>5311</v>
      </c>
      <c r="W65" s="128" t="s">
        <v>5312</v>
      </c>
      <c r="X65" s="90" t="s">
        <v>5313</v>
      </c>
      <c r="Y65" s="92" t="s">
        <v>5314</v>
      </c>
      <c r="Z65" s="90" t="s">
        <v>5315</v>
      </c>
      <c r="AA65" s="92" t="s">
        <v>5316</v>
      </c>
      <c r="AB65" s="90" t="s">
        <v>5317</v>
      </c>
      <c r="AC65" s="92" t="s">
        <v>5318</v>
      </c>
      <c r="AD65" s="90" t="s">
        <v>5319</v>
      </c>
      <c r="AE65" s="92" t="s">
        <v>5320</v>
      </c>
      <c r="AF65" s="90" t="s">
        <v>5321</v>
      </c>
      <c r="AG65" s="92" t="s">
        <v>5322</v>
      </c>
      <c r="AH65" s="90" t="s">
        <v>5323</v>
      </c>
      <c r="AI65" s="92" t="s">
        <v>5324</v>
      </c>
      <c r="AJ65" s="90" t="s">
        <v>5325</v>
      </c>
      <c r="AK65" s="92" t="s">
        <v>5326</v>
      </c>
      <c r="AL65" s="93" t="s">
        <v>5327</v>
      </c>
      <c r="AM65" s="92" t="s">
        <v>5328</v>
      </c>
      <c r="AN65" s="93" t="s">
        <v>5329</v>
      </c>
      <c r="AO65" s="92" t="s">
        <v>5330</v>
      </c>
      <c r="AP65" t="e">
        <f t="shared" si="24"/>
        <v>#VALUE!</v>
      </c>
      <c r="BJ65" s="1723" t="e">
        <f t="shared" si="25"/>
        <v>#VALUE!</v>
      </c>
      <c r="BK65" s="1723"/>
      <c r="BO65" s="1725" t="e">
        <f t="shared" si="26"/>
        <v>#VALUE!</v>
      </c>
      <c r="BP65" s="1725"/>
      <c r="BQ65" s="1725"/>
    </row>
    <row r="66" spans="1:69" x14ac:dyDescent="0.3">
      <c r="A66" s="6259" t="s">
        <v>4839</v>
      </c>
      <c r="B66" s="224" t="s">
        <v>289</v>
      </c>
      <c r="C66" s="217" t="s">
        <v>5292</v>
      </c>
      <c r="D66" s="95" t="s">
        <v>5293</v>
      </c>
      <c r="E66" s="161" t="s">
        <v>5294</v>
      </c>
      <c r="F66" s="114" t="s">
        <v>5295</v>
      </c>
      <c r="G66" s="117" t="s">
        <v>5296</v>
      </c>
      <c r="H66" s="114" t="s">
        <v>5297</v>
      </c>
      <c r="I66" s="116" t="s">
        <v>5298</v>
      </c>
      <c r="J66" s="114" t="s">
        <v>5299</v>
      </c>
      <c r="K66" s="116" t="s">
        <v>5300</v>
      </c>
      <c r="L66" s="114" t="s">
        <v>5301</v>
      </c>
      <c r="M66" s="116" t="s">
        <v>5302</v>
      </c>
      <c r="N66" s="114" t="s">
        <v>5303</v>
      </c>
      <c r="O66" s="116" t="s">
        <v>5304</v>
      </c>
      <c r="P66" s="114" t="s">
        <v>5305</v>
      </c>
      <c r="Q66" s="116" t="s">
        <v>5306</v>
      </c>
      <c r="R66" s="114" t="s">
        <v>5307</v>
      </c>
      <c r="S66" s="116" t="s">
        <v>5308</v>
      </c>
      <c r="T66" s="114" t="s">
        <v>5309</v>
      </c>
      <c r="U66" s="116" t="s">
        <v>5310</v>
      </c>
      <c r="V66" s="114" t="s">
        <v>5311</v>
      </c>
      <c r="W66" s="137" t="s">
        <v>5312</v>
      </c>
      <c r="X66" s="114" t="s">
        <v>5313</v>
      </c>
      <c r="Y66" s="116" t="s">
        <v>5314</v>
      </c>
      <c r="Z66" s="114" t="s">
        <v>5315</v>
      </c>
      <c r="AA66" s="116" t="s">
        <v>5316</v>
      </c>
      <c r="AB66" s="114" t="s">
        <v>5317</v>
      </c>
      <c r="AC66" s="116" t="s">
        <v>5318</v>
      </c>
      <c r="AD66" s="114" t="s">
        <v>5319</v>
      </c>
      <c r="AE66" s="116" t="s">
        <v>5320</v>
      </c>
      <c r="AF66" s="114" t="s">
        <v>5321</v>
      </c>
      <c r="AG66" s="116" t="s">
        <v>5322</v>
      </c>
      <c r="AH66" s="114" t="s">
        <v>5323</v>
      </c>
      <c r="AI66" s="116" t="s">
        <v>5324</v>
      </c>
      <c r="AJ66" s="114" t="s">
        <v>5325</v>
      </c>
      <c r="AK66" s="116" t="s">
        <v>5326</v>
      </c>
      <c r="AL66" s="118" t="s">
        <v>5327</v>
      </c>
      <c r="AM66" s="116" t="s">
        <v>5328</v>
      </c>
      <c r="AN66" s="225" t="s">
        <v>5329</v>
      </c>
      <c r="AO66" s="225" t="s">
        <v>5330</v>
      </c>
    </row>
    <row r="67" spans="1:69" x14ac:dyDescent="0.3">
      <c r="A67" s="6267"/>
      <c r="B67" s="173" t="s">
        <v>24</v>
      </c>
      <c r="C67" s="1737">
        <f t="shared" ref="C67:AM67" si="27">SUM(C61:C66)</f>
        <v>0</v>
      </c>
      <c r="D67" s="1738">
        <f t="shared" si="27"/>
        <v>0</v>
      </c>
      <c r="E67" s="226">
        <f t="shared" si="27"/>
        <v>0</v>
      </c>
      <c r="F67" s="1739">
        <f t="shared" si="27"/>
        <v>0</v>
      </c>
      <c r="G67" s="1740">
        <f t="shared" si="27"/>
        <v>0</v>
      </c>
      <c r="H67" s="1739">
        <f t="shared" si="27"/>
        <v>0</v>
      </c>
      <c r="I67" s="1741">
        <f t="shared" si="27"/>
        <v>0</v>
      </c>
      <c r="J67" s="1739">
        <f t="shared" si="27"/>
        <v>0</v>
      </c>
      <c r="K67" s="1741">
        <f t="shared" si="27"/>
        <v>0</v>
      </c>
      <c r="L67" s="1739">
        <f t="shared" si="27"/>
        <v>0</v>
      </c>
      <c r="M67" s="1741">
        <f t="shared" si="27"/>
        <v>0</v>
      </c>
      <c r="N67" s="1739">
        <f t="shared" si="27"/>
        <v>0</v>
      </c>
      <c r="O67" s="1741">
        <f t="shared" si="27"/>
        <v>0</v>
      </c>
      <c r="P67" s="1739">
        <f t="shared" si="27"/>
        <v>0</v>
      </c>
      <c r="Q67" s="1741">
        <f t="shared" si="27"/>
        <v>0</v>
      </c>
      <c r="R67" s="1739">
        <f t="shared" si="27"/>
        <v>0</v>
      </c>
      <c r="S67" s="1741">
        <f t="shared" si="27"/>
        <v>0</v>
      </c>
      <c r="T67" s="1739">
        <f t="shared" si="27"/>
        <v>0</v>
      </c>
      <c r="U67" s="1741">
        <f t="shared" si="27"/>
        <v>0</v>
      </c>
      <c r="V67" s="1742">
        <f t="shared" si="27"/>
        <v>0</v>
      </c>
      <c r="W67" s="1743">
        <f t="shared" si="27"/>
        <v>0</v>
      </c>
      <c r="X67" s="1739">
        <f t="shared" si="27"/>
        <v>0</v>
      </c>
      <c r="Y67" s="1741">
        <f t="shared" si="27"/>
        <v>0</v>
      </c>
      <c r="Z67" s="1739">
        <f t="shared" si="27"/>
        <v>0</v>
      </c>
      <c r="AA67" s="1741">
        <f t="shared" si="27"/>
        <v>0</v>
      </c>
      <c r="AB67" s="1739">
        <f t="shared" si="27"/>
        <v>0</v>
      </c>
      <c r="AC67" s="1741">
        <f t="shared" si="27"/>
        <v>0</v>
      </c>
      <c r="AD67" s="1739">
        <f t="shared" si="27"/>
        <v>0</v>
      </c>
      <c r="AE67" s="1741">
        <f t="shared" si="27"/>
        <v>0</v>
      </c>
      <c r="AF67" s="1739">
        <f t="shared" si="27"/>
        <v>0</v>
      </c>
      <c r="AG67" s="1741">
        <f t="shared" si="27"/>
        <v>0</v>
      </c>
      <c r="AH67" s="1739">
        <f t="shared" si="27"/>
        <v>0</v>
      </c>
      <c r="AI67" s="1741">
        <f t="shared" si="27"/>
        <v>0</v>
      </c>
      <c r="AJ67" s="1739">
        <f t="shared" si="27"/>
        <v>0</v>
      </c>
      <c r="AK67" s="1741">
        <f t="shared" si="27"/>
        <v>0</v>
      </c>
      <c r="AL67" s="1744">
        <f t="shared" si="27"/>
        <v>0</v>
      </c>
      <c r="AM67" s="1741">
        <f t="shared" si="27"/>
        <v>0</v>
      </c>
      <c r="AN67" s="1744">
        <f>SUM(AN61:AN65)</f>
        <v>0</v>
      </c>
      <c r="AO67" s="1741">
        <f>SUM(AO61:AO65)</f>
        <v>0</v>
      </c>
    </row>
    <row r="68" spans="1:69" s="17" customFormat="1" ht="18" customHeight="1" x14ac:dyDescent="0.25">
      <c r="B68" s="1735" t="s">
        <v>290</v>
      </c>
      <c r="C68" s="1735"/>
      <c r="D68" s="1735"/>
      <c r="E68" s="1735"/>
      <c r="F68" s="1735"/>
      <c r="G68" s="1735"/>
      <c r="H68" s="1735"/>
      <c r="I68" s="1735"/>
    </row>
    <row r="69" spans="1:69" ht="27" customHeight="1" x14ac:dyDescent="0.3">
      <c r="B69" s="1707" t="s">
        <v>291</v>
      </c>
      <c r="C69" s="227" t="s">
        <v>63</v>
      </c>
      <c r="D69" s="227" t="s">
        <v>3884</v>
      </c>
      <c r="E69" s="227" t="s">
        <v>3885</v>
      </c>
      <c r="F69" s="227" t="s">
        <v>28</v>
      </c>
    </row>
    <row r="70" spans="1:69" x14ac:dyDescent="0.3">
      <c r="A70" s="6259" t="s">
        <v>4840</v>
      </c>
      <c r="B70" s="228" t="s">
        <v>225</v>
      </c>
      <c r="C70" s="229" t="s">
        <v>5292</v>
      </c>
      <c r="D70" s="188" t="s">
        <v>5293</v>
      </c>
      <c r="E70" s="188" t="s">
        <v>5294</v>
      </c>
      <c r="F70" s="188" t="s">
        <v>5295</v>
      </c>
      <c r="BJ70" s="1723"/>
      <c r="BK70" s="1723"/>
      <c r="BL70" s="1723"/>
      <c r="BM70" s="1723"/>
      <c r="BO70" s="1725"/>
      <c r="BP70" s="1725"/>
      <c r="BQ70" s="1725"/>
    </row>
    <row r="71" spans="1:69" x14ac:dyDescent="0.3">
      <c r="A71" s="6259" t="s">
        <v>4841</v>
      </c>
      <c r="B71" s="78" t="s">
        <v>292</v>
      </c>
      <c r="C71" s="230" t="s">
        <v>5292</v>
      </c>
      <c r="D71" s="136" t="s">
        <v>5293</v>
      </c>
      <c r="E71" s="136" t="s">
        <v>5294</v>
      </c>
      <c r="F71" s="136" t="s">
        <v>5295</v>
      </c>
      <c r="BJ71" s="1723"/>
      <c r="BK71" s="1723"/>
      <c r="BL71" s="1723"/>
      <c r="BM71" s="1723"/>
      <c r="BO71" s="1725"/>
      <c r="BP71" s="1725"/>
      <c r="BQ71" s="1725"/>
    </row>
    <row r="72" spans="1:69" x14ac:dyDescent="0.3">
      <c r="A72" s="6259" t="s">
        <v>4842</v>
      </c>
      <c r="B72" s="78" t="s">
        <v>230</v>
      </c>
      <c r="C72" s="230" t="s">
        <v>5292</v>
      </c>
      <c r="D72" s="136" t="s">
        <v>5293</v>
      </c>
      <c r="E72" s="136" t="s">
        <v>5294</v>
      </c>
      <c r="F72" s="136" t="s">
        <v>5295</v>
      </c>
      <c r="BJ72" s="1723"/>
      <c r="BK72" s="1723"/>
      <c r="BL72" s="1723"/>
      <c r="BM72" s="1723"/>
      <c r="BO72" s="1725"/>
      <c r="BP72" s="1725"/>
      <c r="BQ72" s="1725"/>
    </row>
    <row r="73" spans="1:69" x14ac:dyDescent="0.3">
      <c r="A73" s="6259" t="s">
        <v>4843</v>
      </c>
      <c r="B73" s="78" t="s">
        <v>293</v>
      </c>
      <c r="C73" s="230" t="s">
        <v>5292</v>
      </c>
      <c r="D73" s="136" t="s">
        <v>5293</v>
      </c>
      <c r="E73" s="136" t="s">
        <v>5294</v>
      </c>
      <c r="F73" s="136" t="s">
        <v>5295</v>
      </c>
      <c r="BJ73" s="1723"/>
      <c r="BK73" s="1723"/>
      <c r="BL73" s="1723"/>
      <c r="BM73" s="1723"/>
      <c r="BO73" s="1725"/>
      <c r="BP73" s="1725"/>
      <c r="BQ73" s="1725"/>
    </row>
    <row r="74" spans="1:69" x14ac:dyDescent="0.3">
      <c r="A74" s="6259" t="s">
        <v>4844</v>
      </c>
      <c r="B74" s="78" t="s">
        <v>238</v>
      </c>
      <c r="C74" s="230" t="s">
        <v>5292</v>
      </c>
      <c r="D74" s="136" t="s">
        <v>5293</v>
      </c>
      <c r="E74" s="136" t="s">
        <v>5294</v>
      </c>
      <c r="F74" s="136" t="s">
        <v>5295</v>
      </c>
      <c r="BJ74" s="1723"/>
      <c r="BK74" s="1723"/>
      <c r="BL74" s="1723"/>
      <c r="BM74" s="1723"/>
      <c r="BO74" s="1725"/>
      <c r="BP74" s="1725"/>
      <c r="BQ74" s="1725"/>
    </row>
    <row r="75" spans="1:69" x14ac:dyDescent="0.3">
      <c r="A75" s="6259" t="s">
        <v>4845</v>
      </c>
      <c r="B75" s="78" t="s">
        <v>239</v>
      </c>
      <c r="C75" s="230" t="s">
        <v>5292</v>
      </c>
      <c r="D75" s="136" t="s">
        <v>5293</v>
      </c>
      <c r="E75" s="136" t="s">
        <v>5294</v>
      </c>
      <c r="F75" s="136" t="s">
        <v>5295</v>
      </c>
      <c r="BJ75" s="1723"/>
      <c r="BK75" s="1723"/>
      <c r="BL75" s="1723"/>
      <c r="BM75" s="1723"/>
      <c r="BO75" s="1725"/>
      <c r="BP75" s="1725"/>
      <c r="BQ75" s="1725"/>
    </row>
    <row r="76" spans="1:69" x14ac:dyDescent="0.3">
      <c r="A76" s="6259" t="s">
        <v>4846</v>
      </c>
      <c r="B76" s="78" t="s">
        <v>224</v>
      </c>
      <c r="C76" s="230" t="s">
        <v>5292</v>
      </c>
      <c r="D76" s="136" t="s">
        <v>5293</v>
      </c>
      <c r="E76" s="136" t="s">
        <v>5294</v>
      </c>
      <c r="F76" s="136" t="s">
        <v>5295</v>
      </c>
      <c r="BJ76" s="1723"/>
      <c r="BK76" s="1723"/>
      <c r="BL76" s="1723"/>
      <c r="BM76" s="1723"/>
      <c r="BO76" s="1725"/>
      <c r="BP76" s="1725"/>
      <c r="BQ76" s="1725"/>
    </row>
    <row r="77" spans="1:69" x14ac:dyDescent="0.3">
      <c r="A77" s="6259" t="s">
        <v>4847</v>
      </c>
      <c r="B77" s="78" t="s">
        <v>294</v>
      </c>
      <c r="C77" s="230" t="s">
        <v>5292</v>
      </c>
      <c r="D77" s="136" t="s">
        <v>5293</v>
      </c>
      <c r="E77" s="136" t="s">
        <v>5294</v>
      </c>
      <c r="F77" s="136" t="s">
        <v>5295</v>
      </c>
      <c r="BJ77" s="1723"/>
      <c r="BK77" s="1723"/>
      <c r="BL77" s="1723"/>
      <c r="BM77" s="1723"/>
      <c r="BO77" s="1725"/>
      <c r="BP77" s="1725"/>
      <c r="BQ77" s="1725"/>
    </row>
    <row r="78" spans="1:69" x14ac:dyDescent="0.3">
      <c r="A78" s="6259" t="s">
        <v>4848</v>
      </c>
      <c r="B78" s="78" t="s">
        <v>234</v>
      </c>
      <c r="C78" s="230" t="s">
        <v>5292</v>
      </c>
      <c r="D78" s="136" t="s">
        <v>5293</v>
      </c>
      <c r="E78" s="136" t="s">
        <v>5294</v>
      </c>
      <c r="F78" s="136" t="s">
        <v>5295</v>
      </c>
      <c r="BJ78" s="1723"/>
      <c r="BK78" s="1723"/>
      <c r="BL78" s="1723"/>
      <c r="BM78" s="1723"/>
      <c r="BO78" s="1725"/>
      <c r="BP78" s="1725"/>
      <c r="BQ78" s="1725"/>
    </row>
    <row r="79" spans="1:69" x14ac:dyDescent="0.3">
      <c r="A79" s="6259" t="s">
        <v>4849</v>
      </c>
      <c r="B79" s="78" t="s">
        <v>295</v>
      </c>
      <c r="C79" s="230" t="s">
        <v>5292</v>
      </c>
      <c r="D79" s="136" t="s">
        <v>5293</v>
      </c>
      <c r="E79" s="136" t="s">
        <v>5294</v>
      </c>
      <c r="F79" s="136" t="s">
        <v>5295</v>
      </c>
      <c r="BJ79" s="1723"/>
      <c r="BK79" s="1723"/>
      <c r="BL79" s="1723"/>
      <c r="BM79" s="1723"/>
      <c r="BO79" s="1725"/>
      <c r="BP79" s="1725"/>
      <c r="BQ79" s="1725"/>
    </row>
    <row r="80" spans="1:69" x14ac:dyDescent="0.3">
      <c r="A80" s="6259" t="s">
        <v>4850</v>
      </c>
      <c r="B80" s="78" t="s">
        <v>296</v>
      </c>
      <c r="C80" s="230" t="s">
        <v>5292</v>
      </c>
      <c r="D80" s="136" t="s">
        <v>5293</v>
      </c>
      <c r="E80" s="136" t="s">
        <v>5294</v>
      </c>
      <c r="F80" s="136" t="s">
        <v>5295</v>
      </c>
      <c r="BJ80" s="1723"/>
      <c r="BK80" s="1723"/>
      <c r="BL80" s="1723"/>
      <c r="BM80" s="1723"/>
      <c r="BO80" s="1725"/>
      <c r="BP80" s="1725"/>
      <c r="BQ80" s="1725"/>
    </row>
    <row r="81" spans="1:70" x14ac:dyDescent="0.3">
      <c r="A81" s="6259" t="s">
        <v>4851</v>
      </c>
      <c r="B81" s="231" t="s">
        <v>297</v>
      </c>
      <c r="C81" s="230" t="s">
        <v>5292</v>
      </c>
      <c r="D81" s="136" t="s">
        <v>5293</v>
      </c>
      <c r="E81" s="136" t="s">
        <v>5294</v>
      </c>
      <c r="F81" s="136" t="s">
        <v>5295</v>
      </c>
      <c r="BJ81" s="1723"/>
      <c r="BK81" s="1723"/>
      <c r="BL81" s="1723"/>
      <c r="BM81" s="1723"/>
      <c r="BO81" s="1725"/>
      <c r="BP81" s="1725"/>
      <c r="BQ81" s="1725"/>
    </row>
    <row r="82" spans="1:70" x14ac:dyDescent="0.3">
      <c r="A82" s="6259" t="s">
        <v>4852</v>
      </c>
      <c r="B82" s="78" t="s">
        <v>298</v>
      </c>
      <c r="C82" s="230" t="s">
        <v>5292</v>
      </c>
      <c r="D82" s="136" t="s">
        <v>5293</v>
      </c>
      <c r="E82" s="136" t="s">
        <v>5294</v>
      </c>
      <c r="F82" s="136" t="s">
        <v>5295</v>
      </c>
      <c r="BJ82" s="1723"/>
      <c r="BK82" s="1723"/>
      <c r="BL82" s="1723"/>
      <c r="BM82" s="1723"/>
      <c r="BO82" s="1725"/>
      <c r="BP82" s="1725"/>
      <c r="BQ82" s="1725"/>
    </row>
    <row r="83" spans="1:70" x14ac:dyDescent="0.3">
      <c r="A83" s="6259" t="s">
        <v>4853</v>
      </c>
      <c r="B83" s="78" t="s">
        <v>233</v>
      </c>
      <c r="C83" s="230" t="s">
        <v>5292</v>
      </c>
      <c r="D83" s="136" t="s">
        <v>5293</v>
      </c>
      <c r="E83" s="136" t="s">
        <v>5294</v>
      </c>
      <c r="F83" s="136" t="s">
        <v>5295</v>
      </c>
      <c r="BJ83" s="1723"/>
      <c r="BK83" s="1723"/>
      <c r="BL83" s="1723"/>
      <c r="BM83" s="1723"/>
      <c r="BO83" s="1725"/>
      <c r="BP83" s="1725"/>
      <c r="BQ83" s="1725"/>
    </row>
    <row r="84" spans="1:70" x14ac:dyDescent="0.3">
      <c r="A84" s="6259" t="s">
        <v>4854</v>
      </c>
      <c r="B84" s="78" t="s">
        <v>299</v>
      </c>
      <c r="C84" s="230" t="s">
        <v>5292</v>
      </c>
      <c r="D84" s="136" t="s">
        <v>5293</v>
      </c>
      <c r="E84" s="136" t="s">
        <v>5294</v>
      </c>
      <c r="F84" s="136" t="s">
        <v>5295</v>
      </c>
      <c r="BJ84" s="1723"/>
      <c r="BK84" s="1723"/>
      <c r="BL84" s="1723"/>
      <c r="BM84" s="1723"/>
      <c r="BO84" s="1725"/>
      <c r="BP84" s="1725"/>
      <c r="BQ84" s="1725"/>
    </row>
    <row r="85" spans="1:70" x14ac:dyDescent="0.3">
      <c r="A85" s="6259" t="s">
        <v>4855</v>
      </c>
      <c r="B85" s="78" t="s">
        <v>231</v>
      </c>
      <c r="C85" s="230" t="s">
        <v>5292</v>
      </c>
      <c r="D85" s="136" t="s">
        <v>5293</v>
      </c>
      <c r="E85" s="136" t="s">
        <v>5294</v>
      </c>
      <c r="F85" s="136" t="s">
        <v>5295</v>
      </c>
      <c r="BJ85" s="1723"/>
      <c r="BK85" s="1723"/>
      <c r="BL85" s="1723"/>
      <c r="BM85" s="1723"/>
      <c r="BO85" s="1725"/>
      <c r="BP85" s="1725"/>
      <c r="BQ85" s="1725"/>
    </row>
    <row r="86" spans="1:70" x14ac:dyDescent="0.3">
      <c r="A86" s="6259" t="s">
        <v>4856</v>
      </c>
      <c r="B86" s="78" t="s">
        <v>300</v>
      </c>
      <c r="C86" s="230" t="s">
        <v>5292</v>
      </c>
      <c r="D86" s="136" t="s">
        <v>5293</v>
      </c>
      <c r="E86" s="136" t="s">
        <v>5294</v>
      </c>
      <c r="F86" s="136" t="s">
        <v>5295</v>
      </c>
      <c r="BJ86" s="1723"/>
      <c r="BK86" s="1723"/>
      <c r="BL86" s="1723"/>
      <c r="BM86" s="1723"/>
      <c r="BO86" s="1725"/>
      <c r="BP86" s="1725"/>
      <c r="BQ86" s="1725"/>
    </row>
    <row r="87" spans="1:70" x14ac:dyDescent="0.3">
      <c r="A87" s="6259" t="s">
        <v>4857</v>
      </c>
      <c r="B87" s="78" t="s">
        <v>236</v>
      </c>
      <c r="C87" s="230" t="s">
        <v>5292</v>
      </c>
      <c r="D87" s="136" t="s">
        <v>5293</v>
      </c>
      <c r="E87" s="136" t="s">
        <v>5294</v>
      </c>
      <c r="F87" s="136" t="s">
        <v>5295</v>
      </c>
      <c r="BJ87" s="1723"/>
      <c r="BK87" s="1723"/>
      <c r="BL87" s="1723"/>
      <c r="BM87" s="1723"/>
      <c r="BO87" s="1725"/>
      <c r="BP87" s="1725"/>
      <c r="BQ87" s="1725"/>
    </row>
    <row r="88" spans="1:70" x14ac:dyDescent="0.3">
      <c r="A88" s="6259" t="s">
        <v>4858</v>
      </c>
      <c r="B88" s="78" t="s">
        <v>251</v>
      </c>
      <c r="C88" s="230" t="s">
        <v>5292</v>
      </c>
      <c r="D88" s="136" t="s">
        <v>5293</v>
      </c>
      <c r="E88" s="136" t="s">
        <v>5294</v>
      </c>
      <c r="F88" s="136" t="s">
        <v>5295</v>
      </c>
      <c r="BJ88" s="1723"/>
      <c r="BK88" s="1723"/>
      <c r="BL88" s="1723"/>
      <c r="BM88" s="1723"/>
      <c r="BO88" s="1725"/>
      <c r="BP88" s="1725"/>
      <c r="BQ88" s="1725"/>
    </row>
    <row r="89" spans="1:70" x14ac:dyDescent="0.3">
      <c r="A89" s="6259" t="s">
        <v>4859</v>
      </c>
      <c r="B89" s="78" t="s">
        <v>301</v>
      </c>
      <c r="C89" s="230" t="s">
        <v>5292</v>
      </c>
      <c r="D89" s="136" t="s">
        <v>5293</v>
      </c>
      <c r="E89" s="136" t="s">
        <v>5294</v>
      </c>
      <c r="F89" s="136" t="s">
        <v>5295</v>
      </c>
      <c r="BJ89" s="1723"/>
      <c r="BK89" s="1723"/>
      <c r="BL89" s="1723"/>
      <c r="BM89" s="1723"/>
      <c r="BO89" s="1725"/>
      <c r="BP89" s="1725"/>
      <c r="BQ89" s="1725"/>
    </row>
    <row r="90" spans="1:70" x14ac:dyDescent="0.3">
      <c r="A90" s="6238"/>
      <c r="B90" s="173" t="s">
        <v>24</v>
      </c>
      <c r="C90" s="232">
        <f>SUM(C70:C89)</f>
        <v>0</v>
      </c>
      <c r="D90" s="232">
        <f>SUM(D70:D89)</f>
        <v>0</v>
      </c>
      <c r="E90" s="232">
        <f t="shared" ref="E90:F90" si="28">SUM(E70:E89)</f>
        <v>0</v>
      </c>
      <c r="F90" s="232">
        <f t="shared" si="28"/>
        <v>0</v>
      </c>
      <c r="BJ90" s="1723"/>
      <c r="BK90" s="1723"/>
      <c r="BL90" s="1723"/>
      <c r="BM90" s="1723"/>
      <c r="BO90" s="1725"/>
      <c r="BP90" s="1725"/>
      <c r="BQ90" s="1725"/>
    </row>
    <row r="91" spans="1:70" s="17" customFormat="1" ht="18" customHeight="1" x14ac:dyDescent="0.25">
      <c r="B91" s="123" t="s">
        <v>302</v>
      </c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BJ91" s="1722"/>
      <c r="BK91" s="1722"/>
      <c r="BL91" s="1722"/>
      <c r="BM91" s="1722"/>
      <c r="BO91" s="1724"/>
      <c r="BP91" s="1724"/>
      <c r="BQ91" s="1724"/>
    </row>
    <row r="92" spans="1:70" x14ac:dyDescent="0.3">
      <c r="B92" s="7201" t="s">
        <v>303</v>
      </c>
      <c r="C92" s="7202"/>
      <c r="D92" s="7201" t="s">
        <v>63</v>
      </c>
      <c r="E92" s="6341"/>
      <c r="F92" s="7202"/>
      <c r="G92" s="7206" t="s">
        <v>30</v>
      </c>
      <c r="H92" s="7207"/>
      <c r="I92" s="7207"/>
      <c r="J92" s="7207"/>
      <c r="K92" s="7207"/>
      <c r="L92" s="7207"/>
      <c r="M92" s="7207"/>
      <c r="N92" s="7207"/>
      <c r="O92" s="7207"/>
      <c r="P92" s="7207"/>
      <c r="Q92" s="7207"/>
      <c r="R92" s="7207"/>
      <c r="S92" s="7207"/>
      <c r="T92" s="7207"/>
      <c r="U92" s="7207"/>
      <c r="V92" s="7207"/>
      <c r="W92" s="7207"/>
      <c r="X92" s="7207"/>
      <c r="Y92" s="7207"/>
      <c r="Z92" s="7207"/>
      <c r="AA92" s="7207"/>
      <c r="AB92" s="7207"/>
      <c r="AC92" s="7207"/>
      <c r="AD92" s="7207"/>
      <c r="AE92" s="7207"/>
      <c r="AF92" s="7207"/>
      <c r="AG92" s="7207"/>
      <c r="AH92" s="7207"/>
      <c r="AI92" s="7207"/>
      <c r="AJ92" s="7207"/>
      <c r="AK92" s="7207"/>
      <c r="AL92" s="7207"/>
      <c r="AM92" s="7207"/>
      <c r="AN92" s="7208"/>
      <c r="AO92" s="7219" t="s">
        <v>67</v>
      </c>
      <c r="AP92" s="7219" t="s">
        <v>304</v>
      </c>
    </row>
    <row r="93" spans="1:70" x14ac:dyDescent="0.3">
      <c r="B93" s="7238"/>
      <c r="C93" s="7218"/>
      <c r="D93" s="7203"/>
      <c r="E93" s="7204"/>
      <c r="F93" s="7205"/>
      <c r="G93" s="7206" t="s">
        <v>36</v>
      </c>
      <c r="H93" s="7208"/>
      <c r="I93" s="7206" t="s">
        <v>37</v>
      </c>
      <c r="J93" s="7208"/>
      <c r="K93" s="7206" t="s">
        <v>38</v>
      </c>
      <c r="L93" s="7208"/>
      <c r="M93" s="7206" t="s">
        <v>4</v>
      </c>
      <c r="N93" s="7208"/>
      <c r="O93" s="7206" t="s">
        <v>5</v>
      </c>
      <c r="P93" s="7208"/>
      <c r="Q93" s="7211" t="s">
        <v>6</v>
      </c>
      <c r="R93" s="7212"/>
      <c r="S93" s="7211" t="s">
        <v>7</v>
      </c>
      <c r="T93" s="7212"/>
      <c r="U93" s="7211" t="s">
        <v>8</v>
      </c>
      <c r="V93" s="7212"/>
      <c r="W93" s="7211" t="s">
        <v>9</v>
      </c>
      <c r="X93" s="7212"/>
      <c r="Y93" s="7211" t="s">
        <v>10</v>
      </c>
      <c r="Z93" s="7212"/>
      <c r="AA93" s="7211" t="s">
        <v>11</v>
      </c>
      <c r="AB93" s="7212"/>
      <c r="AC93" s="7211" t="s">
        <v>18</v>
      </c>
      <c r="AD93" s="7212"/>
      <c r="AE93" s="7211" t="s">
        <v>19</v>
      </c>
      <c r="AF93" s="7212"/>
      <c r="AG93" s="7211" t="s">
        <v>20</v>
      </c>
      <c r="AH93" s="7212"/>
      <c r="AI93" s="7211" t="s">
        <v>70</v>
      </c>
      <c r="AJ93" s="7212"/>
      <c r="AK93" s="7211" t="s">
        <v>71</v>
      </c>
      <c r="AL93" s="7212"/>
      <c r="AM93" s="7211" t="s">
        <v>32</v>
      </c>
      <c r="AN93" s="7212"/>
      <c r="AO93" s="7218"/>
      <c r="AP93" s="7213"/>
    </row>
    <row r="94" spans="1:70" x14ac:dyDescent="0.3">
      <c r="B94" s="7203"/>
      <c r="C94" s="7204"/>
      <c r="D94" s="201" t="s">
        <v>26</v>
      </c>
      <c r="E94" s="1745" t="s">
        <v>51</v>
      </c>
      <c r="F94" s="175" t="s">
        <v>27</v>
      </c>
      <c r="G94" s="5587" t="s">
        <v>51</v>
      </c>
      <c r="H94" s="175" t="s">
        <v>27</v>
      </c>
      <c r="I94" s="5587" t="s">
        <v>51</v>
      </c>
      <c r="J94" s="175" t="s">
        <v>27</v>
      </c>
      <c r="K94" s="5587" t="s">
        <v>51</v>
      </c>
      <c r="L94" s="175" t="s">
        <v>27</v>
      </c>
      <c r="M94" s="5587" t="s">
        <v>51</v>
      </c>
      <c r="N94" s="175" t="s">
        <v>27</v>
      </c>
      <c r="O94" s="5587" t="s">
        <v>51</v>
      </c>
      <c r="P94" s="175" t="s">
        <v>27</v>
      </c>
      <c r="Q94" s="5587" t="s">
        <v>51</v>
      </c>
      <c r="R94" s="175" t="s">
        <v>27</v>
      </c>
      <c r="S94" s="5587" t="s">
        <v>51</v>
      </c>
      <c r="T94" s="175" t="s">
        <v>27</v>
      </c>
      <c r="U94" s="5587" t="s">
        <v>51</v>
      </c>
      <c r="V94" s="175" t="s">
        <v>27</v>
      </c>
      <c r="W94" s="5587" t="s">
        <v>51</v>
      </c>
      <c r="X94" s="175" t="s">
        <v>27</v>
      </c>
      <c r="Y94" s="5587" t="s">
        <v>51</v>
      </c>
      <c r="Z94" s="175" t="s">
        <v>27</v>
      </c>
      <c r="AA94" s="5587" t="s">
        <v>51</v>
      </c>
      <c r="AB94" s="175" t="s">
        <v>27</v>
      </c>
      <c r="AC94" s="5587" t="s">
        <v>51</v>
      </c>
      <c r="AD94" s="175" t="s">
        <v>27</v>
      </c>
      <c r="AE94" s="5587" t="s">
        <v>51</v>
      </c>
      <c r="AF94" s="175" t="s">
        <v>27</v>
      </c>
      <c r="AG94" s="5587" t="s">
        <v>51</v>
      </c>
      <c r="AH94" s="175" t="s">
        <v>27</v>
      </c>
      <c r="AI94" s="5587" t="s">
        <v>51</v>
      </c>
      <c r="AJ94" s="175" t="s">
        <v>27</v>
      </c>
      <c r="AK94" s="5587" t="s">
        <v>51</v>
      </c>
      <c r="AL94" s="175" t="s">
        <v>27</v>
      </c>
      <c r="AM94" s="5587" t="s">
        <v>51</v>
      </c>
      <c r="AN94" s="175" t="s">
        <v>27</v>
      </c>
      <c r="AO94" s="7210"/>
      <c r="AP94" s="7210"/>
    </row>
    <row r="95" spans="1:70" ht="15" customHeight="1" x14ac:dyDescent="0.3">
      <c r="A95" s="6238"/>
      <c r="B95" s="7230" t="s">
        <v>305</v>
      </c>
      <c r="C95" s="7231"/>
      <c r="D95" s="212">
        <f>SUM(D96:D102)</f>
        <v>0</v>
      </c>
      <c r="E95" s="182">
        <f>SUM(E96:E102)</f>
        <v>0</v>
      </c>
      <c r="F95" s="214">
        <f>SUM(F96:F102)</f>
        <v>0</v>
      </c>
      <c r="G95" s="5739">
        <f t="shared" ref="G95:AO95" si="29">SUM(G96:G102)</f>
        <v>0</v>
      </c>
      <c r="H95" s="1746">
        <f t="shared" si="29"/>
        <v>0</v>
      </c>
      <c r="I95" s="5739">
        <f t="shared" si="29"/>
        <v>0</v>
      </c>
      <c r="J95" s="1746">
        <f t="shared" si="29"/>
        <v>0</v>
      </c>
      <c r="K95" s="5739">
        <f t="shared" si="29"/>
        <v>0</v>
      </c>
      <c r="L95" s="1746">
        <f t="shared" si="29"/>
        <v>0</v>
      </c>
      <c r="M95" s="5739">
        <f t="shared" si="29"/>
        <v>0</v>
      </c>
      <c r="N95" s="1746">
        <f t="shared" si="29"/>
        <v>0</v>
      </c>
      <c r="O95" s="5739">
        <f t="shared" si="29"/>
        <v>0</v>
      </c>
      <c r="P95" s="1746">
        <f t="shared" si="29"/>
        <v>0</v>
      </c>
      <c r="Q95" s="5739">
        <f t="shared" si="29"/>
        <v>0</v>
      </c>
      <c r="R95" s="1746">
        <f t="shared" si="29"/>
        <v>0</v>
      </c>
      <c r="S95" s="5739">
        <f t="shared" si="29"/>
        <v>0</v>
      </c>
      <c r="T95" s="1746">
        <f t="shared" si="29"/>
        <v>0</v>
      </c>
      <c r="U95" s="5739">
        <f t="shared" si="29"/>
        <v>0</v>
      </c>
      <c r="V95" s="1746">
        <f t="shared" si="29"/>
        <v>0</v>
      </c>
      <c r="W95" s="5739">
        <f t="shared" si="29"/>
        <v>0</v>
      </c>
      <c r="X95" s="1746">
        <f t="shared" si="29"/>
        <v>0</v>
      </c>
      <c r="Y95" s="5739">
        <f t="shared" si="29"/>
        <v>0</v>
      </c>
      <c r="Z95" s="1746">
        <f t="shared" si="29"/>
        <v>0</v>
      </c>
      <c r="AA95" s="5739">
        <f t="shared" si="29"/>
        <v>0</v>
      </c>
      <c r="AB95" s="1746">
        <f t="shared" si="29"/>
        <v>0</v>
      </c>
      <c r="AC95" s="5739">
        <f t="shared" si="29"/>
        <v>0</v>
      </c>
      <c r="AD95" s="1746">
        <f t="shared" si="29"/>
        <v>0</v>
      </c>
      <c r="AE95" s="5739">
        <f t="shared" si="29"/>
        <v>0</v>
      </c>
      <c r="AF95" s="1746">
        <f t="shared" si="29"/>
        <v>0</v>
      </c>
      <c r="AG95" s="5739">
        <f t="shared" si="29"/>
        <v>0</v>
      </c>
      <c r="AH95" s="1746">
        <f t="shared" si="29"/>
        <v>0</v>
      </c>
      <c r="AI95" s="5739">
        <f t="shared" si="29"/>
        <v>0</v>
      </c>
      <c r="AJ95" s="1746">
        <f t="shared" si="29"/>
        <v>0</v>
      </c>
      <c r="AK95" s="5739">
        <f t="shared" si="29"/>
        <v>0</v>
      </c>
      <c r="AL95" s="1746">
        <f t="shared" si="29"/>
        <v>0</v>
      </c>
      <c r="AM95" s="5739">
        <f t="shared" si="29"/>
        <v>0</v>
      </c>
      <c r="AN95" s="1746">
        <f t="shared" si="29"/>
        <v>0</v>
      </c>
      <c r="AO95" s="1747">
        <f t="shared" si="29"/>
        <v>0</v>
      </c>
      <c r="AP95" s="1747">
        <f>SUM(AP96:AP98)</f>
        <v>0</v>
      </c>
    </row>
    <row r="96" spans="1:70" ht="15" customHeight="1" x14ac:dyDescent="0.3">
      <c r="A96" s="6254" t="s">
        <v>4860</v>
      </c>
      <c r="B96" s="7232" t="s">
        <v>306</v>
      </c>
      <c r="C96" s="5401" t="s">
        <v>3754</v>
      </c>
      <c r="D96" s="5237" t="s">
        <v>5292</v>
      </c>
      <c r="E96" s="5476" t="s">
        <v>5293</v>
      </c>
      <c r="F96" s="5141" t="s">
        <v>5294</v>
      </c>
      <c r="G96" s="5167" t="s">
        <v>5295</v>
      </c>
      <c r="H96" s="5201" t="s">
        <v>5296</v>
      </c>
      <c r="I96" s="5477" t="s">
        <v>5297</v>
      </c>
      <c r="J96" s="5170" t="s">
        <v>5298</v>
      </c>
      <c r="K96" s="5477" t="s">
        <v>5299</v>
      </c>
      <c r="L96" s="5170" t="s">
        <v>5300</v>
      </c>
      <c r="M96" s="5167" t="s">
        <v>5301</v>
      </c>
      <c r="N96" s="5201" t="s">
        <v>5302</v>
      </c>
      <c r="O96" s="5477" t="s">
        <v>5303</v>
      </c>
      <c r="P96" s="5170" t="s">
        <v>5304</v>
      </c>
      <c r="Q96" s="5477" t="s">
        <v>5305</v>
      </c>
      <c r="R96" s="5170" t="s">
        <v>5306</v>
      </c>
      <c r="S96" s="5477" t="s">
        <v>5307</v>
      </c>
      <c r="T96" s="5170" t="s">
        <v>5308</v>
      </c>
      <c r="U96" s="5477" t="s">
        <v>5309</v>
      </c>
      <c r="V96" s="5170" t="s">
        <v>5310</v>
      </c>
      <c r="W96" s="5477" t="s">
        <v>5311</v>
      </c>
      <c r="X96" s="5170" t="s">
        <v>5312</v>
      </c>
      <c r="Y96" s="5477" t="s">
        <v>5313</v>
      </c>
      <c r="Z96" s="5170" t="s">
        <v>5314</v>
      </c>
      <c r="AA96" s="5477" t="s">
        <v>5315</v>
      </c>
      <c r="AB96" s="5170" t="s">
        <v>5316</v>
      </c>
      <c r="AC96" s="5477" t="s">
        <v>5317</v>
      </c>
      <c r="AD96" s="5170" t="s">
        <v>5318</v>
      </c>
      <c r="AE96" s="5477" t="s">
        <v>5319</v>
      </c>
      <c r="AF96" s="5170" t="s">
        <v>5320</v>
      </c>
      <c r="AG96" s="5477" t="s">
        <v>5321</v>
      </c>
      <c r="AH96" s="5170" t="s">
        <v>5322</v>
      </c>
      <c r="AI96" s="5477" t="s">
        <v>5323</v>
      </c>
      <c r="AJ96" s="5170" t="s">
        <v>5324</v>
      </c>
      <c r="AK96" s="5477" t="s">
        <v>5325</v>
      </c>
      <c r="AL96" s="5170" t="s">
        <v>5326</v>
      </c>
      <c r="AM96" s="5477" t="s">
        <v>5327</v>
      </c>
      <c r="AN96" s="5170" t="s">
        <v>5328</v>
      </c>
      <c r="AO96" s="5478" t="s">
        <v>5329</v>
      </c>
      <c r="AP96" s="5478" t="s">
        <v>5330</v>
      </c>
      <c r="AQ96" t="str">
        <f>BJ96&amp;BK96&amp;BL96&amp;BM96</f>
        <v xml:space="preserve">  * Los Beneficiarios no pueden ser mayor al Total.  * La columna Hospitalización Domiciliaria no pueden ser mayor al Total.</v>
      </c>
      <c r="BJ96" s="1723" t="str">
        <f>IF(AND(D96&gt;0,OR(AO96=""))," * No olvide digitar la columna "&amp;AO$92&amp;""&amp;" . ""Digite CERO si no tiene datos"""," ")</f>
        <v xml:space="preserve"> </v>
      </c>
      <c r="BK96" s="1723" t="str">
        <f>IF(AO96&gt;D96," * Los Beneficiarios no pueden ser mayor al Total.","")</f>
        <v xml:space="preserve"> * Los Beneficiarios no pueden ser mayor al Total.</v>
      </c>
      <c r="BL96" s="1723" t="str">
        <f>IF(AND(D96&gt;0,OR(AP96=""))," * No olvide digitar las columnas "&amp;AP$92&amp;""&amp;" . ""Digite CERO si no tiene datos"""," ")</f>
        <v xml:space="preserve"> </v>
      </c>
      <c r="BM96" s="1723" t="str">
        <f>IF(AP96&gt;D96," * La columna Hospitalización Domiciliaria no pueden ser mayor al Total.","")</f>
        <v xml:space="preserve"> * La columna Hospitalización Domiciliaria no pueden ser mayor al Total.</v>
      </c>
      <c r="BO96" s="1725">
        <f t="shared" ref="BO96:BO102" si="30">IF(AND(D96&gt;0,AO96=""),1,0)</f>
        <v>0</v>
      </c>
      <c r="BP96" s="1725">
        <f>IF(AO96&gt;D96,1,0)</f>
        <v>1</v>
      </c>
      <c r="BQ96" s="1725">
        <f>IF(AND(D96&gt;0,OR(AP96="")),1,0)</f>
        <v>0</v>
      </c>
      <c r="BR96" s="1725">
        <f>IF(AP96&gt;D96,1,0)</f>
        <v>1</v>
      </c>
    </row>
    <row r="97" spans="1:70" ht="15" customHeight="1" x14ac:dyDescent="0.3">
      <c r="A97" s="6254" t="s">
        <v>4861</v>
      </c>
      <c r="B97" s="6634"/>
      <c r="C97" s="5479" t="s">
        <v>3755</v>
      </c>
      <c r="D97" s="87" t="s">
        <v>5292</v>
      </c>
      <c r="E97" s="5480" t="s">
        <v>5293</v>
      </c>
      <c r="F97" s="4321" t="s">
        <v>5294</v>
      </c>
      <c r="G97" s="5196" t="s">
        <v>5295</v>
      </c>
      <c r="H97" s="3515" t="s">
        <v>5296</v>
      </c>
      <c r="I97" s="5481" t="s">
        <v>5297</v>
      </c>
      <c r="J97" s="5482" t="s">
        <v>5298</v>
      </c>
      <c r="K97" s="5196" t="s">
        <v>5299</v>
      </c>
      <c r="L97" s="5483" t="s">
        <v>5300</v>
      </c>
      <c r="M97" s="5481" t="s">
        <v>5301</v>
      </c>
      <c r="N97" s="5484" t="s">
        <v>5302</v>
      </c>
      <c r="O97" s="5196" t="s">
        <v>5303</v>
      </c>
      <c r="P97" s="5483" t="s">
        <v>5304</v>
      </c>
      <c r="Q97" s="5482" t="s">
        <v>5305</v>
      </c>
      <c r="R97" s="5484" t="s">
        <v>5306</v>
      </c>
      <c r="S97" s="5485" t="s">
        <v>5307</v>
      </c>
      <c r="T97" s="5483" t="s">
        <v>5308</v>
      </c>
      <c r="U97" s="5482" t="s">
        <v>5309</v>
      </c>
      <c r="V97" s="5484" t="s">
        <v>5310</v>
      </c>
      <c r="W97" s="5485" t="s">
        <v>5311</v>
      </c>
      <c r="X97" s="5483" t="s">
        <v>5312</v>
      </c>
      <c r="Y97" s="5482" t="s">
        <v>5313</v>
      </c>
      <c r="Z97" s="5483" t="s">
        <v>5314</v>
      </c>
      <c r="AA97" s="5485" t="s">
        <v>5315</v>
      </c>
      <c r="AB97" s="5484" t="s">
        <v>5316</v>
      </c>
      <c r="AC97" s="5485" t="s">
        <v>5317</v>
      </c>
      <c r="AD97" s="5483" t="s">
        <v>5318</v>
      </c>
      <c r="AE97" s="5482" t="s">
        <v>5319</v>
      </c>
      <c r="AF97" s="5484" t="s">
        <v>5320</v>
      </c>
      <c r="AG97" s="5485" t="s">
        <v>5321</v>
      </c>
      <c r="AH97" s="5483" t="s">
        <v>5322</v>
      </c>
      <c r="AI97" s="5482" t="s">
        <v>5323</v>
      </c>
      <c r="AJ97" s="5484" t="s">
        <v>5324</v>
      </c>
      <c r="AK97" s="5485" t="s">
        <v>5325</v>
      </c>
      <c r="AL97" s="5483" t="s">
        <v>5326</v>
      </c>
      <c r="AM97" s="5482" t="s">
        <v>5327</v>
      </c>
      <c r="AN97" s="5483" t="s">
        <v>5328</v>
      </c>
      <c r="AO97" s="4304" t="s">
        <v>5329</v>
      </c>
      <c r="AP97" s="4304" t="s">
        <v>5330</v>
      </c>
      <c r="AQ97" t="str">
        <f>BJ97&amp;BK97&amp;BL97&amp;BM97</f>
        <v xml:space="preserve">  * Los Beneficiarios no pueden ser mayor al Total.  * La columna Hospitalización Domiciliaria no pueden ser mayor al Total.</v>
      </c>
      <c r="BJ97" s="1723" t="str">
        <f t="shared" ref="BJ97:BJ102" si="31">IF(AND(D97&gt;0,OR(AO97=""))," * No olvide digitar la columna "&amp;AO$92&amp;""&amp;" . ""Digite CERO si no tiene datos"""," ")</f>
        <v xml:space="preserve"> </v>
      </c>
      <c r="BK97" s="1723" t="str">
        <f t="shared" ref="BK97:BK102" si="32">IF(AO97&gt;D97," * Los Beneficiarios no pueden ser mayor al Total.","")</f>
        <v xml:space="preserve"> * Los Beneficiarios no pueden ser mayor al Total.</v>
      </c>
      <c r="BL97" s="1723" t="str">
        <f>IF(AND(D97&gt;0,OR(AP97=""))," * No olvide digitar las columnas "&amp;AP$92&amp;""&amp;" . ""Digite CERO si no tiene datos"""," ")</f>
        <v xml:space="preserve"> </v>
      </c>
      <c r="BM97" s="1723" t="str">
        <f t="shared" ref="BM97:BM98" si="33">IF(AP97&gt;D97," * La columna Hospitalización Domiciliaria no pueden ser mayor al Total.","")</f>
        <v xml:space="preserve"> * La columna Hospitalización Domiciliaria no pueden ser mayor al Total.</v>
      </c>
      <c r="BO97" s="1725">
        <f t="shared" si="30"/>
        <v>0</v>
      </c>
      <c r="BP97" s="1725">
        <f t="shared" ref="BP97:BP102" si="34">IF(AO97&gt;D97,1,0)</f>
        <v>1</v>
      </c>
      <c r="BQ97" s="1725">
        <f t="shared" ref="BQ97:BQ98" si="35">IF(AND(D97&gt;0,OR(AP97="")),1,0)</f>
        <v>0</v>
      </c>
      <c r="BR97" s="1725">
        <f t="shared" ref="BR97:BR98" si="36">IF(AP97&gt;D97,1,0)</f>
        <v>1</v>
      </c>
    </row>
    <row r="98" spans="1:70" ht="15" customHeight="1" x14ac:dyDescent="0.3">
      <c r="A98" s="6254" t="s">
        <v>4862</v>
      </c>
      <c r="B98" s="7233"/>
      <c r="C98" s="5486" t="s">
        <v>307</v>
      </c>
      <c r="D98" s="3217" t="s">
        <v>5292</v>
      </c>
      <c r="E98" s="3243" t="s">
        <v>5293</v>
      </c>
      <c r="F98" s="208" t="s">
        <v>5294</v>
      </c>
      <c r="G98" s="5487" t="s">
        <v>5295</v>
      </c>
      <c r="H98" s="5488" t="s">
        <v>5296</v>
      </c>
      <c r="I98" s="5489" t="s">
        <v>5297</v>
      </c>
      <c r="J98" s="5490" t="s">
        <v>5298</v>
      </c>
      <c r="K98" s="5487" t="s">
        <v>5299</v>
      </c>
      <c r="L98" s="5491" t="s">
        <v>5300</v>
      </c>
      <c r="M98" s="5489" t="s">
        <v>5301</v>
      </c>
      <c r="N98" s="5492" t="s">
        <v>5302</v>
      </c>
      <c r="O98" s="5487" t="s">
        <v>5303</v>
      </c>
      <c r="P98" s="5491" t="s">
        <v>5304</v>
      </c>
      <c r="Q98" s="5490" t="s">
        <v>5305</v>
      </c>
      <c r="R98" s="5492" t="s">
        <v>5306</v>
      </c>
      <c r="S98" s="5493" t="s">
        <v>5307</v>
      </c>
      <c r="T98" s="5491" t="s">
        <v>5308</v>
      </c>
      <c r="U98" s="5490" t="s">
        <v>5309</v>
      </c>
      <c r="V98" s="5492" t="s">
        <v>5310</v>
      </c>
      <c r="W98" s="5493" t="s">
        <v>5311</v>
      </c>
      <c r="X98" s="5491" t="s">
        <v>5312</v>
      </c>
      <c r="Y98" s="5490" t="s">
        <v>5313</v>
      </c>
      <c r="Z98" s="5491" t="s">
        <v>5314</v>
      </c>
      <c r="AA98" s="5493" t="s">
        <v>5315</v>
      </c>
      <c r="AB98" s="5492" t="s">
        <v>5316</v>
      </c>
      <c r="AC98" s="5493" t="s">
        <v>5317</v>
      </c>
      <c r="AD98" s="5491" t="s">
        <v>5318</v>
      </c>
      <c r="AE98" s="5490" t="s">
        <v>5319</v>
      </c>
      <c r="AF98" s="5492" t="s">
        <v>5320</v>
      </c>
      <c r="AG98" s="5493" t="s">
        <v>5321</v>
      </c>
      <c r="AH98" s="5491" t="s">
        <v>5322</v>
      </c>
      <c r="AI98" s="5490" t="s">
        <v>5323</v>
      </c>
      <c r="AJ98" s="5492" t="s">
        <v>5324</v>
      </c>
      <c r="AK98" s="5493" t="s">
        <v>5325</v>
      </c>
      <c r="AL98" s="5491" t="s">
        <v>5326</v>
      </c>
      <c r="AM98" s="5490" t="s">
        <v>5327</v>
      </c>
      <c r="AN98" s="5491" t="s">
        <v>5328</v>
      </c>
      <c r="AO98" s="5494" t="s">
        <v>5329</v>
      </c>
      <c r="AP98" s="5494" t="s">
        <v>5330</v>
      </c>
      <c r="AQ98" t="str">
        <f>BJ98&amp;BK98&amp;BL98&amp;BM98</f>
        <v xml:space="preserve">  * Los Beneficiarios no pueden ser mayor al Total.  * La columna Hospitalización Domiciliaria no pueden ser mayor al Total.</v>
      </c>
      <c r="BJ98" s="1723" t="str">
        <f t="shared" si="31"/>
        <v xml:space="preserve"> </v>
      </c>
      <c r="BK98" s="1723" t="str">
        <f t="shared" si="32"/>
        <v xml:space="preserve"> * Los Beneficiarios no pueden ser mayor al Total.</v>
      </c>
      <c r="BL98" s="1723" t="str">
        <f t="shared" ref="BL98" si="37">IF(AND(D98&gt;0,OR(AP98=""))," * No olvide digitar las columnas "&amp;AP$92&amp;""&amp;" . ""Digite CERO si no tiene datos"""," ")</f>
        <v xml:space="preserve"> </v>
      </c>
      <c r="BM98" s="1723" t="str">
        <f t="shared" si="33"/>
        <v xml:space="preserve"> * La columna Hospitalización Domiciliaria no pueden ser mayor al Total.</v>
      </c>
      <c r="BO98" s="1725">
        <f t="shared" si="30"/>
        <v>0</v>
      </c>
      <c r="BP98" s="1725">
        <f t="shared" si="34"/>
        <v>1</v>
      </c>
      <c r="BQ98" s="1725">
        <f t="shared" si="35"/>
        <v>0</v>
      </c>
      <c r="BR98" s="1725">
        <f t="shared" si="36"/>
        <v>1</v>
      </c>
    </row>
    <row r="99" spans="1:70" ht="15" customHeight="1" x14ac:dyDescent="0.3">
      <c r="A99" s="6254" t="s">
        <v>4863</v>
      </c>
      <c r="B99" s="7234" t="s">
        <v>308</v>
      </c>
      <c r="C99" s="7235"/>
      <c r="D99" s="5467" t="s">
        <v>5292</v>
      </c>
      <c r="E99" s="5030" t="s">
        <v>5293</v>
      </c>
      <c r="F99" s="4521" t="s">
        <v>5294</v>
      </c>
      <c r="G99" s="246" t="s">
        <v>5295</v>
      </c>
      <c r="H99" s="5468" t="s">
        <v>5296</v>
      </c>
      <c r="I99" s="5469" t="s">
        <v>5297</v>
      </c>
      <c r="J99" s="5470" t="s">
        <v>5298</v>
      </c>
      <c r="K99" s="5471" t="s">
        <v>5299</v>
      </c>
      <c r="L99" s="5468" t="s">
        <v>5300</v>
      </c>
      <c r="M99" s="5469" t="s">
        <v>5301</v>
      </c>
      <c r="N99" s="5472" t="s">
        <v>5302</v>
      </c>
      <c r="O99" s="5471" t="s">
        <v>5303</v>
      </c>
      <c r="P99" s="5468" t="s">
        <v>5304</v>
      </c>
      <c r="Q99" s="5470" t="s">
        <v>5305</v>
      </c>
      <c r="R99" s="5472" t="s">
        <v>5306</v>
      </c>
      <c r="S99" s="5473" t="s">
        <v>5307</v>
      </c>
      <c r="T99" s="5468" t="s">
        <v>5308</v>
      </c>
      <c r="U99" s="5470" t="s">
        <v>5309</v>
      </c>
      <c r="V99" s="5472" t="s">
        <v>5310</v>
      </c>
      <c r="W99" s="5473" t="s">
        <v>5311</v>
      </c>
      <c r="X99" s="5468" t="s">
        <v>5312</v>
      </c>
      <c r="Y99" s="5470" t="s">
        <v>5313</v>
      </c>
      <c r="Z99" s="5468" t="s">
        <v>5314</v>
      </c>
      <c r="AA99" s="5473" t="s">
        <v>5315</v>
      </c>
      <c r="AB99" s="5472" t="s">
        <v>5316</v>
      </c>
      <c r="AC99" s="5473" t="s">
        <v>5317</v>
      </c>
      <c r="AD99" s="5468" t="s">
        <v>5318</v>
      </c>
      <c r="AE99" s="5470" t="s">
        <v>5319</v>
      </c>
      <c r="AF99" s="5472" t="s">
        <v>5320</v>
      </c>
      <c r="AG99" s="5473" t="s">
        <v>5321</v>
      </c>
      <c r="AH99" s="5468" t="s">
        <v>5322</v>
      </c>
      <c r="AI99" s="5470" t="s">
        <v>5323</v>
      </c>
      <c r="AJ99" s="5472" t="s">
        <v>5324</v>
      </c>
      <c r="AK99" s="5473" t="s">
        <v>5325</v>
      </c>
      <c r="AL99" s="5468" t="s">
        <v>5326</v>
      </c>
      <c r="AM99" s="5470" t="s">
        <v>5327</v>
      </c>
      <c r="AN99" s="5468" t="s">
        <v>5328</v>
      </c>
      <c r="AO99" s="5474" t="s">
        <v>5329</v>
      </c>
      <c r="AP99" s="5475" t="s">
        <v>5330</v>
      </c>
      <c r="AQ99" t="str">
        <f t="shared" ref="AQ99:AQ102" si="38">BJ99&amp;BK99</f>
        <v xml:space="preserve">  * Los Beneficiarios no pueden ser mayor al Total.</v>
      </c>
      <c r="BJ99" s="1723" t="str">
        <f t="shared" si="31"/>
        <v xml:space="preserve"> </v>
      </c>
      <c r="BK99" s="1723" t="str">
        <f t="shared" si="32"/>
        <v xml:space="preserve"> * Los Beneficiarios no pueden ser mayor al Total.</v>
      </c>
      <c r="BL99" s="1725"/>
      <c r="BM99" s="1725"/>
      <c r="BO99" s="1725">
        <f t="shared" si="30"/>
        <v>0</v>
      </c>
      <c r="BP99" s="1725">
        <f t="shared" si="34"/>
        <v>1</v>
      </c>
      <c r="BQ99" s="1723"/>
      <c r="BR99" s="1723"/>
    </row>
    <row r="100" spans="1:70" ht="15" customHeight="1" x14ac:dyDescent="0.3">
      <c r="A100" s="6259" t="s">
        <v>4864</v>
      </c>
      <c r="B100" s="7236" t="s">
        <v>309</v>
      </c>
      <c r="C100" s="7237"/>
      <c r="D100" s="189" t="s">
        <v>5292</v>
      </c>
      <c r="E100" s="80" t="s">
        <v>5293</v>
      </c>
      <c r="F100" s="247" t="s">
        <v>5294</v>
      </c>
      <c r="G100" s="248" t="s">
        <v>5295</v>
      </c>
      <c r="H100" s="249" t="s">
        <v>5296</v>
      </c>
      <c r="I100" s="250" t="s">
        <v>5297</v>
      </c>
      <c r="J100" s="251" t="s">
        <v>5298</v>
      </c>
      <c r="K100" s="246" t="s">
        <v>5299</v>
      </c>
      <c r="L100" s="252" t="s">
        <v>5300</v>
      </c>
      <c r="M100" s="250" t="s">
        <v>5301</v>
      </c>
      <c r="N100" s="253" t="s">
        <v>5302</v>
      </c>
      <c r="O100" s="246" t="s">
        <v>5303</v>
      </c>
      <c r="P100" s="252" t="s">
        <v>5304</v>
      </c>
      <c r="Q100" s="251" t="s">
        <v>5305</v>
      </c>
      <c r="R100" s="253" t="s">
        <v>5306</v>
      </c>
      <c r="S100" s="254" t="s">
        <v>5307</v>
      </c>
      <c r="T100" s="252" t="s">
        <v>5308</v>
      </c>
      <c r="U100" s="251" t="s">
        <v>5309</v>
      </c>
      <c r="V100" s="253" t="s">
        <v>5310</v>
      </c>
      <c r="W100" s="254" t="s">
        <v>5311</v>
      </c>
      <c r="X100" s="252" t="s">
        <v>5312</v>
      </c>
      <c r="Y100" s="251" t="s">
        <v>5313</v>
      </c>
      <c r="Z100" s="252" t="s">
        <v>5314</v>
      </c>
      <c r="AA100" s="254" t="s">
        <v>5315</v>
      </c>
      <c r="AB100" s="253" t="s">
        <v>5316</v>
      </c>
      <c r="AC100" s="254" t="s">
        <v>5317</v>
      </c>
      <c r="AD100" s="252" t="s">
        <v>5318</v>
      </c>
      <c r="AE100" s="251" t="s">
        <v>5319</v>
      </c>
      <c r="AF100" s="253" t="s">
        <v>5320</v>
      </c>
      <c r="AG100" s="254" t="s">
        <v>5321</v>
      </c>
      <c r="AH100" s="252" t="s">
        <v>5322</v>
      </c>
      <c r="AI100" s="251" t="s">
        <v>5323</v>
      </c>
      <c r="AJ100" s="253" t="s">
        <v>5324</v>
      </c>
      <c r="AK100" s="254" t="s">
        <v>5325</v>
      </c>
      <c r="AL100" s="252" t="s">
        <v>5326</v>
      </c>
      <c r="AM100" s="251" t="s">
        <v>5327</v>
      </c>
      <c r="AN100" s="252" t="s">
        <v>5328</v>
      </c>
      <c r="AO100" s="255" t="s">
        <v>5329</v>
      </c>
      <c r="AP100" s="256" t="s">
        <v>5330</v>
      </c>
      <c r="AQ100" t="str">
        <f t="shared" si="38"/>
        <v xml:space="preserve">  * Los Beneficiarios no pueden ser mayor al Total.</v>
      </c>
      <c r="BJ100" s="1723" t="str">
        <f t="shared" si="31"/>
        <v xml:space="preserve"> </v>
      </c>
      <c r="BK100" s="1723" t="str">
        <f t="shared" si="32"/>
        <v xml:space="preserve"> * Los Beneficiarios no pueden ser mayor al Total.</v>
      </c>
      <c r="BL100" s="1725"/>
      <c r="BM100" s="1725"/>
      <c r="BO100" s="1725">
        <f t="shared" si="30"/>
        <v>0</v>
      </c>
      <c r="BP100" s="1725">
        <f t="shared" si="34"/>
        <v>1</v>
      </c>
      <c r="BQ100" s="1723"/>
      <c r="BR100" s="1723"/>
    </row>
    <row r="101" spans="1:70" ht="15" customHeight="1" x14ac:dyDescent="0.3">
      <c r="A101" s="6259" t="s">
        <v>4865</v>
      </c>
      <c r="B101" s="7236" t="s">
        <v>310</v>
      </c>
      <c r="C101" s="7237"/>
      <c r="D101" s="87" t="s">
        <v>5292</v>
      </c>
      <c r="E101" s="190" t="s">
        <v>5293</v>
      </c>
      <c r="F101" s="257" t="s">
        <v>5294</v>
      </c>
      <c r="G101" s="237" t="s">
        <v>5295</v>
      </c>
      <c r="H101" s="238" t="s">
        <v>5296</v>
      </c>
      <c r="I101" s="239" t="s">
        <v>5297</v>
      </c>
      <c r="J101" s="240" t="s">
        <v>5298</v>
      </c>
      <c r="K101" s="237" t="s">
        <v>5299</v>
      </c>
      <c r="L101" s="241" t="s">
        <v>5300</v>
      </c>
      <c r="M101" s="239" t="s">
        <v>5301</v>
      </c>
      <c r="N101" s="242" t="s">
        <v>5302</v>
      </c>
      <c r="O101" s="237" t="s">
        <v>5303</v>
      </c>
      <c r="P101" s="241" t="s">
        <v>5304</v>
      </c>
      <c r="Q101" s="240" t="s">
        <v>5305</v>
      </c>
      <c r="R101" s="242" t="s">
        <v>5306</v>
      </c>
      <c r="S101" s="243" t="s">
        <v>5307</v>
      </c>
      <c r="T101" s="241" t="s">
        <v>5308</v>
      </c>
      <c r="U101" s="240" t="s">
        <v>5309</v>
      </c>
      <c r="V101" s="242" t="s">
        <v>5310</v>
      </c>
      <c r="W101" s="243" t="s">
        <v>5311</v>
      </c>
      <c r="X101" s="241" t="s">
        <v>5312</v>
      </c>
      <c r="Y101" s="240" t="s">
        <v>5313</v>
      </c>
      <c r="Z101" s="241" t="s">
        <v>5314</v>
      </c>
      <c r="AA101" s="243" t="s">
        <v>5315</v>
      </c>
      <c r="AB101" s="242" t="s">
        <v>5316</v>
      </c>
      <c r="AC101" s="243" t="s">
        <v>5317</v>
      </c>
      <c r="AD101" s="241" t="s">
        <v>5318</v>
      </c>
      <c r="AE101" s="240" t="s">
        <v>5319</v>
      </c>
      <c r="AF101" s="242" t="s">
        <v>5320</v>
      </c>
      <c r="AG101" s="243" t="s">
        <v>5321</v>
      </c>
      <c r="AH101" s="241" t="s">
        <v>5322</v>
      </c>
      <c r="AI101" s="240" t="s">
        <v>5323</v>
      </c>
      <c r="AJ101" s="242" t="s">
        <v>5324</v>
      </c>
      <c r="AK101" s="243" t="s">
        <v>5325</v>
      </c>
      <c r="AL101" s="241" t="s">
        <v>5326</v>
      </c>
      <c r="AM101" s="240" t="s">
        <v>5327</v>
      </c>
      <c r="AN101" s="241" t="s">
        <v>5328</v>
      </c>
      <c r="AO101" s="244" t="s">
        <v>5329</v>
      </c>
      <c r="AP101" s="258" t="s">
        <v>5330</v>
      </c>
      <c r="AQ101" t="str">
        <f t="shared" si="38"/>
        <v xml:space="preserve">  * Los Beneficiarios no pueden ser mayor al Total.</v>
      </c>
      <c r="BJ101" s="1723" t="str">
        <f t="shared" si="31"/>
        <v xml:space="preserve"> </v>
      </c>
      <c r="BK101" s="1723" t="str">
        <f t="shared" si="32"/>
        <v xml:space="preserve"> * Los Beneficiarios no pueden ser mayor al Total.</v>
      </c>
      <c r="BL101" s="1725"/>
      <c r="BM101" s="1725"/>
      <c r="BO101" s="1725">
        <f t="shared" si="30"/>
        <v>0</v>
      </c>
      <c r="BP101" s="1725">
        <f t="shared" si="34"/>
        <v>1</v>
      </c>
      <c r="BQ101" s="1723"/>
      <c r="BR101" s="1723"/>
    </row>
    <row r="102" spans="1:70" ht="15" customHeight="1" x14ac:dyDescent="0.3">
      <c r="A102" s="6259" t="s">
        <v>4866</v>
      </c>
      <c r="B102" s="7157" t="s">
        <v>311</v>
      </c>
      <c r="C102" s="7158"/>
      <c r="D102" s="217" t="s">
        <v>5292</v>
      </c>
      <c r="E102" s="95" t="s">
        <v>5293</v>
      </c>
      <c r="F102" s="259" t="s">
        <v>5294</v>
      </c>
      <c r="G102" s="260" t="s">
        <v>5295</v>
      </c>
      <c r="H102" s="261" t="s">
        <v>5296</v>
      </c>
      <c r="I102" s="262" t="s">
        <v>5297</v>
      </c>
      <c r="J102" s="263" t="s">
        <v>5298</v>
      </c>
      <c r="K102" s="260" t="s">
        <v>5299</v>
      </c>
      <c r="L102" s="264" t="s">
        <v>5300</v>
      </c>
      <c r="M102" s="262" t="s">
        <v>5301</v>
      </c>
      <c r="N102" s="265" t="s">
        <v>5302</v>
      </c>
      <c r="O102" s="260" t="s">
        <v>5303</v>
      </c>
      <c r="P102" s="264" t="s">
        <v>5304</v>
      </c>
      <c r="Q102" s="263" t="s">
        <v>5305</v>
      </c>
      <c r="R102" s="265" t="s">
        <v>5306</v>
      </c>
      <c r="S102" s="266" t="s">
        <v>5307</v>
      </c>
      <c r="T102" s="264" t="s">
        <v>5308</v>
      </c>
      <c r="U102" s="263" t="s">
        <v>5309</v>
      </c>
      <c r="V102" s="265" t="s">
        <v>5310</v>
      </c>
      <c r="W102" s="266" t="s">
        <v>5311</v>
      </c>
      <c r="X102" s="264" t="s">
        <v>5312</v>
      </c>
      <c r="Y102" s="263" t="s">
        <v>5313</v>
      </c>
      <c r="Z102" s="264" t="s">
        <v>5314</v>
      </c>
      <c r="AA102" s="266" t="s">
        <v>5315</v>
      </c>
      <c r="AB102" s="265" t="s">
        <v>5316</v>
      </c>
      <c r="AC102" s="266" t="s">
        <v>5317</v>
      </c>
      <c r="AD102" s="264" t="s">
        <v>5318</v>
      </c>
      <c r="AE102" s="263" t="s">
        <v>5319</v>
      </c>
      <c r="AF102" s="265" t="s">
        <v>5320</v>
      </c>
      <c r="AG102" s="266" t="s">
        <v>5321</v>
      </c>
      <c r="AH102" s="264" t="s">
        <v>5322</v>
      </c>
      <c r="AI102" s="263" t="s">
        <v>5323</v>
      </c>
      <c r="AJ102" s="265" t="s">
        <v>5324</v>
      </c>
      <c r="AK102" s="266" t="s">
        <v>5325</v>
      </c>
      <c r="AL102" s="264" t="s">
        <v>5326</v>
      </c>
      <c r="AM102" s="263" t="s">
        <v>5327</v>
      </c>
      <c r="AN102" s="264" t="s">
        <v>5328</v>
      </c>
      <c r="AO102" s="267" t="s">
        <v>5329</v>
      </c>
      <c r="AP102" s="268" t="s">
        <v>5330</v>
      </c>
      <c r="AQ102" t="str">
        <f t="shared" si="38"/>
        <v xml:space="preserve">  * Los Beneficiarios no pueden ser mayor al Total.</v>
      </c>
      <c r="BJ102" s="1723" t="str">
        <f t="shared" si="31"/>
        <v xml:space="preserve"> </v>
      </c>
      <c r="BK102" s="1723" t="str">
        <f t="shared" si="32"/>
        <v xml:space="preserve"> * Los Beneficiarios no pueden ser mayor al Total.</v>
      </c>
      <c r="BL102" s="1725"/>
      <c r="BM102" s="1725"/>
      <c r="BO102" s="1725">
        <f t="shared" si="30"/>
        <v>0</v>
      </c>
      <c r="BP102" s="1725">
        <f t="shared" si="34"/>
        <v>1</v>
      </c>
      <c r="BQ102" s="1723"/>
      <c r="BR102" s="1723"/>
    </row>
    <row r="103" spans="1:70" s="17" customFormat="1" ht="18" customHeight="1" x14ac:dyDescent="0.25">
      <c r="B103" s="122" t="s">
        <v>3756</v>
      </c>
      <c r="C103" s="163"/>
      <c r="D103" s="163"/>
      <c r="E103" s="163"/>
    </row>
    <row r="104" spans="1:70" x14ac:dyDescent="0.3">
      <c r="B104" s="7206" t="s">
        <v>312</v>
      </c>
      <c r="C104" s="7207"/>
      <c r="D104" s="7208"/>
      <c r="E104" s="227" t="s">
        <v>24</v>
      </c>
    </row>
    <row r="105" spans="1:70" x14ac:dyDescent="0.3">
      <c r="A105" s="6259" t="s">
        <v>4867</v>
      </c>
      <c r="B105" s="7239" t="s">
        <v>313</v>
      </c>
      <c r="C105" s="7240"/>
      <c r="D105" s="271" t="s">
        <v>314</v>
      </c>
      <c r="E105" s="272" t="s">
        <v>5292</v>
      </c>
    </row>
    <row r="106" spans="1:70" ht="15.75" customHeight="1" x14ac:dyDescent="0.3">
      <c r="A106" s="6259" t="s">
        <v>4868</v>
      </c>
      <c r="B106" s="7241"/>
      <c r="C106" s="7242"/>
      <c r="D106" s="273" t="s">
        <v>3753</v>
      </c>
      <c r="E106" s="244" t="s">
        <v>5292</v>
      </c>
    </row>
    <row r="107" spans="1:70" ht="15" customHeight="1" x14ac:dyDescent="0.3">
      <c r="A107" s="6259" t="s">
        <v>4869</v>
      </c>
      <c r="B107" s="7243"/>
      <c r="C107" s="7244"/>
      <c r="D107" s="165" t="s">
        <v>315</v>
      </c>
      <c r="E107" s="274" t="s">
        <v>5292</v>
      </c>
    </row>
    <row r="108" spans="1:70" s="17" customFormat="1" ht="18" customHeight="1" x14ac:dyDescent="0.25">
      <c r="B108" s="7245" t="s">
        <v>316</v>
      </c>
      <c r="C108" s="7245"/>
      <c r="D108" s="7245"/>
      <c r="E108" s="7245"/>
      <c r="F108" s="7245"/>
      <c r="G108" s="7245"/>
      <c r="H108" s="7245"/>
      <c r="I108" s="7245"/>
      <c r="J108" s="7245"/>
      <c r="K108" s="7245"/>
      <c r="L108" s="7246"/>
      <c r="M108" s="291"/>
      <c r="N108" s="292"/>
      <c r="O108" s="292"/>
      <c r="P108" s="293"/>
      <c r="Q108" s="163"/>
      <c r="R108" s="292"/>
      <c r="S108" s="293"/>
      <c r="T108" s="163"/>
      <c r="U108" s="292"/>
      <c r="V108" s="163"/>
      <c r="W108" s="163"/>
      <c r="X108" s="293"/>
      <c r="Y108" s="293"/>
      <c r="Z108" s="293"/>
      <c r="AA108" s="294"/>
      <c r="AB108" s="163"/>
      <c r="AC108" s="293"/>
      <c r="AD108" s="293"/>
      <c r="AE108" s="293"/>
      <c r="AF108" s="293"/>
      <c r="AG108" s="294"/>
      <c r="AH108" s="163"/>
      <c r="AI108" s="293"/>
      <c r="AJ108" s="293"/>
      <c r="AK108" s="293"/>
      <c r="AL108" s="163"/>
      <c r="AM108" s="292"/>
      <c r="AN108" s="293"/>
      <c r="AO108" s="292"/>
    </row>
    <row r="109" spans="1:70" x14ac:dyDescent="0.3">
      <c r="B109" s="7223" t="s">
        <v>303</v>
      </c>
      <c r="C109" s="7226"/>
      <c r="D109" s="7201" t="s">
        <v>63</v>
      </c>
      <c r="E109" s="6341"/>
      <c r="F109" s="7202"/>
      <c r="G109" s="7250" t="s">
        <v>30</v>
      </c>
      <c r="H109" s="7251"/>
      <c r="I109" s="7251"/>
      <c r="J109" s="7251"/>
      <c r="K109" s="7251"/>
      <c r="L109" s="7251"/>
      <c r="M109" s="7251"/>
      <c r="N109" s="7251"/>
      <c r="O109" s="7251"/>
      <c r="P109" s="7251"/>
      <c r="Q109" s="7251"/>
      <c r="R109" s="7251"/>
      <c r="S109" s="7251"/>
      <c r="T109" s="7251"/>
      <c r="U109" s="7251"/>
      <c r="V109" s="7251"/>
      <c r="W109" s="7251"/>
      <c r="X109" s="7251"/>
      <c r="Y109" s="7251"/>
      <c r="Z109" s="7251"/>
      <c r="AA109" s="7251"/>
      <c r="AB109" s="7251"/>
      <c r="AC109" s="7251"/>
      <c r="AD109" s="7251"/>
      <c r="AE109" s="7251"/>
      <c r="AF109" s="7251"/>
      <c r="AG109" s="7251"/>
      <c r="AH109" s="7251"/>
      <c r="AI109" s="7251"/>
      <c r="AJ109" s="7251"/>
      <c r="AK109" s="7251"/>
      <c r="AL109" s="7251"/>
      <c r="AM109" s="7251"/>
      <c r="AN109" s="7252"/>
      <c r="AO109" s="7219" t="s">
        <v>67</v>
      </c>
    </row>
    <row r="110" spans="1:70" x14ac:dyDescent="0.3">
      <c r="B110" s="7224"/>
      <c r="C110" s="7247"/>
      <c r="D110" s="7203"/>
      <c r="E110" s="7204"/>
      <c r="F110" s="7249"/>
      <c r="G110" s="7206" t="s">
        <v>36</v>
      </c>
      <c r="H110" s="7208"/>
      <c r="I110" s="7206" t="s">
        <v>37</v>
      </c>
      <c r="J110" s="7208"/>
      <c r="K110" s="7206" t="s">
        <v>38</v>
      </c>
      <c r="L110" s="7208"/>
      <c r="M110" s="7206" t="s">
        <v>4</v>
      </c>
      <c r="N110" s="7208"/>
      <c r="O110" s="7206" t="s">
        <v>5</v>
      </c>
      <c r="P110" s="7208"/>
      <c r="Q110" s="7211" t="s">
        <v>6</v>
      </c>
      <c r="R110" s="7212"/>
      <c r="S110" s="7211" t="s">
        <v>7</v>
      </c>
      <c r="T110" s="7212"/>
      <c r="U110" s="7211" t="s">
        <v>8</v>
      </c>
      <c r="V110" s="7212"/>
      <c r="W110" s="7211" t="s">
        <v>9</v>
      </c>
      <c r="X110" s="7212"/>
      <c r="Y110" s="7211" t="s">
        <v>10</v>
      </c>
      <c r="Z110" s="7212"/>
      <c r="AA110" s="7211" t="s">
        <v>11</v>
      </c>
      <c r="AB110" s="7212"/>
      <c r="AC110" s="7211" t="s">
        <v>18</v>
      </c>
      <c r="AD110" s="7212"/>
      <c r="AE110" s="7211" t="s">
        <v>19</v>
      </c>
      <c r="AF110" s="7212"/>
      <c r="AG110" s="7211" t="s">
        <v>20</v>
      </c>
      <c r="AH110" s="7212"/>
      <c r="AI110" s="7211" t="s">
        <v>70</v>
      </c>
      <c r="AJ110" s="7212"/>
      <c r="AK110" s="7211" t="s">
        <v>71</v>
      </c>
      <c r="AL110" s="7212"/>
      <c r="AM110" s="6677" t="s">
        <v>32</v>
      </c>
      <c r="AN110" s="6682"/>
      <c r="AO110" s="6324"/>
    </row>
    <row r="111" spans="1:70" x14ac:dyDescent="0.3">
      <c r="B111" s="7225"/>
      <c r="C111" s="7248"/>
      <c r="D111" s="199" t="s">
        <v>26</v>
      </c>
      <c r="E111" s="200" t="s">
        <v>51</v>
      </c>
      <c r="F111" s="175" t="s">
        <v>27</v>
      </c>
      <c r="G111" s="201" t="s">
        <v>51</v>
      </c>
      <c r="H111" s="295" t="s">
        <v>27</v>
      </c>
      <c r="I111" s="201" t="s">
        <v>51</v>
      </c>
      <c r="J111" s="295" t="s">
        <v>27</v>
      </c>
      <c r="K111" s="201" t="s">
        <v>51</v>
      </c>
      <c r="L111" s="295" t="s">
        <v>27</v>
      </c>
      <c r="M111" s="201" t="s">
        <v>51</v>
      </c>
      <c r="N111" s="295" t="s">
        <v>27</v>
      </c>
      <c r="O111" s="201" t="s">
        <v>51</v>
      </c>
      <c r="P111" s="295" t="s">
        <v>27</v>
      </c>
      <c r="Q111" s="201" t="s">
        <v>51</v>
      </c>
      <c r="R111" s="295" t="s">
        <v>27</v>
      </c>
      <c r="S111" s="201" t="s">
        <v>51</v>
      </c>
      <c r="T111" s="295" t="s">
        <v>27</v>
      </c>
      <c r="U111" s="201" t="s">
        <v>51</v>
      </c>
      <c r="V111" s="295" t="s">
        <v>27</v>
      </c>
      <c r="W111" s="201" t="s">
        <v>51</v>
      </c>
      <c r="X111" s="295" t="s">
        <v>27</v>
      </c>
      <c r="Y111" s="201" t="s">
        <v>51</v>
      </c>
      <c r="Z111" s="295" t="s">
        <v>27</v>
      </c>
      <c r="AA111" s="201" t="s">
        <v>51</v>
      </c>
      <c r="AB111" s="295" t="s">
        <v>27</v>
      </c>
      <c r="AC111" s="201" t="s">
        <v>51</v>
      </c>
      <c r="AD111" s="295" t="s">
        <v>27</v>
      </c>
      <c r="AE111" s="201" t="s">
        <v>51</v>
      </c>
      <c r="AF111" s="295" t="s">
        <v>27</v>
      </c>
      <c r="AG111" s="201" t="s">
        <v>51</v>
      </c>
      <c r="AH111" s="295" t="s">
        <v>27</v>
      </c>
      <c r="AI111" s="201" t="s">
        <v>51</v>
      </c>
      <c r="AJ111" s="295" t="s">
        <v>27</v>
      </c>
      <c r="AK111" s="201" t="s">
        <v>51</v>
      </c>
      <c r="AL111" s="295" t="s">
        <v>27</v>
      </c>
      <c r="AM111" s="201" t="s">
        <v>51</v>
      </c>
      <c r="AN111" s="295" t="s">
        <v>27</v>
      </c>
      <c r="AO111" s="7210"/>
    </row>
    <row r="112" spans="1:70" ht="15" customHeight="1" x14ac:dyDescent="0.3">
      <c r="A112" s="6259" t="s">
        <v>4870</v>
      </c>
      <c r="B112" s="7256" t="s">
        <v>317</v>
      </c>
      <c r="C112" s="7257"/>
      <c r="D112" s="145" t="s">
        <v>5292</v>
      </c>
      <c r="E112" s="275" t="s">
        <v>5293</v>
      </c>
      <c r="F112" s="154" t="s">
        <v>5294</v>
      </c>
      <c r="G112" s="276" t="s">
        <v>5295</v>
      </c>
      <c r="H112" s="277" t="s">
        <v>5296</v>
      </c>
      <c r="I112" s="276" t="s">
        <v>5297</v>
      </c>
      <c r="J112" s="277" t="s">
        <v>5298</v>
      </c>
      <c r="K112" s="276" t="s">
        <v>5299</v>
      </c>
      <c r="L112" s="277" t="s">
        <v>5300</v>
      </c>
      <c r="M112" s="276" t="s">
        <v>5301</v>
      </c>
      <c r="N112" s="277" t="s">
        <v>5302</v>
      </c>
      <c r="O112" s="276" t="s">
        <v>5303</v>
      </c>
      <c r="P112" s="277" t="s">
        <v>5304</v>
      </c>
      <c r="Q112" s="276" t="s">
        <v>5305</v>
      </c>
      <c r="R112" s="277" t="s">
        <v>5306</v>
      </c>
      <c r="S112" s="276" t="s">
        <v>5307</v>
      </c>
      <c r="T112" s="277" t="s">
        <v>5308</v>
      </c>
      <c r="U112" s="276" t="s">
        <v>5309</v>
      </c>
      <c r="V112" s="277" t="s">
        <v>5310</v>
      </c>
      <c r="W112" s="276" t="s">
        <v>5311</v>
      </c>
      <c r="X112" s="277" t="s">
        <v>5312</v>
      </c>
      <c r="Y112" s="276" t="s">
        <v>5313</v>
      </c>
      <c r="Z112" s="277" t="s">
        <v>5314</v>
      </c>
      <c r="AA112" s="276" t="s">
        <v>5315</v>
      </c>
      <c r="AB112" s="277" t="s">
        <v>5316</v>
      </c>
      <c r="AC112" s="276" t="s">
        <v>5317</v>
      </c>
      <c r="AD112" s="277" t="s">
        <v>5318</v>
      </c>
      <c r="AE112" s="278" t="s">
        <v>5319</v>
      </c>
      <c r="AF112" s="279" t="s">
        <v>5320</v>
      </c>
      <c r="AG112" s="276" t="s">
        <v>5321</v>
      </c>
      <c r="AH112" s="277" t="s">
        <v>5322</v>
      </c>
      <c r="AI112" s="278" t="s">
        <v>5323</v>
      </c>
      <c r="AJ112" s="279" t="s">
        <v>5324</v>
      </c>
      <c r="AK112" s="276" t="s">
        <v>5325</v>
      </c>
      <c r="AL112" s="277" t="s">
        <v>5326</v>
      </c>
      <c r="AM112" s="278" t="s">
        <v>5327</v>
      </c>
      <c r="AN112" s="277" t="s">
        <v>5328</v>
      </c>
      <c r="AO112" s="280" t="s">
        <v>5329</v>
      </c>
      <c r="AP112" t="str">
        <f>BJ112&amp;BK112</f>
        <v xml:space="preserve"> * Los beneficiairos no pueden ser mayor al Total.</v>
      </c>
      <c r="BJ112" s="1723" t="str">
        <f>IF(AND(D112&gt;0,AO112="")," * No olvide digitar la columna Beneficiarios","")</f>
        <v/>
      </c>
      <c r="BK112" s="1723" t="str">
        <f>IF(AO112&gt;D112," * Los beneficiairos no pueden ser mayor al Total.","")</f>
        <v xml:space="preserve"> * Los beneficiairos no pueden ser mayor al Total.</v>
      </c>
      <c r="BL112" s="1723"/>
      <c r="BM112" s="1723"/>
      <c r="BO112" s="1725">
        <f>IF(AND(D112&gt;0,AO112=""),1,0)</f>
        <v>0</v>
      </c>
      <c r="BP112" s="1725">
        <f>IF(AO112&gt;D112,1,0)</f>
        <v>1</v>
      </c>
      <c r="BQ112" s="1725"/>
    </row>
    <row r="113" spans="1:75" ht="15" customHeight="1" x14ac:dyDescent="0.3">
      <c r="A113" s="6259" t="s">
        <v>4871</v>
      </c>
      <c r="B113" s="7253" t="s">
        <v>318</v>
      </c>
      <c r="C113" s="7254"/>
      <c r="D113" s="79" t="s">
        <v>5292</v>
      </c>
      <c r="E113" s="80" t="s">
        <v>5293</v>
      </c>
      <c r="F113" s="81" t="s">
        <v>5294</v>
      </c>
      <c r="G113" s="281" t="s">
        <v>5295</v>
      </c>
      <c r="H113" s="282" t="s">
        <v>5296</v>
      </c>
      <c r="I113" s="281" t="s">
        <v>5297</v>
      </c>
      <c r="J113" s="282" t="s">
        <v>5298</v>
      </c>
      <c r="K113" s="281" t="s">
        <v>5299</v>
      </c>
      <c r="L113" s="282" t="s">
        <v>5300</v>
      </c>
      <c r="M113" s="281" t="s">
        <v>5301</v>
      </c>
      <c r="N113" s="282" t="s">
        <v>5302</v>
      </c>
      <c r="O113" s="281" t="s">
        <v>5303</v>
      </c>
      <c r="P113" s="282" t="s">
        <v>5304</v>
      </c>
      <c r="Q113" s="281" t="s">
        <v>5305</v>
      </c>
      <c r="R113" s="282" t="s">
        <v>5306</v>
      </c>
      <c r="S113" s="281" t="s">
        <v>5307</v>
      </c>
      <c r="T113" s="282" t="s">
        <v>5308</v>
      </c>
      <c r="U113" s="281" t="s">
        <v>5309</v>
      </c>
      <c r="V113" s="282" t="s">
        <v>5310</v>
      </c>
      <c r="W113" s="281" t="s">
        <v>5311</v>
      </c>
      <c r="X113" s="282" t="s">
        <v>5312</v>
      </c>
      <c r="Y113" s="281" t="s">
        <v>5313</v>
      </c>
      <c r="Z113" s="282" t="s">
        <v>5314</v>
      </c>
      <c r="AA113" s="281" t="s">
        <v>5315</v>
      </c>
      <c r="AB113" s="282" t="s">
        <v>5316</v>
      </c>
      <c r="AC113" s="281" t="s">
        <v>5317</v>
      </c>
      <c r="AD113" s="282" t="s">
        <v>5318</v>
      </c>
      <c r="AE113" s="283" t="s">
        <v>5319</v>
      </c>
      <c r="AF113" s="284" t="s">
        <v>5320</v>
      </c>
      <c r="AG113" s="281" t="s">
        <v>5321</v>
      </c>
      <c r="AH113" s="282" t="s">
        <v>5322</v>
      </c>
      <c r="AI113" s="283" t="s">
        <v>5323</v>
      </c>
      <c r="AJ113" s="284" t="s">
        <v>5324</v>
      </c>
      <c r="AK113" s="281" t="s">
        <v>5325</v>
      </c>
      <c r="AL113" s="282" t="s">
        <v>5326</v>
      </c>
      <c r="AM113" s="283" t="s">
        <v>5327</v>
      </c>
      <c r="AN113" s="282" t="s">
        <v>5328</v>
      </c>
      <c r="AO113" s="285" t="s">
        <v>5329</v>
      </c>
      <c r="AP113" t="str">
        <f t="shared" ref="AP113:AP114" si="39">BJ113&amp;BK113</f>
        <v xml:space="preserve"> * Los beneficiairos no pueden ser mayor al Total.</v>
      </c>
      <c r="BJ113" s="1723" t="str">
        <f t="shared" ref="BJ113:BJ114" si="40">IF(AND(D113&gt;0,AO113="")," * No olvide digitar la columna Beneficiarios","")</f>
        <v/>
      </c>
      <c r="BK113" s="1723" t="str">
        <f t="shared" ref="BK113:BK114" si="41">IF(AO113&gt;D113," * Los beneficiairos no pueden ser mayor al Total.","")</f>
        <v xml:space="preserve"> * Los beneficiairos no pueden ser mayor al Total.</v>
      </c>
      <c r="BL113" s="1723"/>
      <c r="BM113" s="1723"/>
      <c r="BO113" s="1725">
        <f t="shared" ref="BO113:BO114" si="42">IF(AND(D113&gt;0,AO113=""),1,0)</f>
        <v>0</v>
      </c>
      <c r="BP113" s="1725">
        <f t="shared" ref="BP113:BP114" si="43">IF(AO113&gt;D113,1,0)</f>
        <v>1</v>
      </c>
      <c r="BQ113" s="1725"/>
    </row>
    <row r="114" spans="1:75" ht="15" customHeight="1" x14ac:dyDescent="0.3">
      <c r="A114" s="6259" t="s">
        <v>4872</v>
      </c>
      <c r="B114" s="6644" t="s">
        <v>319</v>
      </c>
      <c r="C114" s="6645"/>
      <c r="D114" s="217" t="s">
        <v>5292</v>
      </c>
      <c r="E114" s="95" t="s">
        <v>5293</v>
      </c>
      <c r="F114" s="161" t="s">
        <v>5294</v>
      </c>
      <c r="G114" s="286" t="s">
        <v>5295</v>
      </c>
      <c r="H114" s="287" t="s">
        <v>5296</v>
      </c>
      <c r="I114" s="286" t="s">
        <v>5297</v>
      </c>
      <c r="J114" s="287" t="s">
        <v>5298</v>
      </c>
      <c r="K114" s="286" t="s">
        <v>5299</v>
      </c>
      <c r="L114" s="287" t="s">
        <v>5300</v>
      </c>
      <c r="M114" s="286" t="s">
        <v>5301</v>
      </c>
      <c r="N114" s="287" t="s">
        <v>5302</v>
      </c>
      <c r="O114" s="286" t="s">
        <v>5303</v>
      </c>
      <c r="P114" s="287" t="s">
        <v>5304</v>
      </c>
      <c r="Q114" s="286" t="s">
        <v>5305</v>
      </c>
      <c r="R114" s="287" t="s">
        <v>5306</v>
      </c>
      <c r="S114" s="286" t="s">
        <v>5307</v>
      </c>
      <c r="T114" s="287" t="s">
        <v>5308</v>
      </c>
      <c r="U114" s="286" t="s">
        <v>5309</v>
      </c>
      <c r="V114" s="287" t="s">
        <v>5310</v>
      </c>
      <c r="W114" s="286" t="s">
        <v>5311</v>
      </c>
      <c r="X114" s="287" t="s">
        <v>5312</v>
      </c>
      <c r="Y114" s="286" t="s">
        <v>5313</v>
      </c>
      <c r="Z114" s="287" t="s">
        <v>5314</v>
      </c>
      <c r="AA114" s="286" t="s">
        <v>5315</v>
      </c>
      <c r="AB114" s="287" t="s">
        <v>5316</v>
      </c>
      <c r="AC114" s="286" t="s">
        <v>5317</v>
      </c>
      <c r="AD114" s="287" t="s">
        <v>5318</v>
      </c>
      <c r="AE114" s="288" t="s">
        <v>5319</v>
      </c>
      <c r="AF114" s="289" t="s">
        <v>5320</v>
      </c>
      <c r="AG114" s="286" t="s">
        <v>5321</v>
      </c>
      <c r="AH114" s="287" t="s">
        <v>5322</v>
      </c>
      <c r="AI114" s="288" t="s">
        <v>5323</v>
      </c>
      <c r="AJ114" s="289" t="s">
        <v>5324</v>
      </c>
      <c r="AK114" s="286" t="s">
        <v>5325</v>
      </c>
      <c r="AL114" s="287" t="s">
        <v>5326</v>
      </c>
      <c r="AM114" s="288" t="s">
        <v>5327</v>
      </c>
      <c r="AN114" s="287" t="s">
        <v>5328</v>
      </c>
      <c r="AO114" s="290" t="s">
        <v>5329</v>
      </c>
      <c r="AP114" t="str">
        <f t="shared" si="39"/>
        <v xml:space="preserve"> * Los beneficiairos no pueden ser mayor al Total.</v>
      </c>
      <c r="BJ114" s="1723" t="str">
        <f t="shared" si="40"/>
        <v/>
      </c>
      <c r="BK114" s="1723" t="str">
        <f t="shared" si="41"/>
        <v xml:space="preserve"> * Los beneficiairos no pueden ser mayor al Total.</v>
      </c>
      <c r="BL114" s="1723"/>
      <c r="BM114" s="1723"/>
      <c r="BO114" s="1725">
        <f t="shared" si="42"/>
        <v>0</v>
      </c>
      <c r="BP114" s="1725">
        <f t="shared" si="43"/>
        <v>1</v>
      </c>
      <c r="BQ114" s="1725"/>
    </row>
    <row r="115" spans="1:75" s="17" customFormat="1" ht="18" customHeight="1" x14ac:dyDescent="0.25">
      <c r="A115" s="103"/>
      <c r="B115" s="122" t="s">
        <v>320</v>
      </c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</row>
    <row r="116" spans="1:75" x14ac:dyDescent="0.3">
      <c r="A116" s="103"/>
      <c r="B116" s="7223" t="s">
        <v>23</v>
      </c>
      <c r="C116" s="7226"/>
      <c r="D116" s="7223" t="s">
        <v>24</v>
      </c>
      <c r="E116" s="6611"/>
      <c r="F116" s="7226"/>
      <c r="G116" s="7206" t="s">
        <v>491</v>
      </c>
      <c r="H116" s="7208"/>
      <c r="I116" s="7255" t="s">
        <v>492</v>
      </c>
      <c r="J116" s="7208"/>
      <c r="K116" s="7206" t="s">
        <v>493</v>
      </c>
      <c r="L116" s="7208"/>
      <c r="M116" s="7206" t="s">
        <v>5</v>
      </c>
      <c r="N116" s="7208"/>
      <c r="O116" s="7206" t="s">
        <v>494</v>
      </c>
      <c r="P116" s="7208"/>
      <c r="Q116" s="7206" t="s">
        <v>495</v>
      </c>
      <c r="R116" s="7208"/>
      <c r="S116" s="7211" t="s">
        <v>496</v>
      </c>
      <c r="T116" s="7212"/>
      <c r="U116" s="7211" t="s">
        <v>497</v>
      </c>
      <c r="V116" s="7212"/>
      <c r="W116" s="7211" t="s">
        <v>498</v>
      </c>
      <c r="X116" s="7229"/>
      <c r="Y116" s="7211" t="s">
        <v>57</v>
      </c>
      <c r="Z116" s="7212"/>
    </row>
    <row r="117" spans="1:75" x14ac:dyDescent="0.3">
      <c r="A117" s="103"/>
      <c r="B117" s="7225"/>
      <c r="C117" s="7248"/>
      <c r="D117" s="199" t="s">
        <v>26</v>
      </c>
      <c r="E117" s="200" t="s">
        <v>22</v>
      </c>
      <c r="F117" s="176" t="s">
        <v>27</v>
      </c>
      <c r="G117" s="201" t="s">
        <v>51</v>
      </c>
      <c r="H117" s="295" t="s">
        <v>27</v>
      </c>
      <c r="I117" s="201" t="s">
        <v>51</v>
      </c>
      <c r="J117" s="295" t="s">
        <v>27</v>
      </c>
      <c r="K117" s="201" t="s">
        <v>51</v>
      </c>
      <c r="L117" s="295" t="s">
        <v>27</v>
      </c>
      <c r="M117" s="201" t="s">
        <v>51</v>
      </c>
      <c r="N117" s="295" t="s">
        <v>27</v>
      </c>
      <c r="O117" s="201" t="s">
        <v>51</v>
      </c>
      <c r="P117" s="295" t="s">
        <v>27</v>
      </c>
      <c r="Q117" s="201" t="s">
        <v>51</v>
      </c>
      <c r="R117" s="295" t="s">
        <v>27</v>
      </c>
      <c r="S117" s="201" t="s">
        <v>51</v>
      </c>
      <c r="T117" s="295" t="s">
        <v>27</v>
      </c>
      <c r="U117" s="201" t="s">
        <v>51</v>
      </c>
      <c r="V117" s="295" t="s">
        <v>27</v>
      </c>
      <c r="W117" s="201" t="s">
        <v>51</v>
      </c>
      <c r="X117" s="296" t="s">
        <v>27</v>
      </c>
      <c r="Y117" s="201" t="s">
        <v>51</v>
      </c>
      <c r="Z117" s="295" t="s">
        <v>27</v>
      </c>
    </row>
    <row r="118" spans="1:75" x14ac:dyDescent="0.3">
      <c r="A118" s="6259" t="s">
        <v>4873</v>
      </c>
      <c r="B118" s="7256" t="s">
        <v>321</v>
      </c>
      <c r="C118" s="7257"/>
      <c r="D118" s="297" t="s">
        <v>5292</v>
      </c>
      <c r="E118" s="212" t="s">
        <v>5293</v>
      </c>
      <c r="F118" s="183" t="s">
        <v>5294</v>
      </c>
      <c r="G118" s="234" t="s">
        <v>5295</v>
      </c>
      <c r="H118" s="298" t="s">
        <v>5296</v>
      </c>
      <c r="I118" s="233" t="s">
        <v>5297</v>
      </c>
      <c r="J118" s="235" t="s">
        <v>5298</v>
      </c>
      <c r="K118" s="233" t="s">
        <v>5299</v>
      </c>
      <c r="L118" s="235" t="s">
        <v>5300</v>
      </c>
      <c r="M118" s="234" t="s">
        <v>5301</v>
      </c>
      <c r="N118" s="298" t="s">
        <v>5302</v>
      </c>
      <c r="O118" s="233" t="s">
        <v>5303</v>
      </c>
      <c r="P118" s="235" t="s">
        <v>5304</v>
      </c>
      <c r="Q118" s="234" t="s">
        <v>5305</v>
      </c>
      <c r="R118" s="298" t="s">
        <v>5306</v>
      </c>
      <c r="S118" s="233" t="s">
        <v>5307</v>
      </c>
      <c r="T118" s="235" t="s">
        <v>5308</v>
      </c>
      <c r="U118" s="234" t="s">
        <v>5309</v>
      </c>
      <c r="V118" s="298" t="s">
        <v>5310</v>
      </c>
      <c r="W118" s="233" t="s">
        <v>5311</v>
      </c>
      <c r="X118" s="235" t="s">
        <v>5312</v>
      </c>
      <c r="Y118" s="233" t="s">
        <v>5313</v>
      </c>
      <c r="Z118" s="299" t="s">
        <v>5314</v>
      </c>
    </row>
    <row r="119" spans="1:75" x14ac:dyDescent="0.3">
      <c r="A119" s="6259" t="s">
        <v>4874</v>
      </c>
      <c r="B119" s="7258" t="s">
        <v>322</v>
      </c>
      <c r="C119" s="7259"/>
      <c r="D119" s="300" t="s">
        <v>5292</v>
      </c>
      <c r="E119" s="217" t="s">
        <v>5293</v>
      </c>
      <c r="F119" s="196" t="s">
        <v>5294</v>
      </c>
      <c r="G119" s="301" t="s">
        <v>5295</v>
      </c>
      <c r="H119" s="302" t="s">
        <v>5296</v>
      </c>
      <c r="I119" s="303" t="s">
        <v>5297</v>
      </c>
      <c r="J119" s="304" t="s">
        <v>5298</v>
      </c>
      <c r="K119" s="303" t="s">
        <v>5299</v>
      </c>
      <c r="L119" s="304" t="s">
        <v>5300</v>
      </c>
      <c r="M119" s="301" t="s">
        <v>5301</v>
      </c>
      <c r="N119" s="302" t="s">
        <v>5302</v>
      </c>
      <c r="O119" s="303" t="s">
        <v>5303</v>
      </c>
      <c r="P119" s="304" t="s">
        <v>5304</v>
      </c>
      <c r="Q119" s="301" t="s">
        <v>5305</v>
      </c>
      <c r="R119" s="302" t="s">
        <v>5306</v>
      </c>
      <c r="S119" s="303" t="s">
        <v>5307</v>
      </c>
      <c r="T119" s="304" t="s">
        <v>5308</v>
      </c>
      <c r="U119" s="301" t="s">
        <v>5309</v>
      </c>
      <c r="V119" s="302" t="s">
        <v>5310</v>
      </c>
      <c r="W119" s="303" t="s">
        <v>5311</v>
      </c>
      <c r="X119" s="304" t="s">
        <v>5312</v>
      </c>
      <c r="Y119" s="303" t="s">
        <v>5313</v>
      </c>
      <c r="Z119" s="305" t="s">
        <v>5314</v>
      </c>
    </row>
    <row r="120" spans="1:75" s="17" customFormat="1" ht="18" customHeight="1" x14ac:dyDescent="0.25">
      <c r="B120" s="122" t="s">
        <v>323</v>
      </c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</row>
    <row r="121" spans="1:75" x14ac:dyDescent="0.3">
      <c r="B121" s="7198" t="s">
        <v>23</v>
      </c>
      <c r="C121" s="7229" t="s">
        <v>324</v>
      </c>
      <c r="D121" s="7229"/>
      <c r="E121" s="7229"/>
      <c r="F121" s="7212"/>
      <c r="G121" s="7260" t="s">
        <v>24</v>
      </c>
      <c r="H121" s="7261"/>
      <c r="I121" s="7262" t="s">
        <v>943</v>
      </c>
      <c r="J121" s="7229"/>
      <c r="K121" s="7229"/>
      <c r="L121" s="7263"/>
      <c r="M121" s="7202" t="s">
        <v>325</v>
      </c>
      <c r="N121" s="7219" t="s">
        <v>326</v>
      </c>
      <c r="O121" s="7202" t="s">
        <v>327</v>
      </c>
      <c r="P121" s="7219" t="s">
        <v>2</v>
      </c>
      <c r="Q121" s="7219" t="s">
        <v>3</v>
      </c>
    </row>
    <row r="122" spans="1:75" x14ac:dyDescent="0.3">
      <c r="B122" s="7200"/>
      <c r="C122" s="1748" t="s">
        <v>328</v>
      </c>
      <c r="D122" s="1748" t="s">
        <v>329</v>
      </c>
      <c r="E122" s="227" t="s">
        <v>330</v>
      </c>
      <c r="F122" s="175" t="s">
        <v>331</v>
      </c>
      <c r="G122" s="1708" t="s">
        <v>250</v>
      </c>
      <c r="H122" s="1749" t="s">
        <v>21</v>
      </c>
      <c r="I122" s="1750" t="s">
        <v>334</v>
      </c>
      <c r="J122" s="227" t="s">
        <v>335</v>
      </c>
      <c r="K122" s="1709" t="s">
        <v>332</v>
      </c>
      <c r="L122" s="1751" t="s">
        <v>333</v>
      </c>
      <c r="M122" s="7249"/>
      <c r="N122" s="7210"/>
      <c r="O122" s="7249"/>
      <c r="P122" s="7210"/>
      <c r="Q122" s="7210"/>
    </row>
    <row r="123" spans="1:75" x14ac:dyDescent="0.3">
      <c r="A123" s="6259" t="s">
        <v>4875</v>
      </c>
      <c r="B123" s="306" t="s">
        <v>321</v>
      </c>
      <c r="C123" s="236" t="s">
        <v>5292</v>
      </c>
      <c r="D123" s="299" t="s">
        <v>5293</v>
      </c>
      <c r="E123" s="307" t="s">
        <v>5294</v>
      </c>
      <c r="F123" s="308" t="s">
        <v>5295</v>
      </c>
      <c r="G123" s="309" t="s">
        <v>5296</v>
      </c>
      <c r="H123" s="310" t="s">
        <v>5297</v>
      </c>
      <c r="I123" s="311" t="s">
        <v>5298</v>
      </c>
      <c r="J123" s="236" t="s">
        <v>5299</v>
      </c>
      <c r="K123" s="236" t="s">
        <v>5300</v>
      </c>
      <c r="L123" s="310" t="s">
        <v>5301</v>
      </c>
      <c r="M123" s="299" t="s">
        <v>5302</v>
      </c>
      <c r="N123" s="236" t="s">
        <v>5303</v>
      </c>
      <c r="O123" s="299" t="s">
        <v>5304</v>
      </c>
      <c r="P123" s="236" t="s">
        <v>5305</v>
      </c>
      <c r="Q123" s="236" t="s">
        <v>5306</v>
      </c>
      <c r="R123" t="e">
        <f>BG123&amp;BH123&amp;BI123&amp;BJ123&amp;BK123&amp;BL123&amp;BM123&amp;BN123</f>
        <v>#VALUE!</v>
      </c>
      <c r="BG123" s="1723" t="e">
        <f>IF(G123+H123&lt;&gt;(C123+D123),"* La sumatoria de AGRESOR/A debe ser igual al Total de Hombres+Mujeres. ","")</f>
        <v>#VALUE!</v>
      </c>
      <c r="BH123" s="1723"/>
      <c r="BI123" s="1723"/>
      <c r="BJ123" s="1723" t="e">
        <f>IF(AND((G123+H123)&gt;0,M123="")," * No olvide digitar la variable Sin lesiones constatables. Digite cero si no tiene.",IF(M123&gt;(G123+H123)," * La variable Sin lesiones constatables no puede ser mayor a la sumatoria Total de Hombres+Mujeres.",""))</f>
        <v>#VALUE!</v>
      </c>
      <c r="BK123" s="1723" t="e">
        <f>IF(AND((G123+H123)&gt;0,N123="")," * No olvide digitar la variable Diversidad Sexual. Digite cero si no tiene.",IF(N123&gt;(G123+H123)," * La variable Diversidad Sexual  no puede ser mayor a la sumatoria Total de Hombres+Mujeres.",""))</f>
        <v>#VALUE!</v>
      </c>
      <c r="BL123" s="1723" t="str">
        <f>IF(AND(H123&gt;0,O123="")," * No olvide digitar la variable Embarazadas. Digite cero si no tiene.",IF((O123&gt;H123)," * La variable Embarazadas  no puede ser mayor a la sumatoria Total Mujer.",""))</f>
        <v xml:space="preserve"> * La variable Embarazadas  no puede ser mayor a la sumatoria Total Mujer.</v>
      </c>
      <c r="BM123" s="1723" t="e">
        <f>IF(AND((G123+H123)&gt;0,P123="")," * No olvide digitar la variable Pueblos Originarios. Digite cero si no tiene.",IF(P123&gt;(G123+H123)," * La variable Pueblos Originarios  no puede ser mayor a la sumatoria Total de Hombres+Mujeres.",""))</f>
        <v>#VALUE!</v>
      </c>
      <c r="BN123" s="1723" t="e">
        <f>IF(AND((G123+H123)&gt;0,Q123="")," * No olvide digitar la variable Migrantes. Digite cero si no tiene.",IF(Q123&gt;(G123+H123)," * La variable Migrantes  no puede ser mayor a la sumatoria Total de Hombres+Mujeres.",""))</f>
        <v>#VALUE!</v>
      </c>
      <c r="BP123" s="1725" t="e">
        <f>IF(G123+H123&lt;&gt;(C123+D123),1,0)</f>
        <v>#VALUE!</v>
      </c>
      <c r="BQ123" s="1725"/>
      <c r="BR123" s="1725"/>
      <c r="BS123" s="1725" t="e">
        <f>IF(AND((G123+H123)&gt;0,M123=""),1,IF(M123&gt;(G123+H123),1,0))</f>
        <v>#VALUE!</v>
      </c>
      <c r="BT123" s="1725" t="e">
        <f>IF(AND((G123+H123)&gt;0,N123=""),1,IF(N123&gt;(G123+H123),1,0))</f>
        <v>#VALUE!</v>
      </c>
      <c r="BU123" s="1725">
        <f>IF(AND((H123)&gt;0,O123=""),1,IF(O123&gt;(H123),1,0))</f>
        <v>1</v>
      </c>
      <c r="BV123" s="1725" t="e">
        <f>IF(AND((G123+H123)&gt;0,P123=""),1,IF(P123&gt;(G123+H123),1,0))</f>
        <v>#VALUE!</v>
      </c>
      <c r="BW123" s="1725" t="e">
        <f>IF(AND((H123+G123)&gt;0,Q123=""),1,IF(Q123&gt;(G123+H123),1,0))</f>
        <v>#VALUE!</v>
      </c>
    </row>
    <row r="124" spans="1:75" x14ac:dyDescent="0.3">
      <c r="A124" s="6259" t="s">
        <v>4876</v>
      </c>
      <c r="B124" s="312" t="s">
        <v>322</v>
      </c>
      <c r="C124" s="313" t="s">
        <v>5292</v>
      </c>
      <c r="D124" s="314" t="s">
        <v>5293</v>
      </c>
      <c r="E124" s="315" t="s">
        <v>5294</v>
      </c>
      <c r="F124" s="305" t="s">
        <v>5295</v>
      </c>
      <c r="G124" s="316" t="s">
        <v>5296</v>
      </c>
      <c r="H124" s="317" t="s">
        <v>5297</v>
      </c>
      <c r="I124" s="318" t="s">
        <v>5298</v>
      </c>
      <c r="J124" s="315" t="s">
        <v>5299</v>
      </c>
      <c r="K124" s="315" t="s">
        <v>5300</v>
      </c>
      <c r="L124" s="317" t="s">
        <v>5301</v>
      </c>
      <c r="M124" s="305" t="s">
        <v>5302</v>
      </c>
      <c r="N124" s="315" t="s">
        <v>5303</v>
      </c>
      <c r="O124" s="305" t="s">
        <v>5304</v>
      </c>
      <c r="P124" s="315" t="s">
        <v>5305</v>
      </c>
      <c r="Q124" s="315" t="s">
        <v>5306</v>
      </c>
      <c r="R124" t="e">
        <f>BG124&amp;BH124&amp;BI124&amp;BJ124&amp;BK124&amp;BL124&amp;BM124&amp;BN124</f>
        <v>#VALUE!</v>
      </c>
      <c r="BG124" s="1723" t="e">
        <f>IF(G124+H124&lt;&gt;(E124+F124),"* La sumatoria de AGRESOR/A debe ser igual al Total de Hombres+Mujeres. ","")</f>
        <v>#VALUE!</v>
      </c>
      <c r="BH124" s="1723"/>
      <c r="BI124" s="1723"/>
      <c r="BJ124" s="1723" t="e">
        <f>IF(AND((G124+H124)&gt;0,M124="")," * No olvide digitar la variable Sin lesiones constatables. Digite cero si no tiene.",IF(M124&gt;(G124+H124)," * La variable Sin lesiones constatables no puede ser mayor a la sumatoria Total de Hombres+Mujeres.",""))</f>
        <v>#VALUE!</v>
      </c>
      <c r="BK124" s="1723" t="e">
        <f>IF(AND((G124+H124)&gt;0,N124="")," * No olvide digitar la variable Diversidad Sexual. Digite cero si no tiene.",IF(N124&gt;(G124+H124)," * La variable Diversidad Sexual  no puede ser mayor a la sumatoria Total de Hombres+Mujeres.",""))</f>
        <v>#VALUE!</v>
      </c>
      <c r="BL124" s="1723" t="str">
        <f>IF(AND(H124&gt;0,O124="")," * No olvide digitar la variable Embarazadas. Digite cero si no tiene.",IF((O124&gt;H124)," * La variable Embarazadas  no puede ser mayor a la sumatoria Total Mujer.",""))</f>
        <v xml:space="preserve"> * La variable Embarazadas  no puede ser mayor a la sumatoria Total Mujer.</v>
      </c>
      <c r="BM124" s="1723" t="e">
        <f>IF(AND((G124+H124)&gt;0,P124="")," * No olvide digitar la variable Pueblos Originarios. Digite cero si no tiene.",IF(P124&gt;(G124+H124)," * La variable Pueblos Originarios  no puede ser mayor a la sumatoria Total de Hombres+Mujeres.",""))</f>
        <v>#VALUE!</v>
      </c>
      <c r="BN124" s="1723" t="e">
        <f>IF(AND((G124+H124)&gt;0,Q124="")," * No olvide digitar la variable Migrantes. Digite cero si no tiene.",IF(Q124&gt;(G124+H124)," * La variable Migrantes  no puede ser mayor a la sumatoria Total de Hombres+Mujeres.",""))</f>
        <v>#VALUE!</v>
      </c>
      <c r="BP124" s="1725" t="e">
        <f>IF(G124+H124&lt;&gt;(E124+F124),1,0)</f>
        <v>#VALUE!</v>
      </c>
      <c r="BQ124" s="1725"/>
      <c r="BR124" s="1725"/>
      <c r="BS124" s="1725" t="e">
        <f>IF(AND((G124+H124)&gt;0,M124=""),1,IF(M124&gt;(G124+H124),1,0))</f>
        <v>#VALUE!</v>
      </c>
      <c r="BT124" s="1725" t="e">
        <f>IF(AND((G124+H124)&gt;0,N124=""),1,IF(N124&gt;(G124+H124),1,0))</f>
        <v>#VALUE!</v>
      </c>
      <c r="BU124" s="1725">
        <f>IF(AND((H124)&gt;0,O124=""),1,IF(O124&gt;(H124),1,0))</f>
        <v>1</v>
      </c>
      <c r="BV124" s="1725" t="e">
        <f>IF(AND((G124+H124)&gt;0,P124=""),1,IF(P124&gt;(G124+H124),1,0))</f>
        <v>#VALUE!</v>
      </c>
      <c r="BW124" s="1725" t="e">
        <f>IF(AND((H124+G124)&gt;0,Q124=""),1,IF(Q124&gt;(G124+H124),1,0))</f>
        <v>#VALUE!</v>
      </c>
    </row>
    <row r="125" spans="1:75" s="17" customFormat="1" ht="18" customHeight="1" x14ac:dyDescent="0.25">
      <c r="B125" s="122" t="s">
        <v>336</v>
      </c>
      <c r="C125" s="122"/>
      <c r="D125" s="122"/>
      <c r="E125" s="122"/>
      <c r="F125" s="122"/>
      <c r="G125" s="122"/>
      <c r="H125" s="122"/>
      <c r="I125" s="122"/>
      <c r="J125" s="122"/>
      <c r="K125" s="122"/>
    </row>
    <row r="126" spans="1:75" x14ac:dyDescent="0.3">
      <c r="B126" s="7223" t="s">
        <v>23</v>
      </c>
      <c r="C126" s="7226"/>
      <c r="D126" s="7198" t="s">
        <v>24</v>
      </c>
      <c r="E126" s="7206" t="s">
        <v>12</v>
      </c>
      <c r="F126" s="7207"/>
      <c r="G126" s="7207"/>
      <c r="H126" s="7207"/>
      <c r="I126" s="7207"/>
      <c r="J126" s="7266"/>
      <c r="K126" s="7202" t="s">
        <v>67</v>
      </c>
    </row>
    <row r="127" spans="1:75" x14ac:dyDescent="0.3">
      <c r="B127" s="7225"/>
      <c r="C127" s="7248"/>
      <c r="D127" s="7200"/>
      <c r="E127" s="201" t="s">
        <v>38</v>
      </c>
      <c r="F127" s="1745" t="s">
        <v>4</v>
      </c>
      <c r="G127" s="1745" t="s">
        <v>5</v>
      </c>
      <c r="H127" s="1745" t="s">
        <v>337</v>
      </c>
      <c r="I127" s="1745" t="s">
        <v>338</v>
      </c>
      <c r="J127" s="1753" t="s">
        <v>339</v>
      </c>
      <c r="K127" s="7249"/>
    </row>
    <row r="128" spans="1:75" x14ac:dyDescent="0.3">
      <c r="A128" s="6259" t="s">
        <v>4877</v>
      </c>
      <c r="B128" s="7264" t="s">
        <v>340</v>
      </c>
      <c r="C128" s="319" t="s">
        <v>341</v>
      </c>
      <c r="D128" s="167" t="s">
        <v>5292</v>
      </c>
      <c r="E128" s="186" t="s">
        <v>5293</v>
      </c>
      <c r="F128" s="320" t="s">
        <v>5294</v>
      </c>
      <c r="G128" s="320" t="s">
        <v>5295</v>
      </c>
      <c r="H128" s="320" t="s">
        <v>5296</v>
      </c>
      <c r="I128" s="320" t="s">
        <v>5297</v>
      </c>
      <c r="J128" s="321" t="s">
        <v>5298</v>
      </c>
      <c r="K128" s="187" t="s">
        <v>5299</v>
      </c>
      <c r="L128" t="str">
        <f>BJ128&amp;BK128</f>
        <v xml:space="preserve"> * Los beneficiarios no pueden ser mayor que el Total.</v>
      </c>
      <c r="BJ128" s="1723" t="str">
        <f>IF(AND(D128&gt;0,K128="")," * No olvide digitar la columna Beneficiarios","")</f>
        <v/>
      </c>
      <c r="BK128" s="1723" t="str">
        <f>IF(K128&gt;D128," * Los beneficiarios no pueden ser mayor que el Total.","")</f>
        <v xml:space="preserve"> * Los beneficiarios no pueden ser mayor que el Total.</v>
      </c>
      <c r="BO128" s="1725">
        <f>IF(AND(D128&gt;0,K128=""),1,0)</f>
        <v>0</v>
      </c>
      <c r="BP128" s="1725">
        <f>IF(K128&gt;D128,1,0)</f>
        <v>1</v>
      </c>
    </row>
    <row r="129" spans="1:68" x14ac:dyDescent="0.3">
      <c r="A129" s="6259" t="s">
        <v>4878</v>
      </c>
      <c r="B129" s="7265"/>
      <c r="C129" s="322" t="s">
        <v>342</v>
      </c>
      <c r="D129" s="150" t="s">
        <v>5292</v>
      </c>
      <c r="E129" s="114" t="s">
        <v>5293</v>
      </c>
      <c r="F129" s="115" t="s">
        <v>5294</v>
      </c>
      <c r="G129" s="115" t="s">
        <v>5295</v>
      </c>
      <c r="H129" s="115" t="s">
        <v>5296</v>
      </c>
      <c r="I129" s="115" t="s">
        <v>5297</v>
      </c>
      <c r="J129" s="162" t="s">
        <v>5298</v>
      </c>
      <c r="K129" s="117" t="s">
        <v>5299</v>
      </c>
      <c r="L129" t="str">
        <f>BJ129&amp;BK129</f>
        <v xml:space="preserve"> * Los beneficiarios no pueden ser mayor que el Total.</v>
      </c>
      <c r="BJ129" s="1723" t="str">
        <f>IF(AND(D129&gt;0,K129="")," * No olvide digitar la columna Beneficiarios","")</f>
        <v/>
      </c>
      <c r="BK129" s="1723" t="str">
        <f>IF(K129&gt;D129," * Los beneficiarios no pueden ser mayor que el Total.","")</f>
        <v xml:space="preserve"> * Los beneficiarios no pueden ser mayor que el Total.</v>
      </c>
      <c r="BO129" s="1725">
        <f>IF(AND(D129&gt;0,K129=""),1,0)</f>
        <v>0</v>
      </c>
      <c r="BP129" s="1725">
        <f>IF(K129&gt;D129,1,0)</f>
        <v>1</v>
      </c>
    </row>
    <row r="130" spans="1:68" s="17" customFormat="1" ht="18" customHeight="1" x14ac:dyDescent="0.25">
      <c r="B130" s="122" t="s">
        <v>343</v>
      </c>
      <c r="C130" s="122"/>
      <c r="D130" s="122"/>
      <c r="E130" s="122"/>
      <c r="F130" s="122"/>
      <c r="G130" s="122"/>
      <c r="H130" s="122"/>
      <c r="I130" s="122"/>
      <c r="J130" s="122"/>
      <c r="K130" s="122"/>
    </row>
    <row r="131" spans="1:68" x14ac:dyDescent="0.3">
      <c r="B131" s="1709" t="s">
        <v>13</v>
      </c>
      <c r="C131" s="1709" t="s">
        <v>3886</v>
      </c>
    </row>
    <row r="132" spans="1:68" x14ac:dyDescent="0.3">
      <c r="A132" s="6259">
        <v>24100200</v>
      </c>
      <c r="B132" s="323" t="s">
        <v>345</v>
      </c>
      <c r="C132" s="188" t="s">
        <v>5292</v>
      </c>
    </row>
    <row r="133" spans="1:68" x14ac:dyDescent="0.3">
      <c r="A133" s="6259" t="s">
        <v>4879</v>
      </c>
      <c r="B133" s="324" t="s">
        <v>346</v>
      </c>
      <c r="C133" s="148" t="s">
        <v>5292</v>
      </c>
    </row>
    <row r="134" spans="1:68" x14ac:dyDescent="0.3">
      <c r="A134" s="6259" t="s">
        <v>4880</v>
      </c>
      <c r="B134" s="324" t="s">
        <v>15</v>
      </c>
      <c r="C134" s="148" t="s">
        <v>5292</v>
      </c>
    </row>
    <row r="135" spans="1:68" x14ac:dyDescent="0.3">
      <c r="A135" s="6259" t="s">
        <v>4881</v>
      </c>
      <c r="B135" s="324" t="s">
        <v>16</v>
      </c>
      <c r="C135" s="148" t="s">
        <v>5292</v>
      </c>
    </row>
    <row r="136" spans="1:68" x14ac:dyDescent="0.3">
      <c r="A136" s="6259">
        <v>24100300</v>
      </c>
      <c r="B136" s="324" t="s">
        <v>344</v>
      </c>
      <c r="C136" s="148" t="s">
        <v>5292</v>
      </c>
    </row>
    <row r="137" spans="1:68" x14ac:dyDescent="0.3">
      <c r="A137" s="6259" t="s">
        <v>4882</v>
      </c>
      <c r="B137" s="325" t="s">
        <v>347</v>
      </c>
      <c r="C137" s="136" t="s">
        <v>5292</v>
      </c>
    </row>
    <row r="138" spans="1:68" x14ac:dyDescent="0.3">
      <c r="A138" s="6259">
        <v>24100400</v>
      </c>
      <c r="B138" s="325" t="s">
        <v>348</v>
      </c>
      <c r="C138" s="136" t="s">
        <v>5292</v>
      </c>
    </row>
    <row r="139" spans="1:68" x14ac:dyDescent="0.3">
      <c r="A139" s="6259">
        <v>24100500</v>
      </c>
      <c r="B139" s="325" t="s">
        <v>349</v>
      </c>
      <c r="C139" s="148" t="s">
        <v>5292</v>
      </c>
    </row>
    <row r="140" spans="1:68" x14ac:dyDescent="0.3">
      <c r="A140" s="6259">
        <v>24100600</v>
      </c>
      <c r="B140" s="325" t="s">
        <v>350</v>
      </c>
      <c r="C140" s="136" t="s">
        <v>5292</v>
      </c>
    </row>
    <row r="141" spans="1:68" x14ac:dyDescent="0.3">
      <c r="A141" s="6259" t="s">
        <v>4883</v>
      </c>
      <c r="B141" s="326" t="s">
        <v>351</v>
      </c>
      <c r="C141" s="158" t="s">
        <v>5292</v>
      </c>
    </row>
    <row r="142" spans="1:68" x14ac:dyDescent="0.3">
      <c r="A142" s="6259" t="s">
        <v>4884</v>
      </c>
      <c r="B142" s="327" t="s">
        <v>352</v>
      </c>
      <c r="C142" s="158" t="s">
        <v>5292</v>
      </c>
    </row>
    <row r="143" spans="1:68" x14ac:dyDescent="0.3">
      <c r="A143" s="6259" t="s">
        <v>4885</v>
      </c>
      <c r="B143" s="327" t="s">
        <v>353</v>
      </c>
      <c r="C143" s="158" t="s">
        <v>5292</v>
      </c>
    </row>
    <row r="144" spans="1:68" x14ac:dyDescent="0.3">
      <c r="A144" s="6267"/>
      <c r="B144" s="328" t="s">
        <v>24</v>
      </c>
      <c r="C144" s="232">
        <f>SUM(C132:C143)</f>
        <v>0</v>
      </c>
    </row>
    <row r="145" spans="1:69" s="17" customFormat="1" ht="18" customHeight="1" x14ac:dyDescent="0.25">
      <c r="B145" s="122" t="s">
        <v>354</v>
      </c>
      <c r="C145" s="123"/>
      <c r="D145" s="123"/>
      <c r="E145" s="101"/>
    </row>
    <row r="146" spans="1:69" ht="23.25" customHeight="1" x14ac:dyDescent="0.3">
      <c r="B146" s="7206" t="s">
        <v>355</v>
      </c>
      <c r="C146" s="7208"/>
      <c r="D146" s="227" t="s">
        <v>939</v>
      </c>
      <c r="E146" s="227" t="s">
        <v>940</v>
      </c>
    </row>
    <row r="147" spans="1:69" x14ac:dyDescent="0.3">
      <c r="A147" s="6259" t="s">
        <v>4886</v>
      </c>
      <c r="B147" s="591" t="s">
        <v>356</v>
      </c>
      <c r="C147" s="173" t="s">
        <v>357</v>
      </c>
      <c r="D147" s="329" t="s">
        <v>5292</v>
      </c>
      <c r="E147" s="329" t="s">
        <v>5293</v>
      </c>
    </row>
    <row r="148" spans="1:69" s="17" customFormat="1" ht="18" customHeight="1" x14ac:dyDescent="0.25">
      <c r="A148" s="103"/>
      <c r="B148" s="122" t="s">
        <v>358</v>
      </c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</row>
    <row r="149" spans="1:69" ht="22.5" customHeight="1" x14ac:dyDescent="0.3">
      <c r="A149" s="103"/>
      <c r="B149" s="7223" t="s">
        <v>355</v>
      </c>
      <c r="C149" s="7226"/>
      <c r="D149" s="7211" t="s">
        <v>359</v>
      </c>
      <c r="E149" s="7229"/>
      <c r="F149" s="7212"/>
      <c r="G149" s="7219" t="s">
        <v>67</v>
      </c>
      <c r="H149" s="7207" t="s">
        <v>941</v>
      </c>
      <c r="I149" s="7207"/>
      <c r="J149" s="7208"/>
      <c r="K149" s="7206" t="s">
        <v>942</v>
      </c>
      <c r="L149" s="7207"/>
      <c r="M149" s="7208"/>
    </row>
    <row r="150" spans="1:69" x14ac:dyDescent="0.3">
      <c r="A150" s="103"/>
      <c r="B150" s="7225"/>
      <c r="C150" s="7248"/>
      <c r="D150" s="171" t="s">
        <v>24</v>
      </c>
      <c r="E150" s="177" t="s">
        <v>360</v>
      </c>
      <c r="F150" s="172" t="s">
        <v>361</v>
      </c>
      <c r="G150" s="7210"/>
      <c r="H150" s="177" t="s">
        <v>362</v>
      </c>
      <c r="I150" s="179" t="s">
        <v>363</v>
      </c>
      <c r="J150" s="172" t="s">
        <v>364</v>
      </c>
      <c r="K150" s="177" t="s">
        <v>362</v>
      </c>
      <c r="L150" s="179" t="s">
        <v>363</v>
      </c>
      <c r="M150" s="172" t="s">
        <v>364</v>
      </c>
    </row>
    <row r="151" spans="1:69" x14ac:dyDescent="0.3">
      <c r="A151" s="6259" t="s">
        <v>4887</v>
      </c>
      <c r="B151" s="7264" t="s">
        <v>365</v>
      </c>
      <c r="C151" s="330" t="s">
        <v>366</v>
      </c>
      <c r="D151" s="167" t="s">
        <v>5292</v>
      </c>
      <c r="E151" s="186" t="s">
        <v>5293</v>
      </c>
      <c r="F151" s="187" t="s">
        <v>5294</v>
      </c>
      <c r="G151" s="188" t="s">
        <v>5295</v>
      </c>
      <c r="H151" s="186" t="s">
        <v>5296</v>
      </c>
      <c r="I151" s="184" t="s">
        <v>5297</v>
      </c>
      <c r="J151" s="187" t="s">
        <v>5298</v>
      </c>
      <c r="K151" s="186" t="s">
        <v>5299</v>
      </c>
      <c r="L151" s="184" t="s">
        <v>5300</v>
      </c>
      <c r="M151" s="187" t="s">
        <v>5301</v>
      </c>
      <c r="N151" t="str">
        <f>BJ151&amp;BK151</f>
        <v xml:space="preserve"> * La variable Beneficiarios no puede ser mayor al Total.</v>
      </c>
      <c r="BJ151" s="1723" t="str">
        <f>IF(AND(D151&gt;0,G151="")," * No olvide registrar la variable Beneficiarios. Digite Cero si no tiene.",IF(G151&gt;D151," * La variable Beneficiarios no puede ser mayor al Total.",""))</f>
        <v xml:space="preserve"> * La variable Beneficiarios no puede ser mayor al Total.</v>
      </c>
      <c r="BK151" s="1723"/>
      <c r="BL151" s="1723"/>
      <c r="BM151" s="1723"/>
      <c r="BO151" s="1725">
        <f>IF(AND(D151&gt;0,G151=""),1,IF(G151&gt;D151,1,0))</f>
        <v>1</v>
      </c>
      <c r="BP151" s="1725"/>
      <c r="BQ151" s="1725"/>
    </row>
    <row r="152" spans="1:69" x14ac:dyDescent="0.3">
      <c r="A152" s="6259" t="s">
        <v>4888</v>
      </c>
      <c r="B152" s="7265"/>
      <c r="C152" s="269" t="s">
        <v>367</v>
      </c>
      <c r="D152" s="139" t="s">
        <v>5292</v>
      </c>
      <c r="E152" s="144" t="s">
        <v>5293</v>
      </c>
      <c r="F152" s="331" t="s">
        <v>5294</v>
      </c>
      <c r="G152" s="332" t="s">
        <v>5295</v>
      </c>
      <c r="H152" s="144" t="s">
        <v>5296</v>
      </c>
      <c r="I152" s="209" t="s">
        <v>5297</v>
      </c>
      <c r="J152" s="331" t="s">
        <v>5298</v>
      </c>
      <c r="K152" s="144" t="s">
        <v>5299</v>
      </c>
      <c r="L152" s="209" t="s">
        <v>5300</v>
      </c>
      <c r="M152" s="331" t="s">
        <v>5301</v>
      </c>
      <c r="N152" t="str">
        <f>BJ152&amp;BK152</f>
        <v xml:space="preserve"> * La variable Beneficiarios no puede ser mayor al Total.</v>
      </c>
      <c r="BJ152" s="1723" t="str">
        <f>IF(AND(D152&gt;0,G152="")," * No olvide registrar la variable Beneficiarios. Digite Cero si no tiene.",IF(G152&gt;D152," * La variable Beneficiarios no puede ser mayor al Total.",""))</f>
        <v xml:space="preserve"> * La variable Beneficiarios no puede ser mayor al Total.</v>
      </c>
      <c r="BK152" s="1723"/>
      <c r="BL152" s="1723"/>
      <c r="BM152" s="1723"/>
      <c r="BO152" s="1725">
        <f>IF(AND(D152&gt;0,G152=""),1,IF(G152&gt;D152,1,0))</f>
        <v>1</v>
      </c>
      <c r="BP152" s="1725"/>
      <c r="BQ152" s="1725"/>
    </row>
    <row r="153" spans="1:69" s="17" customFormat="1" ht="18" customHeight="1" x14ac:dyDescent="0.25">
      <c r="B153" s="122" t="s">
        <v>368</v>
      </c>
      <c r="C153" s="163"/>
      <c r="D153" s="163"/>
      <c r="E153" s="163"/>
      <c r="F153" s="163"/>
      <c r="G153" s="163"/>
      <c r="H153" s="163"/>
    </row>
    <row r="154" spans="1:69" ht="20.399999999999999" x14ac:dyDescent="0.3">
      <c r="B154" s="7211" t="s">
        <v>112</v>
      </c>
      <c r="C154" s="7212"/>
      <c r="D154" s="171" t="s">
        <v>24</v>
      </c>
      <c r="E154" s="201" t="s">
        <v>67</v>
      </c>
      <c r="F154" s="219" t="s">
        <v>369</v>
      </c>
      <c r="G154" s="175" t="s">
        <v>28</v>
      </c>
    </row>
    <row r="155" spans="1:69" x14ac:dyDescent="0.3">
      <c r="A155" s="6259" t="s">
        <v>4889</v>
      </c>
      <c r="B155" s="7264" t="s">
        <v>370</v>
      </c>
      <c r="C155" s="270" t="s">
        <v>374</v>
      </c>
      <c r="D155" s="498" t="s">
        <v>5292</v>
      </c>
      <c r="E155" s="131" t="s">
        <v>5293</v>
      </c>
      <c r="F155" s="401" t="s">
        <v>5294</v>
      </c>
      <c r="G155" s="402" t="s">
        <v>5295</v>
      </c>
      <c r="H155" t="str">
        <f>BJ155&amp;BK155</f>
        <v xml:space="preserve"> * La variable Beneficiarios no puede ser mayor al Total.</v>
      </c>
      <c r="BJ155" s="1723" t="str">
        <f>IF(AND(D155&gt;0,E155="")," * No olvide registrar la variable Beneficiarios. Digite Cero si no tiene.",IF(E155&gt;D155," * La variable Beneficiarios no puede ser mayor al Total.",""))</f>
        <v xml:space="preserve"> * La variable Beneficiarios no puede ser mayor al Total.</v>
      </c>
      <c r="BK155" s="1723"/>
      <c r="BL155" s="1723"/>
      <c r="BM155" s="1723"/>
      <c r="BO155" s="1725">
        <f>IF(AND(D155&gt;0,E155=""),1,IF(E155&gt;D155,1,0))</f>
        <v>1</v>
      </c>
      <c r="BP155" s="1725"/>
      <c r="BQ155" s="1725"/>
    </row>
    <row r="156" spans="1:69" x14ac:dyDescent="0.3">
      <c r="A156" s="6259" t="s">
        <v>4890</v>
      </c>
      <c r="B156" s="7265"/>
      <c r="C156" s="207" t="s">
        <v>43</v>
      </c>
      <c r="D156" s="153" t="s">
        <v>5292</v>
      </c>
      <c r="E156" s="114" t="s">
        <v>5293</v>
      </c>
      <c r="F156" s="225" t="s">
        <v>5294</v>
      </c>
      <c r="G156" s="111" t="s">
        <v>5295</v>
      </c>
      <c r="H156" t="str">
        <f t="shared" ref="H156:H160" si="44">BJ156&amp;BK156</f>
        <v xml:space="preserve"> * La variable Beneficiarios no puede ser mayor al Total.</v>
      </c>
      <c r="BJ156" s="1723" t="str">
        <f t="shared" ref="BJ156:BJ160" si="45">IF(AND(D156&gt;0,E156="")," * No olvide registrar la variable Beneficiarios. Digite Cero si no tiene.",IF(E156&gt;D156," * La variable Beneficiarios no puede ser mayor al Total.",""))</f>
        <v xml:space="preserve"> * La variable Beneficiarios no puede ser mayor al Total.</v>
      </c>
      <c r="BK156" s="1723"/>
      <c r="BL156" s="1723"/>
      <c r="BM156" s="1723"/>
      <c r="BO156" s="1725">
        <f t="shared" ref="BO156:BO160" si="46">IF(AND(D156&gt;0,E156=""),1,IF(E156&gt;D156,1,0))</f>
        <v>1</v>
      </c>
      <c r="BP156" s="1725"/>
      <c r="BQ156" s="1725"/>
    </row>
    <row r="157" spans="1:69" x14ac:dyDescent="0.3">
      <c r="A157" s="6259" t="s">
        <v>4891</v>
      </c>
      <c r="B157" s="168" t="s">
        <v>372</v>
      </c>
      <c r="C157" s="168" t="s">
        <v>374</v>
      </c>
      <c r="D157" s="329" t="s">
        <v>5292</v>
      </c>
      <c r="E157" s="334" t="s">
        <v>5293</v>
      </c>
      <c r="F157" s="335" t="s">
        <v>5294</v>
      </c>
      <c r="G157" s="111" t="s">
        <v>5295</v>
      </c>
      <c r="H157" t="str">
        <f t="shared" si="44"/>
        <v xml:space="preserve"> * La variable Beneficiarios no puede ser mayor al Total.</v>
      </c>
      <c r="BJ157" s="1723" t="str">
        <f t="shared" si="45"/>
        <v xml:space="preserve"> * La variable Beneficiarios no puede ser mayor al Total.</v>
      </c>
      <c r="BK157" s="1723"/>
      <c r="BL157" s="1723"/>
      <c r="BM157" s="1723"/>
      <c r="BO157" s="1725">
        <f t="shared" si="46"/>
        <v>1</v>
      </c>
      <c r="BP157" s="1725"/>
      <c r="BQ157" s="1725"/>
    </row>
    <row r="158" spans="1:69" x14ac:dyDescent="0.3">
      <c r="A158" s="6259" t="s">
        <v>4892</v>
      </c>
      <c r="B158" s="7264" t="s">
        <v>373</v>
      </c>
      <c r="C158" s="270" t="s">
        <v>375</v>
      </c>
      <c r="D158" s="333" t="s">
        <v>5292</v>
      </c>
      <c r="E158" s="131" t="s">
        <v>5293</v>
      </c>
      <c r="F158" s="108" t="s">
        <v>5294</v>
      </c>
      <c r="G158" s="111" t="s">
        <v>5295</v>
      </c>
      <c r="H158" t="str">
        <f t="shared" si="44"/>
        <v xml:space="preserve"> * La variable Beneficiarios no puede ser mayor al Total.</v>
      </c>
      <c r="BJ158" s="1723" t="str">
        <f t="shared" si="45"/>
        <v xml:space="preserve"> * La variable Beneficiarios no puede ser mayor al Total.</v>
      </c>
      <c r="BK158" s="1723"/>
      <c r="BL158" s="1723"/>
      <c r="BM158" s="1723"/>
      <c r="BO158" s="1725">
        <f t="shared" si="46"/>
        <v>1</v>
      </c>
      <c r="BP158" s="1725"/>
      <c r="BQ158" s="1725"/>
    </row>
    <row r="159" spans="1:69" x14ac:dyDescent="0.3">
      <c r="A159" s="6259" t="s">
        <v>4893</v>
      </c>
      <c r="B159" s="7267"/>
      <c r="C159" s="204" t="s">
        <v>376</v>
      </c>
      <c r="D159" s="136" t="s">
        <v>5292</v>
      </c>
      <c r="E159" s="82" t="s">
        <v>5293</v>
      </c>
      <c r="F159" s="134" t="s">
        <v>5294</v>
      </c>
      <c r="G159" s="105" t="s">
        <v>5295</v>
      </c>
      <c r="H159" t="str">
        <f t="shared" si="44"/>
        <v xml:space="preserve"> * La variable Beneficiarios no puede ser mayor al Total.</v>
      </c>
      <c r="BJ159" s="1723" t="str">
        <f t="shared" si="45"/>
        <v xml:space="preserve"> * La variable Beneficiarios no puede ser mayor al Total.</v>
      </c>
      <c r="BK159" s="1723"/>
      <c r="BL159" s="1723"/>
      <c r="BM159" s="1723"/>
      <c r="BO159" s="1725">
        <f t="shared" si="46"/>
        <v>1</v>
      </c>
      <c r="BP159" s="1725"/>
      <c r="BQ159" s="1725"/>
    </row>
    <row r="160" spans="1:69" x14ac:dyDescent="0.3">
      <c r="A160" s="6259" t="s">
        <v>4894</v>
      </c>
      <c r="B160" s="7265"/>
      <c r="C160" s="207" t="s">
        <v>377</v>
      </c>
      <c r="D160" s="153" t="s">
        <v>5292</v>
      </c>
      <c r="E160" s="114" t="s">
        <v>5293</v>
      </c>
      <c r="F160" s="121" t="s">
        <v>5294</v>
      </c>
      <c r="G160" s="117" t="s">
        <v>5295</v>
      </c>
      <c r="H160" t="str">
        <f t="shared" si="44"/>
        <v xml:space="preserve"> * La variable Beneficiarios no puede ser mayor al Total.</v>
      </c>
      <c r="BJ160" s="1723" t="str">
        <f t="shared" si="45"/>
        <v xml:space="preserve"> * La variable Beneficiarios no puede ser mayor al Total.</v>
      </c>
      <c r="BK160" s="1723"/>
      <c r="BL160" s="1723"/>
      <c r="BM160" s="1723"/>
      <c r="BO160" s="1725">
        <f t="shared" si="46"/>
        <v>1</v>
      </c>
      <c r="BP160" s="1725"/>
      <c r="BQ160" s="1725"/>
    </row>
    <row r="161" spans="1:69" s="17" customFormat="1" ht="18" customHeight="1" x14ac:dyDescent="0.25">
      <c r="A161" s="103"/>
      <c r="B161" s="5890" t="s">
        <v>378</v>
      </c>
      <c r="C161" s="122"/>
      <c r="D161" s="122"/>
      <c r="E161" s="122"/>
      <c r="F161" s="122"/>
      <c r="G161" s="122"/>
      <c r="H161" s="122"/>
      <c r="I161" s="122"/>
    </row>
    <row r="162" spans="1:69" x14ac:dyDescent="0.3">
      <c r="A162" s="103"/>
      <c r="B162" s="7223" t="s">
        <v>355</v>
      </c>
      <c r="C162" s="7226"/>
      <c r="D162" s="7211" t="s">
        <v>379</v>
      </c>
      <c r="E162" s="7229"/>
      <c r="F162" s="7263"/>
      <c r="G162" s="7268" t="s">
        <v>67</v>
      </c>
      <c r="H162" s="7214" t="s">
        <v>369</v>
      </c>
      <c r="I162" s="7216" t="s">
        <v>28</v>
      </c>
    </row>
    <row r="163" spans="1:69" x14ac:dyDescent="0.3">
      <c r="A163" s="103"/>
      <c r="B163" s="7225"/>
      <c r="C163" s="7248"/>
      <c r="D163" s="171" t="s">
        <v>380</v>
      </c>
      <c r="E163" s="201" t="s">
        <v>370</v>
      </c>
      <c r="F163" s="5864" t="s">
        <v>371</v>
      </c>
      <c r="G163" s="7269"/>
      <c r="H163" s="7215"/>
      <c r="I163" s="7217"/>
    </row>
    <row r="164" spans="1:69" x14ac:dyDescent="0.3">
      <c r="A164" s="6259" t="s">
        <v>4895</v>
      </c>
      <c r="B164" s="7270" t="s">
        <v>381</v>
      </c>
      <c r="C164" s="336" t="s">
        <v>377</v>
      </c>
      <c r="D164" s="167" t="s">
        <v>5292</v>
      </c>
      <c r="E164" s="186" t="s">
        <v>5293</v>
      </c>
      <c r="F164" s="321" t="s">
        <v>5294</v>
      </c>
      <c r="G164" s="184" t="s">
        <v>5295</v>
      </c>
      <c r="H164" s="320" t="s">
        <v>5296</v>
      </c>
      <c r="I164" s="187" t="s">
        <v>5297</v>
      </c>
      <c r="J164" t="str">
        <f>BJ164</f>
        <v xml:space="preserve"> * La variable Beneficiarios no puede ser mayor al Total.</v>
      </c>
      <c r="BJ164" s="1723" t="str">
        <f>IF(AND(D164&gt;0,G164="")," * No olvide registrar la variable Beneficiarios. Digite Cero si no tiene.",IF(G164&gt;D164," * La variable Beneficiarios no puede ser mayor al Total.",""))</f>
        <v xml:space="preserve"> * La variable Beneficiarios no puede ser mayor al Total.</v>
      </c>
      <c r="BK164" s="1723"/>
      <c r="BL164" s="1723"/>
      <c r="BM164" s="1723"/>
      <c r="BO164" s="1725">
        <f>IF(AND(D164&gt;0,G164=""),1,IF(G164&gt;D164,1,0))</f>
        <v>1</v>
      </c>
      <c r="BP164" s="1725"/>
      <c r="BQ164" s="1725"/>
    </row>
    <row r="165" spans="1:69" x14ac:dyDescent="0.3">
      <c r="A165" s="6259" t="s">
        <v>4896</v>
      </c>
      <c r="B165" s="7271"/>
      <c r="C165" s="78" t="s">
        <v>375</v>
      </c>
      <c r="D165" s="141" t="s">
        <v>5292</v>
      </c>
      <c r="E165" s="82" t="s">
        <v>5293</v>
      </c>
      <c r="F165" s="86" t="s">
        <v>5294</v>
      </c>
      <c r="G165" s="110" t="s">
        <v>5295</v>
      </c>
      <c r="H165" s="109" t="s">
        <v>5296</v>
      </c>
      <c r="I165" s="83" t="s">
        <v>5297</v>
      </c>
      <c r="J165" t="str">
        <f t="shared" ref="J165:J169" si="47">BJ165</f>
        <v xml:space="preserve"> * La variable Beneficiarios no puede ser mayor al Total.</v>
      </c>
      <c r="BJ165" s="1723" t="str">
        <f t="shared" ref="BJ165:BJ169" si="48">IF(AND(D165&gt;0,G165="")," * No olvide registrar la variable Beneficiarios. Digite Cero si no tiene.",IF(G165&gt;D165," * La variable Beneficiarios no puede ser mayor al Total.",""))</f>
        <v xml:space="preserve"> * La variable Beneficiarios no puede ser mayor al Total.</v>
      </c>
      <c r="BK165" s="1723"/>
      <c r="BL165" s="1723"/>
      <c r="BM165" s="1723"/>
      <c r="BO165" s="1725">
        <f t="shared" ref="BO165:BO169" si="49">IF(AND(D165&gt;0,G165=""),1,IF(G165&gt;D165,1,0))</f>
        <v>1</v>
      </c>
      <c r="BP165" s="1725"/>
      <c r="BQ165" s="1725"/>
    </row>
    <row r="166" spans="1:69" x14ac:dyDescent="0.3">
      <c r="A166" s="6259" t="s">
        <v>4897</v>
      </c>
      <c r="B166" s="6610"/>
      <c r="C166" s="269" t="s">
        <v>376</v>
      </c>
      <c r="D166" s="150" t="s">
        <v>5292</v>
      </c>
      <c r="E166" s="114" t="s">
        <v>5293</v>
      </c>
      <c r="F166" s="162" t="s">
        <v>5294</v>
      </c>
      <c r="G166" s="121" t="s">
        <v>5295</v>
      </c>
      <c r="H166" s="115" t="s">
        <v>5296</v>
      </c>
      <c r="I166" s="117" t="s">
        <v>5297</v>
      </c>
      <c r="J166" t="str">
        <f t="shared" si="47"/>
        <v xml:space="preserve"> * La variable Beneficiarios no puede ser mayor al Total.</v>
      </c>
      <c r="BJ166" s="1723" t="str">
        <f t="shared" si="48"/>
        <v xml:space="preserve"> * La variable Beneficiarios no puede ser mayor al Total.</v>
      </c>
      <c r="BK166" s="1723"/>
      <c r="BL166" s="1723"/>
      <c r="BM166" s="1723"/>
      <c r="BO166" s="1725">
        <f t="shared" si="49"/>
        <v>1</v>
      </c>
      <c r="BP166" s="1725"/>
      <c r="BQ166" s="1725"/>
    </row>
    <row r="167" spans="1:69" x14ac:dyDescent="0.3">
      <c r="A167" s="6259" t="s">
        <v>4898</v>
      </c>
      <c r="B167" s="7264" t="s">
        <v>382</v>
      </c>
      <c r="C167" s="336" t="s">
        <v>377</v>
      </c>
      <c r="D167" s="167" t="s">
        <v>5292</v>
      </c>
      <c r="E167" s="186" t="s">
        <v>5293</v>
      </c>
      <c r="F167" s="321" t="s">
        <v>5294</v>
      </c>
      <c r="G167" s="184" t="s">
        <v>5295</v>
      </c>
      <c r="H167" s="320" t="s">
        <v>5296</v>
      </c>
      <c r="I167" s="187" t="s">
        <v>5297</v>
      </c>
      <c r="J167" t="str">
        <f t="shared" si="47"/>
        <v xml:space="preserve"> * La variable Beneficiarios no puede ser mayor al Total.</v>
      </c>
      <c r="BJ167" s="1723" t="str">
        <f t="shared" si="48"/>
        <v xml:space="preserve"> * La variable Beneficiarios no puede ser mayor al Total.</v>
      </c>
      <c r="BK167" s="1723"/>
      <c r="BL167" s="1723"/>
      <c r="BM167" s="1723"/>
      <c r="BO167" s="1725">
        <f t="shared" si="49"/>
        <v>1</v>
      </c>
      <c r="BP167" s="1725"/>
      <c r="BQ167" s="1725"/>
    </row>
    <row r="168" spans="1:69" x14ac:dyDescent="0.3">
      <c r="A168" s="6259" t="s">
        <v>4899</v>
      </c>
      <c r="B168" s="7267"/>
      <c r="C168" s="78" t="s">
        <v>375</v>
      </c>
      <c r="D168" s="141" t="s">
        <v>5292</v>
      </c>
      <c r="E168" s="82" t="s">
        <v>5293</v>
      </c>
      <c r="F168" s="86" t="s">
        <v>5294</v>
      </c>
      <c r="G168" s="110" t="s">
        <v>5295</v>
      </c>
      <c r="H168" s="109" t="s">
        <v>5296</v>
      </c>
      <c r="I168" s="83" t="s">
        <v>5297</v>
      </c>
      <c r="J168" t="str">
        <f t="shared" si="47"/>
        <v xml:space="preserve"> * La variable Beneficiarios no puede ser mayor al Total.</v>
      </c>
      <c r="BJ168" s="1723" t="str">
        <f t="shared" si="48"/>
        <v xml:space="preserve"> * La variable Beneficiarios no puede ser mayor al Total.</v>
      </c>
      <c r="BK168" s="1723"/>
      <c r="BL168" s="1723"/>
      <c r="BM168" s="1723"/>
      <c r="BO168" s="1725">
        <f t="shared" si="49"/>
        <v>1</v>
      </c>
      <c r="BP168" s="1725"/>
      <c r="BQ168" s="1725"/>
    </row>
    <row r="169" spans="1:69" x14ac:dyDescent="0.3">
      <c r="A169" s="6259" t="s">
        <v>4900</v>
      </c>
      <c r="B169" s="7265"/>
      <c r="C169" s="269" t="s">
        <v>376</v>
      </c>
      <c r="D169" s="150" t="s">
        <v>5292</v>
      </c>
      <c r="E169" s="114" t="s">
        <v>5293</v>
      </c>
      <c r="F169" s="162" t="s">
        <v>5294</v>
      </c>
      <c r="G169" s="121" t="s">
        <v>5295</v>
      </c>
      <c r="H169" s="115" t="s">
        <v>5296</v>
      </c>
      <c r="I169" s="117" t="s">
        <v>5297</v>
      </c>
      <c r="J169" t="str">
        <f t="shared" si="47"/>
        <v xml:space="preserve"> * La variable Beneficiarios no puede ser mayor al Total.</v>
      </c>
      <c r="BJ169" s="1723" t="str">
        <f t="shared" si="48"/>
        <v xml:space="preserve"> * La variable Beneficiarios no puede ser mayor al Total.</v>
      </c>
      <c r="BK169" s="1723"/>
      <c r="BL169" s="1723"/>
      <c r="BM169" s="1723"/>
      <c r="BO169" s="1725">
        <f t="shared" si="49"/>
        <v>1</v>
      </c>
      <c r="BP169" s="1725"/>
      <c r="BQ169" s="1725"/>
    </row>
    <row r="170" spans="1:69" s="17" customFormat="1" ht="18" customHeight="1" x14ac:dyDescent="0.25">
      <c r="B170" s="5891" t="s">
        <v>383</v>
      </c>
      <c r="C170" s="5891"/>
      <c r="D170" s="5891"/>
      <c r="E170" s="5891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</row>
    <row r="171" spans="1:69" x14ac:dyDescent="0.3">
      <c r="B171" s="7219" t="s">
        <v>384</v>
      </c>
      <c r="C171" s="7272" t="s">
        <v>24</v>
      </c>
      <c r="D171" s="7273"/>
      <c r="E171" s="7274"/>
      <c r="F171" s="7260" t="s">
        <v>30</v>
      </c>
      <c r="G171" s="7278"/>
      <c r="H171" s="7278"/>
      <c r="I171" s="7278"/>
      <c r="J171" s="7278"/>
      <c r="K171" s="7278"/>
      <c r="L171" s="7278"/>
      <c r="M171" s="7278"/>
      <c r="N171" s="7278"/>
      <c r="O171" s="7278"/>
      <c r="P171" s="7278"/>
      <c r="Q171" s="7278"/>
      <c r="R171" s="7278"/>
      <c r="S171" s="7278"/>
      <c r="T171" s="7278"/>
      <c r="U171" s="7278"/>
      <c r="V171" s="7278"/>
      <c r="W171" s="7278"/>
      <c r="X171" s="7278"/>
      <c r="Y171" s="7278"/>
      <c r="Z171" s="7278"/>
      <c r="AA171" s="7278"/>
      <c r="AB171" s="7278"/>
      <c r="AC171" s="7278"/>
      <c r="AD171" s="7278"/>
      <c r="AE171" s="7278"/>
      <c r="AF171" s="7278"/>
      <c r="AG171" s="7278"/>
      <c r="AH171" s="7278"/>
      <c r="AI171" s="7278"/>
      <c r="AJ171" s="7278"/>
      <c r="AK171" s="7278"/>
      <c r="AL171" s="7278"/>
      <c r="AM171" s="7279"/>
    </row>
    <row r="172" spans="1:69" x14ac:dyDescent="0.3">
      <c r="B172" s="7213"/>
      <c r="C172" s="7275"/>
      <c r="D172" s="7276"/>
      <c r="E172" s="7277"/>
      <c r="F172" s="7206" t="s">
        <v>36</v>
      </c>
      <c r="G172" s="7208"/>
      <c r="H172" s="7206" t="s">
        <v>37</v>
      </c>
      <c r="I172" s="7208"/>
      <c r="J172" s="7206" t="s">
        <v>38</v>
      </c>
      <c r="K172" s="7208"/>
      <c r="L172" s="7206" t="s">
        <v>4</v>
      </c>
      <c r="M172" s="7208"/>
      <c r="N172" s="7206" t="s">
        <v>5</v>
      </c>
      <c r="O172" s="7208"/>
      <c r="P172" s="7211" t="s">
        <v>6</v>
      </c>
      <c r="Q172" s="7212"/>
      <c r="R172" s="7211" t="s">
        <v>7</v>
      </c>
      <c r="S172" s="7212"/>
      <c r="T172" s="7211" t="s">
        <v>8</v>
      </c>
      <c r="U172" s="7212"/>
      <c r="V172" s="7211" t="s">
        <v>9</v>
      </c>
      <c r="W172" s="7212"/>
      <c r="X172" s="7211" t="s">
        <v>10</v>
      </c>
      <c r="Y172" s="7212"/>
      <c r="Z172" s="7211" t="s">
        <v>11</v>
      </c>
      <c r="AA172" s="7212"/>
      <c r="AB172" s="7211" t="s">
        <v>18</v>
      </c>
      <c r="AC172" s="7212"/>
      <c r="AD172" s="7211" t="s">
        <v>19</v>
      </c>
      <c r="AE172" s="7212"/>
      <c r="AF172" s="7211" t="s">
        <v>20</v>
      </c>
      <c r="AG172" s="7212"/>
      <c r="AH172" s="7211" t="s">
        <v>70</v>
      </c>
      <c r="AI172" s="7212"/>
      <c r="AJ172" s="7211" t="s">
        <v>71</v>
      </c>
      <c r="AK172" s="7212"/>
      <c r="AL172" s="7211" t="s">
        <v>32</v>
      </c>
      <c r="AM172" s="7212"/>
    </row>
    <row r="173" spans="1:69" x14ac:dyDescent="0.3">
      <c r="B173" s="7210"/>
      <c r="C173" s="227" t="s">
        <v>26</v>
      </c>
      <c r="D173" s="5892" t="s">
        <v>22</v>
      </c>
      <c r="E173" s="5893" t="s">
        <v>27</v>
      </c>
      <c r="F173" s="201" t="s">
        <v>51</v>
      </c>
      <c r="G173" s="175" t="s">
        <v>27</v>
      </c>
      <c r="H173" s="201" t="s">
        <v>51</v>
      </c>
      <c r="I173" s="175" t="s">
        <v>27</v>
      </c>
      <c r="J173" s="201" t="s">
        <v>51</v>
      </c>
      <c r="K173" s="175" t="s">
        <v>27</v>
      </c>
      <c r="L173" s="201" t="s">
        <v>51</v>
      </c>
      <c r="M173" s="174" t="s">
        <v>27</v>
      </c>
      <c r="N173" s="201" t="s">
        <v>51</v>
      </c>
      <c r="O173" s="175" t="s">
        <v>27</v>
      </c>
      <c r="P173" s="201" t="s">
        <v>51</v>
      </c>
      <c r="Q173" s="174" t="s">
        <v>27</v>
      </c>
      <c r="R173" s="201" t="s">
        <v>51</v>
      </c>
      <c r="S173" s="175" t="s">
        <v>27</v>
      </c>
      <c r="T173" s="201" t="s">
        <v>51</v>
      </c>
      <c r="U173" s="174" t="s">
        <v>27</v>
      </c>
      <c r="V173" s="201" t="s">
        <v>51</v>
      </c>
      <c r="W173" s="175" t="s">
        <v>27</v>
      </c>
      <c r="X173" s="201" t="s">
        <v>51</v>
      </c>
      <c r="Y173" s="174" t="s">
        <v>27</v>
      </c>
      <c r="Z173" s="201" t="s">
        <v>51</v>
      </c>
      <c r="AA173" s="175" t="s">
        <v>27</v>
      </c>
      <c r="AB173" s="201" t="s">
        <v>51</v>
      </c>
      <c r="AC173" s="175" t="s">
        <v>27</v>
      </c>
      <c r="AD173" s="201" t="s">
        <v>51</v>
      </c>
      <c r="AE173" s="175" t="s">
        <v>27</v>
      </c>
      <c r="AF173" s="201" t="s">
        <v>51</v>
      </c>
      <c r="AG173" s="175" t="s">
        <v>27</v>
      </c>
      <c r="AH173" s="201" t="s">
        <v>51</v>
      </c>
      <c r="AI173" s="175" t="s">
        <v>27</v>
      </c>
      <c r="AJ173" s="201" t="s">
        <v>51</v>
      </c>
      <c r="AK173" s="175" t="s">
        <v>27</v>
      </c>
      <c r="AL173" s="201" t="s">
        <v>51</v>
      </c>
      <c r="AM173" s="175" t="s">
        <v>27</v>
      </c>
    </row>
    <row r="174" spans="1:69" x14ac:dyDescent="0.3">
      <c r="A174" s="6259" t="s">
        <v>4901</v>
      </c>
      <c r="B174" s="337" t="s">
        <v>386</v>
      </c>
      <c r="C174" s="338" t="s">
        <v>5292</v>
      </c>
      <c r="D174" s="339" t="s">
        <v>5293</v>
      </c>
      <c r="E174" s="340" t="s">
        <v>5294</v>
      </c>
      <c r="F174" s="341" t="s">
        <v>5295</v>
      </c>
      <c r="G174" s="342" t="s">
        <v>5296</v>
      </c>
      <c r="H174" s="343" t="s">
        <v>5297</v>
      </c>
      <c r="I174" s="344" t="s">
        <v>5298</v>
      </c>
      <c r="J174" s="341" t="s">
        <v>5299</v>
      </c>
      <c r="K174" s="342" t="s">
        <v>5300</v>
      </c>
      <c r="L174" s="343" t="s">
        <v>5301</v>
      </c>
      <c r="M174" s="344" t="s">
        <v>5302</v>
      </c>
      <c r="N174" s="343" t="s">
        <v>5303</v>
      </c>
      <c r="O174" s="344" t="s">
        <v>5304</v>
      </c>
      <c r="P174" s="345" t="s">
        <v>5305</v>
      </c>
      <c r="Q174" s="346" t="s">
        <v>5306</v>
      </c>
      <c r="R174" s="347" t="s">
        <v>5307</v>
      </c>
      <c r="S174" s="348" t="s">
        <v>5308</v>
      </c>
      <c r="T174" s="345" t="s">
        <v>5309</v>
      </c>
      <c r="U174" s="346" t="s">
        <v>5310</v>
      </c>
      <c r="V174" s="347" t="s">
        <v>5311</v>
      </c>
      <c r="W174" s="348" t="s">
        <v>5312</v>
      </c>
      <c r="X174" s="345" t="s">
        <v>5313</v>
      </c>
      <c r="Y174" s="346" t="s">
        <v>5314</v>
      </c>
      <c r="Z174" s="347" t="s">
        <v>5315</v>
      </c>
      <c r="AA174" s="348" t="s">
        <v>5316</v>
      </c>
      <c r="AB174" s="347" t="s">
        <v>5317</v>
      </c>
      <c r="AC174" s="348" t="s">
        <v>5318</v>
      </c>
      <c r="AD174" s="347" t="s">
        <v>5319</v>
      </c>
      <c r="AE174" s="348" t="s">
        <v>5320</v>
      </c>
      <c r="AF174" s="347" t="s">
        <v>5321</v>
      </c>
      <c r="AG174" s="348" t="s">
        <v>5322</v>
      </c>
      <c r="AH174" s="347" t="s">
        <v>5323</v>
      </c>
      <c r="AI174" s="348" t="s">
        <v>5324</v>
      </c>
      <c r="AJ174" s="347" t="s">
        <v>5325</v>
      </c>
      <c r="AK174" s="348" t="s">
        <v>5326</v>
      </c>
      <c r="AL174" s="347" t="s">
        <v>5327</v>
      </c>
      <c r="AM174" s="348" t="s">
        <v>5328</v>
      </c>
      <c r="BJ174" s="1723"/>
      <c r="BK174" s="1723"/>
      <c r="BL174" s="1723"/>
      <c r="BM174" s="1723"/>
      <c r="BO174" s="1725"/>
      <c r="BP174" s="1725"/>
      <c r="BQ174" s="1725"/>
    </row>
    <row r="175" spans="1:69" x14ac:dyDescent="0.3">
      <c r="A175" s="6259" t="s">
        <v>4902</v>
      </c>
      <c r="B175" s="349" t="s">
        <v>387</v>
      </c>
      <c r="C175" s="350" t="s">
        <v>5292</v>
      </c>
      <c r="D175" s="351" t="s">
        <v>5293</v>
      </c>
      <c r="E175" s="352" t="s">
        <v>5294</v>
      </c>
      <c r="F175" s="353" t="s">
        <v>5295</v>
      </c>
      <c r="G175" s="354" t="s">
        <v>5296</v>
      </c>
      <c r="H175" s="353" t="s">
        <v>5297</v>
      </c>
      <c r="I175" s="354" t="s">
        <v>5298</v>
      </c>
      <c r="J175" s="353" t="s">
        <v>5299</v>
      </c>
      <c r="K175" s="354" t="s">
        <v>5300</v>
      </c>
      <c r="L175" s="355" t="s">
        <v>5301</v>
      </c>
      <c r="M175" s="356" t="s">
        <v>5302</v>
      </c>
      <c r="N175" s="353" t="s">
        <v>5303</v>
      </c>
      <c r="O175" s="354" t="s">
        <v>5304</v>
      </c>
      <c r="P175" s="355" t="s">
        <v>5305</v>
      </c>
      <c r="Q175" s="356" t="s">
        <v>5306</v>
      </c>
      <c r="R175" s="353" t="s">
        <v>5307</v>
      </c>
      <c r="S175" s="354" t="s">
        <v>5308</v>
      </c>
      <c r="T175" s="355" t="s">
        <v>5309</v>
      </c>
      <c r="U175" s="356" t="s">
        <v>5310</v>
      </c>
      <c r="V175" s="353" t="s">
        <v>5311</v>
      </c>
      <c r="W175" s="354" t="s">
        <v>5312</v>
      </c>
      <c r="X175" s="355" t="s">
        <v>5313</v>
      </c>
      <c r="Y175" s="356" t="s">
        <v>5314</v>
      </c>
      <c r="Z175" s="353" t="s">
        <v>5315</v>
      </c>
      <c r="AA175" s="354" t="s">
        <v>5316</v>
      </c>
      <c r="AB175" s="353" t="s">
        <v>5317</v>
      </c>
      <c r="AC175" s="354" t="s">
        <v>5318</v>
      </c>
      <c r="AD175" s="353" t="s">
        <v>5319</v>
      </c>
      <c r="AE175" s="354" t="s">
        <v>5320</v>
      </c>
      <c r="AF175" s="353" t="s">
        <v>5321</v>
      </c>
      <c r="AG175" s="354" t="s">
        <v>5322</v>
      </c>
      <c r="AH175" s="353" t="s">
        <v>5323</v>
      </c>
      <c r="AI175" s="354" t="s">
        <v>5324</v>
      </c>
      <c r="AJ175" s="353" t="s">
        <v>5325</v>
      </c>
      <c r="AK175" s="354" t="s">
        <v>5326</v>
      </c>
      <c r="AL175" s="353" t="s">
        <v>5327</v>
      </c>
      <c r="AM175" s="354" t="s">
        <v>5328</v>
      </c>
      <c r="BJ175" s="1723"/>
      <c r="BK175" s="1723"/>
      <c r="BL175" s="1723"/>
      <c r="BM175" s="1723"/>
      <c r="BO175" s="1725"/>
      <c r="BP175" s="1725"/>
      <c r="BQ175" s="1725"/>
    </row>
    <row r="176" spans="1:69" x14ac:dyDescent="0.3">
      <c r="A176" s="6259" t="s">
        <v>4903</v>
      </c>
      <c r="B176" s="357" t="s">
        <v>388</v>
      </c>
      <c r="C176" s="350" t="s">
        <v>5292</v>
      </c>
      <c r="D176" s="351" t="s">
        <v>5293</v>
      </c>
      <c r="E176" s="352" t="s">
        <v>5294</v>
      </c>
      <c r="F176" s="353" t="s">
        <v>5295</v>
      </c>
      <c r="G176" s="354" t="s">
        <v>5296</v>
      </c>
      <c r="H176" s="353" t="s">
        <v>5297</v>
      </c>
      <c r="I176" s="354" t="s">
        <v>5298</v>
      </c>
      <c r="J176" s="353" t="s">
        <v>5299</v>
      </c>
      <c r="K176" s="354" t="s">
        <v>5300</v>
      </c>
      <c r="L176" s="355" t="s">
        <v>5301</v>
      </c>
      <c r="M176" s="356" t="s">
        <v>5302</v>
      </c>
      <c r="N176" s="353" t="s">
        <v>5303</v>
      </c>
      <c r="O176" s="354" t="s">
        <v>5304</v>
      </c>
      <c r="P176" s="355" t="s">
        <v>5305</v>
      </c>
      <c r="Q176" s="356" t="s">
        <v>5306</v>
      </c>
      <c r="R176" s="353" t="s">
        <v>5307</v>
      </c>
      <c r="S176" s="354" t="s">
        <v>5308</v>
      </c>
      <c r="T176" s="355" t="s">
        <v>5309</v>
      </c>
      <c r="U176" s="356" t="s">
        <v>5310</v>
      </c>
      <c r="V176" s="353" t="s">
        <v>5311</v>
      </c>
      <c r="W176" s="354" t="s">
        <v>5312</v>
      </c>
      <c r="X176" s="355" t="s">
        <v>5313</v>
      </c>
      <c r="Y176" s="356" t="s">
        <v>5314</v>
      </c>
      <c r="Z176" s="353" t="s">
        <v>5315</v>
      </c>
      <c r="AA176" s="354" t="s">
        <v>5316</v>
      </c>
      <c r="AB176" s="353" t="s">
        <v>5317</v>
      </c>
      <c r="AC176" s="354" t="s">
        <v>5318</v>
      </c>
      <c r="AD176" s="353" t="s">
        <v>5319</v>
      </c>
      <c r="AE176" s="354" t="s">
        <v>5320</v>
      </c>
      <c r="AF176" s="353" t="s">
        <v>5321</v>
      </c>
      <c r="AG176" s="354" t="s">
        <v>5322</v>
      </c>
      <c r="AH176" s="353" t="s">
        <v>5323</v>
      </c>
      <c r="AI176" s="354" t="s">
        <v>5324</v>
      </c>
      <c r="AJ176" s="353" t="s">
        <v>5325</v>
      </c>
      <c r="AK176" s="354" t="s">
        <v>5326</v>
      </c>
      <c r="AL176" s="353" t="s">
        <v>5327</v>
      </c>
      <c r="AM176" s="354" t="s">
        <v>5328</v>
      </c>
      <c r="BJ176" s="1723"/>
      <c r="BK176" s="1723"/>
      <c r="BL176" s="1723"/>
      <c r="BM176" s="1723"/>
      <c r="BO176" s="1725"/>
      <c r="BP176" s="1725"/>
      <c r="BQ176" s="1725"/>
    </row>
    <row r="177" spans="1:70" x14ac:dyDescent="0.3">
      <c r="A177" s="6259" t="s">
        <v>4904</v>
      </c>
      <c r="B177" s="358" t="s">
        <v>28</v>
      </c>
      <c r="C177" s="359" t="s">
        <v>5292</v>
      </c>
      <c r="D177" s="360" t="s">
        <v>5293</v>
      </c>
      <c r="E177" s="361" t="s">
        <v>5294</v>
      </c>
      <c r="F177" s="362" t="s">
        <v>5295</v>
      </c>
      <c r="G177" s="363" t="s">
        <v>5296</v>
      </c>
      <c r="H177" s="362" t="s">
        <v>5297</v>
      </c>
      <c r="I177" s="363" t="s">
        <v>5298</v>
      </c>
      <c r="J177" s="362" t="s">
        <v>5299</v>
      </c>
      <c r="K177" s="363" t="s">
        <v>5300</v>
      </c>
      <c r="L177" s="364" t="s">
        <v>5301</v>
      </c>
      <c r="M177" s="365" t="s">
        <v>5302</v>
      </c>
      <c r="N177" s="362" t="s">
        <v>5303</v>
      </c>
      <c r="O177" s="363" t="s">
        <v>5304</v>
      </c>
      <c r="P177" s="364" t="s">
        <v>5305</v>
      </c>
      <c r="Q177" s="365" t="s">
        <v>5306</v>
      </c>
      <c r="R177" s="362" t="s">
        <v>5307</v>
      </c>
      <c r="S177" s="363" t="s">
        <v>5308</v>
      </c>
      <c r="T177" s="364" t="s">
        <v>5309</v>
      </c>
      <c r="U177" s="365" t="s">
        <v>5310</v>
      </c>
      <c r="V177" s="362" t="s">
        <v>5311</v>
      </c>
      <c r="W177" s="363" t="s">
        <v>5312</v>
      </c>
      <c r="X177" s="364" t="s">
        <v>5313</v>
      </c>
      <c r="Y177" s="365" t="s">
        <v>5314</v>
      </c>
      <c r="Z177" s="362" t="s">
        <v>5315</v>
      </c>
      <c r="AA177" s="363" t="s">
        <v>5316</v>
      </c>
      <c r="AB177" s="362" t="s">
        <v>5317</v>
      </c>
      <c r="AC177" s="363" t="s">
        <v>5318</v>
      </c>
      <c r="AD177" s="362" t="s">
        <v>5319</v>
      </c>
      <c r="AE177" s="363" t="s">
        <v>5320</v>
      </c>
      <c r="AF177" s="362" t="s">
        <v>5321</v>
      </c>
      <c r="AG177" s="363" t="s">
        <v>5322</v>
      </c>
      <c r="AH177" s="362" t="s">
        <v>5323</v>
      </c>
      <c r="AI177" s="363" t="s">
        <v>5324</v>
      </c>
      <c r="AJ177" s="362" t="s">
        <v>5325</v>
      </c>
      <c r="AK177" s="363" t="s">
        <v>5326</v>
      </c>
      <c r="AL177" s="362" t="s">
        <v>5327</v>
      </c>
      <c r="AM177" s="363" t="s">
        <v>5328</v>
      </c>
      <c r="BJ177" s="1723"/>
      <c r="BK177" s="1723"/>
      <c r="BL177" s="1723"/>
      <c r="BM177" s="1723"/>
      <c r="BO177" s="1725"/>
      <c r="BP177" s="1725"/>
      <c r="BQ177" s="1725"/>
    </row>
    <row r="178" spans="1:70" s="17" customFormat="1" ht="18" customHeight="1" x14ac:dyDescent="0.25">
      <c r="A178" s="103"/>
      <c r="B178" s="1754" t="s">
        <v>389</v>
      </c>
      <c r="C178" s="1755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</row>
    <row r="179" spans="1:70" ht="15" customHeight="1" x14ac:dyDescent="0.3">
      <c r="A179" s="103"/>
      <c r="B179" s="7223" t="s">
        <v>23</v>
      </c>
      <c r="C179" s="7226"/>
      <c r="D179" s="7223" t="s">
        <v>24</v>
      </c>
      <c r="E179" s="6611"/>
      <c r="F179" s="7226"/>
      <c r="G179" s="7206" t="s">
        <v>30</v>
      </c>
      <c r="H179" s="7229"/>
      <c r="I179" s="7229"/>
      <c r="J179" s="7229"/>
      <c r="K179" s="7229"/>
      <c r="L179" s="7229"/>
      <c r="M179" s="7229"/>
      <c r="N179" s="7229"/>
      <c r="O179" s="7229"/>
      <c r="P179" s="7229"/>
      <c r="Q179" s="7229"/>
      <c r="R179" s="7229"/>
      <c r="S179" s="7229"/>
      <c r="T179" s="7229"/>
      <c r="U179" s="7229"/>
      <c r="V179" s="7263"/>
      <c r="W179" s="7202" t="s">
        <v>39</v>
      </c>
      <c r="X179" s="7281" t="s">
        <v>390</v>
      </c>
      <c r="Y179" s="7281" t="s">
        <v>391</v>
      </c>
      <c r="Z179" s="7281" t="s">
        <v>392</v>
      </c>
      <c r="AA179" s="7281" t="s">
        <v>393</v>
      </c>
      <c r="AB179" s="7208" t="s">
        <v>394</v>
      </c>
      <c r="AC179" s="7282" t="s">
        <v>395</v>
      </c>
      <c r="AD179" s="7282"/>
      <c r="AE179" s="7282"/>
      <c r="AF179" s="7282"/>
      <c r="AG179" s="7260" t="s">
        <v>24</v>
      </c>
      <c r="AH179" s="7261"/>
      <c r="AI179" s="7202" t="s">
        <v>325</v>
      </c>
      <c r="AJ179" s="7219" t="s">
        <v>396</v>
      </c>
      <c r="AK179" s="7219" t="s">
        <v>2</v>
      </c>
      <c r="AL179" s="7219" t="s">
        <v>3</v>
      </c>
    </row>
    <row r="180" spans="1:70" x14ac:dyDescent="0.3">
      <c r="A180" s="103"/>
      <c r="B180" s="7224"/>
      <c r="C180" s="7247"/>
      <c r="D180" s="7224"/>
      <c r="E180" s="7283"/>
      <c r="F180" s="7247"/>
      <c r="G180" s="7281" t="s">
        <v>36</v>
      </c>
      <c r="H180" s="7281"/>
      <c r="I180" s="7281" t="s">
        <v>37</v>
      </c>
      <c r="J180" s="7281"/>
      <c r="K180" s="7281" t="s">
        <v>38</v>
      </c>
      <c r="L180" s="7281"/>
      <c r="M180" s="7281" t="s">
        <v>397</v>
      </c>
      <c r="N180" s="7281"/>
      <c r="O180" s="7281" t="s">
        <v>398</v>
      </c>
      <c r="P180" s="7281"/>
      <c r="Q180" s="7282" t="s">
        <v>399</v>
      </c>
      <c r="R180" s="7282"/>
      <c r="S180" s="7282" t="s">
        <v>400</v>
      </c>
      <c r="T180" s="7282"/>
      <c r="U180" s="7248" t="s">
        <v>401</v>
      </c>
      <c r="V180" s="7286"/>
      <c r="W180" s="7218"/>
      <c r="X180" s="7281"/>
      <c r="Y180" s="7281"/>
      <c r="Z180" s="7281"/>
      <c r="AA180" s="7281"/>
      <c r="AB180" s="7208"/>
      <c r="AC180" s="7281" t="s">
        <v>328</v>
      </c>
      <c r="AD180" s="7281" t="s">
        <v>329</v>
      </c>
      <c r="AE180" s="7281" t="s">
        <v>330</v>
      </c>
      <c r="AF180" s="7208" t="s">
        <v>331</v>
      </c>
      <c r="AG180" s="7282" t="s">
        <v>250</v>
      </c>
      <c r="AH180" s="7263" t="s">
        <v>21</v>
      </c>
      <c r="AI180" s="7218"/>
      <c r="AJ180" s="7213"/>
      <c r="AK180" s="7213"/>
      <c r="AL180" s="7213"/>
    </row>
    <row r="181" spans="1:70" x14ac:dyDescent="0.3">
      <c r="A181" s="103"/>
      <c r="B181" s="7225"/>
      <c r="C181" s="7248"/>
      <c r="D181" s="1756" t="s">
        <v>26</v>
      </c>
      <c r="E181" s="1757" t="s">
        <v>51</v>
      </c>
      <c r="F181" s="176" t="s">
        <v>27</v>
      </c>
      <c r="G181" s="1758" t="s">
        <v>51</v>
      </c>
      <c r="H181" s="1759" t="s">
        <v>27</v>
      </c>
      <c r="I181" s="1758" t="s">
        <v>51</v>
      </c>
      <c r="J181" s="1759" t="s">
        <v>27</v>
      </c>
      <c r="K181" s="1758" t="s">
        <v>51</v>
      </c>
      <c r="L181" s="1759" t="s">
        <v>27</v>
      </c>
      <c r="M181" s="1758" t="s">
        <v>51</v>
      </c>
      <c r="N181" s="1759" t="s">
        <v>27</v>
      </c>
      <c r="O181" s="1758" t="s">
        <v>51</v>
      </c>
      <c r="P181" s="1759" t="s">
        <v>27</v>
      </c>
      <c r="Q181" s="1758" t="s">
        <v>51</v>
      </c>
      <c r="R181" s="1759" t="s">
        <v>27</v>
      </c>
      <c r="S181" s="1758" t="s">
        <v>51</v>
      </c>
      <c r="T181" s="1759" t="s">
        <v>27</v>
      </c>
      <c r="U181" s="219" t="s">
        <v>51</v>
      </c>
      <c r="V181" s="1760" t="s">
        <v>27</v>
      </c>
      <c r="W181" s="7249"/>
      <c r="X181" s="7281"/>
      <c r="Y181" s="7281"/>
      <c r="Z181" s="7281"/>
      <c r="AA181" s="7281"/>
      <c r="AB181" s="7208"/>
      <c r="AC181" s="7281"/>
      <c r="AD181" s="7281"/>
      <c r="AE181" s="7281"/>
      <c r="AF181" s="7208"/>
      <c r="AG181" s="7282"/>
      <c r="AH181" s="7263"/>
      <c r="AI181" s="7249"/>
      <c r="AJ181" s="7210"/>
      <c r="AK181" s="7210"/>
      <c r="AL181" s="7210"/>
    </row>
    <row r="182" spans="1:70" x14ac:dyDescent="0.3">
      <c r="A182" s="6259" t="s">
        <v>4905</v>
      </c>
      <c r="B182" s="7280" t="s">
        <v>403</v>
      </c>
      <c r="C182" s="368" t="s">
        <v>402</v>
      </c>
      <c r="D182" s="369" t="s">
        <v>5292</v>
      </c>
      <c r="E182" s="370" t="s">
        <v>5293</v>
      </c>
      <c r="F182" s="371" t="s">
        <v>5294</v>
      </c>
      <c r="G182" s="372" t="s">
        <v>5295</v>
      </c>
      <c r="H182" s="373" t="s">
        <v>5296</v>
      </c>
      <c r="I182" s="372" t="s">
        <v>5297</v>
      </c>
      <c r="J182" s="373" t="s">
        <v>5298</v>
      </c>
      <c r="K182" s="372" t="s">
        <v>5299</v>
      </c>
      <c r="L182" s="373" t="s">
        <v>5300</v>
      </c>
      <c r="M182" s="372" t="s">
        <v>5301</v>
      </c>
      <c r="N182" s="373" t="s">
        <v>5302</v>
      </c>
      <c r="O182" s="372" t="s">
        <v>5303</v>
      </c>
      <c r="P182" s="373" t="s">
        <v>5304</v>
      </c>
      <c r="Q182" s="372" t="s">
        <v>5305</v>
      </c>
      <c r="R182" s="373" t="s">
        <v>5306</v>
      </c>
      <c r="S182" s="372" t="s">
        <v>5307</v>
      </c>
      <c r="T182" s="373" t="s">
        <v>5308</v>
      </c>
      <c r="U182" s="372" t="s">
        <v>5309</v>
      </c>
      <c r="V182" s="374" t="s">
        <v>5310</v>
      </c>
      <c r="W182" s="375" t="s">
        <v>5311</v>
      </c>
      <c r="X182" s="376" t="s">
        <v>5312</v>
      </c>
      <c r="Y182" s="376" t="s">
        <v>5313</v>
      </c>
      <c r="Z182" s="376" t="s">
        <v>5314</v>
      </c>
      <c r="AA182" s="376" t="s">
        <v>5315</v>
      </c>
      <c r="AB182" s="377" t="s">
        <v>5316</v>
      </c>
      <c r="AC182" s="376" t="s">
        <v>5317</v>
      </c>
      <c r="AD182" s="376" t="s">
        <v>5318</v>
      </c>
      <c r="AE182" s="376" t="s">
        <v>5319</v>
      </c>
      <c r="AF182" s="378" t="s">
        <v>5320</v>
      </c>
      <c r="AG182" s="376" t="s">
        <v>5321</v>
      </c>
      <c r="AH182" s="379" t="s">
        <v>5322</v>
      </c>
      <c r="AI182" s="378" t="s">
        <v>5323</v>
      </c>
      <c r="AJ182" s="376" t="s">
        <v>5324</v>
      </c>
      <c r="AK182" s="376" t="s">
        <v>5325</v>
      </c>
      <c r="AL182" s="376" t="s">
        <v>5326</v>
      </c>
      <c r="AM182" t="str">
        <f>BJ182&amp;BK182&amp;BL182&amp;BM182</f>
        <v xml:space="preserve"> * La variable Sin lesiones Constatables No puede ser mayor al Total. * La variable Diversidad sexual No puede ser mayor al Total. * La variable Pueblos originarios No puede ser mayor al Total. * La variable Migrantes No puede ser mayor al Total.</v>
      </c>
      <c r="BJ182" s="1723" t="str">
        <f>IF(AND(D182&gt;0,AI182="")," * No olvide digitar la variable Sin lesiones Constatables. Digite Cero si no tiene.",IF(AI182&gt;D182," * La variable Sin lesiones Constatables No puede ser mayor al Total.",""))</f>
        <v xml:space="preserve"> * La variable Sin lesiones Constatables No puede ser mayor al Total.</v>
      </c>
      <c r="BK182" s="1723" t="str">
        <f>IF(AND(D182&gt;0,AJ182="")," * No olvide digitar la variable Diversidad sexual. Digite Cero si no tiene.",IF(AJ182&gt;D182," * La variable Diversidad sexual No puede ser mayor al Total.",""))</f>
        <v xml:space="preserve"> * La variable Diversidad sexual No puede ser mayor al Total.</v>
      </c>
      <c r="BL182" s="1723" t="str">
        <f>IF(AND(D182&gt;0,AK182="")," * No olvide digitar la variable Pueblos originarios. Digite Cero si no tiene.",IF(AK182&gt;D182," * La variable Pueblos originarios No puede ser mayor al Total.",""))</f>
        <v xml:space="preserve"> * La variable Pueblos originarios No puede ser mayor al Total.</v>
      </c>
      <c r="BM182" s="1723" t="str">
        <f>IF(AND(D182&gt;0,AL182="")," * No olvide digitar la variable Migrantes. Digite Cero si no tiene.",IF(AL182&gt;D182," * La variable Migrantes No puede ser mayor al Total.",""))</f>
        <v xml:space="preserve"> * La variable Migrantes No puede ser mayor al Total.</v>
      </c>
      <c r="BO182" s="1725">
        <f>IF(AND(D182&gt;0,AI182=""),1,IF(AI182&gt;D182,1,0))</f>
        <v>1</v>
      </c>
      <c r="BP182" s="1725">
        <f>IF(AND(D182&gt;0,AJ182=""),1,IF(AJ182&gt;D182,1,0))</f>
        <v>1</v>
      </c>
      <c r="BQ182" s="1725">
        <f>IF(AND(D182&gt;0,AK182=""),1,IF(AK182&gt;D182,1,0))</f>
        <v>1</v>
      </c>
      <c r="BR182" s="1725">
        <f>IF(AND(D182&gt;0,AL182=""),1,IF(AL182&gt;D182,1,0))</f>
        <v>1</v>
      </c>
    </row>
    <row r="183" spans="1:70" x14ac:dyDescent="0.3">
      <c r="A183" s="6259" t="s">
        <v>4906</v>
      </c>
      <c r="B183" s="7280"/>
      <c r="C183" s="207" t="s">
        <v>3757</v>
      </c>
      <c r="D183" s="97" t="s">
        <v>5292</v>
      </c>
      <c r="E183" s="160" t="s">
        <v>5293</v>
      </c>
      <c r="F183" s="380" t="s">
        <v>5294</v>
      </c>
      <c r="G183" s="286" t="s">
        <v>5295</v>
      </c>
      <c r="H183" s="381" t="s">
        <v>5296</v>
      </c>
      <c r="I183" s="286" t="s">
        <v>5297</v>
      </c>
      <c r="J183" s="381" t="s">
        <v>5298</v>
      </c>
      <c r="K183" s="286" t="s">
        <v>5299</v>
      </c>
      <c r="L183" s="381" t="s">
        <v>5300</v>
      </c>
      <c r="M183" s="286" t="s">
        <v>5301</v>
      </c>
      <c r="N183" s="381" t="s">
        <v>5302</v>
      </c>
      <c r="O183" s="286" t="s">
        <v>5303</v>
      </c>
      <c r="P183" s="381" t="s">
        <v>5304</v>
      </c>
      <c r="Q183" s="286" t="s">
        <v>5305</v>
      </c>
      <c r="R183" s="381" t="s">
        <v>5306</v>
      </c>
      <c r="S183" s="286" t="s">
        <v>5307</v>
      </c>
      <c r="T183" s="381" t="s">
        <v>5308</v>
      </c>
      <c r="U183" s="286" t="s">
        <v>5309</v>
      </c>
      <c r="V183" s="382" t="s">
        <v>5310</v>
      </c>
      <c r="W183" s="383" t="s">
        <v>5311</v>
      </c>
      <c r="X183" s="384" t="s">
        <v>5312</v>
      </c>
      <c r="Y183" s="384" t="s">
        <v>5313</v>
      </c>
      <c r="Z183" s="384" t="s">
        <v>5314</v>
      </c>
      <c r="AA183" s="384" t="s">
        <v>5315</v>
      </c>
      <c r="AB183" s="288" t="s">
        <v>5316</v>
      </c>
      <c r="AC183" s="384" t="s">
        <v>5317</v>
      </c>
      <c r="AD183" s="384" t="s">
        <v>5318</v>
      </c>
      <c r="AE183" s="384" t="s">
        <v>5319</v>
      </c>
      <c r="AF183" s="290" t="s">
        <v>5320</v>
      </c>
      <c r="AG183" s="384" t="s">
        <v>5321</v>
      </c>
      <c r="AH183" s="385" t="s">
        <v>5322</v>
      </c>
      <c r="AI183" s="290" t="s">
        <v>5323</v>
      </c>
      <c r="AJ183" s="384" t="s">
        <v>5324</v>
      </c>
      <c r="AK183" s="384" t="s">
        <v>5325</v>
      </c>
      <c r="AL183" s="384" t="s">
        <v>5326</v>
      </c>
      <c r="AM183" t="str">
        <f>BJ183&amp;BK183&amp;BL183&amp;BM183</f>
        <v xml:space="preserve"> * La variable Sin lesiones Constatables No puede ser mayor al Total. * La variable Diversidad sexual No puede ser mayor al Total. * La variable Pueblos originarios No puede ser mayor al Total. * La variable Migrantes No puede ser mayor al Total.</v>
      </c>
      <c r="BJ183" s="1723" t="str">
        <f>IF(AND(D183&gt;0,AI183="")," * No olvide digitar la variable Sin lesiones Constatables. Digite Cero si no tiene.",IF(AI183&gt;D183," * La variable Sin lesiones Constatables No puede ser mayor al Total.",""))</f>
        <v xml:space="preserve"> * La variable Sin lesiones Constatables No puede ser mayor al Total.</v>
      </c>
      <c r="BK183" s="1723" t="str">
        <f>IF(AND(D183&gt;0,AJ183="")," * No olvide digitar la variable Diversidad sexual. Digite Cero si no tiene.",IF(AJ183&gt;D183," * La variable Diversidad sexual No puede ser mayor al Total.",""))</f>
        <v xml:space="preserve"> * La variable Diversidad sexual No puede ser mayor al Total.</v>
      </c>
      <c r="BL183" s="1723" t="str">
        <f>IF(AND(D183&gt;0,AK183="")," * No olvide digitar la variable Pueblos originarios. Digite Cero si no tiene.",IF(AK183&gt;D183," * La variable Pueblos originarios No puede ser mayor al Total.",""))</f>
        <v xml:space="preserve"> * La variable Pueblos originarios No puede ser mayor al Total.</v>
      </c>
      <c r="BM183" s="1723" t="str">
        <f>IF(AND(D183&gt;0,AL183="")," * No olvide digitar la variable Migrantes. Digite Cero si no tiene.",IF(AL183&gt;D183," * La variable Migrantes No puede ser mayor al Total.",""))</f>
        <v xml:space="preserve"> * La variable Migrantes No puede ser mayor al Total.</v>
      </c>
      <c r="BO183" s="1725">
        <f>IF(AND(D183&gt;0,AI183=""),1,IF(AI183&gt;D183,1,0))</f>
        <v>1</v>
      </c>
      <c r="BP183" s="1725">
        <f>IF(AND(D183&gt;0,AJ183=""),1,IF(AJ183&gt;D183,1,0))</f>
        <v>1</v>
      </c>
      <c r="BQ183" s="1725">
        <f>IF(AND(D183&gt;0,AK183=""),1,IF(AK183&gt;D183,1,0))</f>
        <v>1</v>
      </c>
      <c r="BR183" s="1725">
        <f>IF(AND(D183&gt;0,AL183=""),1,IF(AL183&gt;D183,1,0))</f>
        <v>1</v>
      </c>
    </row>
    <row r="184" spans="1:70" s="17" customFormat="1" ht="18" customHeight="1" x14ac:dyDescent="0.25">
      <c r="B184" s="122" t="s">
        <v>404</v>
      </c>
      <c r="C184" s="122"/>
      <c r="D184" s="163"/>
      <c r="E184" s="163"/>
      <c r="F184" s="163"/>
      <c r="G184" s="163"/>
      <c r="H184" s="163"/>
    </row>
    <row r="185" spans="1:70" x14ac:dyDescent="0.3">
      <c r="B185" s="171" t="s">
        <v>254</v>
      </c>
      <c r="C185" s="171" t="s">
        <v>24</v>
      </c>
      <c r="D185" s="1709" t="s">
        <v>937</v>
      </c>
      <c r="E185" s="172" t="s">
        <v>938</v>
      </c>
      <c r="BJ185" s="1723"/>
      <c r="BK185" s="1723"/>
      <c r="BL185" s="1723"/>
      <c r="BM185" s="1723"/>
      <c r="BO185" s="1725"/>
      <c r="BP185" s="1725"/>
      <c r="BQ185" s="1725"/>
    </row>
    <row r="186" spans="1:70" x14ac:dyDescent="0.3">
      <c r="A186" s="6259" t="s">
        <v>4907</v>
      </c>
      <c r="B186" s="368" t="s">
        <v>405</v>
      </c>
      <c r="C186" s="387" t="s">
        <v>5292</v>
      </c>
      <c r="D186" s="376" t="s">
        <v>5293</v>
      </c>
      <c r="E186" s="389" t="s">
        <v>5294</v>
      </c>
      <c r="BJ186" s="1723"/>
      <c r="BK186" s="1723"/>
      <c r="BL186" s="1723"/>
      <c r="BM186" s="1723"/>
      <c r="BO186" s="1725"/>
      <c r="BP186" s="1725"/>
      <c r="BQ186" s="1725"/>
    </row>
    <row r="187" spans="1:70" x14ac:dyDescent="0.3">
      <c r="A187" s="6259" t="s">
        <v>4908</v>
      </c>
      <c r="B187" s="207" t="s">
        <v>406</v>
      </c>
      <c r="C187" s="388" t="s">
        <v>5292</v>
      </c>
      <c r="D187" s="384" t="s">
        <v>5293</v>
      </c>
      <c r="E187" s="390" t="s">
        <v>5294</v>
      </c>
      <c r="BJ187" s="1723"/>
      <c r="BK187" s="1723"/>
      <c r="BL187" s="1723"/>
      <c r="BM187" s="1723"/>
      <c r="BO187" s="1725"/>
      <c r="BP187" s="1725"/>
      <c r="BQ187" s="1725"/>
    </row>
    <row r="188" spans="1:70" s="17" customFormat="1" ht="18" customHeight="1" x14ac:dyDescent="0.25">
      <c r="A188" s="103"/>
      <c r="B188" s="397" t="s">
        <v>407</v>
      </c>
      <c r="C188" s="386"/>
      <c r="D188" s="166"/>
      <c r="E188" s="198"/>
      <c r="F188" s="101"/>
      <c r="G188" s="398"/>
      <c r="H188" s="399"/>
      <c r="I188" s="163"/>
      <c r="J188" s="399"/>
      <c r="K188" s="400"/>
      <c r="L188" s="400"/>
      <c r="M188" s="399"/>
      <c r="N188" s="163"/>
      <c r="O188" s="399"/>
      <c r="P188" s="399"/>
      <c r="Q188" s="163"/>
      <c r="R188" s="399"/>
      <c r="S188" s="399"/>
      <c r="T188" s="163"/>
      <c r="U188" s="399"/>
      <c r="V188" s="399"/>
      <c r="W188" s="400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40"/>
      <c r="AJ188" s="140"/>
      <c r="AK188" s="140"/>
      <c r="AL188" s="140"/>
      <c r="AM188" s="140"/>
      <c r="AN188" s="140"/>
      <c r="AO188" s="140"/>
      <c r="BJ188" s="1722"/>
      <c r="BK188" s="1722"/>
      <c r="BL188" s="1722"/>
      <c r="BM188" s="1722"/>
      <c r="BO188" s="1724"/>
      <c r="BP188" s="1724"/>
      <c r="BQ188" s="1724"/>
    </row>
    <row r="189" spans="1:70" x14ac:dyDescent="0.3">
      <c r="A189" s="103"/>
      <c r="B189" s="7198" t="s">
        <v>23</v>
      </c>
      <c r="C189" s="7223" t="s">
        <v>24</v>
      </c>
      <c r="D189" s="6611"/>
      <c r="E189" s="7226"/>
      <c r="F189" s="7250" t="s">
        <v>30</v>
      </c>
      <c r="G189" s="7251"/>
      <c r="H189" s="7251"/>
      <c r="I189" s="7251"/>
      <c r="J189" s="7251"/>
      <c r="K189" s="7251"/>
      <c r="L189" s="7251"/>
      <c r="M189" s="7251"/>
      <c r="N189" s="7251"/>
      <c r="O189" s="7251"/>
      <c r="P189" s="7251"/>
      <c r="Q189" s="7251"/>
      <c r="R189" s="7251"/>
      <c r="S189" s="7251"/>
      <c r="T189" s="7251"/>
      <c r="U189" s="7251"/>
      <c r="V189" s="7251"/>
      <c r="W189" s="7251"/>
      <c r="X189" s="7251"/>
      <c r="Y189" s="7251"/>
      <c r="Z189" s="7251"/>
      <c r="AA189" s="7251"/>
      <c r="AB189" s="7251"/>
      <c r="AC189" s="7251"/>
      <c r="AD189" s="7251"/>
      <c r="AE189" s="7251"/>
      <c r="AF189" s="7251"/>
      <c r="AG189" s="7251"/>
      <c r="AH189" s="7251"/>
      <c r="AI189" s="7251"/>
      <c r="AJ189" s="7251"/>
      <c r="AK189" s="7251"/>
      <c r="AL189" s="7251"/>
      <c r="AM189" s="7290"/>
      <c r="AN189" s="7284" t="s">
        <v>528</v>
      </c>
      <c r="AO189" s="7202"/>
    </row>
    <row r="190" spans="1:70" x14ac:dyDescent="0.3">
      <c r="A190" s="103"/>
      <c r="B190" s="7289"/>
      <c r="C190" s="7225"/>
      <c r="D190" s="7227"/>
      <c r="E190" s="7248"/>
      <c r="F190" s="7206" t="s">
        <v>36</v>
      </c>
      <c r="G190" s="7208"/>
      <c r="H190" s="7206" t="s">
        <v>37</v>
      </c>
      <c r="I190" s="7208"/>
      <c r="J190" s="7206" t="s">
        <v>38</v>
      </c>
      <c r="K190" s="7208"/>
      <c r="L190" s="7206" t="s">
        <v>4</v>
      </c>
      <c r="M190" s="7208"/>
      <c r="N190" s="7206" t="s">
        <v>5</v>
      </c>
      <c r="O190" s="7208"/>
      <c r="P190" s="7211" t="s">
        <v>6</v>
      </c>
      <c r="Q190" s="7212"/>
      <c r="R190" s="7211" t="s">
        <v>7</v>
      </c>
      <c r="S190" s="7212"/>
      <c r="T190" s="7211" t="s">
        <v>8</v>
      </c>
      <c r="U190" s="7212"/>
      <c r="V190" s="7211" t="s">
        <v>9</v>
      </c>
      <c r="W190" s="7212"/>
      <c r="X190" s="7211" t="s">
        <v>10</v>
      </c>
      <c r="Y190" s="7212"/>
      <c r="Z190" s="7211" t="s">
        <v>11</v>
      </c>
      <c r="AA190" s="7212"/>
      <c r="AB190" s="7211" t="s">
        <v>18</v>
      </c>
      <c r="AC190" s="7212"/>
      <c r="AD190" s="7211" t="s">
        <v>19</v>
      </c>
      <c r="AE190" s="7212"/>
      <c r="AF190" s="7211" t="s">
        <v>20</v>
      </c>
      <c r="AG190" s="7212"/>
      <c r="AH190" s="7211" t="s">
        <v>70</v>
      </c>
      <c r="AI190" s="7212"/>
      <c r="AJ190" s="7211" t="s">
        <v>71</v>
      </c>
      <c r="AK190" s="7212"/>
      <c r="AL190" s="7211" t="s">
        <v>32</v>
      </c>
      <c r="AM190" s="7263"/>
      <c r="AN190" s="7285"/>
      <c r="AO190" s="7249"/>
    </row>
    <row r="191" spans="1:70" x14ac:dyDescent="0.3">
      <c r="A191" s="103"/>
      <c r="B191" s="7200"/>
      <c r="C191" s="1731" t="s">
        <v>26</v>
      </c>
      <c r="D191" s="1732" t="s">
        <v>22</v>
      </c>
      <c r="E191" s="1706" t="s">
        <v>27</v>
      </c>
      <c r="F191" s="1758" t="s">
        <v>51</v>
      </c>
      <c r="G191" s="1759" t="s">
        <v>27</v>
      </c>
      <c r="H191" s="1758" t="s">
        <v>51</v>
      </c>
      <c r="I191" s="1759" t="s">
        <v>27</v>
      </c>
      <c r="J191" s="1758" t="s">
        <v>51</v>
      </c>
      <c r="K191" s="1759" t="s">
        <v>27</v>
      </c>
      <c r="L191" s="1758" t="s">
        <v>51</v>
      </c>
      <c r="M191" s="1759" t="s">
        <v>27</v>
      </c>
      <c r="N191" s="1758" t="s">
        <v>51</v>
      </c>
      <c r="O191" s="1759" t="s">
        <v>27</v>
      </c>
      <c r="P191" s="1758" t="s">
        <v>51</v>
      </c>
      <c r="Q191" s="175" t="s">
        <v>27</v>
      </c>
      <c r="R191" s="1758" t="s">
        <v>51</v>
      </c>
      <c r="S191" s="175" t="s">
        <v>27</v>
      </c>
      <c r="T191" s="1758" t="s">
        <v>51</v>
      </c>
      <c r="U191" s="175" t="s">
        <v>27</v>
      </c>
      <c r="V191" s="1758" t="s">
        <v>51</v>
      </c>
      <c r="W191" s="1759" t="s">
        <v>27</v>
      </c>
      <c r="X191" s="1758" t="s">
        <v>51</v>
      </c>
      <c r="Y191" s="1759" t="s">
        <v>27</v>
      </c>
      <c r="Z191" s="219" t="s">
        <v>51</v>
      </c>
      <c r="AA191" s="1759" t="s">
        <v>27</v>
      </c>
      <c r="AB191" s="219" t="s">
        <v>51</v>
      </c>
      <c r="AC191" s="1759" t="s">
        <v>27</v>
      </c>
      <c r="AD191" s="219" t="s">
        <v>51</v>
      </c>
      <c r="AE191" s="1759" t="s">
        <v>27</v>
      </c>
      <c r="AF191" s="219" t="s">
        <v>51</v>
      </c>
      <c r="AG191" s="1759" t="s">
        <v>27</v>
      </c>
      <c r="AH191" s="219" t="s">
        <v>51</v>
      </c>
      <c r="AI191" s="1759" t="s">
        <v>27</v>
      </c>
      <c r="AJ191" s="219" t="s">
        <v>51</v>
      </c>
      <c r="AK191" s="1759" t="s">
        <v>27</v>
      </c>
      <c r="AL191" s="219" t="s">
        <v>51</v>
      </c>
      <c r="AM191" s="1760" t="s">
        <v>27</v>
      </c>
      <c r="AN191" s="1771" t="s">
        <v>41</v>
      </c>
      <c r="AO191" s="1772" t="s">
        <v>42</v>
      </c>
    </row>
    <row r="192" spans="1:70" x14ac:dyDescent="0.3">
      <c r="A192" s="6254" t="s">
        <v>4909</v>
      </c>
      <c r="B192" s="366" t="s">
        <v>408</v>
      </c>
      <c r="C192" s="391" t="s">
        <v>5292</v>
      </c>
      <c r="D192" s="392" t="s">
        <v>5293</v>
      </c>
      <c r="E192" s="226" t="s">
        <v>5294</v>
      </c>
      <c r="F192" s="393" t="s">
        <v>5295</v>
      </c>
      <c r="G192" s="394" t="s">
        <v>5296</v>
      </c>
      <c r="H192" s="393" t="s">
        <v>5297</v>
      </c>
      <c r="I192" s="394" t="s">
        <v>5298</v>
      </c>
      <c r="J192" s="393" t="s">
        <v>5299</v>
      </c>
      <c r="K192" s="394" t="s">
        <v>5300</v>
      </c>
      <c r="L192" s="393" t="s">
        <v>5301</v>
      </c>
      <c r="M192" s="394" t="s">
        <v>5302</v>
      </c>
      <c r="N192" s="393" t="s">
        <v>5303</v>
      </c>
      <c r="O192" s="394" t="s">
        <v>5304</v>
      </c>
      <c r="P192" s="393" t="s">
        <v>5305</v>
      </c>
      <c r="Q192" s="395" t="s">
        <v>5306</v>
      </c>
      <c r="R192" s="393" t="s">
        <v>5307</v>
      </c>
      <c r="S192" s="395" t="s">
        <v>5308</v>
      </c>
      <c r="T192" s="393" t="s">
        <v>5309</v>
      </c>
      <c r="U192" s="395" t="s">
        <v>5310</v>
      </c>
      <c r="V192" s="393" t="s">
        <v>5311</v>
      </c>
      <c r="W192" s="394" t="s">
        <v>5312</v>
      </c>
      <c r="X192" s="393" t="s">
        <v>5313</v>
      </c>
      <c r="Y192" s="394" t="s">
        <v>5314</v>
      </c>
      <c r="Z192" s="393" t="s">
        <v>5315</v>
      </c>
      <c r="AA192" s="395" t="s">
        <v>5316</v>
      </c>
      <c r="AB192" s="393" t="s">
        <v>5317</v>
      </c>
      <c r="AC192" s="395" t="s">
        <v>5318</v>
      </c>
      <c r="AD192" s="393" t="s">
        <v>5319</v>
      </c>
      <c r="AE192" s="395" t="s">
        <v>5320</v>
      </c>
      <c r="AF192" s="393" t="s">
        <v>5321</v>
      </c>
      <c r="AG192" s="395" t="s">
        <v>5322</v>
      </c>
      <c r="AH192" s="393" t="s">
        <v>5323</v>
      </c>
      <c r="AI192" s="395" t="s">
        <v>5324</v>
      </c>
      <c r="AJ192" s="393" t="s">
        <v>5325</v>
      </c>
      <c r="AK192" s="395" t="s">
        <v>5326</v>
      </c>
      <c r="AL192" s="393" t="s">
        <v>5327</v>
      </c>
      <c r="AM192" s="396" t="s">
        <v>5328</v>
      </c>
      <c r="AN192" s="395" t="s">
        <v>5329</v>
      </c>
      <c r="AO192" s="395" t="s">
        <v>5330</v>
      </c>
      <c r="AP192" t="str">
        <f>BJ192&amp;BK192&amp;BL192&amp;BM192</f>
        <v xml:space="preserve"> * Trans masculino no pueden ser mayor al Total Mujeres. * Trans Femenino no pueden ser mayor al Total Hombres;</v>
      </c>
      <c r="BJ192" s="1723" t="str">
        <f>IF(AND(E192&gt;0,OR(AN192="")),"* No olvide digitar Trans Masculino  (Digite CERO si no tiene)","")</f>
        <v/>
      </c>
      <c r="BK192" s="1723" t="str">
        <f>IF(AN192&gt;E192," * Trans masculino no pueden ser mayor al Total Mujeres.","")</f>
        <v xml:space="preserve"> * Trans masculino no pueden ser mayor al Total Mujeres.</v>
      </c>
      <c r="BL192" s="1723" t="str">
        <f>IF(AND(D192&gt;0,OR(AO192="")),"* No olvide digitar Trans Femenino  (Digite CERO si no tiene)","")</f>
        <v/>
      </c>
      <c r="BM192" s="1723" t="str">
        <f>IF(AO192&gt;D192," * Trans Femenino no pueden ser mayor al Total Hombres;","")</f>
        <v xml:space="preserve"> * Trans Femenino no pueden ser mayor al Total Hombres;</v>
      </c>
      <c r="BO192" s="1725">
        <f>IF(AND(E192&gt;0,OR(AN192="")),1,0)</f>
        <v>0</v>
      </c>
      <c r="BP192" s="1725">
        <f>IF(AN192&gt;E192,1,0)</f>
        <v>1</v>
      </c>
      <c r="BQ192" s="1725">
        <f>IF(AND(D192&gt;0,OR(AO192="")),1,0)</f>
        <v>0</v>
      </c>
      <c r="BR192" s="1725">
        <f>IF(AO192&gt;D192,1,0)</f>
        <v>1</v>
      </c>
    </row>
    <row r="193" spans="1:68" s="17" customFormat="1" ht="18" customHeight="1" x14ac:dyDescent="0.25">
      <c r="B193" s="122" t="s">
        <v>409</v>
      </c>
      <c r="C193" s="122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</row>
    <row r="194" spans="1:68" x14ac:dyDescent="0.3">
      <c r="A194" s="6236"/>
      <c r="B194" s="7226" t="s">
        <v>410</v>
      </c>
      <c r="C194" s="7201" t="s">
        <v>24</v>
      </c>
      <c r="D194" s="6341"/>
      <c r="E194" s="7202"/>
      <c r="F194" s="7211" t="s">
        <v>30</v>
      </c>
      <c r="G194" s="7229"/>
      <c r="H194" s="7229"/>
      <c r="I194" s="7229"/>
      <c r="J194" s="7229"/>
      <c r="K194" s="7229"/>
      <c r="L194" s="7229"/>
      <c r="M194" s="7263"/>
      <c r="N194" s="6341" t="s">
        <v>413</v>
      </c>
      <c r="O194" s="7287"/>
      <c r="P194" s="7202" t="s">
        <v>414</v>
      </c>
    </row>
    <row r="195" spans="1:68" x14ac:dyDescent="0.3">
      <c r="A195" s="6236"/>
      <c r="B195" s="7247"/>
      <c r="C195" s="7203"/>
      <c r="D195" s="7204"/>
      <c r="E195" s="7205"/>
      <c r="F195" s="7206" t="s">
        <v>36</v>
      </c>
      <c r="G195" s="7208"/>
      <c r="H195" s="7206" t="s">
        <v>37</v>
      </c>
      <c r="I195" s="7208"/>
      <c r="J195" s="7206" t="s">
        <v>38</v>
      </c>
      <c r="K195" s="7208"/>
      <c r="L195" s="7206" t="s">
        <v>242</v>
      </c>
      <c r="M195" s="7266"/>
      <c r="N195" s="7204"/>
      <c r="O195" s="7288"/>
      <c r="P195" s="7218"/>
    </row>
    <row r="196" spans="1:68" x14ac:dyDescent="0.3">
      <c r="A196" s="6236"/>
      <c r="B196" s="7247"/>
      <c r="C196" s="176" t="s">
        <v>26</v>
      </c>
      <c r="D196" s="366" t="s">
        <v>22</v>
      </c>
      <c r="E196" s="176" t="s">
        <v>27</v>
      </c>
      <c r="F196" s="1758" t="s">
        <v>51</v>
      </c>
      <c r="G196" s="1762" t="s">
        <v>27</v>
      </c>
      <c r="H196" s="1758" t="s">
        <v>51</v>
      </c>
      <c r="I196" s="1762" t="s">
        <v>27</v>
      </c>
      <c r="J196" s="1733" t="s">
        <v>51</v>
      </c>
      <c r="K196" s="1710" t="s">
        <v>27</v>
      </c>
      <c r="L196" s="1758" t="s">
        <v>51</v>
      </c>
      <c r="M196" s="1752" t="s">
        <v>27</v>
      </c>
      <c r="N196" s="1763" t="s">
        <v>411</v>
      </c>
      <c r="O196" s="1761" t="s">
        <v>412</v>
      </c>
      <c r="P196" s="7205"/>
    </row>
    <row r="197" spans="1:68" x14ac:dyDescent="0.3">
      <c r="A197" s="6236"/>
      <c r="B197" s="7228"/>
      <c r="C197" s="1764">
        <f t="shared" ref="C197:C202" si="50">+D197+E197</f>
        <v>0</v>
      </c>
      <c r="D197" s="1765">
        <f>+F197+H197+J197+L197</f>
        <v>0</v>
      </c>
      <c r="E197" s="1766">
        <f>+G197+I197+K197+M197</f>
        <v>0</v>
      </c>
      <c r="F197" s="1767">
        <f t="shared" ref="F197:P197" si="51">SUM(F198:F202)</f>
        <v>0</v>
      </c>
      <c r="G197" s="1740">
        <f t="shared" si="51"/>
        <v>0</v>
      </c>
      <c r="H197" s="1767">
        <f t="shared" si="51"/>
        <v>0</v>
      </c>
      <c r="I197" s="1740">
        <f t="shared" si="51"/>
        <v>0</v>
      </c>
      <c r="J197" s="1767">
        <f t="shared" si="51"/>
        <v>0</v>
      </c>
      <c r="K197" s="1768">
        <f t="shared" si="51"/>
        <v>0</v>
      </c>
      <c r="L197" s="391">
        <f t="shared" si="51"/>
        <v>0</v>
      </c>
      <c r="M197" s="1769">
        <f t="shared" si="51"/>
        <v>0</v>
      </c>
      <c r="N197" s="1742">
        <f t="shared" si="51"/>
        <v>0</v>
      </c>
      <c r="O197" s="1740">
        <f t="shared" si="51"/>
        <v>0</v>
      </c>
      <c r="P197" s="1770">
        <f t="shared" si="51"/>
        <v>0</v>
      </c>
    </row>
    <row r="198" spans="1:68" x14ac:dyDescent="0.3">
      <c r="A198" s="6254" t="s">
        <v>4910</v>
      </c>
      <c r="B198" s="368" t="s">
        <v>415</v>
      </c>
      <c r="C198" s="387" t="s">
        <v>5292</v>
      </c>
      <c r="D198" s="387" t="s">
        <v>5293</v>
      </c>
      <c r="E198" s="403" t="s">
        <v>5294</v>
      </c>
      <c r="F198" s="276" t="s">
        <v>5295</v>
      </c>
      <c r="G198" s="280" t="s">
        <v>5296</v>
      </c>
      <c r="H198" s="276" t="s">
        <v>5297</v>
      </c>
      <c r="I198" s="280" t="s">
        <v>5298</v>
      </c>
      <c r="J198" s="276" t="s">
        <v>5299</v>
      </c>
      <c r="K198" s="277" t="s">
        <v>5300</v>
      </c>
      <c r="L198" s="276" t="s">
        <v>5301</v>
      </c>
      <c r="M198" s="404" t="s">
        <v>5302</v>
      </c>
      <c r="N198" s="278" t="s">
        <v>5303</v>
      </c>
      <c r="O198" s="280" t="s">
        <v>5304</v>
      </c>
      <c r="P198" s="405" t="s">
        <v>5305</v>
      </c>
      <c r="Q198" t="e">
        <f>BJ198&amp;BK198</f>
        <v>#VALUE!</v>
      </c>
      <c r="BJ198" s="1723" t="str">
        <f>IF(P198&gt;C198,"* La indicación de Vacuna NO DEBE ser mayor al total de ambos sexos","")</f>
        <v>* La indicación de Vacuna NO DEBE ser mayor al total de ambos sexos</v>
      </c>
      <c r="BK198" s="1723" t="e">
        <f>IF((N198+O198)&gt;C198," * La suma del Tipo de Mordedura NO DEBE ser mayor al total de ambos sexos","")</f>
        <v>#VALUE!</v>
      </c>
      <c r="BO198" s="1725">
        <f>IF(P198&gt;C198,1,0)</f>
        <v>1</v>
      </c>
      <c r="BP198" s="1725" t="e">
        <f>IF((N198+O198)&gt;C198,1,0)</f>
        <v>#VALUE!</v>
      </c>
    </row>
    <row r="199" spans="1:68" x14ac:dyDescent="0.3">
      <c r="A199" s="6259" t="s">
        <v>4911</v>
      </c>
      <c r="B199" s="204" t="s">
        <v>416</v>
      </c>
      <c r="C199" s="406" t="s">
        <v>5292</v>
      </c>
      <c r="D199" s="406" t="s">
        <v>5293</v>
      </c>
      <c r="E199" s="407" t="s">
        <v>5294</v>
      </c>
      <c r="F199" s="281" t="s">
        <v>5295</v>
      </c>
      <c r="G199" s="285" t="s">
        <v>5296</v>
      </c>
      <c r="H199" s="281" t="s">
        <v>5297</v>
      </c>
      <c r="I199" s="285" t="s">
        <v>5298</v>
      </c>
      <c r="J199" s="281" t="s">
        <v>5299</v>
      </c>
      <c r="K199" s="282" t="s">
        <v>5300</v>
      </c>
      <c r="L199" s="281" t="s">
        <v>5301</v>
      </c>
      <c r="M199" s="408" t="s">
        <v>5302</v>
      </c>
      <c r="N199" s="283" t="s">
        <v>5303</v>
      </c>
      <c r="O199" s="285" t="s">
        <v>5304</v>
      </c>
      <c r="P199" s="409" t="s">
        <v>5305</v>
      </c>
      <c r="Q199" t="e">
        <f t="shared" ref="Q199:Q202" si="52">BJ199&amp;BK199</f>
        <v>#VALUE!</v>
      </c>
      <c r="BJ199" s="1723" t="str">
        <f t="shared" ref="BJ199:BJ202" si="53">IF(P199&gt;C199,"* La indicación de Vacuna NO DEBE ser mayor al total de ambos sexos","")</f>
        <v>* La indicación de Vacuna NO DEBE ser mayor al total de ambos sexos</v>
      </c>
      <c r="BK199" s="1723" t="e">
        <f t="shared" ref="BK199:BK202" si="54">IF((N199+O199)&gt;C199," * La suma del Tipo de Mordedura NO DEBE ser mayor al total de ambos sexos","")</f>
        <v>#VALUE!</v>
      </c>
      <c r="BO199" s="1725">
        <f t="shared" ref="BO199:BO202" si="55">IF(P199&gt;C199,1,0)</f>
        <v>1</v>
      </c>
      <c r="BP199" s="1725" t="e">
        <f t="shared" ref="BP199:BP202" si="56">IF((N199+O199)&gt;C199,1,0)</f>
        <v>#VALUE!</v>
      </c>
    </row>
    <row r="200" spans="1:68" x14ac:dyDescent="0.3">
      <c r="A200" s="6259" t="s">
        <v>4912</v>
      </c>
      <c r="B200" s="204" t="s">
        <v>417</v>
      </c>
      <c r="C200" s="406" t="s">
        <v>5292</v>
      </c>
      <c r="D200" s="406" t="s">
        <v>5293</v>
      </c>
      <c r="E200" s="407" t="s">
        <v>5294</v>
      </c>
      <c r="F200" s="281" t="s">
        <v>5295</v>
      </c>
      <c r="G200" s="285" t="s">
        <v>5296</v>
      </c>
      <c r="H200" s="281" t="s">
        <v>5297</v>
      </c>
      <c r="I200" s="285" t="s">
        <v>5298</v>
      </c>
      <c r="J200" s="281" t="s">
        <v>5299</v>
      </c>
      <c r="K200" s="282" t="s">
        <v>5300</v>
      </c>
      <c r="L200" s="281" t="s">
        <v>5301</v>
      </c>
      <c r="M200" s="408" t="s">
        <v>5302</v>
      </c>
      <c r="N200" s="283" t="s">
        <v>5303</v>
      </c>
      <c r="O200" s="285" t="s">
        <v>5304</v>
      </c>
      <c r="P200" s="409" t="s">
        <v>5305</v>
      </c>
      <c r="Q200" t="e">
        <f t="shared" si="52"/>
        <v>#VALUE!</v>
      </c>
      <c r="BJ200" s="1723" t="str">
        <f t="shared" si="53"/>
        <v>* La indicación de Vacuna NO DEBE ser mayor al total de ambos sexos</v>
      </c>
      <c r="BK200" s="1723" t="e">
        <f t="shared" si="54"/>
        <v>#VALUE!</v>
      </c>
      <c r="BO200" s="1725">
        <f t="shared" si="55"/>
        <v>1</v>
      </c>
      <c r="BP200" s="1725" t="e">
        <f t="shared" si="56"/>
        <v>#VALUE!</v>
      </c>
    </row>
    <row r="201" spans="1:68" x14ac:dyDescent="0.3">
      <c r="A201" s="6259" t="s">
        <v>4913</v>
      </c>
      <c r="B201" s="204" t="s">
        <v>418</v>
      </c>
      <c r="C201" s="406" t="s">
        <v>5292</v>
      </c>
      <c r="D201" s="406" t="s">
        <v>5293</v>
      </c>
      <c r="E201" s="407" t="s">
        <v>5294</v>
      </c>
      <c r="F201" s="410" t="s">
        <v>5295</v>
      </c>
      <c r="G201" s="411" t="s">
        <v>5296</v>
      </c>
      <c r="H201" s="410" t="s">
        <v>5297</v>
      </c>
      <c r="I201" s="411" t="s">
        <v>5298</v>
      </c>
      <c r="J201" s="410" t="s">
        <v>5299</v>
      </c>
      <c r="K201" s="412" t="s">
        <v>5300</v>
      </c>
      <c r="L201" s="410" t="s">
        <v>5301</v>
      </c>
      <c r="M201" s="413" t="s">
        <v>5302</v>
      </c>
      <c r="N201" s="414" t="s">
        <v>5303</v>
      </c>
      <c r="O201" s="411" t="s">
        <v>5304</v>
      </c>
      <c r="P201" s="415" t="s">
        <v>5305</v>
      </c>
      <c r="Q201" t="e">
        <f t="shared" si="52"/>
        <v>#VALUE!</v>
      </c>
      <c r="BJ201" s="1723" t="str">
        <f t="shared" si="53"/>
        <v>* La indicación de Vacuna NO DEBE ser mayor al total de ambos sexos</v>
      </c>
      <c r="BK201" s="1723" t="e">
        <f t="shared" si="54"/>
        <v>#VALUE!</v>
      </c>
      <c r="BO201" s="1725">
        <f t="shared" si="55"/>
        <v>1</v>
      </c>
      <c r="BP201" s="1725" t="e">
        <f t="shared" si="56"/>
        <v>#VALUE!</v>
      </c>
    </row>
    <row r="202" spans="1:68" x14ac:dyDescent="0.3">
      <c r="A202" s="6259" t="s">
        <v>4914</v>
      </c>
      <c r="B202" s="169" t="s">
        <v>419</v>
      </c>
      <c r="C202" s="416" t="s">
        <v>5292</v>
      </c>
      <c r="D202" s="416" t="s">
        <v>5293</v>
      </c>
      <c r="E202" s="417" t="s">
        <v>5294</v>
      </c>
      <c r="F202" s="286" t="s">
        <v>5295</v>
      </c>
      <c r="G202" s="287" t="s">
        <v>5296</v>
      </c>
      <c r="H202" s="286" t="s">
        <v>5297</v>
      </c>
      <c r="I202" s="287" t="s">
        <v>5298</v>
      </c>
      <c r="J202" s="286" t="s">
        <v>5299</v>
      </c>
      <c r="K202" s="287" t="s">
        <v>5300</v>
      </c>
      <c r="L202" s="286" t="s">
        <v>5301</v>
      </c>
      <c r="M202" s="382" t="s">
        <v>5302</v>
      </c>
      <c r="N202" s="288" t="s">
        <v>5303</v>
      </c>
      <c r="O202" s="287" t="s">
        <v>5304</v>
      </c>
      <c r="P202" s="418" t="s">
        <v>5305</v>
      </c>
      <c r="Q202" t="e">
        <f t="shared" si="52"/>
        <v>#VALUE!</v>
      </c>
      <c r="BJ202" s="1723" t="str">
        <f t="shared" si="53"/>
        <v>* La indicación de Vacuna NO DEBE ser mayor al total de ambos sexos</v>
      </c>
      <c r="BK202" s="1723" t="e">
        <f t="shared" si="54"/>
        <v>#VALUE!</v>
      </c>
      <c r="BO202" s="1725">
        <f t="shared" si="55"/>
        <v>1</v>
      </c>
      <c r="BP202" s="1725" t="e">
        <f t="shared" si="56"/>
        <v>#VALUE!</v>
      </c>
    </row>
    <row r="248" spans="2:3" hidden="1" x14ac:dyDescent="0.3">
      <c r="B248" s="4463">
        <f>SUM(C13:C16,C21:C26,C31:C36,C41:C46,C51:C56,C61:C67,C70:C90,D95:D102,E105:E107,D112:D114,D118:D119,C123:Q124,D128:D129,C144,D147:E147,D151:D152,D155:D160,D164:D169,C174:C177,D182:D183,C186:C187,C192,C197:C202)</f>
        <v>0</v>
      </c>
      <c r="C248" s="4437" t="e">
        <f>SUM(BO13:BY202)</f>
        <v>#VALUE!</v>
      </c>
    </row>
  </sheetData>
  <mergeCells count="321">
    <mergeCell ref="B194:B197"/>
    <mergeCell ref="C194:E195"/>
    <mergeCell ref="F194:M194"/>
    <mergeCell ref="N194:O195"/>
    <mergeCell ref="P194:P196"/>
    <mergeCell ref="R190:S190"/>
    <mergeCell ref="T190:U190"/>
    <mergeCell ref="V190:W190"/>
    <mergeCell ref="X190:Y190"/>
    <mergeCell ref="B189:B191"/>
    <mergeCell ref="C189:E190"/>
    <mergeCell ref="F189:AM189"/>
    <mergeCell ref="F195:G195"/>
    <mergeCell ref="H195:I195"/>
    <mergeCell ref="J195:K195"/>
    <mergeCell ref="L195:M195"/>
    <mergeCell ref="AD190:AE190"/>
    <mergeCell ref="AF190:AG190"/>
    <mergeCell ref="AH190:AI190"/>
    <mergeCell ref="AJ190:AK190"/>
    <mergeCell ref="AL190:AM190"/>
    <mergeCell ref="Z190:AA190"/>
    <mergeCell ref="AB190:AC190"/>
    <mergeCell ref="AN189:AO190"/>
    <mergeCell ref="F190:G190"/>
    <mergeCell ref="H190:I190"/>
    <mergeCell ref="J190:K190"/>
    <mergeCell ref="L190:M190"/>
    <mergeCell ref="N190:O190"/>
    <mergeCell ref="P190:Q190"/>
    <mergeCell ref="AG180:AG181"/>
    <mergeCell ref="AH180:AH181"/>
    <mergeCell ref="AF180:AF181"/>
    <mergeCell ref="X179:X181"/>
    <mergeCell ref="Y179:Y181"/>
    <mergeCell ref="U180:V180"/>
    <mergeCell ref="B182:B183"/>
    <mergeCell ref="AJ179:AJ181"/>
    <mergeCell ref="AK179:AK181"/>
    <mergeCell ref="AL179:AL181"/>
    <mergeCell ref="G180:H180"/>
    <mergeCell ref="I180:J180"/>
    <mergeCell ref="K180:L180"/>
    <mergeCell ref="M180:N180"/>
    <mergeCell ref="O180:P180"/>
    <mergeCell ref="Q180:R180"/>
    <mergeCell ref="S180:T180"/>
    <mergeCell ref="Z179:Z181"/>
    <mergeCell ref="AA179:AA181"/>
    <mergeCell ref="AB179:AB181"/>
    <mergeCell ref="AC179:AF179"/>
    <mergeCell ref="AG179:AH179"/>
    <mergeCell ref="AI179:AI181"/>
    <mergeCell ref="AC180:AC181"/>
    <mergeCell ref="AD180:AD181"/>
    <mergeCell ref="AE180:AE181"/>
    <mergeCell ref="B179:C181"/>
    <mergeCell ref="D179:F180"/>
    <mergeCell ref="G179:V179"/>
    <mergeCell ref="W179:W181"/>
    <mergeCell ref="AB172:AC172"/>
    <mergeCell ref="AD172:AE172"/>
    <mergeCell ref="B164:B166"/>
    <mergeCell ref="B167:B169"/>
    <mergeCell ref="B171:B173"/>
    <mergeCell ref="C171:E172"/>
    <mergeCell ref="F171:AM171"/>
    <mergeCell ref="F172:G172"/>
    <mergeCell ref="H172:I172"/>
    <mergeCell ref="J172:K172"/>
    <mergeCell ref="L172:M172"/>
    <mergeCell ref="N172:O172"/>
    <mergeCell ref="AF172:AG172"/>
    <mergeCell ref="AH172:AI172"/>
    <mergeCell ref="AJ172:AK172"/>
    <mergeCell ref="AL172:AM172"/>
    <mergeCell ref="P172:Q172"/>
    <mergeCell ref="R172:S172"/>
    <mergeCell ref="T172:U172"/>
    <mergeCell ref="V172:W172"/>
    <mergeCell ref="X172:Y172"/>
    <mergeCell ref="Z172:AA172"/>
    <mergeCell ref="B158:B160"/>
    <mergeCell ref="B162:C163"/>
    <mergeCell ref="D162:F162"/>
    <mergeCell ref="G162:G163"/>
    <mergeCell ref="H162:H163"/>
    <mergeCell ref="I162:I163"/>
    <mergeCell ref="G149:G150"/>
    <mergeCell ref="H149:J149"/>
    <mergeCell ref="K149:M149"/>
    <mergeCell ref="B151:B152"/>
    <mergeCell ref="B154:C154"/>
    <mergeCell ref="B155:B156"/>
    <mergeCell ref="B128:B129"/>
    <mergeCell ref="B146:C146"/>
    <mergeCell ref="B149:C150"/>
    <mergeCell ref="D149:F149"/>
    <mergeCell ref="O121:O122"/>
    <mergeCell ref="P121:P122"/>
    <mergeCell ref="Q121:Q122"/>
    <mergeCell ref="B126:C127"/>
    <mergeCell ref="D126:D127"/>
    <mergeCell ref="E126:J126"/>
    <mergeCell ref="K126:K127"/>
    <mergeCell ref="B118:C118"/>
    <mergeCell ref="B119:C119"/>
    <mergeCell ref="B121:B122"/>
    <mergeCell ref="C121:F121"/>
    <mergeCell ref="G121:H121"/>
    <mergeCell ref="I121:L121"/>
    <mergeCell ref="M121:M122"/>
    <mergeCell ref="N121:N122"/>
    <mergeCell ref="K116:L116"/>
    <mergeCell ref="M116:N116"/>
    <mergeCell ref="B113:C113"/>
    <mergeCell ref="B114:C114"/>
    <mergeCell ref="B116:C117"/>
    <mergeCell ref="D116:F116"/>
    <mergeCell ref="G116:H116"/>
    <mergeCell ref="I116:J116"/>
    <mergeCell ref="AE110:AF110"/>
    <mergeCell ref="AG110:AH110"/>
    <mergeCell ref="AI110:AJ110"/>
    <mergeCell ref="W116:X116"/>
    <mergeCell ref="Y116:Z116"/>
    <mergeCell ref="O116:P116"/>
    <mergeCell ref="Q116:R116"/>
    <mergeCell ref="S116:T116"/>
    <mergeCell ref="U116:V116"/>
    <mergeCell ref="B112:C112"/>
    <mergeCell ref="AO109:AO111"/>
    <mergeCell ref="G110:H110"/>
    <mergeCell ref="I110:J110"/>
    <mergeCell ref="K110:L110"/>
    <mergeCell ref="M110:N110"/>
    <mergeCell ref="O110:P110"/>
    <mergeCell ref="Q110:R110"/>
    <mergeCell ref="S110:T110"/>
    <mergeCell ref="U110:V110"/>
    <mergeCell ref="W110:X110"/>
    <mergeCell ref="B102:C102"/>
    <mergeCell ref="B104:D104"/>
    <mergeCell ref="B105:C107"/>
    <mergeCell ref="B108:L108"/>
    <mergeCell ref="B109:C111"/>
    <mergeCell ref="D109:F110"/>
    <mergeCell ref="G109:AN109"/>
    <mergeCell ref="Y110:Z110"/>
    <mergeCell ref="AA110:AB110"/>
    <mergeCell ref="AC110:AD110"/>
    <mergeCell ref="AK110:AL110"/>
    <mergeCell ref="AM110:AN110"/>
    <mergeCell ref="B95:C95"/>
    <mergeCell ref="B96:B98"/>
    <mergeCell ref="B99:C99"/>
    <mergeCell ref="B100:C100"/>
    <mergeCell ref="B101:C101"/>
    <mergeCell ref="AA93:AB93"/>
    <mergeCell ref="AC93:AD93"/>
    <mergeCell ref="AE93:AF93"/>
    <mergeCell ref="AG93:AH93"/>
    <mergeCell ref="B92:C94"/>
    <mergeCell ref="D92:F93"/>
    <mergeCell ref="AP92:AP94"/>
    <mergeCell ref="G93:H93"/>
    <mergeCell ref="I93:J93"/>
    <mergeCell ref="K93:L93"/>
    <mergeCell ref="M93:N93"/>
    <mergeCell ref="O93:P93"/>
    <mergeCell ref="Q93:R93"/>
    <mergeCell ref="S93:T93"/>
    <mergeCell ref="U93:V93"/>
    <mergeCell ref="AM93:AN93"/>
    <mergeCell ref="AI93:AJ93"/>
    <mergeCell ref="AK93:AL93"/>
    <mergeCell ref="G92:AN92"/>
    <mergeCell ref="W93:X93"/>
    <mergeCell ref="Y93:Z93"/>
    <mergeCell ref="R59:S59"/>
    <mergeCell ref="T59:U59"/>
    <mergeCell ref="V59:W59"/>
    <mergeCell ref="X59:Y59"/>
    <mergeCell ref="Z59:AA59"/>
    <mergeCell ref="AB59:AC59"/>
    <mergeCell ref="B58:B60"/>
    <mergeCell ref="C58:E59"/>
    <mergeCell ref="F58:AM58"/>
    <mergeCell ref="AL59:AM59"/>
    <mergeCell ref="AN58:AO59"/>
    <mergeCell ref="F59:G59"/>
    <mergeCell ref="H59:I59"/>
    <mergeCell ref="J59:K59"/>
    <mergeCell ref="L59:M59"/>
    <mergeCell ref="AO92:AO94"/>
    <mergeCell ref="N59:O59"/>
    <mergeCell ref="P59:Q59"/>
    <mergeCell ref="AB49:AC49"/>
    <mergeCell ref="AD49:AE49"/>
    <mergeCell ref="AF49:AG49"/>
    <mergeCell ref="AH49:AI49"/>
    <mergeCell ref="AJ49:AK49"/>
    <mergeCell ref="AL49:AM49"/>
    <mergeCell ref="P49:Q49"/>
    <mergeCell ref="R49:S49"/>
    <mergeCell ref="T49:U49"/>
    <mergeCell ref="V49:W49"/>
    <mergeCell ref="X49:Y49"/>
    <mergeCell ref="Z49:AA49"/>
    <mergeCell ref="AD59:AE59"/>
    <mergeCell ref="AF59:AG59"/>
    <mergeCell ref="AH59:AI59"/>
    <mergeCell ref="AJ59:AK59"/>
    <mergeCell ref="B48:B50"/>
    <mergeCell ref="C48:E49"/>
    <mergeCell ref="F48:AM48"/>
    <mergeCell ref="AN48:AN50"/>
    <mergeCell ref="AO48:AO50"/>
    <mergeCell ref="F49:G49"/>
    <mergeCell ref="H49:I49"/>
    <mergeCell ref="J49:K49"/>
    <mergeCell ref="L49:M49"/>
    <mergeCell ref="N49:O49"/>
    <mergeCell ref="B38:B40"/>
    <mergeCell ref="C38:E39"/>
    <mergeCell ref="F38:AM38"/>
    <mergeCell ref="AN38:AN40"/>
    <mergeCell ref="AO38:AO40"/>
    <mergeCell ref="F39:G39"/>
    <mergeCell ref="H39:I39"/>
    <mergeCell ref="J39:K39"/>
    <mergeCell ref="L39:M39"/>
    <mergeCell ref="N39:O39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B28:B30"/>
    <mergeCell ref="C28:E29"/>
    <mergeCell ref="F28:AM28"/>
    <mergeCell ref="AN28:AN30"/>
    <mergeCell ref="AO28:AO30"/>
    <mergeCell ref="F29:G29"/>
    <mergeCell ref="H29:I29"/>
    <mergeCell ref="J29:K29"/>
    <mergeCell ref="L29:M29"/>
    <mergeCell ref="N29:O29"/>
    <mergeCell ref="AB29:AC29"/>
    <mergeCell ref="AD29:AE29"/>
    <mergeCell ref="AF29:AG29"/>
    <mergeCell ref="AH29:AI29"/>
    <mergeCell ref="AJ29:AK29"/>
    <mergeCell ref="AL29:AM29"/>
    <mergeCell ref="P29:Q29"/>
    <mergeCell ref="R29:S29"/>
    <mergeCell ref="T29:U29"/>
    <mergeCell ref="V29:W29"/>
    <mergeCell ref="X29:Y29"/>
    <mergeCell ref="Z29:AA29"/>
    <mergeCell ref="B27:I27"/>
    <mergeCell ref="R19:S19"/>
    <mergeCell ref="T19:U19"/>
    <mergeCell ref="V19:W19"/>
    <mergeCell ref="X19:Y19"/>
    <mergeCell ref="Z19:AA19"/>
    <mergeCell ref="AB19:AC19"/>
    <mergeCell ref="F19:G19"/>
    <mergeCell ref="H19:I19"/>
    <mergeCell ref="J19:K19"/>
    <mergeCell ref="L19:M19"/>
    <mergeCell ref="N19:O19"/>
    <mergeCell ref="P19:Q19"/>
    <mergeCell ref="B18:B20"/>
    <mergeCell ref="C18:E19"/>
    <mergeCell ref="F18:AM18"/>
    <mergeCell ref="AN18:AN20"/>
    <mergeCell ref="AO18:AO20"/>
    <mergeCell ref="AP18:AP20"/>
    <mergeCell ref="AQ18:AQ20"/>
    <mergeCell ref="AD11:AE11"/>
    <mergeCell ref="AF11:AG11"/>
    <mergeCell ref="AH11:AI11"/>
    <mergeCell ref="AJ11:AK11"/>
    <mergeCell ref="AL11:AM11"/>
    <mergeCell ref="AO11:AO12"/>
    <mergeCell ref="AD19:AE19"/>
    <mergeCell ref="AF19:AG19"/>
    <mergeCell ref="AH19:AI19"/>
    <mergeCell ref="AJ19:AK19"/>
    <mergeCell ref="AL19:AM19"/>
    <mergeCell ref="AS10:AS12"/>
    <mergeCell ref="AT10:AT12"/>
    <mergeCell ref="F11:G11"/>
    <mergeCell ref="H11:I11"/>
    <mergeCell ref="J11:K11"/>
    <mergeCell ref="L11:M11"/>
    <mergeCell ref="N11:O11"/>
    <mergeCell ref="P11:Q11"/>
    <mergeCell ref="R11:S11"/>
    <mergeCell ref="T11:U11"/>
    <mergeCell ref="AP11:AP12"/>
    <mergeCell ref="AQ11:AQ12"/>
    <mergeCell ref="AR11:AR12"/>
    <mergeCell ref="B6:P6"/>
    <mergeCell ref="B10:B12"/>
    <mergeCell ref="C10:E11"/>
    <mergeCell ref="F10:AM10"/>
    <mergeCell ref="AN10:AN12"/>
    <mergeCell ref="AO10:AR10"/>
    <mergeCell ref="V11:W11"/>
    <mergeCell ref="X11:Y11"/>
    <mergeCell ref="Z11:AA11"/>
    <mergeCell ref="AB11:AC11"/>
  </mergeCells>
  <dataValidations count="1">
    <dataValidation type="whole" operator="greaterThanOrEqual" allowBlank="1" showInputMessage="1" showErrorMessage="1" errorTitle="Error" error="Favor Ingrese sólo Números." sqref="F13:AT16 F21:AQ26 F31:AO36 F41:AO46 F51:AO56 F61:AO66 D70:F89 G96:AP102 E105:E107 G112:AO114 G118:Z119 C123:Q124 F198:P202 E128:K129 D147:E147 E151:M152 D155:G160 E164:I169 F174:AM177 G182:AL183 D186:E187 F192:AO192 C132:C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J392"/>
  <sheetViews>
    <sheetView showGridLines="0" workbookViewId="0"/>
  </sheetViews>
  <sheetFormatPr baseColWidth="10" defaultColWidth="11.44140625" defaultRowHeight="14.4" x14ac:dyDescent="0.3"/>
  <cols>
    <col min="1" max="1" width="17" customWidth="1"/>
    <col min="2" max="2" width="38.5546875" customWidth="1"/>
    <col min="3" max="3" width="27.33203125" customWidth="1"/>
    <col min="4" max="4" width="51.44140625" customWidth="1"/>
    <col min="5" max="5" width="14.109375" customWidth="1"/>
    <col min="6" max="7" width="13.33203125" customWidth="1"/>
    <col min="8" max="8" width="14.44140625" customWidth="1"/>
    <col min="9" max="10" width="13.33203125" customWidth="1"/>
    <col min="14" max="41" width="11.44140625" customWidth="1"/>
    <col min="42" max="42" width="12.44140625" customWidth="1"/>
    <col min="43" max="43" width="12.109375" customWidth="1"/>
    <col min="44" max="44" width="13.6640625" customWidth="1"/>
    <col min="45" max="45" width="13.33203125" customWidth="1"/>
    <col min="46" max="46" width="14.33203125" customWidth="1"/>
    <col min="47" max="47" width="11.88671875" customWidth="1"/>
    <col min="48" max="48" width="12" customWidth="1"/>
    <col min="49" max="49" width="16.109375" customWidth="1"/>
    <col min="50" max="51" width="13.109375" customWidth="1"/>
    <col min="52" max="85" width="11.44140625" customWidth="1"/>
    <col min="101" max="101" width="11.44140625" hidden="1" customWidth="1"/>
    <col min="102" max="110" width="11.44140625" style="1723" hidden="1" customWidth="1"/>
    <col min="111" max="111" width="11.44140625" hidden="1" customWidth="1"/>
    <col min="112" max="118" width="11.44140625" style="1725" hidden="1" customWidth="1"/>
    <col min="119" max="121" width="11.44140625" hidden="1" customWidth="1"/>
    <col min="122" max="122" width="11.44140625" customWidth="1"/>
    <col min="131" max="131" width="10.109375" customWidth="1"/>
    <col min="137" max="170" width="11.44140625" customWidth="1"/>
  </cols>
  <sheetData>
    <row r="1" spans="1:140" x14ac:dyDescent="0.3">
      <c r="B1" s="774" t="s">
        <v>3879</v>
      </c>
      <c r="CX1"/>
      <c r="CY1"/>
      <c r="CZ1"/>
      <c r="DA1"/>
      <c r="DB1"/>
      <c r="DC1"/>
      <c r="DD1"/>
      <c r="DE1"/>
      <c r="DF1"/>
      <c r="DH1"/>
      <c r="DI1"/>
      <c r="DJ1"/>
      <c r="DK1"/>
      <c r="DL1"/>
      <c r="DM1"/>
      <c r="DN1"/>
    </row>
    <row r="2" spans="1:140" x14ac:dyDescent="0.3">
      <c r="B2" s="774" t="str">
        <f>CONCATENATE("COMUNA: ",NOMBRE!B2," - ","( ",NOMBRE!C2,NOMBRE!D2,NOMBRE!E2,NOMBRE!F2,NOMBRE!G2," )")</f>
        <v>COMUNA:  - (  )</v>
      </c>
      <c r="CX2"/>
      <c r="CY2"/>
      <c r="CZ2"/>
      <c r="DA2"/>
      <c r="DB2"/>
      <c r="DC2"/>
      <c r="DD2"/>
      <c r="DE2"/>
      <c r="DF2"/>
      <c r="DH2"/>
      <c r="DI2"/>
      <c r="DJ2"/>
      <c r="DK2"/>
      <c r="DL2"/>
      <c r="DM2"/>
      <c r="DN2"/>
    </row>
    <row r="3" spans="1:140" x14ac:dyDescent="0.3">
      <c r="B3" s="774" t="str">
        <f>CONCATENATE("ESTABLECIMIENTO/ESTRATEGIA: ",NOMBRE!B3," - ","( ",NOMBRE!C3,NOMBRE!D3,NOMBRE!E3,NOMBRE!F3,NOMBRE!G3,NOMBRE!H3," )")</f>
        <v>ESTABLECIMIENTO/ESTRATEGIA:  - (  )</v>
      </c>
      <c r="CX3"/>
      <c r="CY3"/>
      <c r="CZ3"/>
      <c r="DA3"/>
      <c r="DB3"/>
      <c r="DC3"/>
      <c r="DD3"/>
      <c r="DE3"/>
      <c r="DF3"/>
      <c r="DH3"/>
      <c r="DI3"/>
      <c r="DJ3"/>
      <c r="DK3"/>
      <c r="DL3"/>
      <c r="DM3"/>
      <c r="DN3"/>
    </row>
    <row r="4" spans="1:140" x14ac:dyDescent="0.3">
      <c r="B4" s="774" t="str">
        <f>CONCATENATE("MES: ",NOMBRE!B6," - ","( ",NOMBRE!C6,NOMBRE!D6," )")</f>
        <v>MES:  - (  )</v>
      </c>
      <c r="CX4"/>
      <c r="CY4"/>
      <c r="CZ4"/>
      <c r="DA4"/>
      <c r="DB4"/>
      <c r="DC4"/>
      <c r="DD4"/>
      <c r="DE4"/>
      <c r="DF4"/>
      <c r="DH4"/>
      <c r="DI4"/>
      <c r="DJ4"/>
      <c r="DK4"/>
      <c r="DL4"/>
      <c r="DM4"/>
      <c r="DN4"/>
    </row>
    <row r="5" spans="1:140" x14ac:dyDescent="0.3">
      <c r="B5" s="774" t="str">
        <f>CONCATENATE("AÑO: ",NOMBRE!B7)</f>
        <v>AÑO: 2024</v>
      </c>
      <c r="CX5"/>
      <c r="CY5"/>
      <c r="CZ5"/>
      <c r="DA5"/>
      <c r="DB5"/>
      <c r="DC5"/>
      <c r="DD5"/>
      <c r="DE5"/>
      <c r="DF5"/>
      <c r="DH5"/>
      <c r="DI5"/>
      <c r="DJ5"/>
      <c r="DK5"/>
      <c r="DL5"/>
      <c r="DM5"/>
      <c r="DN5"/>
    </row>
    <row r="6" spans="1:140" s="777" customFormat="1" ht="18" customHeight="1" x14ac:dyDescent="0.3">
      <c r="B6" s="6671" t="s">
        <v>673</v>
      </c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Q6" s="6671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776"/>
      <c r="AG6" s="776"/>
      <c r="AH6" s="776"/>
      <c r="AI6" s="776"/>
      <c r="AJ6" s="776"/>
      <c r="AK6" s="776"/>
      <c r="AL6" s="776"/>
      <c r="AM6" s="776"/>
      <c r="AN6" s="776"/>
      <c r="AO6" s="776"/>
      <c r="AP6" s="776"/>
      <c r="AQ6" s="776"/>
      <c r="AR6" s="776"/>
      <c r="AS6" s="776"/>
      <c r="AT6" s="776"/>
      <c r="AU6" s="776"/>
      <c r="AV6" s="776"/>
      <c r="AW6" s="776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628"/>
      <c r="BK6" s="628"/>
      <c r="BL6" s="628"/>
      <c r="BM6" s="628"/>
      <c r="BN6" s="628"/>
      <c r="BO6" s="628"/>
      <c r="BP6" s="628"/>
      <c r="BQ6" s="628"/>
      <c r="BR6" s="628"/>
      <c r="BS6" s="628"/>
      <c r="BT6" s="628"/>
      <c r="BU6" s="628"/>
      <c r="BV6" s="628"/>
      <c r="BW6" s="628"/>
      <c r="BX6" s="628"/>
      <c r="BY6" s="628"/>
      <c r="BZ6" s="628"/>
      <c r="CA6" s="628"/>
      <c r="CB6" s="628"/>
      <c r="CC6" s="628"/>
      <c r="CD6" s="628"/>
      <c r="CE6" s="628"/>
      <c r="CF6" s="628"/>
      <c r="CG6" s="628"/>
      <c r="CH6" s="628"/>
      <c r="CI6" s="628"/>
      <c r="CJ6" s="628"/>
      <c r="CK6" s="628"/>
      <c r="CL6" s="628"/>
      <c r="CM6" s="628"/>
      <c r="CN6" s="628"/>
      <c r="CO6" s="628"/>
      <c r="CP6" s="628"/>
      <c r="CQ6" s="628"/>
      <c r="CR6" s="628"/>
      <c r="CS6" s="628"/>
      <c r="CT6" s="628"/>
      <c r="CU6" s="628"/>
      <c r="CV6" s="628"/>
      <c r="CW6" s="628"/>
      <c r="CX6" s="628"/>
      <c r="CY6" s="628"/>
      <c r="CZ6" s="628"/>
      <c r="DA6" s="628"/>
      <c r="DB6" s="628"/>
      <c r="DC6" s="628"/>
      <c r="DD6" s="628"/>
      <c r="DE6" s="628"/>
      <c r="DF6" s="628"/>
      <c r="DG6" s="628"/>
      <c r="DH6" s="628"/>
      <c r="DI6" s="628"/>
      <c r="DJ6" s="628"/>
      <c r="DK6" s="628"/>
      <c r="DL6" s="628"/>
      <c r="DM6" s="628"/>
      <c r="DN6" s="628"/>
      <c r="DO6" s="628"/>
      <c r="DP6" s="628"/>
      <c r="DQ6" s="628"/>
      <c r="DR6" s="628"/>
      <c r="DS6" s="7291"/>
      <c r="DT6" s="7291"/>
      <c r="DU6" s="7291"/>
      <c r="DV6" s="7291"/>
      <c r="DW6" s="7291"/>
      <c r="DX6" s="7291"/>
      <c r="DY6" s="7291"/>
      <c r="DZ6" s="7291"/>
      <c r="EA6" s="7291"/>
      <c r="EB6" s="7291"/>
      <c r="EC6" s="7291"/>
      <c r="ED6" s="7291"/>
      <c r="EE6" s="7291"/>
      <c r="EF6" s="7291"/>
      <c r="EG6" s="7291"/>
      <c r="EH6" s="7291"/>
      <c r="EI6" s="7291"/>
      <c r="EJ6" s="7291"/>
    </row>
    <row r="7" spans="1:140" x14ac:dyDescent="0.3">
      <c r="CX7"/>
      <c r="CY7"/>
      <c r="CZ7"/>
      <c r="DA7"/>
      <c r="DB7"/>
      <c r="DC7"/>
      <c r="DD7"/>
      <c r="DE7"/>
      <c r="DF7"/>
      <c r="DH7"/>
      <c r="DI7"/>
      <c r="DJ7"/>
      <c r="DK7"/>
      <c r="DL7"/>
      <c r="DM7"/>
      <c r="DN7"/>
    </row>
    <row r="8" spans="1:140" ht="18" customHeight="1" x14ac:dyDescent="0.3">
      <c r="B8" s="778" t="s">
        <v>674</v>
      </c>
      <c r="C8" s="779"/>
      <c r="D8" s="779"/>
      <c r="E8" s="780"/>
      <c r="F8" s="780"/>
      <c r="G8" s="781"/>
      <c r="H8" s="777"/>
      <c r="I8" s="781"/>
      <c r="J8" s="781"/>
      <c r="K8" s="781"/>
      <c r="L8" s="781"/>
      <c r="M8" s="781"/>
      <c r="N8" s="781"/>
      <c r="O8" s="781"/>
      <c r="P8" s="781"/>
      <c r="Q8" s="777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775"/>
      <c r="AJ8" s="775"/>
      <c r="AK8" s="775"/>
      <c r="AL8" s="775"/>
      <c r="AM8" s="775"/>
      <c r="AN8" s="775"/>
      <c r="AO8" s="775"/>
      <c r="AP8" s="775"/>
      <c r="AQ8" s="775"/>
      <c r="AR8" s="775"/>
      <c r="AS8" s="775"/>
      <c r="AT8" s="775"/>
      <c r="AU8" s="775"/>
      <c r="AV8" s="775"/>
      <c r="AW8" s="775"/>
      <c r="AX8" s="775"/>
      <c r="AY8" s="103"/>
      <c r="CX8"/>
      <c r="CY8"/>
      <c r="CZ8"/>
      <c r="DA8"/>
      <c r="DB8"/>
      <c r="DC8"/>
      <c r="DD8"/>
      <c r="DE8"/>
      <c r="DF8"/>
      <c r="DH8"/>
      <c r="DI8"/>
      <c r="DJ8"/>
      <c r="DK8"/>
      <c r="DL8"/>
      <c r="DM8"/>
      <c r="DN8"/>
    </row>
    <row r="9" spans="1:140" x14ac:dyDescent="0.3">
      <c r="B9" s="6611" t="s">
        <v>675</v>
      </c>
      <c r="C9" s="6611"/>
      <c r="D9" s="7226"/>
      <c r="E9" s="6341" t="s">
        <v>24</v>
      </c>
      <c r="F9" s="6341"/>
      <c r="G9" s="7202"/>
      <c r="H9" s="7296" t="s">
        <v>30</v>
      </c>
      <c r="I9" s="7297"/>
      <c r="J9" s="7297"/>
      <c r="K9" s="7297"/>
      <c r="L9" s="7297"/>
      <c r="M9" s="7297"/>
      <c r="N9" s="7297"/>
      <c r="O9" s="7297"/>
      <c r="P9" s="7297"/>
      <c r="Q9" s="7297"/>
      <c r="R9" s="7297"/>
      <c r="S9" s="7297"/>
      <c r="T9" s="7297"/>
      <c r="U9" s="7297"/>
      <c r="V9" s="7297"/>
      <c r="W9" s="7297"/>
      <c r="X9" s="7297"/>
      <c r="Y9" s="7297"/>
      <c r="Z9" s="7297"/>
      <c r="AA9" s="7297"/>
      <c r="AB9" s="7297"/>
      <c r="AC9" s="7297"/>
      <c r="AD9" s="7297"/>
      <c r="AE9" s="7297"/>
      <c r="AF9" s="7297"/>
      <c r="AG9" s="7297"/>
      <c r="AH9" s="7297"/>
      <c r="AI9" s="7297"/>
      <c r="AJ9" s="7297"/>
      <c r="AK9" s="7297"/>
      <c r="AL9" s="7297"/>
      <c r="AM9" s="7297"/>
      <c r="AN9" s="7297"/>
      <c r="AO9" s="7297"/>
      <c r="AP9" s="7297"/>
      <c r="AQ9" s="7298"/>
      <c r="AR9" s="7202" t="s">
        <v>676</v>
      </c>
      <c r="AS9" s="7299" t="s">
        <v>327</v>
      </c>
      <c r="AT9" s="7299" t="s">
        <v>677</v>
      </c>
      <c r="AU9" s="7299" t="s">
        <v>678</v>
      </c>
      <c r="AV9" s="7299" t="s">
        <v>3</v>
      </c>
      <c r="AW9" s="7301" t="s">
        <v>679</v>
      </c>
      <c r="AX9" s="7299" t="s">
        <v>680</v>
      </c>
      <c r="AY9" s="7299" t="s">
        <v>681</v>
      </c>
      <c r="CX9"/>
      <c r="CY9"/>
      <c r="CZ9"/>
      <c r="DA9"/>
      <c r="DB9"/>
      <c r="DC9"/>
      <c r="DD9"/>
      <c r="DE9"/>
      <c r="DF9"/>
      <c r="DH9"/>
      <c r="DI9"/>
      <c r="DJ9"/>
      <c r="DK9"/>
      <c r="DL9"/>
      <c r="DM9"/>
      <c r="DN9"/>
    </row>
    <row r="10" spans="1:140" x14ac:dyDescent="0.3">
      <c r="B10" s="7283"/>
      <c r="C10" s="7283"/>
      <c r="D10" s="7247"/>
      <c r="E10" s="7294"/>
      <c r="F10" s="7294"/>
      <c r="G10" s="7295"/>
      <c r="H10" s="7304" t="s">
        <v>682</v>
      </c>
      <c r="I10" s="7305"/>
      <c r="J10" s="7296" t="s">
        <v>683</v>
      </c>
      <c r="K10" s="7306"/>
      <c r="L10" s="7297" t="s">
        <v>684</v>
      </c>
      <c r="M10" s="7306"/>
      <c r="N10" s="7296" t="s">
        <v>685</v>
      </c>
      <c r="O10" s="7306"/>
      <c r="P10" s="7296" t="s">
        <v>686</v>
      </c>
      <c r="Q10" s="7306"/>
      <c r="R10" s="7296" t="s">
        <v>687</v>
      </c>
      <c r="S10" s="7306"/>
      <c r="T10" s="7296" t="s">
        <v>688</v>
      </c>
      <c r="U10" s="7306"/>
      <c r="V10" s="7296" t="s">
        <v>689</v>
      </c>
      <c r="W10" s="7306"/>
      <c r="X10" s="7296" t="s">
        <v>690</v>
      </c>
      <c r="Y10" s="7306"/>
      <c r="Z10" s="7296" t="s">
        <v>554</v>
      </c>
      <c r="AA10" s="7308"/>
      <c r="AB10" s="7296" t="s">
        <v>568</v>
      </c>
      <c r="AC10" s="7308"/>
      <c r="AD10" s="7296" t="s">
        <v>691</v>
      </c>
      <c r="AE10" s="7308"/>
      <c r="AF10" s="7296" t="s">
        <v>692</v>
      </c>
      <c r="AG10" s="7308"/>
      <c r="AH10" s="7296" t="s">
        <v>693</v>
      </c>
      <c r="AI10" s="7308"/>
      <c r="AJ10" s="7296" t="s">
        <v>694</v>
      </c>
      <c r="AK10" s="7308"/>
      <c r="AL10" s="7296" t="s">
        <v>556</v>
      </c>
      <c r="AM10" s="7308"/>
      <c r="AN10" s="7296" t="s">
        <v>695</v>
      </c>
      <c r="AO10" s="7308"/>
      <c r="AP10" s="7296" t="s">
        <v>57</v>
      </c>
      <c r="AQ10" s="7307"/>
      <c r="AR10" s="7218"/>
      <c r="AS10" s="7213"/>
      <c r="AT10" s="7213"/>
      <c r="AU10" s="7213"/>
      <c r="AV10" s="7213"/>
      <c r="AW10" s="7302"/>
      <c r="AX10" s="7213"/>
      <c r="AY10" s="7213"/>
      <c r="CX10"/>
      <c r="CY10"/>
      <c r="CZ10"/>
      <c r="DA10"/>
      <c r="DB10"/>
      <c r="DC10"/>
      <c r="DD10"/>
      <c r="DE10"/>
      <c r="DF10"/>
      <c r="DH10"/>
      <c r="DI10"/>
      <c r="DJ10"/>
      <c r="DK10"/>
      <c r="DL10"/>
      <c r="DM10"/>
      <c r="DN10"/>
    </row>
    <row r="11" spans="1:140" x14ac:dyDescent="0.3">
      <c r="B11" s="7292"/>
      <c r="C11" s="7292"/>
      <c r="D11" s="7293"/>
      <c r="E11" s="4636" t="s">
        <v>26</v>
      </c>
      <c r="F11" s="4635" t="s">
        <v>22</v>
      </c>
      <c r="G11" s="597" t="s">
        <v>27</v>
      </c>
      <c r="H11" s="603" t="s">
        <v>22</v>
      </c>
      <c r="I11" s="597" t="s">
        <v>27</v>
      </c>
      <c r="J11" s="603" t="s">
        <v>22</v>
      </c>
      <c r="K11" s="597" t="s">
        <v>27</v>
      </c>
      <c r="L11" s="603" t="s">
        <v>22</v>
      </c>
      <c r="M11" s="597" t="s">
        <v>27</v>
      </c>
      <c r="N11" s="603" t="s">
        <v>22</v>
      </c>
      <c r="O11" s="597" t="s">
        <v>27</v>
      </c>
      <c r="P11" s="603" t="s">
        <v>22</v>
      </c>
      <c r="Q11" s="597" t="s">
        <v>27</v>
      </c>
      <c r="R11" s="603" t="s">
        <v>22</v>
      </c>
      <c r="S11" s="597" t="s">
        <v>27</v>
      </c>
      <c r="T11" s="603" t="s">
        <v>22</v>
      </c>
      <c r="U11" s="597" t="s">
        <v>27</v>
      </c>
      <c r="V11" s="603" t="s">
        <v>22</v>
      </c>
      <c r="W11" s="597" t="s">
        <v>27</v>
      </c>
      <c r="X11" s="603" t="s">
        <v>22</v>
      </c>
      <c r="Y11" s="597" t="s">
        <v>27</v>
      </c>
      <c r="Z11" s="603" t="s">
        <v>22</v>
      </c>
      <c r="AA11" s="597" t="s">
        <v>27</v>
      </c>
      <c r="AB11" s="603" t="s">
        <v>22</v>
      </c>
      <c r="AC11" s="597" t="s">
        <v>27</v>
      </c>
      <c r="AD11" s="603" t="s">
        <v>22</v>
      </c>
      <c r="AE11" s="597" t="s">
        <v>27</v>
      </c>
      <c r="AF11" s="603" t="s">
        <v>22</v>
      </c>
      <c r="AG11" s="597" t="s">
        <v>27</v>
      </c>
      <c r="AH11" s="603" t="s">
        <v>22</v>
      </c>
      <c r="AI11" s="597" t="s">
        <v>27</v>
      </c>
      <c r="AJ11" s="603" t="s">
        <v>22</v>
      </c>
      <c r="AK11" s="597" t="s">
        <v>27</v>
      </c>
      <c r="AL11" s="603" t="s">
        <v>22</v>
      </c>
      <c r="AM11" s="597" t="s">
        <v>27</v>
      </c>
      <c r="AN11" s="603" t="s">
        <v>22</v>
      </c>
      <c r="AO11" s="597" t="s">
        <v>27</v>
      </c>
      <c r="AP11" s="603" t="s">
        <v>22</v>
      </c>
      <c r="AQ11" s="601" t="s">
        <v>27</v>
      </c>
      <c r="AR11" s="7295"/>
      <c r="AS11" s="7300"/>
      <c r="AT11" s="7300"/>
      <c r="AU11" s="7300"/>
      <c r="AV11" s="7300"/>
      <c r="AW11" s="7303"/>
      <c r="AX11" s="7300"/>
      <c r="AY11" s="7300"/>
      <c r="CX11"/>
      <c r="CY11"/>
      <c r="CZ11"/>
      <c r="DA11"/>
      <c r="DB11"/>
      <c r="DC11"/>
      <c r="DD11"/>
      <c r="DE11"/>
      <c r="DF11"/>
      <c r="DH11"/>
      <c r="DI11"/>
      <c r="DJ11"/>
      <c r="DK11"/>
      <c r="DL11"/>
      <c r="DM11"/>
      <c r="DN11"/>
    </row>
    <row r="12" spans="1:140" ht="15" customHeight="1" x14ac:dyDescent="0.3">
      <c r="A12" s="6268" t="s">
        <v>4915</v>
      </c>
      <c r="B12" s="7311" t="s">
        <v>696</v>
      </c>
      <c r="C12" s="7312"/>
      <c r="D12" s="7313"/>
      <c r="E12" s="4637" t="s">
        <v>5292</v>
      </c>
      <c r="F12" s="4634" t="s">
        <v>5293</v>
      </c>
      <c r="G12" s="783" t="s">
        <v>5294</v>
      </c>
      <c r="H12" s="586" t="s">
        <v>5295</v>
      </c>
      <c r="I12" s="105" t="s">
        <v>5296</v>
      </c>
      <c r="J12" s="482" t="s">
        <v>5297</v>
      </c>
      <c r="K12" s="105" t="s">
        <v>5298</v>
      </c>
      <c r="L12" s="482" t="s">
        <v>5299</v>
      </c>
      <c r="M12" s="105" t="s">
        <v>5300</v>
      </c>
      <c r="N12" s="586" t="s">
        <v>5301</v>
      </c>
      <c r="O12" s="105" t="s">
        <v>5302</v>
      </c>
      <c r="P12" s="586" t="s">
        <v>5303</v>
      </c>
      <c r="Q12" s="105" t="s">
        <v>5304</v>
      </c>
      <c r="R12" s="586" t="s">
        <v>5305</v>
      </c>
      <c r="S12" s="587" t="s">
        <v>5306</v>
      </c>
      <c r="T12" s="586" t="s">
        <v>5307</v>
      </c>
      <c r="U12" s="587" t="s">
        <v>5308</v>
      </c>
      <c r="V12" s="586" t="s">
        <v>5309</v>
      </c>
      <c r="W12" s="587" t="s">
        <v>5310</v>
      </c>
      <c r="X12" s="586" t="s">
        <v>5311</v>
      </c>
      <c r="Y12" s="587" t="s">
        <v>5312</v>
      </c>
      <c r="Z12" s="586" t="s">
        <v>5313</v>
      </c>
      <c r="AA12" s="587" t="s">
        <v>5314</v>
      </c>
      <c r="AB12" s="586" t="s">
        <v>5315</v>
      </c>
      <c r="AC12" s="587" t="s">
        <v>5316</v>
      </c>
      <c r="AD12" s="586" t="s">
        <v>5317</v>
      </c>
      <c r="AE12" s="587" t="s">
        <v>5318</v>
      </c>
      <c r="AF12" s="586" t="s">
        <v>5319</v>
      </c>
      <c r="AG12" s="587" t="s">
        <v>5320</v>
      </c>
      <c r="AH12" s="586" t="s">
        <v>5321</v>
      </c>
      <c r="AI12" s="587" t="s">
        <v>5322</v>
      </c>
      <c r="AJ12" s="586" t="s">
        <v>5323</v>
      </c>
      <c r="AK12" s="587" t="s">
        <v>5324</v>
      </c>
      <c r="AL12" s="586" t="s">
        <v>5325</v>
      </c>
      <c r="AM12" s="587" t="s">
        <v>5326</v>
      </c>
      <c r="AN12" s="586" t="s">
        <v>5327</v>
      </c>
      <c r="AO12" s="587" t="s">
        <v>5328</v>
      </c>
      <c r="AP12" s="586" t="s">
        <v>5329</v>
      </c>
      <c r="AQ12" s="772" t="s">
        <v>5330</v>
      </c>
      <c r="AR12" s="105" t="s">
        <v>5331</v>
      </c>
      <c r="AS12" s="105" t="s">
        <v>5332</v>
      </c>
      <c r="AT12" s="784" t="s">
        <v>5333</v>
      </c>
      <c r="AU12" s="784" t="s">
        <v>5334</v>
      </c>
      <c r="AV12" s="784" t="s">
        <v>5335</v>
      </c>
      <c r="AW12" s="784" t="s">
        <v>5336</v>
      </c>
      <c r="AX12" s="784" t="s">
        <v>5337</v>
      </c>
      <c r="AY12" s="784" t="s">
        <v>5338</v>
      </c>
      <c r="AZ12" t="e">
        <f>CX12&amp;CY12&amp;CZ12&amp;DA12&amp;DB12&amp;DC12&amp;DD12&amp;DE12&amp;DF12</f>
        <v>#VALUE!</v>
      </c>
      <c r="CX12" s="1723" t="e">
        <f>IF(AND((Z12+AA12)&gt;0,AR12="")," * No olvide digitar la variable 12 años. Si no tiene digite Cero.",IF(AR12&gt;(Z12+AA12),"* Las Consultas de 12 años NO DEBEN ser mayor que el total de Consultas entre 10-14 años",""))</f>
        <v>#VALUE!</v>
      </c>
      <c r="CY12" s="1723" t="str">
        <f>IF(AND(G12&gt;0,AS12="")," * No olvide digitar la variable Embarazadas. Digite cero si no tiene.","")</f>
        <v/>
      </c>
      <c r="CZ12" s="1723" t="str">
        <f>IF(AS12&gt;G12," * Las Embarazadas NO DEBEN ser mayor al Total de mujeres. ","")</f>
        <v xml:space="preserve"> * Las Embarazadas NO DEBEN ser mayor al Total de mujeres. </v>
      </c>
      <c r="DA12" s="1723" t="e">
        <f>IF(AND((AL12+AM12)&gt;0,AT12="")," * No olvide digitar la variable 60 años. Si no tiene digite Cero.",IF(AT12&gt;(AL12+AM12)," * Las consultas de 60 años NO DEBEN ser mayor que el Total de consultas del grupo 60-64 años",""))</f>
        <v>#VALUE!</v>
      </c>
      <c r="DB12" s="1723" t="str">
        <f>IF(AND(E12&gt;0,AU12="")," * No olvide digitar la variable Usuarios con Discapacidad. Digite Cero si no tiene.",IF(AU12&gt;E12," * La variable Usuarios con Discapacidad No puede ser mayor al Total Ambos Sexos.",""))</f>
        <v xml:space="preserve"> * La variable Usuarios con Discapacidad No puede ser mayor al Total Ambos Sexos.</v>
      </c>
      <c r="DC12" s="1723" t="str">
        <f>IF(AND(E12&gt;0,AV12="")," * No olvide digitar la variable Migrantes. Digite Cero si no tiene.",IF(AV12&gt;E12," * La variable Migrantes No puede ser mayor al Total Ambos Sexos.",""))</f>
        <v xml:space="preserve"> * La variable Migrantes No puede ser mayor al Total Ambos Sexos.</v>
      </c>
      <c r="DD12" s="1723" t="str">
        <f>IF(AND(E12&gt;0,AW12="")," * No olvide digitar la variable Pacientes en control PSCV. Digite Cero si no tiene.",IF(AW12&gt;E12," * La variable Pacientes en control PSCV No puede ser mayor al Total Ambos Sexos.",""))</f>
        <v xml:space="preserve"> * La variable Pacientes en control PSCV No puede ser mayor al Total Ambos Sexos.</v>
      </c>
      <c r="DE12" s="1723" t="str">
        <f>IF(AND(E12&gt;0,AX12="")," * No olvide digitar la variable Niños, niñas, adolescentes y jóvenes SENAME. Digite Cero si no tiene.",IF(AX12&gt;E12," * La variable Niños, niñas, adolescentes y jóvenes SENAME No puede ser mayor al Total.",""))</f>
        <v xml:space="preserve"> * La variable Niños, niñas, adolescentes y jóvenes SENAME No puede ser mayor al Total.</v>
      </c>
      <c r="DF12" s="1723" t="str">
        <f t="shared" ref="DF12:DF14" si="0">IF(AND(E12&gt;0,AY12="")," * No olvide digitar la variable Niños, niñas, adolescentes y jóvenes Mejor Niñez. Digite Cero si no tiene.",IF(AY12&gt;E12," * La variable Niños, niñas, adolescentes y jóvenes Mejor Niñez no puede ser mayor al Total.",""))</f>
        <v xml:space="preserve"> * La variable Niños, niñas, adolescentes y jóvenes Mejor Niñez no puede ser mayor al Total.</v>
      </c>
      <c r="DH12" s="1725" t="e">
        <f>IF(AND((Z12+AA12)&gt;0,AR12=""),1,IF(AR12&gt;(Z12+AA12),1,0))</f>
        <v>#VALUE!</v>
      </c>
      <c r="DI12" s="1725">
        <f>IF(AND(G12&gt;0,AS12=""),1,0)</f>
        <v>0</v>
      </c>
      <c r="DJ12" s="1725">
        <f>IF(AS12&gt;G12,1,0)</f>
        <v>1</v>
      </c>
      <c r="DK12" s="1725" t="e">
        <f>IF(AND((AL12+AM12)&gt;0,AT12=""),1,IF(AT12&gt;(AL12+AM12),1,0))</f>
        <v>#VALUE!</v>
      </c>
      <c r="DL12" s="1725">
        <f>IF(AND(E12&gt;0,AU12=""),1,IF(AU12&gt;E12,1,0))</f>
        <v>1</v>
      </c>
      <c r="DM12" s="1725">
        <f>IF(AND(E12&gt;0,AV12=""),1,IF(AV12&gt;E12,1,0))</f>
        <v>1</v>
      </c>
      <c r="DN12" s="1725">
        <f>IF(AND(E12&gt;0,AW12=""),1,IF(AW12&gt;E12,1,0))</f>
        <v>1</v>
      </c>
      <c r="DO12" s="1725">
        <f>IF(AND(E12&gt;0,AX12=""),1,IF(AX12&gt;E12,1,0))</f>
        <v>1</v>
      </c>
      <c r="DP12" s="1725">
        <f>IF(AND(E12&gt;0,AY12=""),1,IF(AY12&gt;E12,1,0))</f>
        <v>1</v>
      </c>
    </row>
    <row r="13" spans="1:140" ht="15" customHeight="1" x14ac:dyDescent="0.3">
      <c r="A13" s="6268" t="s">
        <v>4916</v>
      </c>
      <c r="B13" s="7314" t="s">
        <v>697</v>
      </c>
      <c r="C13" s="7315"/>
      <c r="D13" s="7316"/>
      <c r="E13" s="1113" t="s">
        <v>5292</v>
      </c>
      <c r="F13" s="4161" t="s">
        <v>5293</v>
      </c>
      <c r="G13" s="786" t="s">
        <v>5294</v>
      </c>
      <c r="H13" s="616" t="s">
        <v>5295</v>
      </c>
      <c r="I13" s="83" t="s">
        <v>5296</v>
      </c>
      <c r="J13" s="616" t="s">
        <v>5297</v>
      </c>
      <c r="K13" s="83" t="s">
        <v>5298</v>
      </c>
      <c r="L13" s="616" t="s">
        <v>5299</v>
      </c>
      <c r="M13" s="83" t="s">
        <v>5300</v>
      </c>
      <c r="N13" s="616" t="s">
        <v>5301</v>
      </c>
      <c r="O13" s="83" t="s">
        <v>5302</v>
      </c>
      <c r="P13" s="616" t="s">
        <v>5303</v>
      </c>
      <c r="Q13" s="83" t="s">
        <v>5304</v>
      </c>
      <c r="R13" s="616" t="s">
        <v>5305</v>
      </c>
      <c r="S13" s="626" t="s">
        <v>5306</v>
      </c>
      <c r="T13" s="616" t="s">
        <v>5307</v>
      </c>
      <c r="U13" s="626" t="s">
        <v>5308</v>
      </c>
      <c r="V13" s="616" t="s">
        <v>5309</v>
      </c>
      <c r="W13" s="626" t="s">
        <v>5310</v>
      </c>
      <c r="X13" s="616" t="s">
        <v>5311</v>
      </c>
      <c r="Y13" s="626" t="s">
        <v>5312</v>
      </c>
      <c r="Z13" s="616" t="s">
        <v>5313</v>
      </c>
      <c r="AA13" s="626" t="s">
        <v>5314</v>
      </c>
      <c r="AB13" s="616" t="s">
        <v>5315</v>
      </c>
      <c r="AC13" s="626" t="s">
        <v>5316</v>
      </c>
      <c r="AD13" s="616" t="s">
        <v>5317</v>
      </c>
      <c r="AE13" s="626" t="s">
        <v>5318</v>
      </c>
      <c r="AF13" s="616" t="s">
        <v>5319</v>
      </c>
      <c r="AG13" s="626" t="s">
        <v>5320</v>
      </c>
      <c r="AH13" s="616" t="s">
        <v>5321</v>
      </c>
      <c r="AI13" s="626" t="s">
        <v>5322</v>
      </c>
      <c r="AJ13" s="616" t="s">
        <v>5323</v>
      </c>
      <c r="AK13" s="626" t="s">
        <v>5324</v>
      </c>
      <c r="AL13" s="616" t="s">
        <v>5325</v>
      </c>
      <c r="AM13" s="626" t="s">
        <v>5326</v>
      </c>
      <c r="AN13" s="616" t="s">
        <v>5327</v>
      </c>
      <c r="AO13" s="626" t="s">
        <v>5328</v>
      </c>
      <c r="AP13" s="616" t="s">
        <v>5329</v>
      </c>
      <c r="AQ13" s="624" t="s">
        <v>5330</v>
      </c>
      <c r="AR13" s="83" t="s">
        <v>5331</v>
      </c>
      <c r="AS13" s="83" t="s">
        <v>5332</v>
      </c>
      <c r="AT13" s="644" t="s">
        <v>5333</v>
      </c>
      <c r="AU13" s="644" t="s">
        <v>5334</v>
      </c>
      <c r="AV13" s="644" t="s">
        <v>5335</v>
      </c>
      <c r="AW13" s="644" t="s">
        <v>5336</v>
      </c>
      <c r="AX13" s="644" t="s">
        <v>5337</v>
      </c>
      <c r="AY13" s="644" t="s">
        <v>5338</v>
      </c>
      <c r="AZ13" t="e">
        <f t="shared" ref="AZ13:AZ15" si="1">CX13&amp;CY13&amp;CZ13&amp;DA13&amp;DB13&amp;DC13&amp;DD13&amp;DE13&amp;DF13</f>
        <v>#VALUE!</v>
      </c>
      <c r="CX13" s="1723" t="e">
        <f t="shared" ref="CX13:CX15" si="2">IF(AND((Z13+AA13)&gt;0,AR13="")," * No olvide digitar la variable 12 años. Si no tiene digite Cero.",IF(AR13&gt;(Z13+AA13),"* Las Consultas de 12 años NO DEBEN ser mayor que el total de Consultas entre 10-14 años",""))</f>
        <v>#VALUE!</v>
      </c>
      <c r="CY13" s="1723" t="str">
        <f t="shared" ref="CY13:CY15" si="3">IF(AND(G13&gt;0,AS13="")," * No olvide digitar la variable Embarazadas. Digite cero si no tiene.","")</f>
        <v/>
      </c>
      <c r="CZ13" s="1723" t="str">
        <f t="shared" ref="CZ13:CZ15" si="4">IF(AS13&gt;G13," * Las Embarazadas NO DEBEN ser mayor al Total de mujeres. ","")</f>
        <v xml:space="preserve"> * Las Embarazadas NO DEBEN ser mayor al Total de mujeres. </v>
      </c>
      <c r="DA13" s="1723" t="e">
        <f t="shared" ref="DA13:DA15" si="5">IF(AND((AL13+AM13)&gt;0,AT13="")," * No olvide digitar la variable 60 años. Si no tiene digite Cero.",IF(AT13&gt;(AL13+AM13)," * Las consultas de 60 años NO DEBEN ser mayor que el Total de consultas del grupo 60-64 años",""))</f>
        <v>#VALUE!</v>
      </c>
      <c r="DB13" s="1723" t="str">
        <f t="shared" ref="DB13:DB15" si="6">IF(AND(E13&gt;0,AU13="")," * No olvide digitar la variable Usuarios con Discapacidad. Digite Cero si no tiene.",IF(AU13&gt;E13," * La variable Usuarios con Discapacidad No puede ser mayor al Total Ambos Sexos.",""))</f>
        <v xml:space="preserve"> * La variable Usuarios con Discapacidad No puede ser mayor al Total Ambos Sexos.</v>
      </c>
      <c r="DC13" s="1723" t="str">
        <f t="shared" ref="DC13:DC15" si="7">IF(AND(E13&gt;0,AV13="")," * No olvide digitar la variable Migrantes. Digite Cero si no tiene.",IF(AV13&gt;E13," * La variable Migrantes No puede ser mayor al Total Ambos Sexos.",""))</f>
        <v xml:space="preserve"> * La variable Migrantes No puede ser mayor al Total Ambos Sexos.</v>
      </c>
      <c r="DD13" s="1723" t="str">
        <f t="shared" ref="DD13:DD15" si="8">IF(AND(E13&gt;0,AW13="")," * No olvide digitar la variable Pacientes en control PSCV. Digite Cero si no tiene.",IF(AW13&gt;E13," * La variable Pacientes en control PSCV No puede ser mayor al Total Ambos Sexos.",""))</f>
        <v xml:space="preserve"> * La variable Pacientes en control PSCV No puede ser mayor al Total Ambos Sexos.</v>
      </c>
      <c r="DE13" s="1723" t="str">
        <f t="shared" ref="DE13:DE15" si="9">IF(AND(E13&gt;0,AX13="")," * No olvide digitar la variable Niños, niñas, adolescentes y jóvenes SENAME. Digite Cero si no tiene.",IF(AX13&gt;E13," * La variable Niños, niñas, adolescentes y jóvenes SENAME No puede ser mayor al Total.",""))</f>
        <v xml:space="preserve"> * La variable Niños, niñas, adolescentes y jóvenes SENAME No puede ser mayor al Total.</v>
      </c>
      <c r="DF13" s="1723" t="str">
        <f t="shared" si="0"/>
        <v xml:space="preserve"> * La variable Niños, niñas, adolescentes y jóvenes Mejor Niñez no puede ser mayor al Total.</v>
      </c>
      <c r="DH13" s="1725" t="e">
        <f t="shared" ref="DH13:DH15" si="10">IF(AND((Z13+AA13)&gt;0,AR13=""),1,IF(AR13&gt;(Z13+AA13),1,0))</f>
        <v>#VALUE!</v>
      </c>
      <c r="DI13" s="1725">
        <f t="shared" ref="DI13:DI15" si="11">IF(AND(G13&gt;0,AS13=""),1,0)</f>
        <v>0</v>
      </c>
      <c r="DJ13" s="1725">
        <f t="shared" ref="DJ13:DJ15" si="12">IF(AS13&gt;G13,1,0)</f>
        <v>1</v>
      </c>
      <c r="DK13" s="1725" t="e">
        <f t="shared" ref="DK13:DK15" si="13">IF(AND((AL13+AM13)&gt;0,AT13=""),1,IF(AT13&gt;(AL13+AM13),1,0))</f>
        <v>#VALUE!</v>
      </c>
      <c r="DL13" s="1725">
        <f t="shared" ref="DL13:DL15" si="14">IF(AND(E13&gt;0,AU13=""),1,IF(AU13&gt;E13,1,0))</f>
        <v>1</v>
      </c>
      <c r="DM13" s="1725">
        <f t="shared" ref="DM13:DM15" si="15">IF(AND(E13&gt;0,AV13=""),1,IF(AV13&gt;E13,1,0))</f>
        <v>1</v>
      </c>
      <c r="DN13" s="1725">
        <f t="shared" ref="DN13:DN15" si="16">IF(AND(E13&gt;0,AW13=""),1,IF(AW13&gt;E13,1,0))</f>
        <v>1</v>
      </c>
      <c r="DO13" s="1725">
        <f t="shared" ref="DO13:DO15" si="17">IF(AND(E13&gt;0,AX13=""),1,IF(AX13&gt;E13,1,0))</f>
        <v>1</v>
      </c>
      <c r="DP13" s="1725">
        <f t="shared" ref="DP13:DP15" si="18">IF(AND(E13&gt;0,AY13=""),1,IF(AY13&gt;E13,1,0))</f>
        <v>1</v>
      </c>
    </row>
    <row r="14" spans="1:140" ht="15" customHeight="1" x14ac:dyDescent="0.3">
      <c r="A14" s="6268" t="s">
        <v>4917</v>
      </c>
      <c r="B14" s="7314" t="s">
        <v>698</v>
      </c>
      <c r="C14" s="7315"/>
      <c r="D14" s="7316"/>
      <c r="E14" s="1113" t="s">
        <v>5292</v>
      </c>
      <c r="F14" s="4161" t="s">
        <v>5293</v>
      </c>
      <c r="G14" s="786" t="s">
        <v>5294</v>
      </c>
      <c r="H14" s="616" t="s">
        <v>5295</v>
      </c>
      <c r="I14" s="83" t="s">
        <v>5296</v>
      </c>
      <c r="J14" s="616" t="s">
        <v>5297</v>
      </c>
      <c r="K14" s="83" t="s">
        <v>5298</v>
      </c>
      <c r="L14" s="616" t="s">
        <v>5299</v>
      </c>
      <c r="M14" s="83" t="s">
        <v>5300</v>
      </c>
      <c r="N14" s="616" t="s">
        <v>5301</v>
      </c>
      <c r="O14" s="626" t="s">
        <v>5302</v>
      </c>
      <c r="P14" s="616" t="s">
        <v>5303</v>
      </c>
      <c r="Q14" s="626" t="s">
        <v>5304</v>
      </c>
      <c r="R14" s="616" t="s">
        <v>5305</v>
      </c>
      <c r="S14" s="626" t="s">
        <v>5306</v>
      </c>
      <c r="T14" s="616" t="s">
        <v>5307</v>
      </c>
      <c r="U14" s="626" t="s">
        <v>5308</v>
      </c>
      <c r="V14" s="616" t="s">
        <v>5309</v>
      </c>
      <c r="W14" s="626" t="s">
        <v>5310</v>
      </c>
      <c r="X14" s="616" t="s">
        <v>5311</v>
      </c>
      <c r="Y14" s="626" t="s">
        <v>5312</v>
      </c>
      <c r="Z14" s="616" t="s">
        <v>5313</v>
      </c>
      <c r="AA14" s="626" t="s">
        <v>5314</v>
      </c>
      <c r="AB14" s="616" t="s">
        <v>5315</v>
      </c>
      <c r="AC14" s="626" t="s">
        <v>5316</v>
      </c>
      <c r="AD14" s="616" t="s">
        <v>5317</v>
      </c>
      <c r="AE14" s="626" t="s">
        <v>5318</v>
      </c>
      <c r="AF14" s="616" t="s">
        <v>5319</v>
      </c>
      <c r="AG14" s="626" t="s">
        <v>5320</v>
      </c>
      <c r="AH14" s="616" t="s">
        <v>5321</v>
      </c>
      <c r="AI14" s="626" t="s">
        <v>5322</v>
      </c>
      <c r="AJ14" s="616" t="s">
        <v>5323</v>
      </c>
      <c r="AK14" s="626" t="s">
        <v>5324</v>
      </c>
      <c r="AL14" s="616" t="s">
        <v>5325</v>
      </c>
      <c r="AM14" s="626" t="s">
        <v>5326</v>
      </c>
      <c r="AN14" s="616" t="s">
        <v>5327</v>
      </c>
      <c r="AO14" s="626" t="s">
        <v>5328</v>
      </c>
      <c r="AP14" s="616" t="s">
        <v>5329</v>
      </c>
      <c r="AQ14" s="624" t="s">
        <v>5330</v>
      </c>
      <c r="AR14" s="83" t="s">
        <v>5331</v>
      </c>
      <c r="AS14" s="83" t="s">
        <v>5332</v>
      </c>
      <c r="AT14" s="644" t="s">
        <v>5333</v>
      </c>
      <c r="AU14" s="644" t="s">
        <v>5334</v>
      </c>
      <c r="AV14" s="644" t="s">
        <v>5335</v>
      </c>
      <c r="AW14" s="644" t="s">
        <v>5336</v>
      </c>
      <c r="AX14" s="644" t="s">
        <v>5337</v>
      </c>
      <c r="AY14" s="644" t="s">
        <v>5338</v>
      </c>
      <c r="AZ14" t="e">
        <f t="shared" si="1"/>
        <v>#VALUE!</v>
      </c>
      <c r="CX14" s="1723" t="e">
        <f t="shared" si="2"/>
        <v>#VALUE!</v>
      </c>
      <c r="CY14" s="1723" t="str">
        <f t="shared" si="3"/>
        <v/>
      </c>
      <c r="CZ14" s="1723" t="str">
        <f t="shared" si="4"/>
        <v xml:space="preserve"> * Las Embarazadas NO DEBEN ser mayor al Total de mujeres. </v>
      </c>
      <c r="DA14" s="1723" t="e">
        <f t="shared" si="5"/>
        <v>#VALUE!</v>
      </c>
      <c r="DB14" s="1723" t="str">
        <f t="shared" si="6"/>
        <v xml:space="preserve"> * La variable Usuarios con Discapacidad No puede ser mayor al Total Ambos Sexos.</v>
      </c>
      <c r="DC14" s="1723" t="str">
        <f t="shared" si="7"/>
        <v xml:space="preserve"> * La variable Migrantes No puede ser mayor al Total Ambos Sexos.</v>
      </c>
      <c r="DD14" s="1723" t="str">
        <f t="shared" si="8"/>
        <v xml:space="preserve"> * La variable Pacientes en control PSCV No puede ser mayor al Total Ambos Sexos.</v>
      </c>
      <c r="DE14" s="1723" t="str">
        <f t="shared" si="9"/>
        <v xml:space="preserve"> * La variable Niños, niñas, adolescentes y jóvenes SENAME No puede ser mayor al Total.</v>
      </c>
      <c r="DF14" s="1723" t="str">
        <f t="shared" si="0"/>
        <v xml:space="preserve"> * La variable Niños, niñas, adolescentes y jóvenes Mejor Niñez no puede ser mayor al Total.</v>
      </c>
      <c r="DH14" s="1725" t="e">
        <f t="shared" si="10"/>
        <v>#VALUE!</v>
      </c>
      <c r="DI14" s="1725">
        <f t="shared" si="11"/>
        <v>0</v>
      </c>
      <c r="DJ14" s="1725">
        <f t="shared" si="12"/>
        <v>1</v>
      </c>
      <c r="DK14" s="1725" t="e">
        <f t="shared" si="13"/>
        <v>#VALUE!</v>
      </c>
      <c r="DL14" s="1725">
        <f t="shared" si="14"/>
        <v>1</v>
      </c>
      <c r="DM14" s="1725">
        <f t="shared" si="15"/>
        <v>1</v>
      </c>
      <c r="DN14" s="1725">
        <f t="shared" si="16"/>
        <v>1</v>
      </c>
      <c r="DO14" s="1725">
        <f t="shared" si="17"/>
        <v>1</v>
      </c>
      <c r="DP14" s="1725">
        <f t="shared" si="18"/>
        <v>1</v>
      </c>
    </row>
    <row r="15" spans="1:140" ht="15" customHeight="1" x14ac:dyDescent="0.3">
      <c r="A15" s="6268" t="s">
        <v>4918</v>
      </c>
      <c r="B15" s="7317" t="s">
        <v>699</v>
      </c>
      <c r="C15" s="7318"/>
      <c r="D15" s="7319"/>
      <c r="E15" s="3192" t="s">
        <v>5292</v>
      </c>
      <c r="F15" s="583" t="s">
        <v>5293</v>
      </c>
      <c r="G15" s="380" t="s">
        <v>5294</v>
      </c>
      <c r="H15" s="114" t="s">
        <v>5295</v>
      </c>
      <c r="I15" s="117" t="s">
        <v>5296</v>
      </c>
      <c r="J15" s="114" t="s">
        <v>5297</v>
      </c>
      <c r="K15" s="117" t="s">
        <v>5298</v>
      </c>
      <c r="L15" s="114" t="s">
        <v>5299</v>
      </c>
      <c r="M15" s="117" t="s">
        <v>5300</v>
      </c>
      <c r="N15" s="114" t="s">
        <v>5301</v>
      </c>
      <c r="O15" s="116" t="s">
        <v>5302</v>
      </c>
      <c r="P15" s="114" t="s">
        <v>5303</v>
      </c>
      <c r="Q15" s="116" t="s">
        <v>5304</v>
      </c>
      <c r="R15" s="114" t="s">
        <v>5305</v>
      </c>
      <c r="S15" s="116" t="s">
        <v>5306</v>
      </c>
      <c r="T15" s="114" t="s">
        <v>5307</v>
      </c>
      <c r="U15" s="116" t="s">
        <v>5308</v>
      </c>
      <c r="V15" s="114" t="s">
        <v>5309</v>
      </c>
      <c r="W15" s="116" t="s">
        <v>5310</v>
      </c>
      <c r="X15" s="114" t="s">
        <v>5311</v>
      </c>
      <c r="Y15" s="116" t="s">
        <v>5312</v>
      </c>
      <c r="Z15" s="114" t="s">
        <v>5313</v>
      </c>
      <c r="AA15" s="116" t="s">
        <v>5314</v>
      </c>
      <c r="AB15" s="114" t="s">
        <v>5315</v>
      </c>
      <c r="AC15" s="116" t="s">
        <v>5316</v>
      </c>
      <c r="AD15" s="114" t="s">
        <v>5317</v>
      </c>
      <c r="AE15" s="116" t="s">
        <v>5318</v>
      </c>
      <c r="AF15" s="114" t="s">
        <v>5319</v>
      </c>
      <c r="AG15" s="116" t="s">
        <v>5320</v>
      </c>
      <c r="AH15" s="114" t="s">
        <v>5321</v>
      </c>
      <c r="AI15" s="116" t="s">
        <v>5322</v>
      </c>
      <c r="AJ15" s="114" t="s">
        <v>5323</v>
      </c>
      <c r="AK15" s="116" t="s">
        <v>5324</v>
      </c>
      <c r="AL15" s="114" t="s">
        <v>5325</v>
      </c>
      <c r="AM15" s="116" t="s">
        <v>5326</v>
      </c>
      <c r="AN15" s="114" t="s">
        <v>5327</v>
      </c>
      <c r="AO15" s="116" t="s">
        <v>5328</v>
      </c>
      <c r="AP15" s="114" t="s">
        <v>5329</v>
      </c>
      <c r="AQ15" s="162" t="s">
        <v>5330</v>
      </c>
      <c r="AR15" s="117" t="s">
        <v>5331</v>
      </c>
      <c r="AS15" s="117" t="s">
        <v>5332</v>
      </c>
      <c r="AT15" s="153" t="s">
        <v>5333</v>
      </c>
      <c r="AU15" s="153" t="s">
        <v>5334</v>
      </c>
      <c r="AV15" s="153" t="s">
        <v>5335</v>
      </c>
      <c r="AW15" s="153" t="s">
        <v>5336</v>
      </c>
      <c r="AX15" s="153" t="s">
        <v>5337</v>
      </c>
      <c r="AY15" s="153" t="s">
        <v>5338</v>
      </c>
      <c r="AZ15" t="e">
        <f t="shared" si="1"/>
        <v>#VALUE!</v>
      </c>
      <c r="CX15" s="1723" t="e">
        <f t="shared" si="2"/>
        <v>#VALUE!</v>
      </c>
      <c r="CY15" s="1723" t="str">
        <f t="shared" si="3"/>
        <v/>
      </c>
      <c r="CZ15" s="1723" t="str">
        <f t="shared" si="4"/>
        <v xml:space="preserve"> * Las Embarazadas NO DEBEN ser mayor al Total de mujeres. </v>
      </c>
      <c r="DA15" s="1723" t="e">
        <f t="shared" si="5"/>
        <v>#VALUE!</v>
      </c>
      <c r="DB15" s="1723" t="str">
        <f t="shared" si="6"/>
        <v xml:space="preserve"> * La variable Usuarios con Discapacidad No puede ser mayor al Total Ambos Sexos.</v>
      </c>
      <c r="DC15" s="1723" t="str">
        <f t="shared" si="7"/>
        <v xml:space="preserve"> * La variable Migrantes No puede ser mayor al Total Ambos Sexos.</v>
      </c>
      <c r="DD15" s="1723" t="str">
        <f t="shared" si="8"/>
        <v xml:space="preserve"> * La variable Pacientes en control PSCV No puede ser mayor al Total Ambos Sexos.</v>
      </c>
      <c r="DE15" s="1723" t="str">
        <f t="shared" si="9"/>
        <v xml:space="preserve"> * La variable Niños, niñas, adolescentes y jóvenes SENAME No puede ser mayor al Total.</v>
      </c>
      <c r="DF15" s="1723" t="str">
        <f>IF(AND(E15&gt;0,AY15="")," * No olvide digitar la variable Niños, niñas, adolescentes y jóvenes Mejor Niñez. Digite Cero si no tiene.",IF(AY15&gt;E15," * La variable Niños, niñas, adolescentes y jóvenes Mejor Niñez no puede ser mayor al Total.",""))</f>
        <v xml:space="preserve"> * La variable Niños, niñas, adolescentes y jóvenes Mejor Niñez no puede ser mayor al Total.</v>
      </c>
      <c r="DH15" s="1725" t="e">
        <f t="shared" si="10"/>
        <v>#VALUE!</v>
      </c>
      <c r="DI15" s="1725">
        <f t="shared" si="11"/>
        <v>0</v>
      </c>
      <c r="DJ15" s="1725">
        <f t="shared" si="12"/>
        <v>1</v>
      </c>
      <c r="DK15" s="1725" t="e">
        <f t="shared" si="13"/>
        <v>#VALUE!</v>
      </c>
      <c r="DL15" s="1725">
        <f t="shared" si="14"/>
        <v>1</v>
      </c>
      <c r="DM15" s="1725">
        <f t="shared" si="15"/>
        <v>1</v>
      </c>
      <c r="DN15" s="1725">
        <f t="shared" si="16"/>
        <v>1</v>
      </c>
      <c r="DO15" s="1725">
        <f t="shared" si="17"/>
        <v>1</v>
      </c>
      <c r="DP15" s="1725">
        <f t="shared" si="18"/>
        <v>1</v>
      </c>
    </row>
    <row r="16" spans="1:140" ht="18" customHeight="1" x14ac:dyDescent="0.3">
      <c r="B16" s="122" t="s">
        <v>700</v>
      </c>
      <c r="C16" s="787"/>
      <c r="D16" s="787"/>
      <c r="E16" s="781"/>
      <c r="F16" s="781"/>
      <c r="G16" s="781"/>
      <c r="H16" s="788"/>
      <c r="I16" s="788"/>
      <c r="J16" s="781"/>
      <c r="K16" s="781"/>
      <c r="L16" s="781"/>
      <c r="M16" s="781"/>
      <c r="N16" s="781"/>
      <c r="O16" s="781"/>
      <c r="P16" s="781"/>
      <c r="Q16" s="163"/>
      <c r="R16" s="781"/>
      <c r="S16" s="781"/>
      <c r="T16" s="781"/>
      <c r="U16" s="781"/>
      <c r="V16" s="781"/>
      <c r="W16" s="781"/>
      <c r="X16" s="781"/>
      <c r="Y16" s="781"/>
      <c r="Z16" s="781"/>
      <c r="AA16" s="781"/>
      <c r="AB16" s="781"/>
      <c r="AC16" s="781"/>
      <c r="AD16" s="781"/>
      <c r="AE16" s="781"/>
      <c r="AF16" s="781"/>
      <c r="AG16" s="781"/>
      <c r="AH16" s="781"/>
      <c r="AI16" s="775"/>
      <c r="AJ16" s="775"/>
      <c r="AK16" s="775"/>
      <c r="AL16" s="775"/>
      <c r="AM16" s="775"/>
      <c r="AN16" s="775"/>
      <c r="AO16" s="775"/>
      <c r="AP16" s="775"/>
      <c r="AQ16" s="775"/>
      <c r="AR16" s="775"/>
      <c r="AS16" s="775"/>
      <c r="AT16" s="775"/>
      <c r="AU16" s="775"/>
      <c r="AV16" s="775"/>
      <c r="AW16" s="775"/>
      <c r="AX16" s="775"/>
      <c r="AY16" s="775"/>
      <c r="CX16"/>
      <c r="CY16"/>
      <c r="CZ16"/>
      <c r="DA16"/>
      <c r="DB16"/>
      <c r="DC16"/>
      <c r="DD16"/>
      <c r="DE16"/>
      <c r="DF16"/>
      <c r="DH16"/>
      <c r="DI16"/>
      <c r="DJ16"/>
      <c r="DK16"/>
      <c r="DL16"/>
      <c r="DM16"/>
      <c r="DN16"/>
    </row>
    <row r="17" spans="1:120" x14ac:dyDescent="0.3">
      <c r="B17" s="7223" t="s">
        <v>701</v>
      </c>
      <c r="C17" s="6611"/>
      <c r="D17" s="7226"/>
      <c r="E17" s="7296" t="s">
        <v>47</v>
      </c>
      <c r="F17" s="7297"/>
      <c r="G17" s="7306"/>
      <c r="H17" s="7321" t="s">
        <v>682</v>
      </c>
      <c r="I17" s="7322"/>
      <c r="J17" s="7306" t="s">
        <v>683</v>
      </c>
      <c r="K17" s="7323"/>
      <c r="L17" s="7296" t="s">
        <v>684</v>
      </c>
      <c r="M17" s="7306"/>
      <c r="N17" s="7306" t="s">
        <v>685</v>
      </c>
      <c r="O17" s="7323"/>
      <c r="P17" s="7296" t="s">
        <v>686</v>
      </c>
      <c r="Q17" s="7306"/>
      <c r="R17" s="7296" t="s">
        <v>687</v>
      </c>
      <c r="S17" s="7306"/>
      <c r="T17" s="7296" t="s">
        <v>688</v>
      </c>
      <c r="U17" s="7306"/>
      <c r="V17" s="7296" t="s">
        <v>689</v>
      </c>
      <c r="W17" s="7306"/>
      <c r="X17" s="7297" t="s">
        <v>690</v>
      </c>
      <c r="Y17" s="7297"/>
      <c r="Z17" s="7296" t="s">
        <v>554</v>
      </c>
      <c r="AA17" s="7308"/>
      <c r="AB17" s="7297" t="s">
        <v>568</v>
      </c>
      <c r="AC17" s="7332"/>
      <c r="AD17" s="7297" t="s">
        <v>691</v>
      </c>
      <c r="AE17" s="7332"/>
      <c r="AF17" s="7297" t="s">
        <v>692</v>
      </c>
      <c r="AG17" s="7332"/>
      <c r="AH17" s="7297" t="s">
        <v>693</v>
      </c>
      <c r="AI17" s="7332"/>
      <c r="AJ17" s="7297" t="s">
        <v>694</v>
      </c>
      <c r="AK17" s="7332"/>
      <c r="AL17" s="7297" t="s">
        <v>556</v>
      </c>
      <c r="AM17" s="7332"/>
      <c r="AN17" s="7297" t="s">
        <v>695</v>
      </c>
      <c r="AO17" s="7308"/>
      <c r="AP17" s="7297" t="s">
        <v>57</v>
      </c>
      <c r="AQ17" s="7307"/>
      <c r="AR17" s="7202" t="s">
        <v>676</v>
      </c>
      <c r="AS17" s="7202" t="s">
        <v>327</v>
      </c>
      <c r="AT17" s="7299" t="s">
        <v>677</v>
      </c>
      <c r="AU17" s="7299" t="s">
        <v>702</v>
      </c>
      <c r="AV17" s="7202" t="s">
        <v>678</v>
      </c>
      <c r="AW17" s="7309" t="s">
        <v>3</v>
      </c>
      <c r="AX17" s="7309" t="s">
        <v>680</v>
      </c>
      <c r="AY17" s="7309" t="s">
        <v>681</v>
      </c>
      <c r="CX17"/>
      <c r="CY17"/>
      <c r="CZ17"/>
      <c r="DA17"/>
      <c r="DB17"/>
      <c r="DC17"/>
      <c r="DD17"/>
      <c r="DE17"/>
      <c r="DF17"/>
      <c r="DH17"/>
      <c r="DI17"/>
      <c r="DJ17"/>
      <c r="DK17"/>
      <c r="DL17"/>
      <c r="DM17"/>
      <c r="DN17"/>
    </row>
    <row r="18" spans="1:120" ht="26.25" customHeight="1" x14ac:dyDescent="0.3">
      <c r="B18" s="7320"/>
      <c r="C18" s="7292"/>
      <c r="D18" s="7293"/>
      <c r="E18" s="4642" t="s">
        <v>26</v>
      </c>
      <c r="F18" s="4686" t="s">
        <v>22</v>
      </c>
      <c r="G18" s="76" t="s">
        <v>27</v>
      </c>
      <c r="H18" s="603" t="s">
        <v>22</v>
      </c>
      <c r="I18" s="597" t="s">
        <v>27</v>
      </c>
      <c r="J18" s="177" t="s">
        <v>22</v>
      </c>
      <c r="K18" s="76" t="s">
        <v>27</v>
      </c>
      <c r="L18" s="177" t="s">
        <v>22</v>
      </c>
      <c r="M18" s="172" t="s">
        <v>27</v>
      </c>
      <c r="N18" s="177" t="s">
        <v>22</v>
      </c>
      <c r="O18" s="76" t="s">
        <v>27</v>
      </c>
      <c r="P18" s="177" t="s">
        <v>22</v>
      </c>
      <c r="Q18" s="76" t="s">
        <v>27</v>
      </c>
      <c r="R18" s="177" t="s">
        <v>22</v>
      </c>
      <c r="S18" s="76" t="s">
        <v>27</v>
      </c>
      <c r="T18" s="177" t="s">
        <v>22</v>
      </c>
      <c r="U18" s="76" t="s">
        <v>27</v>
      </c>
      <c r="V18" s="603" t="s">
        <v>22</v>
      </c>
      <c r="W18" s="597" t="s">
        <v>27</v>
      </c>
      <c r="X18" s="604" t="s">
        <v>22</v>
      </c>
      <c r="Y18" s="596" t="s">
        <v>27</v>
      </c>
      <c r="Z18" s="603" t="s">
        <v>22</v>
      </c>
      <c r="AA18" s="597" t="s">
        <v>27</v>
      </c>
      <c r="AB18" s="604" t="s">
        <v>22</v>
      </c>
      <c r="AC18" s="596" t="s">
        <v>27</v>
      </c>
      <c r="AD18" s="603" t="s">
        <v>22</v>
      </c>
      <c r="AE18" s="597" t="s">
        <v>27</v>
      </c>
      <c r="AF18" s="604" t="s">
        <v>22</v>
      </c>
      <c r="AG18" s="596" t="s">
        <v>27</v>
      </c>
      <c r="AH18" s="603" t="s">
        <v>22</v>
      </c>
      <c r="AI18" s="597" t="s">
        <v>27</v>
      </c>
      <c r="AJ18" s="604" t="s">
        <v>22</v>
      </c>
      <c r="AK18" s="596" t="s">
        <v>27</v>
      </c>
      <c r="AL18" s="603" t="s">
        <v>22</v>
      </c>
      <c r="AM18" s="597" t="s">
        <v>27</v>
      </c>
      <c r="AN18" s="604" t="s">
        <v>22</v>
      </c>
      <c r="AO18" s="597" t="s">
        <v>27</v>
      </c>
      <c r="AP18" s="604" t="s">
        <v>22</v>
      </c>
      <c r="AQ18" s="601" t="s">
        <v>27</v>
      </c>
      <c r="AR18" s="7218"/>
      <c r="AS18" s="7333"/>
      <c r="AT18" s="7300"/>
      <c r="AU18" s="7300"/>
      <c r="AV18" s="7295"/>
      <c r="AW18" s="7310"/>
      <c r="AX18" s="7310"/>
      <c r="AY18" s="7310"/>
      <c r="CX18"/>
      <c r="CY18"/>
      <c r="CZ18"/>
      <c r="DA18"/>
      <c r="DB18"/>
      <c r="DC18"/>
      <c r="DD18"/>
      <c r="DE18"/>
      <c r="DF18"/>
      <c r="DH18"/>
      <c r="DI18"/>
      <c r="DJ18"/>
      <c r="DK18"/>
      <c r="DL18"/>
      <c r="DM18"/>
      <c r="DN18"/>
    </row>
    <row r="19" spans="1:120" ht="15" customHeight="1" x14ac:dyDescent="0.3">
      <c r="A19" s="6269" t="s">
        <v>4919</v>
      </c>
      <c r="B19" s="7329" t="s">
        <v>703</v>
      </c>
      <c r="C19" s="7330"/>
      <c r="D19" s="7331"/>
      <c r="E19" s="4637" t="s">
        <v>5292</v>
      </c>
      <c r="F19" s="4634" t="s">
        <v>5293</v>
      </c>
      <c r="G19" s="783" t="s">
        <v>5294</v>
      </c>
      <c r="H19" s="482" t="s">
        <v>5295</v>
      </c>
      <c r="I19" s="185" t="s">
        <v>5296</v>
      </c>
      <c r="J19" s="482" t="s">
        <v>5297</v>
      </c>
      <c r="K19" s="499" t="s">
        <v>5298</v>
      </c>
      <c r="L19" s="482" t="s">
        <v>5299</v>
      </c>
      <c r="M19" s="185" t="s">
        <v>5300</v>
      </c>
      <c r="N19" s="482" t="s">
        <v>5301</v>
      </c>
      <c r="O19" s="499" t="s">
        <v>5302</v>
      </c>
      <c r="P19" s="482" t="s">
        <v>5303</v>
      </c>
      <c r="Q19" s="185" t="s">
        <v>5304</v>
      </c>
      <c r="R19" s="482" t="s">
        <v>5305</v>
      </c>
      <c r="S19" s="185" t="s">
        <v>5306</v>
      </c>
      <c r="T19" s="482" t="s">
        <v>5307</v>
      </c>
      <c r="U19" s="185" t="s">
        <v>5308</v>
      </c>
      <c r="V19" s="482" t="s">
        <v>5309</v>
      </c>
      <c r="W19" s="185" t="s">
        <v>5310</v>
      </c>
      <c r="X19" s="483" t="s">
        <v>5311</v>
      </c>
      <c r="Y19" s="578" t="s">
        <v>5312</v>
      </c>
      <c r="Z19" s="482" t="s">
        <v>5313</v>
      </c>
      <c r="AA19" s="185" t="s">
        <v>5314</v>
      </c>
      <c r="AB19" s="483" t="s">
        <v>5315</v>
      </c>
      <c r="AC19" s="578" t="s">
        <v>5316</v>
      </c>
      <c r="AD19" s="482" t="s">
        <v>5317</v>
      </c>
      <c r="AE19" s="185" t="s">
        <v>5318</v>
      </c>
      <c r="AF19" s="483" t="s">
        <v>5319</v>
      </c>
      <c r="AG19" s="578" t="s">
        <v>5320</v>
      </c>
      <c r="AH19" s="482" t="s">
        <v>5321</v>
      </c>
      <c r="AI19" s="185" t="s">
        <v>5322</v>
      </c>
      <c r="AJ19" s="483" t="s">
        <v>5323</v>
      </c>
      <c r="AK19" s="578" t="s">
        <v>5324</v>
      </c>
      <c r="AL19" s="482" t="s">
        <v>5325</v>
      </c>
      <c r="AM19" s="185" t="s">
        <v>5326</v>
      </c>
      <c r="AN19" s="483" t="s">
        <v>5327</v>
      </c>
      <c r="AO19" s="185" t="s">
        <v>5328</v>
      </c>
      <c r="AP19" s="483" t="s">
        <v>5329</v>
      </c>
      <c r="AQ19" s="321" t="s">
        <v>5330</v>
      </c>
      <c r="AR19" s="499" t="s">
        <v>5331</v>
      </c>
      <c r="AS19" s="499" t="s">
        <v>5332</v>
      </c>
      <c r="AT19" s="498" t="s">
        <v>5333</v>
      </c>
      <c r="AU19" s="498" t="s">
        <v>5334</v>
      </c>
      <c r="AV19" s="498" t="s">
        <v>5335</v>
      </c>
      <c r="AW19" s="498" t="s">
        <v>5336</v>
      </c>
      <c r="AX19" s="498" t="s">
        <v>5337</v>
      </c>
      <c r="AY19" s="498" t="s">
        <v>5338</v>
      </c>
      <c r="AZ19" t="e">
        <f>CX19&amp;CY19&amp;CZ19&amp;DA19&amp;DB19&amp;DC19&amp;DD19&amp;DE19&amp;DF19</f>
        <v>#VALUE!</v>
      </c>
      <c r="CX19" s="1723" t="e">
        <f t="shared" ref="CX19:CX35" si="19">IF(AND((Z19+AA19)&gt;0,AR19="")," * No olvide digitar la variable 12 años. Si no tiene digite Cero.",IF(AR19&gt;(Z19+AA19),"* Las Consultas de 12 años NO DEBEN ser mayor que el total de Consultas entre 10-14 años",""))</f>
        <v>#VALUE!</v>
      </c>
      <c r="CY19" s="1723" t="str">
        <f>IF(AND(G19&gt;0,AS19="")," * No olvide digitar la variable Embarazadas. Digite cero si no tiene.","")</f>
        <v/>
      </c>
      <c r="CZ19" s="1723" t="str">
        <f>IF(AS19&gt;G19," * Las Embarazadas NO DEBEN ser mayor al total de mujeres. ","")</f>
        <v xml:space="preserve"> * Las Embarazadas NO DEBEN ser mayor al total de mujeres. </v>
      </c>
      <c r="DA19" s="1723" t="e">
        <f t="shared" ref="DA19:DA35" si="20">IF(AND((AL19+AM19)&gt;0,AT19="")," * No olvide digitar la variable 60 años. Si no tiene digite Cero.",IF(AT19&gt;(AL19+AM19)," * Las consultas de 60 años NO DEBEN ser mayor que el Total de consultas del grupo 60-64 años",""))</f>
        <v>#VALUE!</v>
      </c>
      <c r="DB19"/>
      <c r="DC19" s="1723" t="str">
        <f>IF(AND(E19&gt;0,AV19="")," * No olvide digitar la variable Usuarios con Discapacidad. Digite Cero si no tiene.",IF(AV19&gt;E19," * La variable Usuarios con Discapacidad No puede ser mayor al Total Ambos Sexos.",""))</f>
        <v xml:space="preserve"> * La variable Usuarios con Discapacidad No puede ser mayor al Total Ambos Sexos.</v>
      </c>
      <c r="DD19" s="1723" t="str">
        <f>IF(AND(E19&gt;0,AW19="")," * No olvide digitar la variable Migrantes. Digite Cero si no tiene.",IF(AW19&gt;E19," * La variable Migrantes No puede ser mayor al Total Ambos Sexos.",""))</f>
        <v xml:space="preserve"> * La variable Migrantes No puede ser mayor al Total Ambos Sexos.</v>
      </c>
      <c r="DE19" s="1723" t="str">
        <f>IF(AND(E19&gt;0,AX19="")," * No olvide digitar la variable Niños, niñas, adolescentes y jóvenes SENAME. Digite Cero si no tiene.",IF(AX19&gt;E19," * La variable Niños, niñas, adolescentes y jóvenes SENAME No puede ser mayor al Total.",""))</f>
        <v xml:space="preserve"> * La variable Niños, niñas, adolescentes y jóvenes SENAME No puede ser mayor al Total.</v>
      </c>
      <c r="DF19" s="1723" t="str">
        <f>IF(AND(E19&gt;0,AY19="")," * No olvide digitar la variable Niños, niñas, adolescentes y jóvenes Mejor Niñez. Digite Cero si no tiene.",IF(AY19&gt;E19," * La variable Niños, niñas, adolescentes y jóvenes Mejor Niñez. No puede ser mayor al Total.",""))</f>
        <v xml:space="preserve"> * La variable Niños, niñas, adolescentes y jóvenes Mejor Niñez. No puede ser mayor al Total.</v>
      </c>
      <c r="DH19" s="1725" t="e">
        <f t="shared" ref="DH19:DH35" si="21">IF(AND((Z19+AA19)&gt;0,AR19=""),1,IF(AR19&gt;(Z19+AA19),1,0))</f>
        <v>#VALUE!</v>
      </c>
      <c r="DI19" s="1725">
        <f>IF(AND(G19&gt;0,AS19=""),1,0)</f>
        <v>0</v>
      </c>
      <c r="DJ19" s="1725">
        <f>IF(AS19&gt;G19,1,0)</f>
        <v>1</v>
      </c>
      <c r="DK19" s="1725" t="e">
        <f t="shared" ref="DK19:DK35" si="22">IF(AND((AL19+AM19)&gt;0,AT19=""),1,IF(AT19&gt;(AL19+AM19),1,0))</f>
        <v>#VALUE!</v>
      </c>
      <c r="DL19"/>
      <c r="DM19" s="1725">
        <f>IF(AND(E19&gt;0,AV19=""),1,IF(AV19&gt;E19,1,0))</f>
        <v>1</v>
      </c>
      <c r="DN19" s="1725">
        <f t="shared" ref="DN19:DN35" si="23">IF(AND(E19&gt;0,AW19=""),1,IF(AW19&gt;E19,1,0))</f>
        <v>1</v>
      </c>
      <c r="DO19" s="1725">
        <f t="shared" ref="DO19:DO35" si="24">IF(AND(E19&gt;0,AX19=""),1,IF(AX19&gt;E19,1,0))</f>
        <v>1</v>
      </c>
      <c r="DP19" s="1725">
        <f t="shared" ref="DP19:DP35" si="25">IF(AND(E19&gt;0,AY19=""),1,IF(AY19&gt;E19,1,0))</f>
        <v>1</v>
      </c>
    </row>
    <row r="20" spans="1:120" ht="15" customHeight="1" x14ac:dyDescent="0.3">
      <c r="A20" s="6269" t="s">
        <v>4920</v>
      </c>
      <c r="B20" s="7324" t="s">
        <v>704</v>
      </c>
      <c r="C20" s="7325"/>
      <c r="D20" s="7326"/>
      <c r="E20" s="1113" t="s">
        <v>5292</v>
      </c>
      <c r="F20" s="4161" t="s">
        <v>5293</v>
      </c>
      <c r="G20" s="786" t="s">
        <v>5294</v>
      </c>
      <c r="H20" s="789" t="s">
        <v>5295</v>
      </c>
      <c r="I20" s="790" t="s">
        <v>5296</v>
      </c>
      <c r="J20" s="789" t="s">
        <v>5297</v>
      </c>
      <c r="K20" s="194" t="s">
        <v>5298</v>
      </c>
      <c r="L20" s="789" t="s">
        <v>5299</v>
      </c>
      <c r="M20" s="790" t="s">
        <v>5300</v>
      </c>
      <c r="N20" s="789" t="s">
        <v>5301</v>
      </c>
      <c r="O20" s="194" t="s">
        <v>5302</v>
      </c>
      <c r="P20" s="789" t="s">
        <v>5303</v>
      </c>
      <c r="Q20" s="790" t="s">
        <v>5304</v>
      </c>
      <c r="R20" s="789" t="s">
        <v>5305</v>
      </c>
      <c r="S20" s="790" t="s">
        <v>5306</v>
      </c>
      <c r="T20" s="789" t="s">
        <v>5307</v>
      </c>
      <c r="U20" s="790" t="s">
        <v>5308</v>
      </c>
      <c r="V20" s="616" t="s">
        <v>5309</v>
      </c>
      <c r="W20" s="626" t="s">
        <v>5310</v>
      </c>
      <c r="X20" s="623" t="s">
        <v>5311</v>
      </c>
      <c r="Y20" s="791" t="s">
        <v>5312</v>
      </c>
      <c r="Z20" s="616" t="s">
        <v>5313</v>
      </c>
      <c r="AA20" s="626" t="s">
        <v>5314</v>
      </c>
      <c r="AB20" s="623" t="s">
        <v>5315</v>
      </c>
      <c r="AC20" s="791" t="s">
        <v>5316</v>
      </c>
      <c r="AD20" s="616" t="s">
        <v>5317</v>
      </c>
      <c r="AE20" s="626" t="s">
        <v>5318</v>
      </c>
      <c r="AF20" s="623" t="s">
        <v>5319</v>
      </c>
      <c r="AG20" s="791" t="s">
        <v>5320</v>
      </c>
      <c r="AH20" s="616" t="s">
        <v>5321</v>
      </c>
      <c r="AI20" s="626" t="s">
        <v>5322</v>
      </c>
      <c r="AJ20" s="623" t="s">
        <v>5323</v>
      </c>
      <c r="AK20" s="791" t="s">
        <v>5324</v>
      </c>
      <c r="AL20" s="616" t="s">
        <v>5325</v>
      </c>
      <c r="AM20" s="626" t="s">
        <v>5326</v>
      </c>
      <c r="AN20" s="623" t="s">
        <v>5327</v>
      </c>
      <c r="AO20" s="626" t="s">
        <v>5328</v>
      </c>
      <c r="AP20" s="623" t="s">
        <v>5329</v>
      </c>
      <c r="AQ20" s="624" t="s">
        <v>5330</v>
      </c>
      <c r="AR20" s="83" t="s">
        <v>5331</v>
      </c>
      <c r="AS20" s="83" t="s">
        <v>5332</v>
      </c>
      <c r="AT20" s="644" t="s">
        <v>5333</v>
      </c>
      <c r="AU20" s="644" t="s">
        <v>5334</v>
      </c>
      <c r="AV20" s="644" t="s">
        <v>5335</v>
      </c>
      <c r="AW20" s="644" t="s">
        <v>5336</v>
      </c>
      <c r="AX20" s="644" t="s">
        <v>5337</v>
      </c>
      <c r="AY20" s="644" t="s">
        <v>5338</v>
      </c>
      <c r="AZ20" t="e">
        <f t="shared" ref="AZ20:AZ35" si="26">CX20&amp;CY20&amp;CZ20&amp;DA20&amp;DB20&amp;DC20&amp;DD20&amp;DE20&amp;DF20</f>
        <v>#VALUE!</v>
      </c>
      <c r="CX20" s="1723" t="e">
        <f t="shared" si="19"/>
        <v>#VALUE!</v>
      </c>
      <c r="CY20" s="1723" t="str">
        <f t="shared" ref="CY20:CY35" si="27">IF(AND(G20&gt;0,AS20="")," * No olvide digitar la variable Embarazadas. Digite cero si no tiene.","")</f>
        <v/>
      </c>
      <c r="CZ20" s="1723" t="str">
        <f t="shared" ref="CZ20:CZ35" si="28">IF(AS20&gt;G20," * Las Embarazadas NO DEBEN ser mayor al total de mujeres. ","")</f>
        <v xml:space="preserve"> * Las Embarazadas NO DEBEN ser mayor al total de mujeres. </v>
      </c>
      <c r="DA20" s="1723" t="e">
        <f t="shared" si="20"/>
        <v>#VALUE!</v>
      </c>
      <c r="DB20"/>
      <c r="DC20" s="1723" t="str">
        <f t="shared" ref="DC20:DC35" si="29">IF(AND(E20&gt;0,AV20="")," * No olvide digitar la variable Usuarios con Discapacidad. Digite Cero si no tiene.",IF(AV20&gt;E20," * La variable Usuarios con Discapacidad No puede ser mayor al Total Ambos Sexos.",""))</f>
        <v xml:space="preserve"> * La variable Usuarios con Discapacidad No puede ser mayor al Total Ambos Sexos.</v>
      </c>
      <c r="DD20" s="1723" t="str">
        <f t="shared" ref="DD20:DD35" si="30">IF(AND(E20&gt;0,AW20="")," * No olvide digitar la variable Migrantes. Digite Cero si no tiene.",IF(AW20&gt;E20," * La variable Migrantes No puede ser mayor al Total Ambos Sexos.",""))</f>
        <v xml:space="preserve"> * La variable Migrantes No puede ser mayor al Total Ambos Sexos.</v>
      </c>
      <c r="DE20" s="1723" t="str">
        <f t="shared" ref="DE20:DE35" si="31">IF(AND(E20&gt;0,AX20="")," * No olvide digitar la variable Niños, niñas, adolescentes y jóvenes SENAME. Digite Cero si no tiene.",IF(AX20&gt;E20," * La variable Niños, niñas, adolescentes y jóvenes SENAME No puede ser mayor al Total.",""))</f>
        <v xml:space="preserve"> * La variable Niños, niñas, adolescentes y jóvenes SENAME No puede ser mayor al Total.</v>
      </c>
      <c r="DF20" s="1723" t="str">
        <f t="shared" ref="DF20:DF35" si="32">IF(AND(E20&gt;0,AY20="")," * No olvide digitar la variable Niños, niñas, adolescentes y jóvenes Mejor Niñez. Digite Cero si no tiene.",IF(AY20&gt;E20," * La variable Niños, niñas, adolescentes y jóvenes Mejor Niñez. No puede ser mayor al Total.",""))</f>
        <v xml:space="preserve"> * La variable Niños, niñas, adolescentes y jóvenes Mejor Niñez. No puede ser mayor al Total.</v>
      </c>
      <c r="DH20" s="1725" t="e">
        <f t="shared" si="21"/>
        <v>#VALUE!</v>
      </c>
      <c r="DI20" s="1725">
        <f t="shared" ref="DI20:DI35" si="33">IF(AND(G20&gt;0,AS20=""),1,0)</f>
        <v>0</v>
      </c>
      <c r="DJ20" s="1725">
        <f t="shared" ref="DJ20:DJ35" si="34">IF(AS20&gt;G20,1,0)</f>
        <v>1</v>
      </c>
      <c r="DK20" s="1725" t="e">
        <f t="shared" si="22"/>
        <v>#VALUE!</v>
      </c>
      <c r="DL20"/>
      <c r="DM20" s="1725">
        <f t="shared" ref="DM20:DM35" si="35">IF(AND(E20&gt;0,AV20=""),1,IF(AV20&gt;E20,1,0))</f>
        <v>1</v>
      </c>
      <c r="DN20" s="1725">
        <f t="shared" si="23"/>
        <v>1</v>
      </c>
      <c r="DO20" s="1725">
        <f t="shared" si="24"/>
        <v>1</v>
      </c>
      <c r="DP20" s="1725">
        <f t="shared" si="25"/>
        <v>1</v>
      </c>
    </row>
    <row r="21" spans="1:120" ht="15" customHeight="1" x14ac:dyDescent="0.3">
      <c r="A21" s="6269" t="s">
        <v>4921</v>
      </c>
      <c r="B21" s="7327" t="s">
        <v>705</v>
      </c>
      <c r="C21" s="7328"/>
      <c r="D21" s="7254"/>
      <c r="E21" s="1113" t="s">
        <v>5292</v>
      </c>
      <c r="F21" s="4161" t="s">
        <v>5293</v>
      </c>
      <c r="G21" s="786" t="s">
        <v>5294</v>
      </c>
      <c r="H21" s="616" t="s">
        <v>5295</v>
      </c>
      <c r="I21" s="626" t="s">
        <v>5296</v>
      </c>
      <c r="J21" s="616" t="s">
        <v>5297</v>
      </c>
      <c r="K21" s="83" t="s">
        <v>5298</v>
      </c>
      <c r="L21" s="616" t="s">
        <v>5299</v>
      </c>
      <c r="M21" s="626" t="s">
        <v>5300</v>
      </c>
      <c r="N21" s="616" t="s">
        <v>5301</v>
      </c>
      <c r="O21" s="83" t="s">
        <v>5302</v>
      </c>
      <c r="P21" s="616" t="s">
        <v>5303</v>
      </c>
      <c r="Q21" s="626" t="s">
        <v>5304</v>
      </c>
      <c r="R21" s="616" t="s">
        <v>5305</v>
      </c>
      <c r="S21" s="626" t="s">
        <v>5306</v>
      </c>
      <c r="T21" s="616" t="s">
        <v>5307</v>
      </c>
      <c r="U21" s="626" t="s">
        <v>5308</v>
      </c>
      <c r="V21" s="616" t="s">
        <v>5309</v>
      </c>
      <c r="W21" s="626" t="s">
        <v>5310</v>
      </c>
      <c r="X21" s="623" t="s">
        <v>5311</v>
      </c>
      <c r="Y21" s="791" t="s">
        <v>5312</v>
      </c>
      <c r="Z21" s="616" t="s">
        <v>5313</v>
      </c>
      <c r="AA21" s="626" t="s">
        <v>5314</v>
      </c>
      <c r="AB21" s="623" t="s">
        <v>5315</v>
      </c>
      <c r="AC21" s="791" t="s">
        <v>5316</v>
      </c>
      <c r="AD21" s="616" t="s">
        <v>5317</v>
      </c>
      <c r="AE21" s="626" t="s">
        <v>5318</v>
      </c>
      <c r="AF21" s="623" t="s">
        <v>5319</v>
      </c>
      <c r="AG21" s="791" t="s">
        <v>5320</v>
      </c>
      <c r="AH21" s="616" t="s">
        <v>5321</v>
      </c>
      <c r="AI21" s="626" t="s">
        <v>5322</v>
      </c>
      <c r="AJ21" s="623" t="s">
        <v>5323</v>
      </c>
      <c r="AK21" s="791" t="s">
        <v>5324</v>
      </c>
      <c r="AL21" s="616" t="s">
        <v>5325</v>
      </c>
      <c r="AM21" s="626" t="s">
        <v>5326</v>
      </c>
      <c r="AN21" s="623" t="s">
        <v>5327</v>
      </c>
      <c r="AO21" s="626" t="s">
        <v>5328</v>
      </c>
      <c r="AP21" s="623" t="s">
        <v>5329</v>
      </c>
      <c r="AQ21" s="624" t="s">
        <v>5330</v>
      </c>
      <c r="AR21" s="83" t="s">
        <v>5331</v>
      </c>
      <c r="AS21" s="83" t="s">
        <v>5332</v>
      </c>
      <c r="AT21" s="644" t="s">
        <v>5333</v>
      </c>
      <c r="AU21" s="644" t="s">
        <v>5334</v>
      </c>
      <c r="AV21" s="644" t="s">
        <v>5335</v>
      </c>
      <c r="AW21" s="644" t="s">
        <v>5336</v>
      </c>
      <c r="AX21" s="644" t="s">
        <v>5337</v>
      </c>
      <c r="AY21" s="644" t="s">
        <v>5338</v>
      </c>
      <c r="AZ21" t="e">
        <f t="shared" si="26"/>
        <v>#VALUE!</v>
      </c>
      <c r="CX21" s="1723" t="e">
        <f t="shared" si="19"/>
        <v>#VALUE!</v>
      </c>
      <c r="CY21" s="1723" t="str">
        <f t="shared" si="27"/>
        <v/>
      </c>
      <c r="CZ21" s="1723" t="str">
        <f t="shared" si="28"/>
        <v xml:space="preserve"> * Las Embarazadas NO DEBEN ser mayor al total de mujeres. </v>
      </c>
      <c r="DA21" s="1723" t="e">
        <f t="shared" si="20"/>
        <v>#VALUE!</v>
      </c>
      <c r="DB21"/>
      <c r="DC21" s="1723" t="str">
        <f t="shared" si="29"/>
        <v xml:space="preserve"> * La variable Usuarios con Discapacidad No puede ser mayor al Total Ambos Sexos.</v>
      </c>
      <c r="DD21" s="1723" t="str">
        <f t="shared" si="30"/>
        <v xml:space="preserve"> * La variable Migrantes No puede ser mayor al Total Ambos Sexos.</v>
      </c>
      <c r="DE21" s="1723" t="str">
        <f t="shared" si="31"/>
        <v xml:space="preserve"> * La variable Niños, niñas, adolescentes y jóvenes SENAME No puede ser mayor al Total.</v>
      </c>
      <c r="DF21" s="1723" t="str">
        <f t="shared" si="32"/>
        <v xml:space="preserve"> * La variable Niños, niñas, adolescentes y jóvenes Mejor Niñez. No puede ser mayor al Total.</v>
      </c>
      <c r="DH21" s="1725" t="e">
        <f t="shared" si="21"/>
        <v>#VALUE!</v>
      </c>
      <c r="DI21" s="1725">
        <f t="shared" si="33"/>
        <v>0</v>
      </c>
      <c r="DJ21" s="1725">
        <f t="shared" si="34"/>
        <v>1</v>
      </c>
      <c r="DK21" s="1725" t="e">
        <f t="shared" si="22"/>
        <v>#VALUE!</v>
      </c>
      <c r="DL21"/>
      <c r="DM21" s="1725">
        <f t="shared" si="35"/>
        <v>1</v>
      </c>
      <c r="DN21" s="1725">
        <f t="shared" si="23"/>
        <v>1</v>
      </c>
      <c r="DO21" s="1725">
        <f t="shared" si="24"/>
        <v>1</v>
      </c>
      <c r="DP21" s="1725">
        <f t="shared" si="25"/>
        <v>1</v>
      </c>
    </row>
    <row r="22" spans="1:120" ht="15" customHeight="1" x14ac:dyDescent="0.3">
      <c r="A22" s="6269" t="s">
        <v>4922</v>
      </c>
      <c r="B22" s="7327" t="s">
        <v>706</v>
      </c>
      <c r="C22" s="7328"/>
      <c r="D22" s="7254"/>
      <c r="E22" s="1113" t="s">
        <v>5292</v>
      </c>
      <c r="F22" s="4161" t="s">
        <v>5293</v>
      </c>
      <c r="G22" s="786" t="s">
        <v>5294</v>
      </c>
      <c r="H22" s="616" t="s">
        <v>5295</v>
      </c>
      <c r="I22" s="626" t="s">
        <v>5296</v>
      </c>
      <c r="J22" s="616" t="s">
        <v>5297</v>
      </c>
      <c r="K22" s="83" t="s">
        <v>5298</v>
      </c>
      <c r="L22" s="616" t="s">
        <v>5299</v>
      </c>
      <c r="M22" s="626" t="s">
        <v>5300</v>
      </c>
      <c r="N22" s="616" t="s">
        <v>5301</v>
      </c>
      <c r="O22" s="83" t="s">
        <v>5302</v>
      </c>
      <c r="P22" s="616" t="s">
        <v>5303</v>
      </c>
      <c r="Q22" s="626" t="s">
        <v>5304</v>
      </c>
      <c r="R22" s="616" t="s">
        <v>5305</v>
      </c>
      <c r="S22" s="626" t="s">
        <v>5306</v>
      </c>
      <c r="T22" s="616" t="s">
        <v>5307</v>
      </c>
      <c r="U22" s="626" t="s">
        <v>5308</v>
      </c>
      <c r="V22" s="616" t="s">
        <v>5309</v>
      </c>
      <c r="W22" s="626" t="s">
        <v>5310</v>
      </c>
      <c r="X22" s="623" t="s">
        <v>5311</v>
      </c>
      <c r="Y22" s="791" t="s">
        <v>5312</v>
      </c>
      <c r="Z22" s="616" t="s">
        <v>5313</v>
      </c>
      <c r="AA22" s="626" t="s">
        <v>5314</v>
      </c>
      <c r="AB22" s="623" t="s">
        <v>5315</v>
      </c>
      <c r="AC22" s="791" t="s">
        <v>5316</v>
      </c>
      <c r="AD22" s="616" t="s">
        <v>5317</v>
      </c>
      <c r="AE22" s="626" t="s">
        <v>5318</v>
      </c>
      <c r="AF22" s="623" t="s">
        <v>5319</v>
      </c>
      <c r="AG22" s="791" t="s">
        <v>5320</v>
      </c>
      <c r="AH22" s="616" t="s">
        <v>5321</v>
      </c>
      <c r="AI22" s="626" t="s">
        <v>5322</v>
      </c>
      <c r="AJ22" s="623" t="s">
        <v>5323</v>
      </c>
      <c r="AK22" s="791" t="s">
        <v>5324</v>
      </c>
      <c r="AL22" s="616" t="s">
        <v>5325</v>
      </c>
      <c r="AM22" s="626" t="s">
        <v>5326</v>
      </c>
      <c r="AN22" s="623" t="s">
        <v>5327</v>
      </c>
      <c r="AO22" s="626" t="s">
        <v>5328</v>
      </c>
      <c r="AP22" s="623" t="s">
        <v>5329</v>
      </c>
      <c r="AQ22" s="624" t="s">
        <v>5330</v>
      </c>
      <c r="AR22" s="83" t="s">
        <v>5331</v>
      </c>
      <c r="AS22" s="83" t="s">
        <v>5332</v>
      </c>
      <c r="AT22" s="644" t="s">
        <v>5333</v>
      </c>
      <c r="AU22" s="644" t="s">
        <v>5334</v>
      </c>
      <c r="AV22" s="644" t="s">
        <v>5335</v>
      </c>
      <c r="AW22" s="644" t="s">
        <v>5336</v>
      </c>
      <c r="AX22" s="644" t="s">
        <v>5337</v>
      </c>
      <c r="AY22" s="644" t="s">
        <v>5338</v>
      </c>
      <c r="AZ22" t="e">
        <f t="shared" si="26"/>
        <v>#VALUE!</v>
      </c>
      <c r="CX22" s="1723" t="e">
        <f t="shared" si="19"/>
        <v>#VALUE!</v>
      </c>
      <c r="CY22" s="1723" t="str">
        <f t="shared" si="27"/>
        <v/>
      </c>
      <c r="CZ22" s="1723" t="str">
        <f t="shared" si="28"/>
        <v xml:space="preserve"> * Las Embarazadas NO DEBEN ser mayor al total de mujeres. </v>
      </c>
      <c r="DA22" s="1723" t="e">
        <f t="shared" si="20"/>
        <v>#VALUE!</v>
      </c>
      <c r="DB22"/>
      <c r="DC22" s="1723" t="str">
        <f t="shared" si="29"/>
        <v xml:space="preserve"> * La variable Usuarios con Discapacidad No puede ser mayor al Total Ambos Sexos.</v>
      </c>
      <c r="DD22" s="1723" t="str">
        <f t="shared" si="30"/>
        <v xml:space="preserve"> * La variable Migrantes No puede ser mayor al Total Ambos Sexos.</v>
      </c>
      <c r="DE22" s="1723" t="str">
        <f t="shared" si="31"/>
        <v xml:space="preserve"> * La variable Niños, niñas, adolescentes y jóvenes SENAME No puede ser mayor al Total.</v>
      </c>
      <c r="DF22" s="1723" t="str">
        <f t="shared" si="32"/>
        <v xml:space="preserve"> * La variable Niños, niñas, adolescentes y jóvenes Mejor Niñez. No puede ser mayor al Total.</v>
      </c>
      <c r="DH22" s="1725" t="e">
        <f t="shared" si="21"/>
        <v>#VALUE!</v>
      </c>
      <c r="DI22" s="1725">
        <f t="shared" si="33"/>
        <v>0</v>
      </c>
      <c r="DJ22" s="1725">
        <f t="shared" si="34"/>
        <v>1</v>
      </c>
      <c r="DK22" s="1725" t="e">
        <f t="shared" si="22"/>
        <v>#VALUE!</v>
      </c>
      <c r="DL22"/>
      <c r="DM22" s="1725">
        <f t="shared" si="35"/>
        <v>1</v>
      </c>
      <c r="DN22" s="1725">
        <f t="shared" si="23"/>
        <v>1</v>
      </c>
      <c r="DO22" s="1725">
        <f t="shared" si="24"/>
        <v>1</v>
      </c>
      <c r="DP22" s="1725">
        <f t="shared" si="25"/>
        <v>1</v>
      </c>
    </row>
    <row r="23" spans="1:120" ht="15" customHeight="1" x14ac:dyDescent="0.3">
      <c r="A23" s="6269" t="s">
        <v>4923</v>
      </c>
      <c r="B23" s="7327" t="s">
        <v>707</v>
      </c>
      <c r="C23" s="7328"/>
      <c r="D23" s="7254"/>
      <c r="E23" s="1113" t="s">
        <v>5292</v>
      </c>
      <c r="F23" s="4161" t="s">
        <v>5293</v>
      </c>
      <c r="G23" s="786" t="s">
        <v>5294</v>
      </c>
      <c r="H23" s="616" t="s">
        <v>5295</v>
      </c>
      <c r="I23" s="626" t="s">
        <v>5296</v>
      </c>
      <c r="J23" s="616" t="s">
        <v>5297</v>
      </c>
      <c r="K23" s="83" t="s">
        <v>5298</v>
      </c>
      <c r="L23" s="616" t="s">
        <v>5299</v>
      </c>
      <c r="M23" s="626" t="s">
        <v>5300</v>
      </c>
      <c r="N23" s="616" t="s">
        <v>5301</v>
      </c>
      <c r="O23" s="83" t="s">
        <v>5302</v>
      </c>
      <c r="P23" s="616" t="s">
        <v>5303</v>
      </c>
      <c r="Q23" s="626" t="s">
        <v>5304</v>
      </c>
      <c r="R23" s="616" t="s">
        <v>5305</v>
      </c>
      <c r="S23" s="626" t="s">
        <v>5306</v>
      </c>
      <c r="T23" s="616" t="s">
        <v>5307</v>
      </c>
      <c r="U23" s="626" t="s">
        <v>5308</v>
      </c>
      <c r="V23" s="616" t="s">
        <v>5309</v>
      </c>
      <c r="W23" s="626" t="s">
        <v>5310</v>
      </c>
      <c r="X23" s="623" t="s">
        <v>5311</v>
      </c>
      <c r="Y23" s="791" t="s">
        <v>5312</v>
      </c>
      <c r="Z23" s="616" t="s">
        <v>5313</v>
      </c>
      <c r="AA23" s="626" t="s">
        <v>5314</v>
      </c>
      <c r="AB23" s="623" t="s">
        <v>5315</v>
      </c>
      <c r="AC23" s="791" t="s">
        <v>5316</v>
      </c>
      <c r="AD23" s="616" t="s">
        <v>5317</v>
      </c>
      <c r="AE23" s="626" t="s">
        <v>5318</v>
      </c>
      <c r="AF23" s="623" t="s">
        <v>5319</v>
      </c>
      <c r="AG23" s="791" t="s">
        <v>5320</v>
      </c>
      <c r="AH23" s="616" t="s">
        <v>5321</v>
      </c>
      <c r="AI23" s="626" t="s">
        <v>5322</v>
      </c>
      <c r="AJ23" s="623" t="s">
        <v>5323</v>
      </c>
      <c r="AK23" s="791" t="s">
        <v>5324</v>
      </c>
      <c r="AL23" s="616" t="s">
        <v>5325</v>
      </c>
      <c r="AM23" s="626" t="s">
        <v>5326</v>
      </c>
      <c r="AN23" s="623" t="s">
        <v>5327</v>
      </c>
      <c r="AO23" s="626" t="s">
        <v>5328</v>
      </c>
      <c r="AP23" s="623" t="s">
        <v>5329</v>
      </c>
      <c r="AQ23" s="624" t="s">
        <v>5330</v>
      </c>
      <c r="AR23" s="83" t="s">
        <v>5331</v>
      </c>
      <c r="AS23" s="83" t="s">
        <v>5332</v>
      </c>
      <c r="AT23" s="644" t="s">
        <v>5333</v>
      </c>
      <c r="AU23" s="644" t="s">
        <v>5334</v>
      </c>
      <c r="AV23" s="644" t="s">
        <v>5335</v>
      </c>
      <c r="AW23" s="644" t="s">
        <v>5336</v>
      </c>
      <c r="AX23" s="644" t="s">
        <v>5337</v>
      </c>
      <c r="AY23" s="644" t="s">
        <v>5338</v>
      </c>
      <c r="AZ23" t="e">
        <f t="shared" si="26"/>
        <v>#VALUE!</v>
      </c>
      <c r="CX23" s="1723" t="e">
        <f t="shared" si="19"/>
        <v>#VALUE!</v>
      </c>
      <c r="CY23" s="1723" t="str">
        <f t="shared" si="27"/>
        <v/>
      </c>
      <c r="CZ23" s="1723" t="str">
        <f t="shared" si="28"/>
        <v xml:space="preserve"> * Las Embarazadas NO DEBEN ser mayor al total de mujeres. </v>
      </c>
      <c r="DA23" s="1723" t="e">
        <f t="shared" si="20"/>
        <v>#VALUE!</v>
      </c>
      <c r="DB23"/>
      <c r="DC23" s="1723" t="str">
        <f t="shared" si="29"/>
        <v xml:space="preserve"> * La variable Usuarios con Discapacidad No puede ser mayor al Total Ambos Sexos.</v>
      </c>
      <c r="DD23" s="1723" t="str">
        <f t="shared" si="30"/>
        <v xml:space="preserve"> * La variable Migrantes No puede ser mayor al Total Ambos Sexos.</v>
      </c>
      <c r="DE23" s="1723" t="str">
        <f t="shared" si="31"/>
        <v xml:space="preserve"> * La variable Niños, niñas, adolescentes y jóvenes SENAME No puede ser mayor al Total.</v>
      </c>
      <c r="DF23" s="1723" t="str">
        <f t="shared" si="32"/>
        <v xml:space="preserve"> * La variable Niños, niñas, adolescentes y jóvenes Mejor Niñez. No puede ser mayor al Total.</v>
      </c>
      <c r="DH23" s="1725" t="e">
        <f t="shared" si="21"/>
        <v>#VALUE!</v>
      </c>
      <c r="DI23" s="1725">
        <f t="shared" si="33"/>
        <v>0</v>
      </c>
      <c r="DJ23" s="1725">
        <f t="shared" si="34"/>
        <v>1</v>
      </c>
      <c r="DK23" s="1725" t="e">
        <f t="shared" si="22"/>
        <v>#VALUE!</v>
      </c>
      <c r="DL23"/>
      <c r="DM23" s="1725">
        <f t="shared" si="35"/>
        <v>1</v>
      </c>
      <c r="DN23" s="1725">
        <f t="shared" si="23"/>
        <v>1</v>
      </c>
      <c r="DO23" s="1725">
        <f t="shared" si="24"/>
        <v>1</v>
      </c>
      <c r="DP23" s="1725">
        <f t="shared" si="25"/>
        <v>1</v>
      </c>
    </row>
    <row r="24" spans="1:120" ht="15" customHeight="1" x14ac:dyDescent="0.3">
      <c r="A24" s="6269" t="s">
        <v>4924</v>
      </c>
      <c r="B24" s="7327" t="s">
        <v>708</v>
      </c>
      <c r="C24" s="7328"/>
      <c r="D24" s="7254"/>
      <c r="E24" s="1113" t="s">
        <v>5292</v>
      </c>
      <c r="F24" s="4161" t="s">
        <v>5293</v>
      </c>
      <c r="G24" s="786" t="s">
        <v>5294</v>
      </c>
      <c r="H24" s="616" t="s">
        <v>5295</v>
      </c>
      <c r="I24" s="626" t="s">
        <v>5296</v>
      </c>
      <c r="J24" s="616" t="s">
        <v>5297</v>
      </c>
      <c r="K24" s="83" t="s">
        <v>5298</v>
      </c>
      <c r="L24" s="616" t="s">
        <v>5299</v>
      </c>
      <c r="M24" s="626" t="s">
        <v>5300</v>
      </c>
      <c r="N24" s="616" t="s">
        <v>5301</v>
      </c>
      <c r="O24" s="83" t="s">
        <v>5302</v>
      </c>
      <c r="P24" s="616" t="s">
        <v>5303</v>
      </c>
      <c r="Q24" s="626" t="s">
        <v>5304</v>
      </c>
      <c r="R24" s="616" t="s">
        <v>5305</v>
      </c>
      <c r="S24" s="626" t="s">
        <v>5306</v>
      </c>
      <c r="T24" s="616" t="s">
        <v>5307</v>
      </c>
      <c r="U24" s="626" t="s">
        <v>5308</v>
      </c>
      <c r="V24" s="616" t="s">
        <v>5309</v>
      </c>
      <c r="W24" s="626" t="s">
        <v>5310</v>
      </c>
      <c r="X24" s="623" t="s">
        <v>5311</v>
      </c>
      <c r="Y24" s="791" t="s">
        <v>5312</v>
      </c>
      <c r="Z24" s="616" t="s">
        <v>5313</v>
      </c>
      <c r="AA24" s="626" t="s">
        <v>5314</v>
      </c>
      <c r="AB24" s="623" t="s">
        <v>5315</v>
      </c>
      <c r="AC24" s="791" t="s">
        <v>5316</v>
      </c>
      <c r="AD24" s="616" t="s">
        <v>5317</v>
      </c>
      <c r="AE24" s="626" t="s">
        <v>5318</v>
      </c>
      <c r="AF24" s="623" t="s">
        <v>5319</v>
      </c>
      <c r="AG24" s="791" t="s">
        <v>5320</v>
      </c>
      <c r="AH24" s="616" t="s">
        <v>5321</v>
      </c>
      <c r="AI24" s="626" t="s">
        <v>5322</v>
      </c>
      <c r="AJ24" s="623" t="s">
        <v>5323</v>
      </c>
      <c r="AK24" s="791" t="s">
        <v>5324</v>
      </c>
      <c r="AL24" s="616" t="s">
        <v>5325</v>
      </c>
      <c r="AM24" s="626" t="s">
        <v>5326</v>
      </c>
      <c r="AN24" s="623" t="s">
        <v>5327</v>
      </c>
      <c r="AO24" s="626" t="s">
        <v>5328</v>
      </c>
      <c r="AP24" s="623" t="s">
        <v>5329</v>
      </c>
      <c r="AQ24" s="624" t="s">
        <v>5330</v>
      </c>
      <c r="AR24" s="83" t="s">
        <v>5331</v>
      </c>
      <c r="AS24" s="83" t="s">
        <v>5332</v>
      </c>
      <c r="AT24" s="644" t="s">
        <v>5333</v>
      </c>
      <c r="AU24" s="644" t="s">
        <v>5334</v>
      </c>
      <c r="AV24" s="644" t="s">
        <v>5335</v>
      </c>
      <c r="AW24" s="644" t="s">
        <v>5336</v>
      </c>
      <c r="AX24" s="644" t="s">
        <v>5337</v>
      </c>
      <c r="AY24" s="644" t="s">
        <v>5338</v>
      </c>
      <c r="AZ24" t="e">
        <f t="shared" si="26"/>
        <v>#VALUE!</v>
      </c>
      <c r="CX24" s="1723" t="e">
        <f t="shared" si="19"/>
        <v>#VALUE!</v>
      </c>
      <c r="CY24" s="1723" t="str">
        <f t="shared" si="27"/>
        <v/>
      </c>
      <c r="CZ24" s="1723" t="str">
        <f t="shared" si="28"/>
        <v xml:space="preserve"> * Las Embarazadas NO DEBEN ser mayor al total de mujeres. </v>
      </c>
      <c r="DA24" s="1723" t="e">
        <f t="shared" si="20"/>
        <v>#VALUE!</v>
      </c>
      <c r="DB24"/>
      <c r="DC24" s="1723" t="str">
        <f t="shared" si="29"/>
        <v xml:space="preserve"> * La variable Usuarios con Discapacidad No puede ser mayor al Total Ambos Sexos.</v>
      </c>
      <c r="DD24" s="1723" t="str">
        <f t="shared" si="30"/>
        <v xml:space="preserve"> * La variable Migrantes No puede ser mayor al Total Ambos Sexos.</v>
      </c>
      <c r="DE24" s="1723" t="str">
        <f t="shared" si="31"/>
        <v xml:space="preserve"> * La variable Niños, niñas, adolescentes y jóvenes SENAME No puede ser mayor al Total.</v>
      </c>
      <c r="DF24" s="1723" t="str">
        <f t="shared" si="32"/>
        <v xml:space="preserve"> * La variable Niños, niñas, adolescentes y jóvenes Mejor Niñez. No puede ser mayor al Total.</v>
      </c>
      <c r="DH24" s="1725" t="e">
        <f t="shared" si="21"/>
        <v>#VALUE!</v>
      </c>
      <c r="DI24" s="1725">
        <f t="shared" si="33"/>
        <v>0</v>
      </c>
      <c r="DJ24" s="1725">
        <f t="shared" si="34"/>
        <v>1</v>
      </c>
      <c r="DK24" s="1725" t="e">
        <f t="shared" si="22"/>
        <v>#VALUE!</v>
      </c>
      <c r="DL24"/>
      <c r="DM24" s="1725">
        <f t="shared" si="35"/>
        <v>1</v>
      </c>
      <c r="DN24" s="1725">
        <f t="shared" si="23"/>
        <v>1</v>
      </c>
      <c r="DO24" s="1725">
        <f t="shared" si="24"/>
        <v>1</v>
      </c>
      <c r="DP24" s="1725">
        <f t="shared" si="25"/>
        <v>1</v>
      </c>
    </row>
    <row r="25" spans="1:120" ht="15" customHeight="1" x14ac:dyDescent="0.3">
      <c r="A25" s="6269" t="s">
        <v>4925</v>
      </c>
      <c r="B25" s="7327" t="s">
        <v>709</v>
      </c>
      <c r="C25" s="7328"/>
      <c r="D25" s="7254"/>
      <c r="E25" s="1113" t="s">
        <v>5292</v>
      </c>
      <c r="F25" s="4161" t="s">
        <v>5293</v>
      </c>
      <c r="G25" s="786" t="s">
        <v>5294</v>
      </c>
      <c r="H25" s="616" t="s">
        <v>5295</v>
      </c>
      <c r="I25" s="626" t="s">
        <v>5296</v>
      </c>
      <c r="J25" s="616" t="s">
        <v>5297</v>
      </c>
      <c r="K25" s="83" t="s">
        <v>5298</v>
      </c>
      <c r="L25" s="616" t="s">
        <v>5299</v>
      </c>
      <c r="M25" s="626" t="s">
        <v>5300</v>
      </c>
      <c r="N25" s="616" t="s">
        <v>5301</v>
      </c>
      <c r="O25" s="83" t="s">
        <v>5302</v>
      </c>
      <c r="P25" s="616" t="s">
        <v>5303</v>
      </c>
      <c r="Q25" s="626" t="s">
        <v>5304</v>
      </c>
      <c r="R25" s="616" t="s">
        <v>5305</v>
      </c>
      <c r="S25" s="626" t="s">
        <v>5306</v>
      </c>
      <c r="T25" s="616" t="s">
        <v>5307</v>
      </c>
      <c r="U25" s="626" t="s">
        <v>5308</v>
      </c>
      <c r="V25" s="616" t="s">
        <v>5309</v>
      </c>
      <c r="W25" s="626" t="s">
        <v>5310</v>
      </c>
      <c r="X25" s="623" t="s">
        <v>5311</v>
      </c>
      <c r="Y25" s="791" t="s">
        <v>5312</v>
      </c>
      <c r="Z25" s="616" t="s">
        <v>5313</v>
      </c>
      <c r="AA25" s="626" t="s">
        <v>5314</v>
      </c>
      <c r="AB25" s="623" t="s">
        <v>5315</v>
      </c>
      <c r="AC25" s="791" t="s">
        <v>5316</v>
      </c>
      <c r="AD25" s="616" t="s">
        <v>5317</v>
      </c>
      <c r="AE25" s="626" t="s">
        <v>5318</v>
      </c>
      <c r="AF25" s="623" t="s">
        <v>5319</v>
      </c>
      <c r="AG25" s="791" t="s">
        <v>5320</v>
      </c>
      <c r="AH25" s="616" t="s">
        <v>5321</v>
      </c>
      <c r="AI25" s="626" t="s">
        <v>5322</v>
      </c>
      <c r="AJ25" s="623" t="s">
        <v>5323</v>
      </c>
      <c r="AK25" s="791" t="s">
        <v>5324</v>
      </c>
      <c r="AL25" s="616" t="s">
        <v>5325</v>
      </c>
      <c r="AM25" s="626" t="s">
        <v>5326</v>
      </c>
      <c r="AN25" s="623" t="s">
        <v>5327</v>
      </c>
      <c r="AO25" s="626" t="s">
        <v>5328</v>
      </c>
      <c r="AP25" s="623" t="s">
        <v>5329</v>
      </c>
      <c r="AQ25" s="624" t="s">
        <v>5330</v>
      </c>
      <c r="AR25" s="83" t="s">
        <v>5331</v>
      </c>
      <c r="AS25" s="83" t="s">
        <v>5332</v>
      </c>
      <c r="AT25" s="644" t="s">
        <v>5333</v>
      </c>
      <c r="AU25" s="644" t="s">
        <v>5334</v>
      </c>
      <c r="AV25" s="644" t="s">
        <v>5335</v>
      </c>
      <c r="AW25" s="644" t="s">
        <v>5336</v>
      </c>
      <c r="AX25" s="644" t="s">
        <v>5337</v>
      </c>
      <c r="AY25" s="644" t="s">
        <v>5338</v>
      </c>
      <c r="AZ25" t="e">
        <f t="shared" si="26"/>
        <v>#VALUE!</v>
      </c>
      <c r="CX25" s="1723" t="e">
        <f t="shared" si="19"/>
        <v>#VALUE!</v>
      </c>
      <c r="CY25" s="1723" t="str">
        <f t="shared" si="27"/>
        <v/>
      </c>
      <c r="CZ25" s="1723" t="str">
        <f t="shared" si="28"/>
        <v xml:space="preserve"> * Las Embarazadas NO DEBEN ser mayor al total de mujeres. </v>
      </c>
      <c r="DA25" s="1723" t="e">
        <f t="shared" si="20"/>
        <v>#VALUE!</v>
      </c>
      <c r="DB25"/>
      <c r="DC25" s="1723" t="str">
        <f t="shared" si="29"/>
        <v xml:space="preserve"> * La variable Usuarios con Discapacidad No puede ser mayor al Total Ambos Sexos.</v>
      </c>
      <c r="DD25" s="1723" t="str">
        <f t="shared" si="30"/>
        <v xml:space="preserve"> * La variable Migrantes No puede ser mayor al Total Ambos Sexos.</v>
      </c>
      <c r="DE25" s="1723" t="str">
        <f t="shared" si="31"/>
        <v xml:space="preserve"> * La variable Niños, niñas, adolescentes y jóvenes SENAME No puede ser mayor al Total.</v>
      </c>
      <c r="DF25" s="1723" t="str">
        <f t="shared" si="32"/>
        <v xml:space="preserve"> * La variable Niños, niñas, adolescentes y jóvenes Mejor Niñez. No puede ser mayor al Total.</v>
      </c>
      <c r="DH25" s="1725" t="e">
        <f t="shared" si="21"/>
        <v>#VALUE!</v>
      </c>
      <c r="DI25" s="1725">
        <f t="shared" si="33"/>
        <v>0</v>
      </c>
      <c r="DJ25" s="1725">
        <f t="shared" si="34"/>
        <v>1</v>
      </c>
      <c r="DK25" s="1725" t="e">
        <f t="shared" si="22"/>
        <v>#VALUE!</v>
      </c>
      <c r="DL25"/>
      <c r="DM25" s="1725">
        <f t="shared" si="35"/>
        <v>1</v>
      </c>
      <c r="DN25" s="1725">
        <f t="shared" si="23"/>
        <v>1</v>
      </c>
      <c r="DO25" s="1725">
        <f t="shared" si="24"/>
        <v>1</v>
      </c>
      <c r="DP25" s="1725">
        <f t="shared" si="25"/>
        <v>1</v>
      </c>
    </row>
    <row r="26" spans="1:120" ht="15" customHeight="1" x14ac:dyDescent="0.3">
      <c r="A26" s="6269" t="s">
        <v>4926</v>
      </c>
      <c r="B26" s="7327" t="s">
        <v>710</v>
      </c>
      <c r="C26" s="7328"/>
      <c r="D26" s="7254"/>
      <c r="E26" s="4696" t="s">
        <v>5292</v>
      </c>
      <c r="F26" s="4161" t="s">
        <v>5293</v>
      </c>
      <c r="G26" s="786" t="s">
        <v>5294</v>
      </c>
      <c r="H26" s="616" t="s">
        <v>5295</v>
      </c>
      <c r="I26" s="626" t="s">
        <v>5296</v>
      </c>
      <c r="J26" s="616" t="s">
        <v>5297</v>
      </c>
      <c r="K26" s="83" t="s">
        <v>5298</v>
      </c>
      <c r="L26" s="616" t="s">
        <v>5299</v>
      </c>
      <c r="M26" s="626" t="s">
        <v>5300</v>
      </c>
      <c r="N26" s="616" t="s">
        <v>5301</v>
      </c>
      <c r="O26" s="83" t="s">
        <v>5302</v>
      </c>
      <c r="P26" s="616" t="s">
        <v>5303</v>
      </c>
      <c r="Q26" s="626" t="s">
        <v>5304</v>
      </c>
      <c r="R26" s="616" t="s">
        <v>5305</v>
      </c>
      <c r="S26" s="626" t="s">
        <v>5306</v>
      </c>
      <c r="T26" s="616" t="s">
        <v>5307</v>
      </c>
      <c r="U26" s="626" t="s">
        <v>5308</v>
      </c>
      <c r="V26" s="616" t="s">
        <v>5309</v>
      </c>
      <c r="W26" s="626" t="s">
        <v>5310</v>
      </c>
      <c r="X26" s="623" t="s">
        <v>5311</v>
      </c>
      <c r="Y26" s="791" t="s">
        <v>5312</v>
      </c>
      <c r="Z26" s="616" t="s">
        <v>5313</v>
      </c>
      <c r="AA26" s="626" t="s">
        <v>5314</v>
      </c>
      <c r="AB26" s="623" t="s">
        <v>5315</v>
      </c>
      <c r="AC26" s="791" t="s">
        <v>5316</v>
      </c>
      <c r="AD26" s="616" t="s">
        <v>5317</v>
      </c>
      <c r="AE26" s="626" t="s">
        <v>5318</v>
      </c>
      <c r="AF26" s="623" t="s">
        <v>5319</v>
      </c>
      <c r="AG26" s="791" t="s">
        <v>5320</v>
      </c>
      <c r="AH26" s="616" t="s">
        <v>5321</v>
      </c>
      <c r="AI26" s="626" t="s">
        <v>5322</v>
      </c>
      <c r="AJ26" s="623" t="s">
        <v>5323</v>
      </c>
      <c r="AK26" s="791" t="s">
        <v>5324</v>
      </c>
      <c r="AL26" s="616" t="s">
        <v>5325</v>
      </c>
      <c r="AM26" s="626" t="s">
        <v>5326</v>
      </c>
      <c r="AN26" s="623" t="s">
        <v>5327</v>
      </c>
      <c r="AO26" s="626" t="s">
        <v>5328</v>
      </c>
      <c r="AP26" s="623" t="s">
        <v>5329</v>
      </c>
      <c r="AQ26" s="624" t="s">
        <v>5330</v>
      </c>
      <c r="AR26" s="83" t="s">
        <v>5331</v>
      </c>
      <c r="AS26" s="83" t="s">
        <v>5332</v>
      </c>
      <c r="AT26" s="83" t="s">
        <v>5333</v>
      </c>
      <c r="AU26" s="83" t="s">
        <v>5334</v>
      </c>
      <c r="AV26" s="83" t="s">
        <v>5335</v>
      </c>
      <c r="AW26" s="83" t="s">
        <v>5336</v>
      </c>
      <c r="AX26" s="83" t="s">
        <v>5337</v>
      </c>
      <c r="AY26" s="83" t="s">
        <v>5338</v>
      </c>
      <c r="AZ26" t="e">
        <f t="shared" si="26"/>
        <v>#VALUE!</v>
      </c>
      <c r="CX26" s="1723" t="e">
        <f t="shared" si="19"/>
        <v>#VALUE!</v>
      </c>
      <c r="CY26" s="1723" t="str">
        <f t="shared" si="27"/>
        <v/>
      </c>
      <c r="CZ26" s="1723" t="str">
        <f t="shared" si="28"/>
        <v xml:space="preserve"> * Las Embarazadas NO DEBEN ser mayor al total de mujeres. </v>
      </c>
      <c r="DA26" s="1723" t="e">
        <f t="shared" si="20"/>
        <v>#VALUE!</v>
      </c>
      <c r="DB26"/>
      <c r="DC26" s="1723" t="str">
        <f t="shared" si="29"/>
        <v xml:space="preserve"> * La variable Usuarios con Discapacidad No puede ser mayor al Total Ambos Sexos.</v>
      </c>
      <c r="DD26" s="1723" t="str">
        <f t="shared" si="30"/>
        <v xml:space="preserve"> * La variable Migrantes No puede ser mayor al Total Ambos Sexos.</v>
      </c>
      <c r="DE26" s="1723" t="str">
        <f t="shared" si="31"/>
        <v xml:space="preserve"> * La variable Niños, niñas, adolescentes y jóvenes SENAME No puede ser mayor al Total.</v>
      </c>
      <c r="DF26" s="1723" t="str">
        <f t="shared" si="32"/>
        <v xml:space="preserve"> * La variable Niños, niñas, adolescentes y jóvenes Mejor Niñez. No puede ser mayor al Total.</v>
      </c>
      <c r="DH26" s="1725" t="e">
        <f t="shared" si="21"/>
        <v>#VALUE!</v>
      </c>
      <c r="DI26" s="1725">
        <f t="shared" si="33"/>
        <v>0</v>
      </c>
      <c r="DJ26" s="1725">
        <f t="shared" si="34"/>
        <v>1</v>
      </c>
      <c r="DK26" s="1725" t="e">
        <f t="shared" si="22"/>
        <v>#VALUE!</v>
      </c>
      <c r="DL26"/>
      <c r="DM26" s="1725">
        <f t="shared" si="35"/>
        <v>1</v>
      </c>
      <c r="DN26" s="1725">
        <f t="shared" si="23"/>
        <v>1</v>
      </c>
      <c r="DO26" s="1725">
        <f t="shared" si="24"/>
        <v>1</v>
      </c>
      <c r="DP26" s="1725">
        <f t="shared" si="25"/>
        <v>1</v>
      </c>
    </row>
    <row r="27" spans="1:120" ht="15" customHeight="1" x14ac:dyDescent="0.3">
      <c r="A27" s="6269" t="s">
        <v>4927</v>
      </c>
      <c r="B27" s="7327" t="s">
        <v>711</v>
      </c>
      <c r="C27" s="7328"/>
      <c r="D27" s="7254"/>
      <c r="E27" s="4696" t="s">
        <v>5292</v>
      </c>
      <c r="F27" s="4161" t="s">
        <v>5293</v>
      </c>
      <c r="G27" s="786" t="s">
        <v>5294</v>
      </c>
      <c r="H27" s="616" t="s">
        <v>5295</v>
      </c>
      <c r="I27" s="626" t="s">
        <v>5296</v>
      </c>
      <c r="J27" s="616" t="s">
        <v>5297</v>
      </c>
      <c r="K27" s="83" t="s">
        <v>5298</v>
      </c>
      <c r="L27" s="616" t="s">
        <v>5299</v>
      </c>
      <c r="M27" s="626" t="s">
        <v>5300</v>
      </c>
      <c r="N27" s="616" t="s">
        <v>5301</v>
      </c>
      <c r="O27" s="83" t="s">
        <v>5302</v>
      </c>
      <c r="P27" s="616" t="s">
        <v>5303</v>
      </c>
      <c r="Q27" s="626" t="s">
        <v>5304</v>
      </c>
      <c r="R27" s="616" t="s">
        <v>5305</v>
      </c>
      <c r="S27" s="626" t="s">
        <v>5306</v>
      </c>
      <c r="T27" s="616" t="s">
        <v>5307</v>
      </c>
      <c r="U27" s="626" t="s">
        <v>5308</v>
      </c>
      <c r="V27" s="616" t="s">
        <v>5309</v>
      </c>
      <c r="W27" s="626" t="s">
        <v>5310</v>
      </c>
      <c r="X27" s="623" t="s">
        <v>5311</v>
      </c>
      <c r="Y27" s="791" t="s">
        <v>5312</v>
      </c>
      <c r="Z27" s="616" t="s">
        <v>5313</v>
      </c>
      <c r="AA27" s="626" t="s">
        <v>5314</v>
      </c>
      <c r="AB27" s="623" t="s">
        <v>5315</v>
      </c>
      <c r="AC27" s="791" t="s">
        <v>5316</v>
      </c>
      <c r="AD27" s="616" t="s">
        <v>5317</v>
      </c>
      <c r="AE27" s="626" t="s">
        <v>5318</v>
      </c>
      <c r="AF27" s="623" t="s">
        <v>5319</v>
      </c>
      <c r="AG27" s="791" t="s">
        <v>5320</v>
      </c>
      <c r="AH27" s="616" t="s">
        <v>5321</v>
      </c>
      <c r="AI27" s="626" t="s">
        <v>5322</v>
      </c>
      <c r="AJ27" s="623" t="s">
        <v>5323</v>
      </c>
      <c r="AK27" s="791" t="s">
        <v>5324</v>
      </c>
      <c r="AL27" s="616" t="s">
        <v>5325</v>
      </c>
      <c r="AM27" s="626" t="s">
        <v>5326</v>
      </c>
      <c r="AN27" s="623" t="s">
        <v>5327</v>
      </c>
      <c r="AO27" s="626" t="s">
        <v>5328</v>
      </c>
      <c r="AP27" s="623" t="s">
        <v>5329</v>
      </c>
      <c r="AQ27" s="624" t="s">
        <v>5330</v>
      </c>
      <c r="AR27" s="83" t="s">
        <v>5331</v>
      </c>
      <c r="AS27" s="83" t="s">
        <v>5332</v>
      </c>
      <c r="AT27" s="644" t="s">
        <v>5333</v>
      </c>
      <c r="AU27" s="644" t="s">
        <v>5334</v>
      </c>
      <c r="AV27" s="644" t="s">
        <v>5335</v>
      </c>
      <c r="AW27" s="644" t="s">
        <v>5336</v>
      </c>
      <c r="AX27" s="644" t="s">
        <v>5337</v>
      </c>
      <c r="AY27" s="644" t="s">
        <v>5338</v>
      </c>
      <c r="AZ27" t="e">
        <f t="shared" si="26"/>
        <v>#VALUE!</v>
      </c>
      <c r="CX27" s="1723" t="e">
        <f t="shared" si="19"/>
        <v>#VALUE!</v>
      </c>
      <c r="CY27" s="1723" t="str">
        <f t="shared" si="27"/>
        <v/>
      </c>
      <c r="CZ27" s="1723" t="str">
        <f t="shared" si="28"/>
        <v xml:space="preserve"> * Las Embarazadas NO DEBEN ser mayor al total de mujeres. </v>
      </c>
      <c r="DA27" s="1723" t="e">
        <f t="shared" si="20"/>
        <v>#VALUE!</v>
      </c>
      <c r="DB27"/>
      <c r="DC27" s="1723" t="str">
        <f t="shared" si="29"/>
        <v xml:space="preserve"> * La variable Usuarios con Discapacidad No puede ser mayor al Total Ambos Sexos.</v>
      </c>
      <c r="DD27" s="1723" t="str">
        <f t="shared" si="30"/>
        <v xml:space="preserve"> * La variable Migrantes No puede ser mayor al Total Ambos Sexos.</v>
      </c>
      <c r="DE27" s="1723" t="str">
        <f t="shared" si="31"/>
        <v xml:space="preserve"> * La variable Niños, niñas, adolescentes y jóvenes SENAME No puede ser mayor al Total.</v>
      </c>
      <c r="DF27" s="1723" t="str">
        <f t="shared" si="32"/>
        <v xml:space="preserve"> * La variable Niños, niñas, adolescentes y jóvenes Mejor Niñez. No puede ser mayor al Total.</v>
      </c>
      <c r="DH27" s="1725" t="e">
        <f t="shared" si="21"/>
        <v>#VALUE!</v>
      </c>
      <c r="DI27" s="1725">
        <f t="shared" si="33"/>
        <v>0</v>
      </c>
      <c r="DJ27" s="1725">
        <f t="shared" si="34"/>
        <v>1</v>
      </c>
      <c r="DK27" s="1725" t="e">
        <f t="shared" si="22"/>
        <v>#VALUE!</v>
      </c>
      <c r="DL27"/>
      <c r="DM27" s="1725">
        <f t="shared" si="35"/>
        <v>1</v>
      </c>
      <c r="DN27" s="1725">
        <f t="shared" si="23"/>
        <v>1</v>
      </c>
      <c r="DO27" s="1725">
        <f t="shared" si="24"/>
        <v>1</v>
      </c>
      <c r="DP27" s="1725">
        <f t="shared" si="25"/>
        <v>1</v>
      </c>
    </row>
    <row r="28" spans="1:120" ht="15" customHeight="1" x14ac:dyDescent="0.3">
      <c r="A28" s="6269" t="s">
        <v>4928</v>
      </c>
      <c r="B28" s="7327" t="s">
        <v>712</v>
      </c>
      <c r="C28" s="7328"/>
      <c r="D28" s="7254"/>
      <c r="E28" s="1113" t="s">
        <v>5292</v>
      </c>
      <c r="F28" s="4161" t="s">
        <v>5293</v>
      </c>
      <c r="G28" s="786" t="s">
        <v>5294</v>
      </c>
      <c r="H28" s="616" t="s">
        <v>5295</v>
      </c>
      <c r="I28" s="626" t="s">
        <v>5296</v>
      </c>
      <c r="J28" s="616" t="s">
        <v>5297</v>
      </c>
      <c r="K28" s="83" t="s">
        <v>5298</v>
      </c>
      <c r="L28" s="616" t="s">
        <v>5299</v>
      </c>
      <c r="M28" s="626" t="s">
        <v>5300</v>
      </c>
      <c r="N28" s="616" t="s">
        <v>5301</v>
      </c>
      <c r="O28" s="83" t="s">
        <v>5302</v>
      </c>
      <c r="P28" s="616" t="s">
        <v>5303</v>
      </c>
      <c r="Q28" s="626" t="s">
        <v>5304</v>
      </c>
      <c r="R28" s="616" t="s">
        <v>5305</v>
      </c>
      <c r="S28" s="626" t="s">
        <v>5306</v>
      </c>
      <c r="T28" s="616" t="s">
        <v>5307</v>
      </c>
      <c r="U28" s="626" t="s">
        <v>5308</v>
      </c>
      <c r="V28" s="616" t="s">
        <v>5309</v>
      </c>
      <c r="W28" s="626" t="s">
        <v>5310</v>
      </c>
      <c r="X28" s="623" t="s">
        <v>5311</v>
      </c>
      <c r="Y28" s="791" t="s">
        <v>5312</v>
      </c>
      <c r="Z28" s="616" t="s">
        <v>5313</v>
      </c>
      <c r="AA28" s="626" t="s">
        <v>5314</v>
      </c>
      <c r="AB28" s="623" t="s">
        <v>5315</v>
      </c>
      <c r="AC28" s="791" t="s">
        <v>5316</v>
      </c>
      <c r="AD28" s="616" t="s">
        <v>5317</v>
      </c>
      <c r="AE28" s="626" t="s">
        <v>5318</v>
      </c>
      <c r="AF28" s="623" t="s">
        <v>5319</v>
      </c>
      <c r="AG28" s="791" t="s">
        <v>5320</v>
      </c>
      <c r="AH28" s="616" t="s">
        <v>5321</v>
      </c>
      <c r="AI28" s="626" t="s">
        <v>5322</v>
      </c>
      <c r="AJ28" s="623" t="s">
        <v>5323</v>
      </c>
      <c r="AK28" s="791" t="s">
        <v>5324</v>
      </c>
      <c r="AL28" s="616" t="s">
        <v>5325</v>
      </c>
      <c r="AM28" s="626" t="s">
        <v>5326</v>
      </c>
      <c r="AN28" s="623" t="s">
        <v>5327</v>
      </c>
      <c r="AO28" s="626" t="s">
        <v>5328</v>
      </c>
      <c r="AP28" s="623" t="s">
        <v>5329</v>
      </c>
      <c r="AQ28" s="624" t="s">
        <v>5330</v>
      </c>
      <c r="AR28" s="83" t="s">
        <v>5331</v>
      </c>
      <c r="AS28" s="83" t="s">
        <v>5332</v>
      </c>
      <c r="AT28" s="83" t="s">
        <v>5333</v>
      </c>
      <c r="AU28" s="83" t="s">
        <v>5334</v>
      </c>
      <c r="AV28" s="83" t="s">
        <v>5335</v>
      </c>
      <c r="AW28" s="83" t="s">
        <v>5336</v>
      </c>
      <c r="AX28" s="83" t="s">
        <v>5337</v>
      </c>
      <c r="AY28" s="83" t="s">
        <v>5338</v>
      </c>
      <c r="AZ28" t="e">
        <f t="shared" si="26"/>
        <v>#VALUE!</v>
      </c>
      <c r="CX28" s="1723" t="e">
        <f t="shared" si="19"/>
        <v>#VALUE!</v>
      </c>
      <c r="CY28" s="1723" t="str">
        <f t="shared" si="27"/>
        <v/>
      </c>
      <c r="CZ28" s="1723" t="str">
        <f t="shared" si="28"/>
        <v xml:space="preserve"> * Las Embarazadas NO DEBEN ser mayor al total de mujeres. </v>
      </c>
      <c r="DA28" s="1723" t="e">
        <f t="shared" si="20"/>
        <v>#VALUE!</v>
      </c>
      <c r="DB28"/>
      <c r="DC28" s="1723" t="str">
        <f t="shared" si="29"/>
        <v xml:space="preserve"> * La variable Usuarios con Discapacidad No puede ser mayor al Total Ambos Sexos.</v>
      </c>
      <c r="DD28" s="1723" t="str">
        <f t="shared" si="30"/>
        <v xml:space="preserve"> * La variable Migrantes No puede ser mayor al Total Ambos Sexos.</v>
      </c>
      <c r="DE28" s="1723" t="str">
        <f t="shared" si="31"/>
        <v xml:space="preserve"> * La variable Niños, niñas, adolescentes y jóvenes SENAME No puede ser mayor al Total.</v>
      </c>
      <c r="DF28" s="1723" t="str">
        <f t="shared" si="32"/>
        <v xml:space="preserve"> * La variable Niños, niñas, adolescentes y jóvenes Mejor Niñez. No puede ser mayor al Total.</v>
      </c>
      <c r="DH28" s="1725" t="e">
        <f t="shared" si="21"/>
        <v>#VALUE!</v>
      </c>
      <c r="DI28" s="1725">
        <f t="shared" si="33"/>
        <v>0</v>
      </c>
      <c r="DJ28" s="1725">
        <f t="shared" si="34"/>
        <v>1</v>
      </c>
      <c r="DK28" s="1725" t="e">
        <f t="shared" si="22"/>
        <v>#VALUE!</v>
      </c>
      <c r="DL28"/>
      <c r="DM28" s="1725">
        <f t="shared" si="35"/>
        <v>1</v>
      </c>
      <c r="DN28" s="1725">
        <f t="shared" si="23"/>
        <v>1</v>
      </c>
      <c r="DO28" s="1725">
        <f t="shared" si="24"/>
        <v>1</v>
      </c>
      <c r="DP28" s="1725">
        <f t="shared" si="25"/>
        <v>1</v>
      </c>
    </row>
    <row r="29" spans="1:120" ht="15" customHeight="1" x14ac:dyDescent="0.3">
      <c r="A29" s="6269" t="s">
        <v>4929</v>
      </c>
      <c r="B29" s="7327" t="s">
        <v>713</v>
      </c>
      <c r="C29" s="7328"/>
      <c r="D29" s="7254"/>
      <c r="E29" s="1113" t="s">
        <v>5292</v>
      </c>
      <c r="F29" s="4161" t="s">
        <v>5293</v>
      </c>
      <c r="G29" s="786" t="s">
        <v>5294</v>
      </c>
      <c r="H29" s="616" t="s">
        <v>5295</v>
      </c>
      <c r="I29" s="626" t="s">
        <v>5296</v>
      </c>
      <c r="J29" s="616" t="s">
        <v>5297</v>
      </c>
      <c r="K29" s="83" t="s">
        <v>5298</v>
      </c>
      <c r="L29" s="616" t="s">
        <v>5299</v>
      </c>
      <c r="M29" s="626" t="s">
        <v>5300</v>
      </c>
      <c r="N29" s="616" t="s">
        <v>5301</v>
      </c>
      <c r="O29" s="83" t="s">
        <v>5302</v>
      </c>
      <c r="P29" s="616" t="s">
        <v>5303</v>
      </c>
      <c r="Q29" s="626" t="s">
        <v>5304</v>
      </c>
      <c r="R29" s="616" t="s">
        <v>5305</v>
      </c>
      <c r="S29" s="626" t="s">
        <v>5306</v>
      </c>
      <c r="T29" s="616" t="s">
        <v>5307</v>
      </c>
      <c r="U29" s="626" t="s">
        <v>5308</v>
      </c>
      <c r="V29" s="616" t="s">
        <v>5309</v>
      </c>
      <c r="W29" s="626" t="s">
        <v>5310</v>
      </c>
      <c r="X29" s="623" t="s">
        <v>5311</v>
      </c>
      <c r="Y29" s="791" t="s">
        <v>5312</v>
      </c>
      <c r="Z29" s="616" t="s">
        <v>5313</v>
      </c>
      <c r="AA29" s="626" t="s">
        <v>5314</v>
      </c>
      <c r="AB29" s="623" t="s">
        <v>5315</v>
      </c>
      <c r="AC29" s="791" t="s">
        <v>5316</v>
      </c>
      <c r="AD29" s="616" t="s">
        <v>5317</v>
      </c>
      <c r="AE29" s="626" t="s">
        <v>5318</v>
      </c>
      <c r="AF29" s="623" t="s">
        <v>5319</v>
      </c>
      <c r="AG29" s="791" t="s">
        <v>5320</v>
      </c>
      <c r="AH29" s="616" t="s">
        <v>5321</v>
      </c>
      <c r="AI29" s="626" t="s">
        <v>5322</v>
      </c>
      <c r="AJ29" s="623" t="s">
        <v>5323</v>
      </c>
      <c r="AK29" s="791" t="s">
        <v>5324</v>
      </c>
      <c r="AL29" s="616" t="s">
        <v>5325</v>
      </c>
      <c r="AM29" s="626" t="s">
        <v>5326</v>
      </c>
      <c r="AN29" s="623" t="s">
        <v>5327</v>
      </c>
      <c r="AO29" s="626" t="s">
        <v>5328</v>
      </c>
      <c r="AP29" s="623" t="s">
        <v>5329</v>
      </c>
      <c r="AQ29" s="624" t="s">
        <v>5330</v>
      </c>
      <c r="AR29" s="83" t="s">
        <v>5331</v>
      </c>
      <c r="AS29" s="83" t="s">
        <v>5332</v>
      </c>
      <c r="AT29" s="83" t="s">
        <v>5333</v>
      </c>
      <c r="AU29" s="83" t="s">
        <v>5334</v>
      </c>
      <c r="AV29" s="83" t="s">
        <v>5335</v>
      </c>
      <c r="AW29" s="83" t="s">
        <v>5336</v>
      </c>
      <c r="AX29" s="83" t="s">
        <v>5337</v>
      </c>
      <c r="AY29" s="83" t="s">
        <v>5338</v>
      </c>
      <c r="AZ29" t="e">
        <f t="shared" si="26"/>
        <v>#VALUE!</v>
      </c>
      <c r="CX29" s="1723" t="e">
        <f t="shared" si="19"/>
        <v>#VALUE!</v>
      </c>
      <c r="CY29" s="1723" t="str">
        <f t="shared" si="27"/>
        <v/>
      </c>
      <c r="CZ29" s="1723" t="str">
        <f t="shared" si="28"/>
        <v xml:space="preserve"> * Las Embarazadas NO DEBEN ser mayor al total de mujeres. </v>
      </c>
      <c r="DA29" s="1723" t="e">
        <f t="shared" si="20"/>
        <v>#VALUE!</v>
      </c>
      <c r="DB29"/>
      <c r="DC29" s="1723" t="str">
        <f t="shared" si="29"/>
        <v xml:space="preserve"> * La variable Usuarios con Discapacidad No puede ser mayor al Total Ambos Sexos.</v>
      </c>
      <c r="DD29" s="1723" t="str">
        <f t="shared" si="30"/>
        <v xml:space="preserve"> * La variable Migrantes No puede ser mayor al Total Ambos Sexos.</v>
      </c>
      <c r="DE29" s="1723" t="str">
        <f t="shared" si="31"/>
        <v xml:space="preserve"> * La variable Niños, niñas, adolescentes y jóvenes SENAME No puede ser mayor al Total.</v>
      </c>
      <c r="DF29" s="1723" t="str">
        <f t="shared" si="32"/>
        <v xml:space="preserve"> * La variable Niños, niñas, adolescentes y jóvenes Mejor Niñez. No puede ser mayor al Total.</v>
      </c>
      <c r="DH29" s="1725" t="e">
        <f t="shared" si="21"/>
        <v>#VALUE!</v>
      </c>
      <c r="DI29" s="1725">
        <f t="shared" si="33"/>
        <v>0</v>
      </c>
      <c r="DJ29" s="1725">
        <f t="shared" si="34"/>
        <v>1</v>
      </c>
      <c r="DK29" s="1725" t="e">
        <f t="shared" si="22"/>
        <v>#VALUE!</v>
      </c>
      <c r="DL29"/>
      <c r="DM29" s="1725">
        <f t="shared" si="35"/>
        <v>1</v>
      </c>
      <c r="DN29" s="1725">
        <f t="shared" si="23"/>
        <v>1</v>
      </c>
      <c r="DO29" s="1725">
        <f t="shared" si="24"/>
        <v>1</v>
      </c>
      <c r="DP29" s="1725">
        <f t="shared" si="25"/>
        <v>1</v>
      </c>
    </row>
    <row r="30" spans="1:120" ht="15" customHeight="1" x14ac:dyDescent="0.3">
      <c r="A30" s="6269" t="s">
        <v>4930</v>
      </c>
      <c r="B30" s="7327" t="s">
        <v>714</v>
      </c>
      <c r="C30" s="7328"/>
      <c r="D30" s="7254"/>
      <c r="E30" s="1113" t="s">
        <v>5292</v>
      </c>
      <c r="F30" s="4161" t="s">
        <v>5293</v>
      </c>
      <c r="G30" s="786" t="s">
        <v>5294</v>
      </c>
      <c r="H30" s="616" t="s">
        <v>5295</v>
      </c>
      <c r="I30" s="626" t="s">
        <v>5296</v>
      </c>
      <c r="J30" s="616" t="s">
        <v>5297</v>
      </c>
      <c r="K30" s="83" t="s">
        <v>5298</v>
      </c>
      <c r="L30" s="616" t="s">
        <v>5299</v>
      </c>
      <c r="M30" s="626" t="s">
        <v>5300</v>
      </c>
      <c r="N30" s="616" t="s">
        <v>5301</v>
      </c>
      <c r="O30" s="83" t="s">
        <v>5302</v>
      </c>
      <c r="P30" s="616" t="s">
        <v>5303</v>
      </c>
      <c r="Q30" s="626" t="s">
        <v>5304</v>
      </c>
      <c r="R30" s="616" t="s">
        <v>5305</v>
      </c>
      <c r="S30" s="626" t="s">
        <v>5306</v>
      </c>
      <c r="T30" s="616" t="s">
        <v>5307</v>
      </c>
      <c r="U30" s="626" t="s">
        <v>5308</v>
      </c>
      <c r="V30" s="616" t="s">
        <v>5309</v>
      </c>
      <c r="W30" s="626" t="s">
        <v>5310</v>
      </c>
      <c r="X30" s="623" t="s">
        <v>5311</v>
      </c>
      <c r="Y30" s="791" t="s">
        <v>5312</v>
      </c>
      <c r="Z30" s="616" t="s">
        <v>5313</v>
      </c>
      <c r="AA30" s="626" t="s">
        <v>5314</v>
      </c>
      <c r="AB30" s="623" t="s">
        <v>5315</v>
      </c>
      <c r="AC30" s="791" t="s">
        <v>5316</v>
      </c>
      <c r="AD30" s="616" t="s">
        <v>5317</v>
      </c>
      <c r="AE30" s="626" t="s">
        <v>5318</v>
      </c>
      <c r="AF30" s="623" t="s">
        <v>5319</v>
      </c>
      <c r="AG30" s="791" t="s">
        <v>5320</v>
      </c>
      <c r="AH30" s="616" t="s">
        <v>5321</v>
      </c>
      <c r="AI30" s="626" t="s">
        <v>5322</v>
      </c>
      <c r="AJ30" s="623" t="s">
        <v>5323</v>
      </c>
      <c r="AK30" s="791" t="s">
        <v>5324</v>
      </c>
      <c r="AL30" s="616" t="s">
        <v>5325</v>
      </c>
      <c r="AM30" s="626" t="s">
        <v>5326</v>
      </c>
      <c r="AN30" s="623" t="s">
        <v>5327</v>
      </c>
      <c r="AO30" s="626" t="s">
        <v>5328</v>
      </c>
      <c r="AP30" s="623" t="s">
        <v>5329</v>
      </c>
      <c r="AQ30" s="624" t="s">
        <v>5330</v>
      </c>
      <c r="AR30" s="83" t="s">
        <v>5331</v>
      </c>
      <c r="AS30" s="83" t="s">
        <v>5332</v>
      </c>
      <c r="AT30" s="83" t="s">
        <v>5333</v>
      </c>
      <c r="AU30" s="83" t="s">
        <v>5334</v>
      </c>
      <c r="AV30" s="83" t="s">
        <v>5335</v>
      </c>
      <c r="AW30" s="83" t="s">
        <v>5336</v>
      </c>
      <c r="AX30" s="83" t="s">
        <v>5337</v>
      </c>
      <c r="AY30" s="83" t="s">
        <v>5338</v>
      </c>
      <c r="AZ30" t="e">
        <f t="shared" si="26"/>
        <v>#VALUE!</v>
      </c>
      <c r="CX30" s="1723" t="e">
        <f t="shared" si="19"/>
        <v>#VALUE!</v>
      </c>
      <c r="CY30" s="1723" t="str">
        <f t="shared" si="27"/>
        <v/>
      </c>
      <c r="CZ30" s="1723" t="str">
        <f t="shared" si="28"/>
        <v xml:space="preserve"> * Las Embarazadas NO DEBEN ser mayor al total de mujeres. </v>
      </c>
      <c r="DA30" s="1723" t="e">
        <f t="shared" si="20"/>
        <v>#VALUE!</v>
      </c>
      <c r="DB30"/>
      <c r="DC30" s="1723" t="str">
        <f t="shared" si="29"/>
        <v xml:space="preserve"> * La variable Usuarios con Discapacidad No puede ser mayor al Total Ambos Sexos.</v>
      </c>
      <c r="DD30" s="1723" t="str">
        <f t="shared" si="30"/>
        <v xml:space="preserve"> * La variable Migrantes No puede ser mayor al Total Ambos Sexos.</v>
      </c>
      <c r="DE30" s="1723" t="str">
        <f t="shared" si="31"/>
        <v xml:space="preserve"> * La variable Niños, niñas, adolescentes y jóvenes SENAME No puede ser mayor al Total.</v>
      </c>
      <c r="DF30" s="1723" t="str">
        <f t="shared" si="32"/>
        <v xml:space="preserve"> * La variable Niños, niñas, adolescentes y jóvenes Mejor Niñez. No puede ser mayor al Total.</v>
      </c>
      <c r="DH30" s="1725" t="e">
        <f t="shared" si="21"/>
        <v>#VALUE!</v>
      </c>
      <c r="DI30" s="1725">
        <f t="shared" si="33"/>
        <v>0</v>
      </c>
      <c r="DJ30" s="1725">
        <f t="shared" si="34"/>
        <v>1</v>
      </c>
      <c r="DK30" s="1725" t="e">
        <f t="shared" si="22"/>
        <v>#VALUE!</v>
      </c>
      <c r="DL30"/>
      <c r="DM30" s="1725">
        <f t="shared" si="35"/>
        <v>1</v>
      </c>
      <c r="DN30" s="1725">
        <f t="shared" si="23"/>
        <v>1</v>
      </c>
      <c r="DO30" s="1725">
        <f t="shared" si="24"/>
        <v>1</v>
      </c>
      <c r="DP30" s="1725">
        <f t="shared" si="25"/>
        <v>1</v>
      </c>
    </row>
    <row r="31" spans="1:120" ht="15" customHeight="1" x14ac:dyDescent="0.3">
      <c r="A31" s="6269" t="s">
        <v>4931</v>
      </c>
      <c r="B31" s="7327" t="s">
        <v>715</v>
      </c>
      <c r="C31" s="7328"/>
      <c r="D31" s="7254"/>
      <c r="E31" s="1113" t="s">
        <v>5292</v>
      </c>
      <c r="F31" s="4161" t="s">
        <v>5293</v>
      </c>
      <c r="G31" s="786" t="s">
        <v>5294</v>
      </c>
      <c r="H31" s="616" t="s">
        <v>5295</v>
      </c>
      <c r="I31" s="626" t="s">
        <v>5296</v>
      </c>
      <c r="J31" s="616" t="s">
        <v>5297</v>
      </c>
      <c r="K31" s="83" t="s">
        <v>5298</v>
      </c>
      <c r="L31" s="616" t="s">
        <v>5299</v>
      </c>
      <c r="M31" s="626" t="s">
        <v>5300</v>
      </c>
      <c r="N31" s="616" t="s">
        <v>5301</v>
      </c>
      <c r="O31" s="83" t="s">
        <v>5302</v>
      </c>
      <c r="P31" s="616" t="s">
        <v>5303</v>
      </c>
      <c r="Q31" s="626" t="s">
        <v>5304</v>
      </c>
      <c r="R31" s="616" t="s">
        <v>5305</v>
      </c>
      <c r="S31" s="626" t="s">
        <v>5306</v>
      </c>
      <c r="T31" s="616" t="s">
        <v>5307</v>
      </c>
      <c r="U31" s="626" t="s">
        <v>5308</v>
      </c>
      <c r="V31" s="616" t="s">
        <v>5309</v>
      </c>
      <c r="W31" s="626" t="s">
        <v>5310</v>
      </c>
      <c r="X31" s="623" t="s">
        <v>5311</v>
      </c>
      <c r="Y31" s="791" t="s">
        <v>5312</v>
      </c>
      <c r="Z31" s="616" t="s">
        <v>5313</v>
      </c>
      <c r="AA31" s="626" t="s">
        <v>5314</v>
      </c>
      <c r="AB31" s="623" t="s">
        <v>5315</v>
      </c>
      <c r="AC31" s="791" t="s">
        <v>5316</v>
      </c>
      <c r="AD31" s="616" t="s">
        <v>5317</v>
      </c>
      <c r="AE31" s="626" t="s">
        <v>5318</v>
      </c>
      <c r="AF31" s="623" t="s">
        <v>5319</v>
      </c>
      <c r="AG31" s="791" t="s">
        <v>5320</v>
      </c>
      <c r="AH31" s="616" t="s">
        <v>5321</v>
      </c>
      <c r="AI31" s="626" t="s">
        <v>5322</v>
      </c>
      <c r="AJ31" s="623" t="s">
        <v>5323</v>
      </c>
      <c r="AK31" s="791" t="s">
        <v>5324</v>
      </c>
      <c r="AL31" s="616" t="s">
        <v>5325</v>
      </c>
      <c r="AM31" s="626" t="s">
        <v>5326</v>
      </c>
      <c r="AN31" s="623" t="s">
        <v>5327</v>
      </c>
      <c r="AO31" s="626" t="s">
        <v>5328</v>
      </c>
      <c r="AP31" s="623" t="s">
        <v>5329</v>
      </c>
      <c r="AQ31" s="624" t="s">
        <v>5330</v>
      </c>
      <c r="AR31" s="83" t="s">
        <v>5331</v>
      </c>
      <c r="AS31" s="83" t="s">
        <v>5332</v>
      </c>
      <c r="AT31" s="83" t="s">
        <v>5333</v>
      </c>
      <c r="AU31" s="83" t="s">
        <v>5334</v>
      </c>
      <c r="AV31" s="83" t="s">
        <v>5335</v>
      </c>
      <c r="AW31" s="83" t="s">
        <v>5336</v>
      </c>
      <c r="AX31" s="83" t="s">
        <v>5337</v>
      </c>
      <c r="AY31" s="83" t="s">
        <v>5338</v>
      </c>
      <c r="AZ31" t="e">
        <f t="shared" si="26"/>
        <v>#VALUE!</v>
      </c>
      <c r="CX31" s="1723" t="e">
        <f t="shared" si="19"/>
        <v>#VALUE!</v>
      </c>
      <c r="CY31" s="1723" t="str">
        <f t="shared" si="27"/>
        <v/>
      </c>
      <c r="CZ31" s="1723" t="str">
        <f t="shared" si="28"/>
        <v xml:space="preserve"> * Las Embarazadas NO DEBEN ser mayor al total de mujeres. </v>
      </c>
      <c r="DA31" s="1723" t="e">
        <f t="shared" si="20"/>
        <v>#VALUE!</v>
      </c>
      <c r="DB31"/>
      <c r="DC31" s="1723" t="str">
        <f t="shared" si="29"/>
        <v xml:space="preserve"> * La variable Usuarios con Discapacidad No puede ser mayor al Total Ambos Sexos.</v>
      </c>
      <c r="DD31" s="1723" t="str">
        <f t="shared" si="30"/>
        <v xml:space="preserve"> * La variable Migrantes No puede ser mayor al Total Ambos Sexos.</v>
      </c>
      <c r="DE31" s="1723" t="str">
        <f t="shared" si="31"/>
        <v xml:space="preserve"> * La variable Niños, niñas, adolescentes y jóvenes SENAME No puede ser mayor al Total.</v>
      </c>
      <c r="DF31" s="1723" t="str">
        <f t="shared" si="32"/>
        <v xml:space="preserve"> * La variable Niños, niñas, adolescentes y jóvenes Mejor Niñez. No puede ser mayor al Total.</v>
      </c>
      <c r="DH31" s="1725" t="e">
        <f t="shared" si="21"/>
        <v>#VALUE!</v>
      </c>
      <c r="DI31" s="1725">
        <f t="shared" si="33"/>
        <v>0</v>
      </c>
      <c r="DJ31" s="1725">
        <f t="shared" si="34"/>
        <v>1</v>
      </c>
      <c r="DK31" s="1725" t="e">
        <f t="shared" si="22"/>
        <v>#VALUE!</v>
      </c>
      <c r="DL31"/>
      <c r="DM31" s="1725">
        <f t="shared" si="35"/>
        <v>1</v>
      </c>
      <c r="DN31" s="1725">
        <f t="shared" si="23"/>
        <v>1</v>
      </c>
      <c r="DO31" s="1725">
        <f t="shared" si="24"/>
        <v>1</v>
      </c>
      <c r="DP31" s="1725">
        <f t="shared" si="25"/>
        <v>1</v>
      </c>
    </row>
    <row r="32" spans="1:120" ht="15" customHeight="1" x14ac:dyDescent="0.3">
      <c r="A32" s="6269" t="s">
        <v>4932</v>
      </c>
      <c r="B32" s="7327" t="s">
        <v>716</v>
      </c>
      <c r="C32" s="7328"/>
      <c r="D32" s="7254"/>
      <c r="E32" s="1113" t="s">
        <v>5292</v>
      </c>
      <c r="F32" s="4161" t="s">
        <v>5293</v>
      </c>
      <c r="G32" s="786" t="s">
        <v>5294</v>
      </c>
      <c r="H32" s="789" t="s">
        <v>5295</v>
      </c>
      <c r="I32" s="790" t="s">
        <v>5296</v>
      </c>
      <c r="J32" s="789" t="s">
        <v>5297</v>
      </c>
      <c r="K32" s="194" t="s">
        <v>5298</v>
      </c>
      <c r="L32" s="789" t="s">
        <v>5299</v>
      </c>
      <c r="M32" s="790" t="s">
        <v>5300</v>
      </c>
      <c r="N32" s="789" t="s">
        <v>5301</v>
      </c>
      <c r="O32" s="194" t="s">
        <v>5302</v>
      </c>
      <c r="P32" s="789" t="s">
        <v>5303</v>
      </c>
      <c r="Q32" s="790" t="s">
        <v>5304</v>
      </c>
      <c r="R32" s="789" t="s">
        <v>5305</v>
      </c>
      <c r="S32" s="790" t="s">
        <v>5306</v>
      </c>
      <c r="T32" s="789" t="s">
        <v>5307</v>
      </c>
      <c r="U32" s="790" t="s">
        <v>5308</v>
      </c>
      <c r="V32" s="616" t="s">
        <v>5309</v>
      </c>
      <c r="W32" s="626" t="s">
        <v>5310</v>
      </c>
      <c r="X32" s="623" t="s">
        <v>5311</v>
      </c>
      <c r="Y32" s="791" t="s">
        <v>5312</v>
      </c>
      <c r="Z32" s="616" t="s">
        <v>5313</v>
      </c>
      <c r="AA32" s="626" t="s">
        <v>5314</v>
      </c>
      <c r="AB32" s="623" t="s">
        <v>5315</v>
      </c>
      <c r="AC32" s="791" t="s">
        <v>5316</v>
      </c>
      <c r="AD32" s="616" t="s">
        <v>5317</v>
      </c>
      <c r="AE32" s="626" t="s">
        <v>5318</v>
      </c>
      <c r="AF32" s="623" t="s">
        <v>5319</v>
      </c>
      <c r="AG32" s="791" t="s">
        <v>5320</v>
      </c>
      <c r="AH32" s="616" t="s">
        <v>5321</v>
      </c>
      <c r="AI32" s="626" t="s">
        <v>5322</v>
      </c>
      <c r="AJ32" s="623" t="s">
        <v>5323</v>
      </c>
      <c r="AK32" s="791" t="s">
        <v>5324</v>
      </c>
      <c r="AL32" s="616" t="s">
        <v>5325</v>
      </c>
      <c r="AM32" s="626" t="s">
        <v>5326</v>
      </c>
      <c r="AN32" s="623" t="s">
        <v>5327</v>
      </c>
      <c r="AO32" s="626" t="s">
        <v>5328</v>
      </c>
      <c r="AP32" s="623" t="s">
        <v>5329</v>
      </c>
      <c r="AQ32" s="624" t="s">
        <v>5330</v>
      </c>
      <c r="AR32" s="83" t="s">
        <v>5331</v>
      </c>
      <c r="AS32" s="83" t="s">
        <v>5332</v>
      </c>
      <c r="AT32" s="83" t="s">
        <v>5333</v>
      </c>
      <c r="AU32" s="83" t="s">
        <v>5334</v>
      </c>
      <c r="AV32" s="83" t="s">
        <v>5335</v>
      </c>
      <c r="AW32" s="83" t="s">
        <v>5336</v>
      </c>
      <c r="AX32" s="83" t="s">
        <v>5337</v>
      </c>
      <c r="AY32" s="83" t="s">
        <v>5338</v>
      </c>
      <c r="AZ32" t="e">
        <f t="shared" si="26"/>
        <v>#VALUE!</v>
      </c>
      <c r="CX32" s="1723" t="e">
        <f t="shared" si="19"/>
        <v>#VALUE!</v>
      </c>
      <c r="CY32" s="1723" t="str">
        <f t="shared" si="27"/>
        <v/>
      </c>
      <c r="CZ32" s="1723" t="str">
        <f t="shared" si="28"/>
        <v xml:space="preserve"> * Las Embarazadas NO DEBEN ser mayor al total de mujeres. </v>
      </c>
      <c r="DA32" s="1723" t="e">
        <f t="shared" si="20"/>
        <v>#VALUE!</v>
      </c>
      <c r="DB32"/>
      <c r="DC32" s="1723" t="str">
        <f t="shared" si="29"/>
        <v xml:space="preserve"> * La variable Usuarios con Discapacidad No puede ser mayor al Total Ambos Sexos.</v>
      </c>
      <c r="DD32" s="1723" t="str">
        <f t="shared" si="30"/>
        <v xml:space="preserve"> * La variable Migrantes No puede ser mayor al Total Ambos Sexos.</v>
      </c>
      <c r="DE32" s="1723" t="str">
        <f t="shared" si="31"/>
        <v xml:space="preserve"> * La variable Niños, niñas, adolescentes y jóvenes SENAME No puede ser mayor al Total.</v>
      </c>
      <c r="DF32" s="1723" t="str">
        <f t="shared" si="32"/>
        <v xml:space="preserve"> * La variable Niños, niñas, adolescentes y jóvenes Mejor Niñez. No puede ser mayor al Total.</v>
      </c>
      <c r="DH32" s="1725" t="e">
        <f t="shared" si="21"/>
        <v>#VALUE!</v>
      </c>
      <c r="DI32" s="1725">
        <f t="shared" si="33"/>
        <v>0</v>
      </c>
      <c r="DJ32" s="1725">
        <f t="shared" si="34"/>
        <v>1</v>
      </c>
      <c r="DK32" s="1725" t="e">
        <f t="shared" si="22"/>
        <v>#VALUE!</v>
      </c>
      <c r="DL32"/>
      <c r="DM32" s="1725">
        <f t="shared" si="35"/>
        <v>1</v>
      </c>
      <c r="DN32" s="1725">
        <f t="shared" si="23"/>
        <v>1</v>
      </c>
      <c r="DO32" s="1725">
        <f t="shared" si="24"/>
        <v>1</v>
      </c>
      <c r="DP32" s="1725">
        <f t="shared" si="25"/>
        <v>1</v>
      </c>
    </row>
    <row r="33" spans="1:120" ht="15" customHeight="1" x14ac:dyDescent="0.3">
      <c r="A33" s="6269" t="s">
        <v>4933</v>
      </c>
      <c r="B33" s="7327" t="s">
        <v>717</v>
      </c>
      <c r="C33" s="7328"/>
      <c r="D33" s="7254"/>
      <c r="E33" s="1113" t="s">
        <v>5292</v>
      </c>
      <c r="F33" s="4161" t="s">
        <v>5293</v>
      </c>
      <c r="G33" s="786" t="s">
        <v>5294</v>
      </c>
      <c r="H33" s="616" t="s">
        <v>5295</v>
      </c>
      <c r="I33" s="626" t="s">
        <v>5296</v>
      </c>
      <c r="J33" s="616" t="s">
        <v>5297</v>
      </c>
      <c r="K33" s="83" t="s">
        <v>5298</v>
      </c>
      <c r="L33" s="616" t="s">
        <v>5299</v>
      </c>
      <c r="M33" s="626" t="s">
        <v>5300</v>
      </c>
      <c r="N33" s="616" t="s">
        <v>5301</v>
      </c>
      <c r="O33" s="83" t="s">
        <v>5302</v>
      </c>
      <c r="P33" s="616" t="s">
        <v>5303</v>
      </c>
      <c r="Q33" s="626" t="s">
        <v>5304</v>
      </c>
      <c r="R33" s="616" t="s">
        <v>5305</v>
      </c>
      <c r="S33" s="626" t="s">
        <v>5306</v>
      </c>
      <c r="T33" s="616" t="s">
        <v>5307</v>
      </c>
      <c r="U33" s="626" t="s">
        <v>5308</v>
      </c>
      <c r="V33" s="616" t="s">
        <v>5309</v>
      </c>
      <c r="W33" s="626" t="s">
        <v>5310</v>
      </c>
      <c r="X33" s="623" t="s">
        <v>5311</v>
      </c>
      <c r="Y33" s="791" t="s">
        <v>5312</v>
      </c>
      <c r="Z33" s="616" t="s">
        <v>5313</v>
      </c>
      <c r="AA33" s="626" t="s">
        <v>5314</v>
      </c>
      <c r="AB33" s="623" t="s">
        <v>5315</v>
      </c>
      <c r="AC33" s="791" t="s">
        <v>5316</v>
      </c>
      <c r="AD33" s="616" t="s">
        <v>5317</v>
      </c>
      <c r="AE33" s="626" t="s">
        <v>5318</v>
      </c>
      <c r="AF33" s="623" t="s">
        <v>5319</v>
      </c>
      <c r="AG33" s="791" t="s">
        <v>5320</v>
      </c>
      <c r="AH33" s="616" t="s">
        <v>5321</v>
      </c>
      <c r="AI33" s="626" t="s">
        <v>5322</v>
      </c>
      <c r="AJ33" s="623" t="s">
        <v>5323</v>
      </c>
      <c r="AK33" s="791" t="s">
        <v>5324</v>
      </c>
      <c r="AL33" s="616" t="s">
        <v>5325</v>
      </c>
      <c r="AM33" s="626" t="s">
        <v>5326</v>
      </c>
      <c r="AN33" s="623" t="s">
        <v>5327</v>
      </c>
      <c r="AO33" s="626" t="s">
        <v>5328</v>
      </c>
      <c r="AP33" s="623" t="s">
        <v>5329</v>
      </c>
      <c r="AQ33" s="624" t="s">
        <v>5330</v>
      </c>
      <c r="AR33" s="83" t="s">
        <v>5331</v>
      </c>
      <c r="AS33" s="83" t="s">
        <v>5332</v>
      </c>
      <c r="AT33" s="83" t="s">
        <v>5333</v>
      </c>
      <c r="AU33" s="83" t="s">
        <v>5334</v>
      </c>
      <c r="AV33" s="83" t="s">
        <v>5335</v>
      </c>
      <c r="AW33" s="83" t="s">
        <v>5336</v>
      </c>
      <c r="AX33" s="83" t="s">
        <v>5337</v>
      </c>
      <c r="AY33" s="83" t="s">
        <v>5338</v>
      </c>
      <c r="AZ33" t="e">
        <f t="shared" si="26"/>
        <v>#VALUE!</v>
      </c>
      <c r="CX33" s="1723" t="e">
        <f t="shared" si="19"/>
        <v>#VALUE!</v>
      </c>
      <c r="CY33" s="1723" t="str">
        <f t="shared" si="27"/>
        <v/>
      </c>
      <c r="CZ33" s="1723" t="str">
        <f t="shared" si="28"/>
        <v xml:space="preserve"> * Las Embarazadas NO DEBEN ser mayor al total de mujeres. </v>
      </c>
      <c r="DA33" s="1723" t="e">
        <f t="shared" si="20"/>
        <v>#VALUE!</v>
      </c>
      <c r="DB33"/>
      <c r="DC33" s="1723" t="str">
        <f t="shared" si="29"/>
        <v xml:space="preserve"> * La variable Usuarios con Discapacidad No puede ser mayor al Total Ambos Sexos.</v>
      </c>
      <c r="DD33" s="1723" t="str">
        <f t="shared" si="30"/>
        <v xml:space="preserve"> * La variable Migrantes No puede ser mayor al Total Ambos Sexos.</v>
      </c>
      <c r="DE33" s="1723" t="str">
        <f t="shared" si="31"/>
        <v xml:space="preserve"> * La variable Niños, niñas, adolescentes y jóvenes SENAME No puede ser mayor al Total.</v>
      </c>
      <c r="DF33" s="1723" t="str">
        <f t="shared" si="32"/>
        <v xml:space="preserve"> * La variable Niños, niñas, adolescentes y jóvenes Mejor Niñez. No puede ser mayor al Total.</v>
      </c>
      <c r="DH33" s="1725" t="e">
        <f t="shared" si="21"/>
        <v>#VALUE!</v>
      </c>
      <c r="DI33" s="1725">
        <f t="shared" si="33"/>
        <v>0</v>
      </c>
      <c r="DJ33" s="1725">
        <f t="shared" si="34"/>
        <v>1</v>
      </c>
      <c r="DK33" s="1725" t="e">
        <f t="shared" si="22"/>
        <v>#VALUE!</v>
      </c>
      <c r="DL33"/>
      <c r="DM33" s="1725">
        <f t="shared" si="35"/>
        <v>1</v>
      </c>
      <c r="DN33" s="1725">
        <f t="shared" si="23"/>
        <v>1</v>
      </c>
      <c r="DO33" s="1725">
        <f t="shared" si="24"/>
        <v>1</v>
      </c>
      <c r="DP33" s="1725">
        <f t="shared" si="25"/>
        <v>1</v>
      </c>
    </row>
    <row r="34" spans="1:120" ht="15" customHeight="1" x14ac:dyDescent="0.3">
      <c r="A34" s="6269" t="s">
        <v>4934</v>
      </c>
      <c r="B34" s="7327" t="s">
        <v>718</v>
      </c>
      <c r="C34" s="7328"/>
      <c r="D34" s="7254"/>
      <c r="E34" s="1113" t="s">
        <v>5292</v>
      </c>
      <c r="F34" s="4161" t="s">
        <v>5293</v>
      </c>
      <c r="G34" s="786" t="s">
        <v>5294</v>
      </c>
      <c r="H34" s="616" t="s">
        <v>5295</v>
      </c>
      <c r="I34" s="626" t="s">
        <v>5296</v>
      </c>
      <c r="J34" s="616" t="s">
        <v>5297</v>
      </c>
      <c r="K34" s="83" t="s">
        <v>5298</v>
      </c>
      <c r="L34" s="616" t="s">
        <v>5299</v>
      </c>
      <c r="M34" s="626" t="s">
        <v>5300</v>
      </c>
      <c r="N34" s="616" t="s">
        <v>5301</v>
      </c>
      <c r="O34" s="83" t="s">
        <v>5302</v>
      </c>
      <c r="P34" s="616" t="s">
        <v>5303</v>
      </c>
      <c r="Q34" s="626" t="s">
        <v>5304</v>
      </c>
      <c r="R34" s="616" t="s">
        <v>5305</v>
      </c>
      <c r="S34" s="626" t="s">
        <v>5306</v>
      </c>
      <c r="T34" s="616" t="s">
        <v>5307</v>
      </c>
      <c r="U34" s="626" t="s">
        <v>5308</v>
      </c>
      <c r="V34" s="616" t="s">
        <v>5309</v>
      </c>
      <c r="W34" s="626" t="s">
        <v>5310</v>
      </c>
      <c r="X34" s="623" t="s">
        <v>5311</v>
      </c>
      <c r="Y34" s="791" t="s">
        <v>5312</v>
      </c>
      <c r="Z34" s="616" t="s">
        <v>5313</v>
      </c>
      <c r="AA34" s="626" t="s">
        <v>5314</v>
      </c>
      <c r="AB34" s="623" t="s">
        <v>5315</v>
      </c>
      <c r="AC34" s="791" t="s">
        <v>5316</v>
      </c>
      <c r="AD34" s="616" t="s">
        <v>5317</v>
      </c>
      <c r="AE34" s="626" t="s">
        <v>5318</v>
      </c>
      <c r="AF34" s="623" t="s">
        <v>5319</v>
      </c>
      <c r="AG34" s="791" t="s">
        <v>5320</v>
      </c>
      <c r="AH34" s="616" t="s">
        <v>5321</v>
      </c>
      <c r="AI34" s="626" t="s">
        <v>5322</v>
      </c>
      <c r="AJ34" s="623" t="s">
        <v>5323</v>
      </c>
      <c r="AK34" s="791" t="s">
        <v>5324</v>
      </c>
      <c r="AL34" s="616" t="s">
        <v>5325</v>
      </c>
      <c r="AM34" s="626" t="s">
        <v>5326</v>
      </c>
      <c r="AN34" s="623" t="s">
        <v>5327</v>
      </c>
      <c r="AO34" s="626" t="s">
        <v>5328</v>
      </c>
      <c r="AP34" s="623" t="s">
        <v>5329</v>
      </c>
      <c r="AQ34" s="624" t="s">
        <v>5330</v>
      </c>
      <c r="AR34" s="83" t="s">
        <v>5331</v>
      </c>
      <c r="AS34" s="83" t="s">
        <v>5332</v>
      </c>
      <c r="AT34" s="83" t="s">
        <v>5333</v>
      </c>
      <c r="AU34" s="83" t="s">
        <v>5334</v>
      </c>
      <c r="AV34" s="83" t="s">
        <v>5335</v>
      </c>
      <c r="AW34" s="83" t="s">
        <v>5336</v>
      </c>
      <c r="AX34" s="83" t="s">
        <v>5337</v>
      </c>
      <c r="AY34" s="83" t="s">
        <v>5338</v>
      </c>
      <c r="AZ34" t="e">
        <f t="shared" si="26"/>
        <v>#VALUE!</v>
      </c>
      <c r="CX34" s="1723" t="e">
        <f t="shared" si="19"/>
        <v>#VALUE!</v>
      </c>
      <c r="CY34" s="1723" t="str">
        <f t="shared" si="27"/>
        <v/>
      </c>
      <c r="CZ34" s="1723" t="str">
        <f t="shared" si="28"/>
        <v xml:space="preserve"> * Las Embarazadas NO DEBEN ser mayor al total de mujeres. </v>
      </c>
      <c r="DA34" s="1723" t="e">
        <f t="shared" si="20"/>
        <v>#VALUE!</v>
      </c>
      <c r="DB34"/>
      <c r="DC34" s="1723" t="str">
        <f t="shared" si="29"/>
        <v xml:space="preserve"> * La variable Usuarios con Discapacidad No puede ser mayor al Total Ambos Sexos.</v>
      </c>
      <c r="DD34" s="1723" t="str">
        <f t="shared" si="30"/>
        <v xml:space="preserve"> * La variable Migrantes No puede ser mayor al Total Ambos Sexos.</v>
      </c>
      <c r="DE34" s="1723" t="str">
        <f t="shared" si="31"/>
        <v xml:space="preserve"> * La variable Niños, niñas, adolescentes y jóvenes SENAME No puede ser mayor al Total.</v>
      </c>
      <c r="DF34" s="1723" t="str">
        <f t="shared" si="32"/>
        <v xml:space="preserve"> * La variable Niños, niñas, adolescentes y jóvenes Mejor Niñez. No puede ser mayor al Total.</v>
      </c>
      <c r="DH34" s="1725" t="e">
        <f t="shared" si="21"/>
        <v>#VALUE!</v>
      </c>
      <c r="DI34" s="1725">
        <f t="shared" si="33"/>
        <v>0</v>
      </c>
      <c r="DJ34" s="1725">
        <f t="shared" si="34"/>
        <v>1</v>
      </c>
      <c r="DK34" s="1725" t="e">
        <f t="shared" si="22"/>
        <v>#VALUE!</v>
      </c>
      <c r="DL34"/>
      <c r="DM34" s="1725">
        <f t="shared" si="35"/>
        <v>1</v>
      </c>
      <c r="DN34" s="1725">
        <f t="shared" si="23"/>
        <v>1</v>
      </c>
      <c r="DO34" s="1725">
        <f t="shared" si="24"/>
        <v>1</v>
      </c>
      <c r="DP34" s="1725">
        <f t="shared" si="25"/>
        <v>1</v>
      </c>
    </row>
    <row r="35" spans="1:120" ht="15" customHeight="1" x14ac:dyDescent="0.3">
      <c r="A35" s="6269" t="s">
        <v>4935</v>
      </c>
      <c r="B35" s="7334" t="s">
        <v>719</v>
      </c>
      <c r="C35" s="7335"/>
      <c r="D35" s="7336"/>
      <c r="E35" s="3192" t="s">
        <v>5292</v>
      </c>
      <c r="F35" s="583" t="s">
        <v>5293</v>
      </c>
      <c r="G35" s="380" t="s">
        <v>5294</v>
      </c>
      <c r="H35" s="114" t="s">
        <v>5295</v>
      </c>
      <c r="I35" s="116" t="s">
        <v>5296</v>
      </c>
      <c r="J35" s="114" t="s">
        <v>5297</v>
      </c>
      <c r="K35" s="117" t="s">
        <v>5298</v>
      </c>
      <c r="L35" s="114" t="s">
        <v>5299</v>
      </c>
      <c r="M35" s="116" t="s">
        <v>5300</v>
      </c>
      <c r="N35" s="114" t="s">
        <v>5301</v>
      </c>
      <c r="O35" s="117" t="s">
        <v>5302</v>
      </c>
      <c r="P35" s="114" t="s">
        <v>5303</v>
      </c>
      <c r="Q35" s="116" t="s">
        <v>5304</v>
      </c>
      <c r="R35" s="114" t="s">
        <v>5305</v>
      </c>
      <c r="S35" s="116" t="s">
        <v>5306</v>
      </c>
      <c r="T35" s="114" t="s">
        <v>5307</v>
      </c>
      <c r="U35" s="116" t="s">
        <v>5308</v>
      </c>
      <c r="V35" s="114" t="s">
        <v>5309</v>
      </c>
      <c r="W35" s="116" t="s">
        <v>5310</v>
      </c>
      <c r="X35" s="121" t="s">
        <v>5311</v>
      </c>
      <c r="Y35" s="137" t="s">
        <v>5312</v>
      </c>
      <c r="Z35" s="114" t="s">
        <v>5313</v>
      </c>
      <c r="AA35" s="116" t="s">
        <v>5314</v>
      </c>
      <c r="AB35" s="121" t="s">
        <v>5315</v>
      </c>
      <c r="AC35" s="137" t="s">
        <v>5316</v>
      </c>
      <c r="AD35" s="114" t="s">
        <v>5317</v>
      </c>
      <c r="AE35" s="116" t="s">
        <v>5318</v>
      </c>
      <c r="AF35" s="121" t="s">
        <v>5319</v>
      </c>
      <c r="AG35" s="137" t="s">
        <v>5320</v>
      </c>
      <c r="AH35" s="114" t="s">
        <v>5321</v>
      </c>
      <c r="AI35" s="116" t="s">
        <v>5322</v>
      </c>
      <c r="AJ35" s="121" t="s">
        <v>5323</v>
      </c>
      <c r="AK35" s="137" t="s">
        <v>5324</v>
      </c>
      <c r="AL35" s="114" t="s">
        <v>5325</v>
      </c>
      <c r="AM35" s="116" t="s">
        <v>5326</v>
      </c>
      <c r="AN35" s="121" t="s">
        <v>5327</v>
      </c>
      <c r="AO35" s="116" t="s">
        <v>5328</v>
      </c>
      <c r="AP35" s="121" t="s">
        <v>5329</v>
      </c>
      <c r="AQ35" s="162" t="s">
        <v>5330</v>
      </c>
      <c r="AR35" s="792" t="s">
        <v>5331</v>
      </c>
      <c r="AS35" s="792" t="s">
        <v>5332</v>
      </c>
      <c r="AT35" s="792" t="s">
        <v>5333</v>
      </c>
      <c r="AU35" s="792" t="s">
        <v>5334</v>
      </c>
      <c r="AV35" s="792" t="s">
        <v>5335</v>
      </c>
      <c r="AW35" s="792" t="s">
        <v>5336</v>
      </c>
      <c r="AX35" s="792" t="s">
        <v>5337</v>
      </c>
      <c r="AY35" s="792" t="s">
        <v>5338</v>
      </c>
      <c r="AZ35" t="e">
        <f t="shared" si="26"/>
        <v>#VALUE!</v>
      </c>
      <c r="CX35" s="1723" t="e">
        <f t="shared" si="19"/>
        <v>#VALUE!</v>
      </c>
      <c r="CY35" s="1723" t="str">
        <f t="shared" si="27"/>
        <v/>
      </c>
      <c r="CZ35" s="1723" t="str">
        <f t="shared" si="28"/>
        <v xml:space="preserve"> * Las Embarazadas NO DEBEN ser mayor al total de mujeres. </v>
      </c>
      <c r="DA35" s="1723" t="e">
        <f t="shared" si="20"/>
        <v>#VALUE!</v>
      </c>
      <c r="DB35"/>
      <c r="DC35" s="1723" t="str">
        <f t="shared" si="29"/>
        <v xml:space="preserve"> * La variable Usuarios con Discapacidad No puede ser mayor al Total Ambos Sexos.</v>
      </c>
      <c r="DD35" s="1723" t="str">
        <f t="shared" si="30"/>
        <v xml:space="preserve"> * La variable Migrantes No puede ser mayor al Total Ambos Sexos.</v>
      </c>
      <c r="DE35" s="1723" t="str">
        <f t="shared" si="31"/>
        <v xml:space="preserve"> * La variable Niños, niñas, adolescentes y jóvenes SENAME No puede ser mayor al Total.</v>
      </c>
      <c r="DF35" s="1723" t="str">
        <f t="shared" si="32"/>
        <v xml:space="preserve"> * La variable Niños, niñas, adolescentes y jóvenes Mejor Niñez. No puede ser mayor al Total.</v>
      </c>
      <c r="DH35" s="1725" t="e">
        <f t="shared" si="21"/>
        <v>#VALUE!</v>
      </c>
      <c r="DI35" s="1725">
        <f t="shared" si="33"/>
        <v>0</v>
      </c>
      <c r="DJ35" s="1725">
        <f t="shared" si="34"/>
        <v>1</v>
      </c>
      <c r="DK35" s="1725" t="e">
        <f t="shared" si="22"/>
        <v>#VALUE!</v>
      </c>
      <c r="DL35"/>
      <c r="DM35" s="1725">
        <f t="shared" si="35"/>
        <v>1</v>
      </c>
      <c r="DN35" s="1725">
        <f t="shared" si="23"/>
        <v>1</v>
      </c>
      <c r="DO35" s="1725">
        <f t="shared" si="24"/>
        <v>1</v>
      </c>
      <c r="DP35" s="1725">
        <f t="shared" si="25"/>
        <v>1</v>
      </c>
    </row>
    <row r="36" spans="1:120" x14ac:dyDescent="0.3">
      <c r="A36" s="6235"/>
      <c r="B36" s="7323" t="s">
        <v>567</v>
      </c>
      <c r="C36" s="7323"/>
      <c r="D36" s="7323"/>
      <c r="E36" s="4697">
        <f t="shared" ref="E36:AW36" si="36">SUM(E19:E35)</f>
        <v>0</v>
      </c>
      <c r="F36" s="4687">
        <f t="shared" si="36"/>
        <v>0</v>
      </c>
      <c r="G36" s="575">
        <f t="shared" si="36"/>
        <v>0</v>
      </c>
      <c r="H36" s="574">
        <f t="shared" si="36"/>
        <v>0</v>
      </c>
      <c r="I36" s="575">
        <f t="shared" si="36"/>
        <v>0</v>
      </c>
      <c r="J36" s="574">
        <f t="shared" si="36"/>
        <v>0</v>
      </c>
      <c r="K36" s="575">
        <f t="shared" si="36"/>
        <v>0</v>
      </c>
      <c r="L36" s="574">
        <f t="shared" si="36"/>
        <v>0</v>
      </c>
      <c r="M36" s="575">
        <f t="shared" si="36"/>
        <v>0</v>
      </c>
      <c r="N36" s="574">
        <f t="shared" si="36"/>
        <v>0</v>
      </c>
      <c r="O36" s="575">
        <f t="shared" si="36"/>
        <v>0</v>
      </c>
      <c r="P36" s="574">
        <f t="shared" si="36"/>
        <v>0</v>
      </c>
      <c r="Q36" s="575">
        <f t="shared" si="36"/>
        <v>0</v>
      </c>
      <c r="R36" s="574">
        <f t="shared" si="36"/>
        <v>0</v>
      </c>
      <c r="S36" s="575">
        <f t="shared" si="36"/>
        <v>0</v>
      </c>
      <c r="T36" s="574">
        <f t="shared" si="36"/>
        <v>0</v>
      </c>
      <c r="U36" s="575">
        <f t="shared" si="36"/>
        <v>0</v>
      </c>
      <c r="V36" s="574">
        <f t="shared" si="36"/>
        <v>0</v>
      </c>
      <c r="W36" s="575">
        <f t="shared" si="36"/>
        <v>0</v>
      </c>
      <c r="X36" s="576">
        <f t="shared" si="36"/>
        <v>0</v>
      </c>
      <c r="Y36" s="2431">
        <f t="shared" si="36"/>
        <v>0</v>
      </c>
      <c r="Z36" s="574">
        <f t="shared" si="36"/>
        <v>0</v>
      </c>
      <c r="AA36" s="575">
        <f t="shared" si="36"/>
        <v>0</v>
      </c>
      <c r="AB36" s="576">
        <f t="shared" si="36"/>
        <v>0</v>
      </c>
      <c r="AC36" s="2431">
        <f t="shared" si="36"/>
        <v>0</v>
      </c>
      <c r="AD36" s="574">
        <f t="shared" si="36"/>
        <v>0</v>
      </c>
      <c r="AE36" s="575">
        <f t="shared" si="36"/>
        <v>0</v>
      </c>
      <c r="AF36" s="574">
        <f t="shared" si="36"/>
        <v>0</v>
      </c>
      <c r="AG36" s="2431">
        <f t="shared" si="36"/>
        <v>0</v>
      </c>
      <c r="AH36" s="574">
        <f t="shared" si="36"/>
        <v>0</v>
      </c>
      <c r="AI36" s="575">
        <f t="shared" si="36"/>
        <v>0</v>
      </c>
      <c r="AJ36" s="574">
        <f t="shared" si="36"/>
        <v>0</v>
      </c>
      <c r="AK36" s="2431">
        <f t="shared" si="36"/>
        <v>0</v>
      </c>
      <c r="AL36" s="574">
        <f t="shared" si="36"/>
        <v>0</v>
      </c>
      <c r="AM36" s="575">
        <f t="shared" si="36"/>
        <v>0</v>
      </c>
      <c r="AN36" s="574">
        <f t="shared" si="36"/>
        <v>0</v>
      </c>
      <c r="AO36" s="575">
        <f t="shared" si="36"/>
        <v>0</v>
      </c>
      <c r="AP36" s="574">
        <f t="shared" si="36"/>
        <v>0</v>
      </c>
      <c r="AQ36" s="764">
        <f t="shared" si="36"/>
        <v>0</v>
      </c>
      <c r="AR36" s="575">
        <f t="shared" si="36"/>
        <v>0</v>
      </c>
      <c r="AS36" s="575">
        <f t="shared" si="36"/>
        <v>0</v>
      </c>
      <c r="AT36" s="585">
        <f t="shared" si="36"/>
        <v>0</v>
      </c>
      <c r="AU36" s="585">
        <f t="shared" si="36"/>
        <v>0</v>
      </c>
      <c r="AV36" s="585">
        <f t="shared" si="36"/>
        <v>0</v>
      </c>
      <c r="AW36" s="585">
        <f t="shared" si="36"/>
        <v>0</v>
      </c>
      <c r="AX36" s="585">
        <f>SUM(AX19:AX35)</f>
        <v>0</v>
      </c>
      <c r="AY36" s="585">
        <f>SUM(AY19:AY35)</f>
        <v>0</v>
      </c>
      <c r="CX36"/>
      <c r="CY36"/>
      <c r="CZ36"/>
      <c r="DA36"/>
      <c r="DB36"/>
      <c r="DC36"/>
      <c r="DD36"/>
      <c r="DE36"/>
      <c r="DF36"/>
      <c r="DH36"/>
      <c r="DI36"/>
      <c r="DJ36"/>
      <c r="DK36"/>
      <c r="DL36"/>
      <c r="DM36"/>
      <c r="DN36"/>
    </row>
    <row r="37" spans="1:120" ht="18" customHeight="1" x14ac:dyDescent="0.3">
      <c r="B37" s="122" t="s">
        <v>720</v>
      </c>
      <c r="C37" s="2432"/>
      <c r="D37" s="2432"/>
      <c r="E37" s="163"/>
      <c r="F37" s="777"/>
      <c r="G37" s="777"/>
      <c r="H37" s="777"/>
      <c r="I37" s="777"/>
      <c r="J37" s="777"/>
      <c r="K37" s="777"/>
      <c r="L37" s="777"/>
      <c r="M37" s="777"/>
      <c r="N37" s="777"/>
      <c r="O37" s="777"/>
      <c r="P37" s="777"/>
      <c r="Q37" s="777"/>
      <c r="R37" s="777"/>
      <c r="S37" s="777"/>
      <c r="T37" s="777"/>
      <c r="U37" s="777"/>
      <c r="V37" s="777"/>
      <c r="W37" s="777"/>
      <c r="X37" s="777"/>
      <c r="Y37" s="777"/>
      <c r="Z37" s="777"/>
      <c r="AA37" s="777"/>
      <c r="AB37" s="777"/>
      <c r="AC37" s="777"/>
      <c r="AD37" s="777"/>
      <c r="AE37" s="777"/>
      <c r="AF37" s="777"/>
      <c r="AG37" s="777"/>
      <c r="AH37" s="777"/>
      <c r="AI37" s="777"/>
      <c r="AJ37" s="777"/>
      <c r="AK37" s="777"/>
      <c r="AL37" s="777"/>
      <c r="AM37" s="777"/>
      <c r="AN37" s="777"/>
      <c r="AO37" s="777"/>
      <c r="AP37" s="777"/>
      <c r="AQ37" s="777"/>
      <c r="AR37" s="777"/>
      <c r="AS37" s="2433"/>
      <c r="AT37" s="2433"/>
      <c r="AU37" s="2433"/>
      <c r="AV37" s="777"/>
      <c r="AW37" s="777"/>
      <c r="AX37" s="777"/>
      <c r="AY37" s="777"/>
      <c r="CX37"/>
      <c r="CY37"/>
      <c r="CZ37"/>
      <c r="DA37"/>
      <c r="DB37"/>
      <c r="DC37"/>
      <c r="DD37"/>
      <c r="DE37"/>
      <c r="DF37"/>
      <c r="DH37"/>
      <c r="DI37"/>
      <c r="DJ37"/>
      <c r="DK37"/>
      <c r="DL37"/>
      <c r="DM37"/>
      <c r="DN37"/>
    </row>
    <row r="38" spans="1:120" x14ac:dyDescent="0.3">
      <c r="A38" s="6236"/>
      <c r="B38" s="7201" t="s">
        <v>721</v>
      </c>
      <c r="C38" s="6341"/>
      <c r="D38" s="6341"/>
      <c r="E38" s="7201" t="s">
        <v>35</v>
      </c>
      <c r="F38" s="6341"/>
      <c r="G38" s="7202"/>
      <c r="H38" s="7296" t="s">
        <v>30</v>
      </c>
      <c r="I38" s="7297"/>
      <c r="J38" s="7297"/>
      <c r="K38" s="7297"/>
      <c r="L38" s="7297"/>
      <c r="M38" s="7297"/>
      <c r="N38" s="7297"/>
      <c r="O38" s="7297"/>
      <c r="P38" s="7297"/>
      <c r="Q38" s="7297"/>
      <c r="R38" s="7297"/>
      <c r="S38" s="7297"/>
      <c r="T38" s="7297"/>
      <c r="U38" s="7297"/>
      <c r="V38" s="7297"/>
      <c r="W38" s="7297"/>
      <c r="X38" s="7297"/>
      <c r="Y38" s="7297"/>
      <c r="Z38" s="7297"/>
      <c r="AA38" s="7297"/>
      <c r="AB38" s="7297"/>
      <c r="AC38" s="7297"/>
      <c r="AD38" s="7297"/>
      <c r="AE38" s="7297"/>
      <c r="AF38" s="7297"/>
      <c r="AG38" s="7297"/>
      <c r="AH38" s="7297"/>
      <c r="AI38" s="7297"/>
      <c r="AJ38" s="7297"/>
      <c r="AK38" s="7297"/>
      <c r="AL38" s="7297"/>
      <c r="AM38" s="7297"/>
      <c r="AN38" s="7297"/>
      <c r="AO38" s="7297"/>
      <c r="AP38" s="7297"/>
      <c r="AQ38" s="7298"/>
      <c r="AR38" s="7339" t="s">
        <v>676</v>
      </c>
      <c r="AS38" s="7202" t="s">
        <v>327</v>
      </c>
      <c r="AT38" s="7202" t="s">
        <v>677</v>
      </c>
      <c r="AU38" s="7202" t="s">
        <v>678</v>
      </c>
      <c r="AV38" s="7299" t="s">
        <v>722</v>
      </c>
      <c r="AW38" s="7299" t="s">
        <v>681</v>
      </c>
      <c r="AX38" s="7299" t="s">
        <v>3</v>
      </c>
      <c r="AY38" s="6393" t="s">
        <v>723</v>
      </c>
      <c r="CX38"/>
      <c r="CY38"/>
      <c r="CZ38"/>
      <c r="DA38"/>
      <c r="DB38"/>
      <c r="DC38"/>
      <c r="DD38"/>
      <c r="DE38"/>
      <c r="DF38"/>
      <c r="DH38"/>
      <c r="DI38"/>
      <c r="DJ38"/>
      <c r="DK38"/>
      <c r="DL38"/>
      <c r="DM38"/>
      <c r="DN38"/>
    </row>
    <row r="39" spans="1:120" ht="21.75" customHeight="1" x14ac:dyDescent="0.3">
      <c r="A39" s="6236"/>
      <c r="B39" s="7238"/>
      <c r="C39" s="6344"/>
      <c r="D39" s="7337"/>
      <c r="E39" s="7344"/>
      <c r="F39" s="7345"/>
      <c r="G39" s="7295"/>
      <c r="H39" s="7338" t="s">
        <v>682</v>
      </c>
      <c r="I39" s="7308"/>
      <c r="J39" s="7296" t="s">
        <v>683</v>
      </c>
      <c r="K39" s="7306"/>
      <c r="L39" s="7297" t="s">
        <v>684</v>
      </c>
      <c r="M39" s="7306"/>
      <c r="N39" s="7296" t="s">
        <v>685</v>
      </c>
      <c r="O39" s="7306"/>
      <c r="P39" s="7296" t="s">
        <v>686</v>
      </c>
      <c r="Q39" s="7306"/>
      <c r="R39" s="7296" t="s">
        <v>687</v>
      </c>
      <c r="S39" s="7306"/>
      <c r="T39" s="7296" t="s">
        <v>688</v>
      </c>
      <c r="U39" s="7306"/>
      <c r="V39" s="7296" t="s">
        <v>689</v>
      </c>
      <c r="W39" s="7306"/>
      <c r="X39" s="7296" t="s">
        <v>690</v>
      </c>
      <c r="Y39" s="7306"/>
      <c r="Z39" s="7296" t="s">
        <v>554</v>
      </c>
      <c r="AA39" s="7308"/>
      <c r="AB39" s="7296" t="s">
        <v>568</v>
      </c>
      <c r="AC39" s="7308"/>
      <c r="AD39" s="7296" t="s">
        <v>691</v>
      </c>
      <c r="AE39" s="7308"/>
      <c r="AF39" s="7296" t="s">
        <v>692</v>
      </c>
      <c r="AG39" s="7308"/>
      <c r="AH39" s="7296" t="s">
        <v>693</v>
      </c>
      <c r="AI39" s="7308"/>
      <c r="AJ39" s="7296" t="s">
        <v>694</v>
      </c>
      <c r="AK39" s="7308"/>
      <c r="AL39" s="7296" t="s">
        <v>556</v>
      </c>
      <c r="AM39" s="7308"/>
      <c r="AN39" s="7296" t="s">
        <v>695</v>
      </c>
      <c r="AO39" s="7308"/>
      <c r="AP39" s="7296" t="s">
        <v>57</v>
      </c>
      <c r="AQ39" s="7307"/>
      <c r="AR39" s="6668"/>
      <c r="AS39" s="7218"/>
      <c r="AT39" s="7218"/>
      <c r="AU39" s="7218"/>
      <c r="AV39" s="7213"/>
      <c r="AW39" s="7213"/>
      <c r="AX39" s="7213"/>
      <c r="AY39" s="6373"/>
      <c r="CX39"/>
      <c r="CY39"/>
      <c r="CZ39"/>
      <c r="DA39"/>
      <c r="DB39"/>
      <c r="DC39"/>
      <c r="DD39"/>
      <c r="DE39"/>
      <c r="DF39"/>
      <c r="DH39"/>
      <c r="DI39"/>
      <c r="DJ39"/>
      <c r="DK39"/>
      <c r="DL39"/>
      <c r="DM39"/>
      <c r="DN39"/>
    </row>
    <row r="40" spans="1:120" ht="21" customHeight="1" x14ac:dyDescent="0.3">
      <c r="A40" s="6236"/>
      <c r="B40" s="7337"/>
      <c r="C40" s="7337"/>
      <c r="D40" s="7218"/>
      <c r="E40" s="569" t="s">
        <v>26</v>
      </c>
      <c r="F40" s="555" t="s">
        <v>22</v>
      </c>
      <c r="G40" s="568" t="s">
        <v>27</v>
      </c>
      <c r="H40" s="569" t="s">
        <v>22</v>
      </c>
      <c r="I40" s="568" t="s">
        <v>27</v>
      </c>
      <c r="J40" s="569" t="s">
        <v>22</v>
      </c>
      <c r="K40" s="568" t="s">
        <v>27</v>
      </c>
      <c r="L40" s="573" t="s">
        <v>22</v>
      </c>
      <c r="M40" s="568" t="s">
        <v>27</v>
      </c>
      <c r="N40" s="555" t="s">
        <v>22</v>
      </c>
      <c r="O40" s="568" t="s">
        <v>27</v>
      </c>
      <c r="P40" s="555" t="s">
        <v>22</v>
      </c>
      <c r="Q40" s="568" t="s">
        <v>27</v>
      </c>
      <c r="R40" s="555" t="s">
        <v>22</v>
      </c>
      <c r="S40" s="568" t="s">
        <v>27</v>
      </c>
      <c r="T40" s="555" t="s">
        <v>22</v>
      </c>
      <c r="U40" s="568" t="s">
        <v>27</v>
      </c>
      <c r="V40" s="595" t="s">
        <v>22</v>
      </c>
      <c r="W40" s="597" t="s">
        <v>27</v>
      </c>
      <c r="X40" s="595" t="s">
        <v>22</v>
      </c>
      <c r="Y40" s="597" t="s">
        <v>27</v>
      </c>
      <c r="Z40" s="595" t="s">
        <v>22</v>
      </c>
      <c r="AA40" s="597" t="s">
        <v>27</v>
      </c>
      <c r="AB40" s="595" t="s">
        <v>22</v>
      </c>
      <c r="AC40" s="597" t="s">
        <v>27</v>
      </c>
      <c r="AD40" s="595" t="s">
        <v>22</v>
      </c>
      <c r="AE40" s="597" t="s">
        <v>27</v>
      </c>
      <c r="AF40" s="595" t="s">
        <v>22</v>
      </c>
      <c r="AG40" s="597" t="s">
        <v>27</v>
      </c>
      <c r="AH40" s="595" t="s">
        <v>22</v>
      </c>
      <c r="AI40" s="597" t="s">
        <v>27</v>
      </c>
      <c r="AJ40" s="595" t="s">
        <v>22</v>
      </c>
      <c r="AK40" s="597" t="s">
        <v>27</v>
      </c>
      <c r="AL40" s="595" t="s">
        <v>22</v>
      </c>
      <c r="AM40" s="597" t="s">
        <v>27</v>
      </c>
      <c r="AN40" s="595" t="s">
        <v>22</v>
      </c>
      <c r="AO40" s="597" t="s">
        <v>27</v>
      </c>
      <c r="AP40" s="595" t="s">
        <v>22</v>
      </c>
      <c r="AQ40" s="601" t="s">
        <v>27</v>
      </c>
      <c r="AR40" s="7340"/>
      <c r="AS40" s="7295"/>
      <c r="AT40" s="7295"/>
      <c r="AU40" s="7295"/>
      <c r="AV40" s="7300"/>
      <c r="AW40" s="7300"/>
      <c r="AX40" s="7300"/>
      <c r="AY40" s="6362"/>
      <c r="CX40"/>
      <c r="CY40"/>
      <c r="CZ40"/>
      <c r="DA40"/>
      <c r="DB40"/>
      <c r="DC40"/>
      <c r="DD40"/>
      <c r="DE40"/>
      <c r="DF40"/>
      <c r="DH40"/>
      <c r="DI40"/>
      <c r="DJ40"/>
      <c r="DK40"/>
      <c r="DL40"/>
      <c r="DM40"/>
      <c r="DN40"/>
    </row>
    <row r="41" spans="1:120" ht="15" customHeight="1" x14ac:dyDescent="0.3">
      <c r="A41" s="6269" t="s">
        <v>4936</v>
      </c>
      <c r="B41" s="7341" t="s">
        <v>724</v>
      </c>
      <c r="C41" s="7342"/>
      <c r="D41" s="7343"/>
      <c r="E41" s="625" t="s">
        <v>5292</v>
      </c>
      <c r="F41" s="795" t="s">
        <v>5293</v>
      </c>
      <c r="G41" s="796" t="s">
        <v>5294</v>
      </c>
      <c r="H41" s="3477" t="s">
        <v>5295</v>
      </c>
      <c r="I41" s="6117" t="s">
        <v>5296</v>
      </c>
      <c r="J41" s="3477" t="s">
        <v>5297</v>
      </c>
      <c r="K41" s="6117" t="s">
        <v>5298</v>
      </c>
      <c r="L41" s="3477" t="s">
        <v>5299</v>
      </c>
      <c r="M41" s="6117" t="s">
        <v>5300</v>
      </c>
      <c r="N41" s="3477" t="s">
        <v>5301</v>
      </c>
      <c r="O41" s="6117" t="s">
        <v>5302</v>
      </c>
      <c r="P41" s="3477" t="s">
        <v>5303</v>
      </c>
      <c r="Q41" s="6117" t="s">
        <v>5304</v>
      </c>
      <c r="R41" s="3477" t="s">
        <v>5305</v>
      </c>
      <c r="S41" s="6117" t="s">
        <v>5306</v>
      </c>
      <c r="T41" s="6118" t="s">
        <v>5307</v>
      </c>
      <c r="U41" s="6119" t="s">
        <v>5308</v>
      </c>
      <c r="V41" s="3477" t="s">
        <v>5309</v>
      </c>
      <c r="W41" s="6117" t="s">
        <v>5310</v>
      </c>
      <c r="X41" s="3477" t="s">
        <v>5311</v>
      </c>
      <c r="Y41" s="6117" t="s">
        <v>5312</v>
      </c>
      <c r="Z41" s="6118" t="s">
        <v>5313</v>
      </c>
      <c r="AA41" s="6119" t="s">
        <v>5314</v>
      </c>
      <c r="AB41" s="6120" t="s">
        <v>5315</v>
      </c>
      <c r="AC41" s="6119" t="s">
        <v>5316</v>
      </c>
      <c r="AD41" s="6121" t="s">
        <v>5317</v>
      </c>
      <c r="AE41" s="6119" t="s">
        <v>5318</v>
      </c>
      <c r="AF41" s="6120" t="s">
        <v>5319</v>
      </c>
      <c r="AG41" s="6119" t="s">
        <v>5320</v>
      </c>
      <c r="AH41" s="6118" t="s">
        <v>5321</v>
      </c>
      <c r="AI41" s="6119" t="s">
        <v>5322</v>
      </c>
      <c r="AJ41" s="6118" t="s">
        <v>5323</v>
      </c>
      <c r="AK41" s="6119" t="s">
        <v>5324</v>
      </c>
      <c r="AL41" s="6120" t="s">
        <v>5325</v>
      </c>
      <c r="AM41" s="6119" t="s">
        <v>5326</v>
      </c>
      <c r="AN41" s="6121" t="s">
        <v>5327</v>
      </c>
      <c r="AO41" s="6119" t="s">
        <v>5328</v>
      </c>
      <c r="AP41" s="6122" t="s">
        <v>5329</v>
      </c>
      <c r="AQ41" s="6123" t="s">
        <v>5330</v>
      </c>
      <c r="AR41" s="6124" t="s">
        <v>5331</v>
      </c>
      <c r="AS41" s="6125" t="s">
        <v>5332</v>
      </c>
      <c r="AT41" s="6125" t="s">
        <v>5333</v>
      </c>
      <c r="AU41" s="6125" t="s">
        <v>5334</v>
      </c>
      <c r="AV41" s="6125" t="s">
        <v>5335</v>
      </c>
      <c r="AW41" s="6125" t="s">
        <v>5336</v>
      </c>
      <c r="AX41" s="6125" t="s">
        <v>5337</v>
      </c>
      <c r="AY41" s="6126" t="s">
        <v>5338</v>
      </c>
      <c r="AZ41" t="e">
        <f>CX41&amp;CY41&amp;CZ41&amp;DA41&amp;DB41&amp;DC41&amp;DD41&amp;DE41&amp;DF41</f>
        <v>#VALUE!</v>
      </c>
      <c r="CX41" s="1723" t="e">
        <f t="shared" ref="CX41:CX42" si="37">IF(AND((Z41+AA41)&gt;0,AR41="")," * No olvide digitar la variable 12 años. Si no tiene digite Cero.",IF(AR41&gt;(Z41+AA41),"* Las Consultas de 12 años NO DEBEN ser mayor que el total de Consultas entre 10-14 años",""))</f>
        <v>#VALUE!</v>
      </c>
      <c r="CY41" s="1723" t="str">
        <f>IF(AND(G41&gt;0,AS41="")," * No olvide digitar la variable Embarazadas. Digite cero si no tiene.","")</f>
        <v/>
      </c>
      <c r="CZ41" s="1723" t="str">
        <f>IF(AS41&gt;G41," * Las Embarazadas NO DEBEN ser mayor al total de mujeres. ","")</f>
        <v xml:space="preserve"> * Las Embarazadas NO DEBEN ser mayor al total de mujeres. </v>
      </c>
      <c r="DA41" s="1723" t="e">
        <f t="shared" ref="DA41" si="38">IF(AND((AL41+AM41)&gt;0,AT41="")," * No olvide digitar la variable 60 años. Si no tiene digite Cero.",IF(AT41&gt;(AL41+AM41)," * Las consultas de 60 años NO DEBEN ser mayor que el Total de consultas del grupo 60-64 años",""))</f>
        <v>#VALUE!</v>
      </c>
      <c r="DB41" s="1723" t="str">
        <f>IF(AND(E41&gt;0,AU41="")," * No olvide digitar la variable Usuarios con Discapacidad. Digite Cero si no tiene.",IF(AU41&gt;E41," * La variable Usuarios con Discapacidad No puede ser mayor al Total Ambos Sexos.",""))</f>
        <v xml:space="preserve"> * La variable Usuarios con Discapacidad No puede ser mayor al Total Ambos Sexos.</v>
      </c>
      <c r="DC41" s="1723" t="str">
        <f>IF(AND(E41&gt;0,AV41="")," * No olvide digitar la variable Niños, niñas, adolescentes y jóvenes población SENAME. Digite Cero si no tiene.",IF(AV41&gt;E41,"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41" s="1723" t="str">
        <f>IF(AND(E41&gt;0,AW41="")," * No olvide digitar la variable Niños, niñas, adolescentes y jóvenes Mejor Niñez. Digite Cero si no tiene.",IF(AW41&gt;E41,"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41" s="1723" t="str">
        <f>IF(AND(E41&gt;0,AX41="")," * No olvide digitar la variable Migrantes. Digite Cero si no tiene.",IF(AX41&gt;E41," * La variable Migrantes No puede ser mayor al Total.",""))</f>
        <v xml:space="preserve"> * La variable Migrantes No puede ser mayor al Total.</v>
      </c>
      <c r="DF41" s="1723" t="str">
        <f>IF(AND(E41&gt;0,AY41="")," * No olvide digitar la variable  Pacientes en control PSCV. Digite Cero si no tiene.",IF(AY41&gt;E41," * La variable  Pacientes en control PSCV No puede ser mayor al Total.",""))</f>
        <v xml:space="preserve"> * La variable  Pacientes en control PSCV No puede ser mayor al Total.</v>
      </c>
      <c r="DH41" s="1725" t="e">
        <f t="shared" ref="DH41:DH42" si="39">IF(AND((Z41+AA41)&gt;0,AR41=""),1,IF(AR41&gt;(Z41+AA41),1,0))</f>
        <v>#VALUE!</v>
      </c>
      <c r="DI41" s="1725">
        <f>IF(AND(G41&gt;0,AS41=""),1,0)</f>
        <v>0</v>
      </c>
      <c r="DJ41" s="1725">
        <f>IF(AS41&gt;G41,1,0)</f>
        <v>1</v>
      </c>
      <c r="DK41" s="1725" t="e">
        <f t="shared" ref="DK41" si="40">IF(AND((AL41+AM41)&gt;0,AT41=""),1,IF(AT41&gt;(AL41+AM41),1,0))</f>
        <v>#VALUE!</v>
      </c>
      <c r="DL41" s="1725">
        <f>IF(AND(E41&gt;0,AU41=""),1,IF(AU41&gt;E41,1,0))</f>
        <v>1</v>
      </c>
      <c r="DM41" s="1725">
        <f>IF(AND(E41&gt;0,AV41=""),1,IF(AV41&gt;E41,1,0))</f>
        <v>1</v>
      </c>
      <c r="DN41" s="1725">
        <f>IF(AND(E41&gt;0,AW41=""),1,IF(AW41&gt;E41,1,0))</f>
        <v>1</v>
      </c>
      <c r="DO41" s="1725">
        <f>IF(AND(E41&gt;0,AX41=""),1,IF(AX41&gt;E41,1,0))</f>
        <v>1</v>
      </c>
      <c r="DP41" s="1725">
        <f>IF(AND(E41&gt;0,AY41=""),1,IF(AY41&gt;E41,1,0))</f>
        <v>1</v>
      </c>
    </row>
    <row r="42" spans="1:120" ht="15" customHeight="1" x14ac:dyDescent="0.3">
      <c r="A42" s="6269" t="s">
        <v>4937</v>
      </c>
      <c r="B42" s="7327" t="s">
        <v>725</v>
      </c>
      <c r="C42" s="7328"/>
      <c r="D42" s="7254"/>
      <c r="E42" s="797" t="s">
        <v>5292</v>
      </c>
      <c r="F42" s="798" t="s">
        <v>5293</v>
      </c>
      <c r="G42" s="799" t="s">
        <v>5294</v>
      </c>
      <c r="H42" s="6127" t="s">
        <v>5295</v>
      </c>
      <c r="I42" s="1860" t="s">
        <v>5296</v>
      </c>
      <c r="J42" s="6127" t="s">
        <v>5297</v>
      </c>
      <c r="K42" s="6128" t="s">
        <v>5298</v>
      </c>
      <c r="L42" s="6127" t="s">
        <v>5299</v>
      </c>
      <c r="M42" s="1860" t="s">
        <v>5300</v>
      </c>
      <c r="N42" s="6127" t="s">
        <v>5301</v>
      </c>
      <c r="O42" s="1860" t="s">
        <v>5302</v>
      </c>
      <c r="P42" s="6127" t="s">
        <v>5303</v>
      </c>
      <c r="Q42" s="1860" t="s">
        <v>5304</v>
      </c>
      <c r="R42" s="6127" t="s">
        <v>5305</v>
      </c>
      <c r="S42" s="6129" t="s">
        <v>5306</v>
      </c>
      <c r="T42" s="6127" t="s">
        <v>5307</v>
      </c>
      <c r="U42" s="6129" t="s">
        <v>5308</v>
      </c>
      <c r="V42" s="6127" t="s">
        <v>5309</v>
      </c>
      <c r="W42" s="1860" t="s">
        <v>5310</v>
      </c>
      <c r="X42" s="6127" t="s">
        <v>5311</v>
      </c>
      <c r="Y42" s="6129" t="s">
        <v>5312</v>
      </c>
      <c r="Z42" s="6127" t="s">
        <v>5313</v>
      </c>
      <c r="AA42" s="6129" t="s">
        <v>5314</v>
      </c>
      <c r="AB42" s="6127" t="s">
        <v>5315</v>
      </c>
      <c r="AC42" s="1860" t="s">
        <v>5316</v>
      </c>
      <c r="AD42" s="3477" t="s">
        <v>5317</v>
      </c>
      <c r="AE42" s="3478" t="s">
        <v>5318</v>
      </c>
      <c r="AF42" s="6130" t="s">
        <v>5319</v>
      </c>
      <c r="AG42" s="3478" t="s">
        <v>5320</v>
      </c>
      <c r="AH42" s="3477" t="s">
        <v>5321</v>
      </c>
      <c r="AI42" s="6117" t="s">
        <v>5322</v>
      </c>
      <c r="AJ42" s="3477" t="s">
        <v>5323</v>
      </c>
      <c r="AK42" s="6117" t="s">
        <v>5324</v>
      </c>
      <c r="AL42" s="6130" t="s">
        <v>5325</v>
      </c>
      <c r="AM42" s="6131" t="s">
        <v>5326</v>
      </c>
      <c r="AN42" s="3477" t="s">
        <v>5327</v>
      </c>
      <c r="AO42" s="3478" t="s">
        <v>5328</v>
      </c>
      <c r="AP42" s="6130" t="s">
        <v>5329</v>
      </c>
      <c r="AQ42" s="3489" t="s">
        <v>5330</v>
      </c>
      <c r="AR42" s="6132" t="s">
        <v>5331</v>
      </c>
      <c r="AS42" s="1877" t="s">
        <v>5332</v>
      </c>
      <c r="AT42" s="6117" t="s">
        <v>5333</v>
      </c>
      <c r="AU42" s="1860" t="s">
        <v>5334</v>
      </c>
      <c r="AV42" s="1860" t="s">
        <v>5335</v>
      </c>
      <c r="AW42" s="1860" t="s">
        <v>5336</v>
      </c>
      <c r="AX42" s="1860" t="s">
        <v>5337</v>
      </c>
      <c r="AY42" s="6133" t="s">
        <v>5338</v>
      </c>
      <c r="AZ42" t="e">
        <f t="shared" ref="AZ42:AZ63" si="41">CX42&amp;CY42&amp;CZ42&amp;DA42&amp;DB42&amp;DC42&amp;DD42&amp;DE42&amp;DF42</f>
        <v>#VALUE!</v>
      </c>
      <c r="CX42" s="1723" t="e">
        <f t="shared" si="37"/>
        <v>#VALUE!</v>
      </c>
      <c r="CY42" s="1723" t="str">
        <f t="shared" ref="CY42:CY45" si="42">IF(AND(G42&gt;0,AS42="")," * No olvide digitar la variable Embarazadas. Digite cero si no tiene.","")</f>
        <v/>
      </c>
      <c r="CZ42" s="1723" t="str">
        <f>IF(AS42&gt;G42," * Las Embarazadas NO DEBEN ser mayor al total de mujeres. ","")</f>
        <v xml:space="preserve"> * Las Embarazadas NO DEBEN ser mayor al total de mujeres. </v>
      </c>
      <c r="DA42"/>
      <c r="DB42" s="1723" t="str">
        <f t="shared" ref="DB42:DB45" si="43">IF(AND(E42&gt;0,AU42="")," * No olvide digitar la variable Usuarios con Discapacidad. Digite Cero si no tiene.",IF(AU42&gt;E42," * La variable Usuarios con Discapacidad No puede ser mayor al Total Ambos Sexos.",""))</f>
        <v xml:space="preserve"> * La variable Usuarios con Discapacidad No puede ser mayor al Total Ambos Sexos.</v>
      </c>
      <c r="DC42" s="1723" t="str">
        <f t="shared" ref="DC42:DC45" si="44">IF(AND(E42&gt;0,AV42="")," * No olvide digitar la variable Niños, niñas, adolescentes y jóvenes población SENAME. Digite Cero si no tiene.",IF(AV42&gt;E42,"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42" s="1723" t="str">
        <f t="shared" ref="DD42:DD45" si="45">IF(AND(E42&gt;0,AW42="")," * No olvide digitar la variable Niños, niñas, adolescentes y jóvenes Mejor Niñez. Digite Cero si no tiene.",IF(AW42&gt;E42,"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42" s="1723" t="str">
        <f t="shared" ref="DE42:DE45" si="46">IF(AND(E42&gt;0,AX42="")," * No olvide digitar la variable Migrantes. Digite Cero si no tiene.",IF(AX42&gt;E42," * La variable Migrantes No puede ser mayor al Total.",""))</f>
        <v xml:space="preserve"> * La variable Migrantes No puede ser mayor al Total.</v>
      </c>
      <c r="DF42" s="1723" t="str">
        <f t="shared" ref="DF42:DF63" si="47">IF(AND(E42&gt;0,AY42="")," * No olvide digitar la variable  Pacientes en control PSCV. Digite Cero si no tiene.",IF(AY42&gt;E42," * La variable  Pacientes en control PSCV No puede ser mayor al Total.",""))</f>
        <v xml:space="preserve"> * La variable  Pacientes en control PSCV No puede ser mayor al Total.</v>
      </c>
      <c r="DH42" s="1725" t="e">
        <f t="shared" si="39"/>
        <v>#VALUE!</v>
      </c>
      <c r="DI42" s="1725">
        <f t="shared" ref="DI42:DI45" si="48">IF(AND(G42&gt;0,AS42=""),1,0)</f>
        <v>0</v>
      </c>
      <c r="DJ42" s="1725">
        <f t="shared" ref="DJ42:DJ45" si="49">IF(AS42&gt;G42,1,0)</f>
        <v>1</v>
      </c>
      <c r="DK42"/>
      <c r="DL42" s="1725">
        <f t="shared" ref="DL42:DL45" si="50">IF(AND(E42&gt;0,AU42=""),1,IF(AU42&gt;E42,1,0))</f>
        <v>1</v>
      </c>
      <c r="DM42" s="1725">
        <f t="shared" ref="DM42:DM45" si="51">IF(AND(E42&gt;0,AV42=""),1,IF(AV42&gt;E42,1,0))</f>
        <v>1</v>
      </c>
      <c r="DN42" s="1725">
        <f t="shared" ref="DN42:DN45" si="52">IF(AND(E42&gt;0,AW42=""),1,IF(AW42&gt;E42,1,0))</f>
        <v>1</v>
      </c>
      <c r="DO42" s="1725">
        <f t="shared" ref="DO42:DO45" si="53">IF(AND(E42&gt;0,AX42=""),1,IF(AX42&gt;E42,1,0))</f>
        <v>1</v>
      </c>
      <c r="DP42" s="1725">
        <f t="shared" ref="DP42:DP45" si="54">IF(AND(E42&gt;0,AY42=""),1,IF(AY42&gt;E42,1,0))</f>
        <v>1</v>
      </c>
    </row>
    <row r="43" spans="1:120" ht="15" customHeight="1" x14ac:dyDescent="0.3">
      <c r="A43" s="6269" t="s">
        <v>4938</v>
      </c>
      <c r="B43" s="7327" t="s">
        <v>726</v>
      </c>
      <c r="C43" s="7328"/>
      <c r="D43" s="7254"/>
      <c r="E43" s="797" t="s">
        <v>5292</v>
      </c>
      <c r="F43" s="798" t="s">
        <v>5293</v>
      </c>
      <c r="G43" s="799" t="s">
        <v>5294</v>
      </c>
      <c r="H43" s="6127" t="s">
        <v>5295</v>
      </c>
      <c r="I43" s="1860" t="s">
        <v>5296</v>
      </c>
      <c r="J43" s="6127" t="s">
        <v>5297</v>
      </c>
      <c r="K43" s="6128" t="s">
        <v>5298</v>
      </c>
      <c r="L43" s="6127" t="s">
        <v>5299</v>
      </c>
      <c r="M43" s="1860" t="s">
        <v>5300</v>
      </c>
      <c r="N43" s="6127" t="s">
        <v>5301</v>
      </c>
      <c r="O43" s="1860" t="s">
        <v>5302</v>
      </c>
      <c r="P43" s="6127" t="s">
        <v>5303</v>
      </c>
      <c r="Q43" s="1860" t="s">
        <v>5304</v>
      </c>
      <c r="R43" s="6127" t="s">
        <v>5305</v>
      </c>
      <c r="S43" s="6129" t="s">
        <v>5306</v>
      </c>
      <c r="T43" s="6127" t="s">
        <v>5307</v>
      </c>
      <c r="U43" s="6129" t="s">
        <v>5308</v>
      </c>
      <c r="V43" s="6127" t="s">
        <v>5309</v>
      </c>
      <c r="W43" s="1860" t="s">
        <v>5310</v>
      </c>
      <c r="X43" s="6127" t="s">
        <v>5311</v>
      </c>
      <c r="Y43" s="6129" t="s">
        <v>5312</v>
      </c>
      <c r="Z43" s="6127" t="s">
        <v>5313</v>
      </c>
      <c r="AA43" s="6129" t="s">
        <v>5314</v>
      </c>
      <c r="AB43" s="6127" t="s">
        <v>5315</v>
      </c>
      <c r="AC43" s="1860" t="s">
        <v>5316</v>
      </c>
      <c r="AD43" s="3477" t="s">
        <v>5317</v>
      </c>
      <c r="AE43" s="3478" t="s">
        <v>5318</v>
      </c>
      <c r="AF43" s="6130" t="s">
        <v>5319</v>
      </c>
      <c r="AG43" s="3478" t="s">
        <v>5320</v>
      </c>
      <c r="AH43" s="3477" t="s">
        <v>5321</v>
      </c>
      <c r="AI43" s="6117" t="s">
        <v>5322</v>
      </c>
      <c r="AJ43" s="3477" t="s">
        <v>5323</v>
      </c>
      <c r="AK43" s="6117" t="s">
        <v>5324</v>
      </c>
      <c r="AL43" s="6130" t="s">
        <v>5325</v>
      </c>
      <c r="AM43" s="6131" t="s">
        <v>5326</v>
      </c>
      <c r="AN43" s="3477" t="s">
        <v>5327</v>
      </c>
      <c r="AO43" s="3478" t="s">
        <v>5328</v>
      </c>
      <c r="AP43" s="6130" t="s">
        <v>5329</v>
      </c>
      <c r="AQ43" s="3489" t="s">
        <v>5330</v>
      </c>
      <c r="AR43" s="6134" t="s">
        <v>5331</v>
      </c>
      <c r="AS43" s="6191" t="s">
        <v>5332</v>
      </c>
      <c r="AT43" s="6117" t="s">
        <v>5333</v>
      </c>
      <c r="AU43" s="1860" t="s">
        <v>5334</v>
      </c>
      <c r="AV43" s="1860" t="s">
        <v>5335</v>
      </c>
      <c r="AW43" s="1860" t="s">
        <v>5336</v>
      </c>
      <c r="AX43" s="1860" t="s">
        <v>5337</v>
      </c>
      <c r="AY43" s="6133" t="s">
        <v>5338</v>
      </c>
      <c r="AZ43" t="str">
        <f t="shared" si="41"/>
        <v xml:space="preserve"> * Las Embarazadas NO DEBEN ser mayor al total de mujeres.  * La variable Usuarios con Discapacidad No puede ser mayor al Total Ambos Sexos. * La variable Niños, niñas, adolescentes y jóvenes población SENAME No puede ser mayor al Total Ambos Sexos. * La variable Niños, niñas, adolescentes y jóvenes Mejor Niñez No puede ser mayor al Total Ambos Sexos. * La variable Migrantes No puede ser mayor al Total. * La variable  Pacientes en control PSCV No puede ser mayor al Total.</v>
      </c>
      <c r="CX43"/>
      <c r="CY43" s="1723" t="str">
        <f t="shared" si="42"/>
        <v/>
      </c>
      <c r="CZ43" s="1723" t="str">
        <f t="shared" ref="CZ43:CZ44" si="55">IF(AS43&gt;G43," * Las Embarazadas NO DEBEN ser mayor al total de mujeres. ","")</f>
        <v xml:space="preserve"> * Las Embarazadas NO DEBEN ser mayor al total de mujeres. </v>
      </c>
      <c r="DA43"/>
      <c r="DB43" s="1723" t="str">
        <f t="shared" si="43"/>
        <v xml:space="preserve"> * La variable Usuarios con Discapacidad No puede ser mayor al Total Ambos Sexos.</v>
      </c>
      <c r="DC43" s="1723" t="str">
        <f t="shared" si="44"/>
        <v xml:space="preserve"> * La variable Niños, niñas, adolescentes y jóvenes población SENAME No puede ser mayor al Total Ambos Sexos.</v>
      </c>
      <c r="DD43" s="1723" t="str">
        <f t="shared" si="45"/>
        <v xml:space="preserve"> * La variable Niños, niñas, adolescentes y jóvenes Mejor Niñez No puede ser mayor al Total Ambos Sexos.</v>
      </c>
      <c r="DE43" s="1723" t="str">
        <f t="shared" si="46"/>
        <v xml:space="preserve"> * La variable Migrantes No puede ser mayor al Total.</v>
      </c>
      <c r="DF43" s="1723" t="str">
        <f t="shared" si="47"/>
        <v xml:space="preserve"> * La variable  Pacientes en control PSCV No puede ser mayor al Total.</v>
      </c>
      <c r="DH43"/>
      <c r="DI43" s="1725">
        <f t="shared" si="48"/>
        <v>0</v>
      </c>
      <c r="DJ43" s="1725">
        <f t="shared" si="49"/>
        <v>1</v>
      </c>
      <c r="DK43"/>
      <c r="DL43" s="1725">
        <f t="shared" si="50"/>
        <v>1</v>
      </c>
      <c r="DM43" s="1725">
        <f t="shared" si="51"/>
        <v>1</v>
      </c>
      <c r="DN43" s="1725">
        <f t="shared" si="52"/>
        <v>1</v>
      </c>
      <c r="DO43" s="1725">
        <f t="shared" si="53"/>
        <v>1</v>
      </c>
      <c r="DP43" s="1725">
        <f t="shared" si="54"/>
        <v>1</v>
      </c>
    </row>
    <row r="44" spans="1:120" ht="15" customHeight="1" x14ac:dyDescent="0.3">
      <c r="A44" s="6269" t="s">
        <v>4939</v>
      </c>
      <c r="B44" s="7327" t="s">
        <v>727</v>
      </c>
      <c r="C44" s="7328"/>
      <c r="D44" s="7254"/>
      <c r="E44" s="802" t="s">
        <v>5292</v>
      </c>
      <c r="F44" s="803" t="s">
        <v>5293</v>
      </c>
      <c r="G44" s="804" t="s">
        <v>5294</v>
      </c>
      <c r="H44" s="3477" t="s">
        <v>5295</v>
      </c>
      <c r="I44" s="6117" t="s">
        <v>5296</v>
      </c>
      <c r="J44" s="3477" t="s">
        <v>5297</v>
      </c>
      <c r="K44" s="6117" t="s">
        <v>5298</v>
      </c>
      <c r="L44" s="3477" t="s">
        <v>5299</v>
      </c>
      <c r="M44" s="6117" t="s">
        <v>5300</v>
      </c>
      <c r="N44" s="3477" t="s">
        <v>5301</v>
      </c>
      <c r="O44" s="6117" t="s">
        <v>5302</v>
      </c>
      <c r="P44" s="3477" t="s">
        <v>5303</v>
      </c>
      <c r="Q44" s="6117" t="s">
        <v>5304</v>
      </c>
      <c r="R44" s="3477" t="s">
        <v>5305</v>
      </c>
      <c r="S44" s="6117" t="s">
        <v>5306</v>
      </c>
      <c r="T44" s="6127" t="s">
        <v>5307</v>
      </c>
      <c r="U44" s="6129" t="s">
        <v>5308</v>
      </c>
      <c r="V44" s="6127" t="s">
        <v>5309</v>
      </c>
      <c r="W44" s="6129" t="s">
        <v>5310</v>
      </c>
      <c r="X44" s="6127" t="s">
        <v>5311</v>
      </c>
      <c r="Y44" s="6129" t="s">
        <v>5312</v>
      </c>
      <c r="Z44" s="6135" t="s">
        <v>5313</v>
      </c>
      <c r="AA44" s="6136" t="s">
        <v>5314</v>
      </c>
      <c r="AB44" s="6137" t="s">
        <v>5315</v>
      </c>
      <c r="AC44" s="6138" t="s">
        <v>5316</v>
      </c>
      <c r="AD44" s="6135" t="s">
        <v>5317</v>
      </c>
      <c r="AE44" s="6136" t="s">
        <v>5318</v>
      </c>
      <c r="AF44" s="6137" t="s">
        <v>5319</v>
      </c>
      <c r="AG44" s="6136" t="s">
        <v>5320</v>
      </c>
      <c r="AH44" s="6135" t="s">
        <v>5321</v>
      </c>
      <c r="AI44" s="6136" t="s">
        <v>5322</v>
      </c>
      <c r="AJ44" s="6135" t="s">
        <v>5323</v>
      </c>
      <c r="AK44" s="6136" t="s">
        <v>5324</v>
      </c>
      <c r="AL44" s="6137" t="s">
        <v>5325</v>
      </c>
      <c r="AM44" s="6138" t="s">
        <v>5326</v>
      </c>
      <c r="AN44" s="6135" t="s">
        <v>5327</v>
      </c>
      <c r="AO44" s="6136" t="s">
        <v>5328</v>
      </c>
      <c r="AP44" s="6137" t="s">
        <v>5329</v>
      </c>
      <c r="AQ44" s="6139" t="s">
        <v>5330</v>
      </c>
      <c r="AR44" s="6132" t="s">
        <v>5331</v>
      </c>
      <c r="AS44" s="6190" t="s">
        <v>5332</v>
      </c>
      <c r="AT44" s="1877" t="s">
        <v>5333</v>
      </c>
      <c r="AU44" s="1877" t="s">
        <v>5334</v>
      </c>
      <c r="AV44" s="1877" t="s">
        <v>5335</v>
      </c>
      <c r="AW44" s="1877" t="s">
        <v>5336</v>
      </c>
      <c r="AX44" s="1877" t="s">
        <v>5337</v>
      </c>
      <c r="AY44" s="1878" t="s">
        <v>5338</v>
      </c>
      <c r="AZ44" t="e">
        <f t="shared" si="41"/>
        <v>#VALUE!</v>
      </c>
      <c r="CX44" s="1723" t="e">
        <f t="shared" ref="CX44:CX45" si="56">IF(AND((Z44+AA44)&gt;0,AR44="")," * No olvide digitar la variable 12 años. Si no tiene digite Cero.",IF(AR44&gt;(Z44+AA44),"* Las Consultas de 12 años NO DEBEN ser mayor que el total de Consultas entre 10-14 años",""))</f>
        <v>#VALUE!</v>
      </c>
      <c r="CY44" s="1723" t="str">
        <f t="shared" si="42"/>
        <v/>
      </c>
      <c r="CZ44" s="1723" t="str">
        <f t="shared" si="55"/>
        <v xml:space="preserve"> * Las Embarazadas NO DEBEN ser mayor al total de mujeres. </v>
      </c>
      <c r="DA44" s="1723" t="e">
        <f t="shared" ref="DA44" si="57">IF(AND((AL44+AM44)&gt;0,AT44="")," * No olvide digitar la variable 60 años. Si no tiene digite Cero.",IF(AT44&gt;(AL44+AM44)," * Las consultas de 60 años NO DEBEN ser mayor que el Total de consultas del grupo 60-64 años",""))</f>
        <v>#VALUE!</v>
      </c>
      <c r="DB44" s="1723" t="str">
        <f t="shared" si="43"/>
        <v xml:space="preserve"> * La variable Usuarios con Discapacidad No puede ser mayor al Total Ambos Sexos.</v>
      </c>
      <c r="DC44" s="1723" t="str">
        <f t="shared" si="44"/>
        <v xml:space="preserve"> * La variable Niños, niñas, adolescentes y jóvenes población SENAME No puede ser mayor al Total Ambos Sexos.</v>
      </c>
      <c r="DD44" s="1723" t="str">
        <f t="shared" si="45"/>
        <v xml:space="preserve"> * La variable Niños, niñas, adolescentes y jóvenes Mejor Niñez No puede ser mayor al Total Ambos Sexos.</v>
      </c>
      <c r="DE44" s="1723" t="str">
        <f t="shared" si="46"/>
        <v xml:space="preserve"> * La variable Migrantes No puede ser mayor al Total.</v>
      </c>
      <c r="DF44" s="1723" t="str">
        <f t="shared" si="47"/>
        <v xml:space="preserve"> * La variable  Pacientes en control PSCV No puede ser mayor al Total.</v>
      </c>
      <c r="DH44" s="1725" t="e">
        <f t="shared" ref="DH44:DH45" si="58">IF(AND((Z44+AA44)&gt;0,AR44=""),1,IF(AR44&gt;(Z44+AA44),1,0))</f>
        <v>#VALUE!</v>
      </c>
      <c r="DI44" s="1725">
        <f t="shared" si="48"/>
        <v>0</v>
      </c>
      <c r="DJ44" s="1725">
        <f t="shared" si="49"/>
        <v>1</v>
      </c>
      <c r="DK44" s="1725" t="e">
        <f t="shared" ref="DK44" si="59">IF(AND((AL44+AM44)&gt;0,AT44=""),1,IF(AT44&gt;(AL44+AM44),1,0))</f>
        <v>#VALUE!</v>
      </c>
      <c r="DL44" s="1725">
        <f t="shared" si="50"/>
        <v>1</v>
      </c>
      <c r="DM44" s="1725">
        <f t="shared" si="51"/>
        <v>1</v>
      </c>
      <c r="DN44" s="1725">
        <f t="shared" si="52"/>
        <v>1</v>
      </c>
      <c r="DO44" s="1725">
        <f t="shared" si="53"/>
        <v>1</v>
      </c>
      <c r="DP44" s="1725">
        <f t="shared" si="54"/>
        <v>1</v>
      </c>
    </row>
    <row r="45" spans="1:120" ht="15" customHeight="1" x14ac:dyDescent="0.3">
      <c r="A45" s="6269" t="s">
        <v>4940</v>
      </c>
      <c r="B45" s="7327" t="s">
        <v>728</v>
      </c>
      <c r="C45" s="7328"/>
      <c r="D45" s="7254"/>
      <c r="E45" s="805" t="s">
        <v>5292</v>
      </c>
      <c r="F45" s="806" t="s">
        <v>5293</v>
      </c>
      <c r="G45" s="807" t="s">
        <v>5294</v>
      </c>
      <c r="H45" s="3614" t="s">
        <v>5295</v>
      </c>
      <c r="I45" s="3615" t="s">
        <v>5296</v>
      </c>
      <c r="J45" s="3614" t="s">
        <v>5297</v>
      </c>
      <c r="K45" s="3615" t="s">
        <v>5298</v>
      </c>
      <c r="L45" s="3614" t="s">
        <v>5299</v>
      </c>
      <c r="M45" s="3615" t="s">
        <v>5300</v>
      </c>
      <c r="N45" s="3614" t="s">
        <v>5301</v>
      </c>
      <c r="O45" s="3615" t="s">
        <v>5302</v>
      </c>
      <c r="P45" s="3614" t="s">
        <v>5303</v>
      </c>
      <c r="Q45" s="3615" t="s">
        <v>5304</v>
      </c>
      <c r="R45" s="3614" t="s">
        <v>5305</v>
      </c>
      <c r="S45" s="3615" t="s">
        <v>5306</v>
      </c>
      <c r="T45" s="6127" t="s">
        <v>5307</v>
      </c>
      <c r="U45" s="6129" t="s">
        <v>5308</v>
      </c>
      <c r="V45" s="6127" t="s">
        <v>5309</v>
      </c>
      <c r="W45" s="6129" t="s">
        <v>5310</v>
      </c>
      <c r="X45" s="6127" t="s">
        <v>5311</v>
      </c>
      <c r="Y45" s="6129" t="s">
        <v>5312</v>
      </c>
      <c r="Z45" s="1858" t="s">
        <v>5313</v>
      </c>
      <c r="AA45" s="6140" t="s">
        <v>5314</v>
      </c>
      <c r="AB45" s="6141" t="s">
        <v>5315</v>
      </c>
      <c r="AC45" s="6142" t="s">
        <v>5316</v>
      </c>
      <c r="AD45" s="1858" t="s">
        <v>5317</v>
      </c>
      <c r="AE45" s="6140" t="s">
        <v>5318</v>
      </c>
      <c r="AF45" s="6143" t="s">
        <v>5319</v>
      </c>
      <c r="AG45" s="6140" t="s">
        <v>5320</v>
      </c>
      <c r="AH45" s="1858" t="s">
        <v>5321</v>
      </c>
      <c r="AI45" s="6140" t="s">
        <v>5322</v>
      </c>
      <c r="AJ45" s="1858" t="s">
        <v>5323</v>
      </c>
      <c r="AK45" s="6140" t="s">
        <v>5324</v>
      </c>
      <c r="AL45" s="6141" t="s">
        <v>5325</v>
      </c>
      <c r="AM45" s="6142" t="s">
        <v>5326</v>
      </c>
      <c r="AN45" s="1858" t="s">
        <v>5327</v>
      </c>
      <c r="AO45" s="6140" t="s">
        <v>5328</v>
      </c>
      <c r="AP45" s="6143" t="s">
        <v>5329</v>
      </c>
      <c r="AQ45" s="6144" t="s">
        <v>5330</v>
      </c>
      <c r="AR45" s="6145" t="s">
        <v>5331</v>
      </c>
      <c r="AS45" s="1856" t="s">
        <v>5332</v>
      </c>
      <c r="AT45" s="3619" t="s">
        <v>5333</v>
      </c>
      <c r="AU45" s="1856" t="s">
        <v>5334</v>
      </c>
      <c r="AV45" s="1856" t="s">
        <v>5335</v>
      </c>
      <c r="AW45" s="1856" t="s">
        <v>5336</v>
      </c>
      <c r="AX45" s="1856" t="s">
        <v>5337</v>
      </c>
      <c r="AY45" s="6146" t="s">
        <v>5338</v>
      </c>
      <c r="AZ45" t="e">
        <f t="shared" si="41"/>
        <v>#VALUE!</v>
      </c>
      <c r="CX45" s="1723" t="e">
        <f t="shared" si="56"/>
        <v>#VALUE!</v>
      </c>
      <c r="CY45" s="1723" t="str">
        <f t="shared" si="42"/>
        <v/>
      </c>
      <c r="CZ45" s="1723" t="str">
        <f>IF(AS45&gt;G45," * Las Embarazadas NO DEBEN ser mayor al total de mujeres. ","")</f>
        <v xml:space="preserve"> * Las Embarazadas NO DEBEN ser mayor al total de mujeres. </v>
      </c>
      <c r="DA45"/>
      <c r="DB45" s="1723" t="str">
        <f t="shared" si="43"/>
        <v xml:space="preserve"> * La variable Usuarios con Discapacidad No puede ser mayor al Total Ambos Sexos.</v>
      </c>
      <c r="DC45" s="1723" t="str">
        <f t="shared" si="44"/>
        <v xml:space="preserve"> * La variable Niños, niñas, adolescentes y jóvenes población SENAME No puede ser mayor al Total Ambos Sexos.</v>
      </c>
      <c r="DD45" s="1723" t="str">
        <f t="shared" si="45"/>
        <v xml:space="preserve"> * La variable Niños, niñas, adolescentes y jóvenes Mejor Niñez No puede ser mayor al Total Ambos Sexos.</v>
      </c>
      <c r="DE45" s="1723" t="str">
        <f t="shared" si="46"/>
        <v xml:space="preserve"> * La variable Migrantes No puede ser mayor al Total.</v>
      </c>
      <c r="DF45" s="1723" t="str">
        <f t="shared" si="47"/>
        <v xml:space="preserve"> * La variable  Pacientes en control PSCV No puede ser mayor al Total.</v>
      </c>
      <c r="DH45" s="1725" t="e">
        <f t="shared" si="58"/>
        <v>#VALUE!</v>
      </c>
      <c r="DI45" s="1725">
        <f t="shared" si="48"/>
        <v>0</v>
      </c>
      <c r="DJ45" s="1725">
        <f t="shared" si="49"/>
        <v>1</v>
      </c>
      <c r="DK45"/>
      <c r="DL45" s="1725">
        <f t="shared" si="50"/>
        <v>1</v>
      </c>
      <c r="DM45" s="1725">
        <f t="shared" si="51"/>
        <v>1</v>
      </c>
      <c r="DN45" s="1725">
        <f t="shared" si="52"/>
        <v>1</v>
      </c>
      <c r="DO45" s="1725">
        <f t="shared" si="53"/>
        <v>1</v>
      </c>
      <c r="DP45" s="1725">
        <f t="shared" si="54"/>
        <v>1</v>
      </c>
    </row>
    <row r="46" spans="1:120" ht="15" customHeight="1" x14ac:dyDescent="0.3">
      <c r="A46" s="6238"/>
      <c r="B46" s="7296" t="s">
        <v>729</v>
      </c>
      <c r="C46" s="7297"/>
      <c r="D46" s="7306"/>
      <c r="E46" s="810">
        <f t="shared" ref="E46:E59" si="60">SUM(F46+G46)</f>
        <v>0</v>
      </c>
      <c r="F46" s="811">
        <f>T46+V46+X46+Z46+AB46+AD46+AF46+AH46+AJ46+AL46+AN46+AP46</f>
        <v>0</v>
      </c>
      <c r="G46" s="812">
        <f>U46+W46+Y46+AA46+AC46+AE46+AG46+AI46+AK46+AM46+AO46+AQ46</f>
        <v>0</v>
      </c>
      <c r="H46" s="7502"/>
      <c r="I46" s="7503"/>
      <c r="J46" s="7503"/>
      <c r="K46" s="7503"/>
      <c r="L46" s="7503"/>
      <c r="M46" s="7503"/>
      <c r="N46" s="7503"/>
      <c r="O46" s="7503"/>
      <c r="P46" s="7503"/>
      <c r="Q46" s="7503"/>
      <c r="R46" s="7503"/>
      <c r="S46" s="7504"/>
      <c r="T46" s="810">
        <f t="shared" ref="T46:AC46" si="61">SUM(T44:T45)</f>
        <v>0</v>
      </c>
      <c r="U46" s="812">
        <f t="shared" si="61"/>
        <v>0</v>
      </c>
      <c r="V46" s="810">
        <f t="shared" si="61"/>
        <v>0</v>
      </c>
      <c r="W46" s="812">
        <f t="shared" si="61"/>
        <v>0</v>
      </c>
      <c r="X46" s="2434">
        <f t="shared" si="61"/>
        <v>0</v>
      </c>
      <c r="Y46" s="2434">
        <f t="shared" si="61"/>
        <v>0</v>
      </c>
      <c r="Z46" s="810">
        <f t="shared" si="61"/>
        <v>0</v>
      </c>
      <c r="AA46" s="2434">
        <f t="shared" si="61"/>
        <v>0</v>
      </c>
      <c r="AB46" s="810">
        <f t="shared" si="61"/>
        <v>0</v>
      </c>
      <c r="AC46" s="2434">
        <f t="shared" si="61"/>
        <v>0</v>
      </c>
      <c r="AD46" s="810">
        <f>SUM(AD44:AD45)</f>
        <v>0</v>
      </c>
      <c r="AE46" s="812">
        <f>SUM(AE44:AE45)</f>
        <v>0</v>
      </c>
      <c r="AF46" s="2434">
        <f>SUM(AF44:AF45)</f>
        <v>0</v>
      </c>
      <c r="AG46" s="2434">
        <f t="shared" ref="AG46:AO46" si="62">SUM(AG44:AG45)</f>
        <v>0</v>
      </c>
      <c r="AH46" s="810">
        <f t="shared" si="62"/>
        <v>0</v>
      </c>
      <c r="AI46" s="2434">
        <f t="shared" si="62"/>
        <v>0</v>
      </c>
      <c r="AJ46" s="810">
        <f t="shared" si="62"/>
        <v>0</v>
      </c>
      <c r="AK46" s="2434">
        <f t="shared" si="62"/>
        <v>0</v>
      </c>
      <c r="AL46" s="810">
        <f t="shared" si="62"/>
        <v>0</v>
      </c>
      <c r="AM46" s="2434">
        <f t="shared" si="62"/>
        <v>0</v>
      </c>
      <c r="AN46" s="810">
        <f t="shared" si="62"/>
        <v>0</v>
      </c>
      <c r="AO46" s="812">
        <f t="shared" si="62"/>
        <v>0</v>
      </c>
      <c r="AP46" s="2434">
        <f>SUM(AP44:AP45)</f>
        <v>0</v>
      </c>
      <c r="AQ46" s="2435">
        <f>SUM(AQ44:AQ45)</f>
        <v>0</v>
      </c>
      <c r="AR46" s="2434">
        <f>SUM(AR44:AR45)</f>
        <v>0</v>
      </c>
      <c r="AS46" s="2436">
        <f>SUM(AS44:AS45)</f>
        <v>0</v>
      </c>
      <c r="AT46" s="812">
        <f>SUM(AT44)</f>
        <v>0</v>
      </c>
      <c r="AU46" s="812">
        <f>SUM(AU44:AU45)</f>
        <v>0</v>
      </c>
      <c r="AV46" s="812">
        <f>SUM(AV44:AV45)</f>
        <v>0</v>
      </c>
      <c r="AW46" s="812">
        <f>SUM(AW44:AW45)</f>
        <v>0</v>
      </c>
      <c r="AX46" s="812">
        <f>SUM(AX44:AX45)</f>
        <v>0</v>
      </c>
      <c r="AY46" s="2441">
        <f>SUM(AY44:AY45)</f>
        <v>0</v>
      </c>
      <c r="CX46"/>
      <c r="CY46"/>
      <c r="CZ46"/>
      <c r="DA46"/>
      <c r="DB46"/>
      <c r="DC46"/>
      <c r="DD46"/>
      <c r="DE46"/>
      <c r="DF46"/>
      <c r="DH46"/>
      <c r="DI46"/>
      <c r="DJ46"/>
      <c r="DK46"/>
      <c r="DL46"/>
      <c r="DM46"/>
      <c r="DN46"/>
    </row>
    <row r="47" spans="1:120" ht="15" customHeight="1" x14ac:dyDescent="0.3">
      <c r="A47" s="6269" t="s">
        <v>4941</v>
      </c>
      <c r="B47" s="7348" t="s">
        <v>730</v>
      </c>
      <c r="C47" s="7349"/>
      <c r="D47" s="7350"/>
      <c r="E47" s="810" t="s">
        <v>5292</v>
      </c>
      <c r="F47" s="811" t="s">
        <v>5293</v>
      </c>
      <c r="G47" s="812" t="s">
        <v>5294</v>
      </c>
      <c r="H47" s="6147" t="s">
        <v>5295</v>
      </c>
      <c r="I47" s="6148" t="s">
        <v>5296</v>
      </c>
      <c r="J47" s="6147" t="s">
        <v>5297</v>
      </c>
      <c r="K47" s="6149" t="s">
        <v>5298</v>
      </c>
      <c r="L47" s="6147" t="s">
        <v>5299</v>
      </c>
      <c r="M47" s="6148" t="s">
        <v>5300</v>
      </c>
      <c r="N47" s="6147" t="s">
        <v>5301</v>
      </c>
      <c r="O47" s="6148" t="s">
        <v>5302</v>
      </c>
      <c r="P47" s="6147" t="s">
        <v>5303</v>
      </c>
      <c r="Q47" s="6148" t="s">
        <v>5304</v>
      </c>
      <c r="R47" s="6147" t="s">
        <v>5305</v>
      </c>
      <c r="S47" s="6150" t="s">
        <v>5306</v>
      </c>
      <c r="T47" s="6147" t="s">
        <v>5307</v>
      </c>
      <c r="U47" s="6150" t="s">
        <v>5308</v>
      </c>
      <c r="V47" s="6147" t="s">
        <v>5309</v>
      </c>
      <c r="W47" s="6150" t="s">
        <v>5310</v>
      </c>
      <c r="X47" s="6147" t="s">
        <v>5311</v>
      </c>
      <c r="Y47" s="6150" t="s">
        <v>5312</v>
      </c>
      <c r="Z47" s="6147" t="s">
        <v>5313</v>
      </c>
      <c r="AA47" s="6150" t="s">
        <v>5314</v>
      </c>
      <c r="AB47" s="6147" t="s">
        <v>5315</v>
      </c>
      <c r="AC47" s="6150" t="s">
        <v>5316</v>
      </c>
      <c r="AD47" s="6151" t="s">
        <v>5317</v>
      </c>
      <c r="AE47" s="6150" t="s">
        <v>5318</v>
      </c>
      <c r="AF47" s="6152" t="s">
        <v>5319</v>
      </c>
      <c r="AG47" s="6150" t="s">
        <v>5320</v>
      </c>
      <c r="AH47" s="6147" t="s">
        <v>5321</v>
      </c>
      <c r="AI47" s="6150" t="s">
        <v>5322</v>
      </c>
      <c r="AJ47" s="6147" t="s">
        <v>5323</v>
      </c>
      <c r="AK47" s="6150" t="s">
        <v>5324</v>
      </c>
      <c r="AL47" s="6147" t="s">
        <v>5325</v>
      </c>
      <c r="AM47" s="6150" t="s">
        <v>5326</v>
      </c>
      <c r="AN47" s="6151" t="s">
        <v>5327</v>
      </c>
      <c r="AO47" s="6150" t="s">
        <v>5328</v>
      </c>
      <c r="AP47" s="6149" t="s">
        <v>5329</v>
      </c>
      <c r="AQ47" s="6153" t="s">
        <v>5330</v>
      </c>
      <c r="AR47" s="6154" t="s">
        <v>5331</v>
      </c>
      <c r="AS47" s="6148" t="s">
        <v>5332</v>
      </c>
      <c r="AT47" s="6148" t="s">
        <v>5333</v>
      </c>
      <c r="AU47" s="6148" t="s">
        <v>5334</v>
      </c>
      <c r="AV47" s="6148" t="s">
        <v>5335</v>
      </c>
      <c r="AW47" s="6148" t="s">
        <v>5336</v>
      </c>
      <c r="AX47" s="6148" t="s">
        <v>5337</v>
      </c>
      <c r="AY47" s="6155" t="s">
        <v>5338</v>
      </c>
      <c r="AZ47" t="e">
        <f t="shared" si="41"/>
        <v>#VALUE!</v>
      </c>
      <c r="CX47" s="1723" t="e">
        <f t="shared" ref="CX47:CX53" si="63">IF(AND((Z47+AA47)&gt;0,AR47="")," * No olvide digitar la variable 12 años. Si no tiene digite Cero.",IF(AR47&gt;(Z47+AA47),"* Las Consultas de 12 años NO DEBEN ser mayor que el total de Consultas entre 10-14 años",""))</f>
        <v>#VALUE!</v>
      </c>
      <c r="CY47" s="1723" t="str">
        <f t="shared" ref="CY47:CY53" si="64">IF(AND(G47&gt;0,AS47="")," * No olvide digitar la variable Embarazadas. Digite cero si no tiene.","")</f>
        <v/>
      </c>
      <c r="CZ47" s="1723" t="str">
        <f t="shared" ref="CZ47:CZ53" si="65">IF(AS47&gt;G47," * Las Embarazadas NO DEBEN ser mayor al total de mujeres. ","")</f>
        <v xml:space="preserve"> * Las Embarazadas NO DEBEN ser mayor al total de mujeres. </v>
      </c>
      <c r="DA47" s="1723" t="e">
        <f t="shared" ref="DA47:DA53" si="66">IF(AND((AL47+AM47)&gt;0,AT47="")," * No olvide digitar la variable 60 años. Si no tiene digite Cero.",IF(AT47&gt;(AL47+AM47)," * Las consultas de 60 años NO DEBEN ser mayor que el Total de consultas del grupo 60-64 años",""))</f>
        <v>#VALUE!</v>
      </c>
      <c r="DB47" s="1723" t="str">
        <f t="shared" ref="DB47:DB53" si="67">IF(AND(E47&gt;0,AU47="")," * No olvide digitar la variable Usuarios con Discapacidad. Digite Cero si no tiene.",IF(AU47&gt;E47," * La variable Usuarios con Discapacidad No puede ser mayor al Total Ambos Sexos.",""))</f>
        <v xml:space="preserve"> * La variable Usuarios con Discapacidad No puede ser mayor al Total Ambos Sexos.</v>
      </c>
      <c r="DC47" s="1723" t="str">
        <f t="shared" ref="DC47:DC53" si="68">IF(AND(E47&gt;0,AV47="")," * No olvide digitar la variable Niños, niñas, adolescentes y jóvenes población SENAME. Digite Cero si no tiene.",IF(AV47&gt;E47,"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47" s="1723" t="str">
        <f t="shared" ref="DD47:DD53" si="69">IF(AND(E47&gt;0,AW47="")," * No olvide digitar la variable Niños, niñas, adolescentes y jóvenes Mejor Niñez. Digite Cero si no tiene.",IF(AW47&gt;E47,"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47" s="1723" t="str">
        <f t="shared" ref="DE47:DE53" si="70">IF(AND(E47&gt;0,AX47="")," * No olvide digitar la variable Migrantes. Digite Cero si no tiene.",IF(AX47&gt;E47," * La variable Migrantes No puede ser mayor al Total.",""))</f>
        <v xml:space="preserve"> * La variable Migrantes No puede ser mayor al Total.</v>
      </c>
      <c r="DF47" s="1723" t="str">
        <f t="shared" si="47"/>
        <v xml:space="preserve"> * La variable  Pacientes en control PSCV No puede ser mayor al Total.</v>
      </c>
      <c r="DH47" s="1725" t="e">
        <f t="shared" ref="DH47:DH53" si="71">IF(AND((Z47+AA47)&gt;0,AR47=""),1,IF(AR47&gt;(Z47+AA47),1,0))</f>
        <v>#VALUE!</v>
      </c>
      <c r="DI47" s="1725">
        <f t="shared" ref="DI47:DI53" si="72">IF(AND(G47&gt;0,AS47=""),1,0)</f>
        <v>0</v>
      </c>
      <c r="DJ47" s="1725">
        <f t="shared" ref="DJ47:DJ53" si="73">IF(AS47&gt;G47,1,0)</f>
        <v>1</v>
      </c>
      <c r="DK47" s="1725" t="e">
        <f t="shared" ref="DK47:DK53" si="74">IF(AND((AL47+AM47)&gt;0,AT47=""),1,IF(AT47&gt;(AL47+AM47),1,0))</f>
        <v>#VALUE!</v>
      </c>
      <c r="DL47" s="1725">
        <f t="shared" ref="DL47:DL53" si="75">IF(AND(E47&gt;0,AU47=""),1,IF(AU47&gt;E47,1,0))</f>
        <v>1</v>
      </c>
      <c r="DM47" s="1725">
        <f t="shared" ref="DM47:DM53" si="76">IF(AND(E47&gt;0,AV47=""),1,IF(AV47&gt;E47,1,0))</f>
        <v>1</v>
      </c>
      <c r="DN47" s="1725">
        <f t="shared" ref="DN47:DN53" si="77">IF(AND(E47&gt;0,AW47=""),1,IF(AW47&gt;E47,1,0))</f>
        <v>1</v>
      </c>
      <c r="DO47" s="1725">
        <f t="shared" ref="DO47:DO53" si="78">IF(AND(E47&gt;0,AX47=""),1,IF(AX47&gt;E47,1,0))</f>
        <v>1</v>
      </c>
      <c r="DP47" s="1725">
        <f t="shared" ref="DP47:DP53" si="79">IF(AND(E47&gt;0,AY47=""),1,IF(AY47&gt;E47,1,0))</f>
        <v>1</v>
      </c>
    </row>
    <row r="48" spans="1:120" ht="15" customHeight="1" x14ac:dyDescent="0.3">
      <c r="A48" s="6269" t="s">
        <v>4942</v>
      </c>
      <c r="B48" s="7353" t="s">
        <v>731</v>
      </c>
      <c r="C48" s="7354"/>
      <c r="D48" s="813">
        <v>0</v>
      </c>
      <c r="E48" s="814" t="s">
        <v>5292</v>
      </c>
      <c r="F48" s="815" t="s">
        <v>5293</v>
      </c>
      <c r="G48" s="799" t="s">
        <v>5294</v>
      </c>
      <c r="H48" s="6127" t="s">
        <v>5295</v>
      </c>
      <c r="I48" s="1860" t="s">
        <v>5296</v>
      </c>
      <c r="J48" s="6127" t="s">
        <v>5297</v>
      </c>
      <c r="K48" s="6128" t="s">
        <v>5298</v>
      </c>
      <c r="L48" s="6127" t="s">
        <v>5299</v>
      </c>
      <c r="M48" s="1860" t="s">
        <v>5300</v>
      </c>
      <c r="N48" s="6127" t="s">
        <v>5301</v>
      </c>
      <c r="O48" s="1860" t="s">
        <v>5302</v>
      </c>
      <c r="P48" s="6127" t="s">
        <v>5303</v>
      </c>
      <c r="Q48" s="1860" t="s">
        <v>5304</v>
      </c>
      <c r="R48" s="6127" t="s">
        <v>5305</v>
      </c>
      <c r="S48" s="6129" t="s">
        <v>5306</v>
      </c>
      <c r="T48" s="6127" t="s">
        <v>5307</v>
      </c>
      <c r="U48" s="6129" t="s">
        <v>5308</v>
      </c>
      <c r="V48" s="6127" t="s">
        <v>5309</v>
      </c>
      <c r="W48" s="6129" t="s">
        <v>5310</v>
      </c>
      <c r="X48" s="6127" t="s">
        <v>5311</v>
      </c>
      <c r="Y48" s="6129" t="s">
        <v>5312</v>
      </c>
      <c r="Z48" s="6127" t="s">
        <v>5313</v>
      </c>
      <c r="AA48" s="6129" t="s">
        <v>5314</v>
      </c>
      <c r="AB48" s="6127" t="s">
        <v>5315</v>
      </c>
      <c r="AC48" s="6129" t="s">
        <v>5316</v>
      </c>
      <c r="AD48" s="6156" t="s">
        <v>5317</v>
      </c>
      <c r="AE48" s="6129" t="s">
        <v>5318</v>
      </c>
      <c r="AF48" s="6157" t="s">
        <v>5319</v>
      </c>
      <c r="AG48" s="6129" t="s">
        <v>5320</v>
      </c>
      <c r="AH48" s="6127" t="s">
        <v>5321</v>
      </c>
      <c r="AI48" s="6129" t="s">
        <v>5322</v>
      </c>
      <c r="AJ48" s="6127" t="s">
        <v>5323</v>
      </c>
      <c r="AK48" s="6129" t="s">
        <v>5324</v>
      </c>
      <c r="AL48" s="6127" t="s">
        <v>5325</v>
      </c>
      <c r="AM48" s="6129" t="s">
        <v>5326</v>
      </c>
      <c r="AN48" s="6156" t="s">
        <v>5327</v>
      </c>
      <c r="AO48" s="6129" t="s">
        <v>5328</v>
      </c>
      <c r="AP48" s="6128" t="s">
        <v>5329</v>
      </c>
      <c r="AQ48" s="6158" t="s">
        <v>5330</v>
      </c>
      <c r="AR48" s="6159" t="s">
        <v>5331</v>
      </c>
      <c r="AS48" s="1860" t="s">
        <v>5332</v>
      </c>
      <c r="AT48" s="1860" t="s">
        <v>5333</v>
      </c>
      <c r="AU48" s="1860" t="s">
        <v>5334</v>
      </c>
      <c r="AV48" s="1860" t="s">
        <v>5335</v>
      </c>
      <c r="AW48" s="1860" t="s">
        <v>5336</v>
      </c>
      <c r="AX48" s="1860" t="s">
        <v>5337</v>
      </c>
      <c r="AY48" s="6133" t="s">
        <v>5338</v>
      </c>
      <c r="AZ48" t="e">
        <f t="shared" si="41"/>
        <v>#VALUE!</v>
      </c>
      <c r="CX48" s="1723" t="e">
        <f t="shared" si="63"/>
        <v>#VALUE!</v>
      </c>
      <c r="CY48" s="1723" t="str">
        <f t="shared" si="64"/>
        <v/>
      </c>
      <c r="CZ48" s="1723" t="str">
        <f t="shared" si="65"/>
        <v xml:space="preserve"> * Las Embarazadas NO DEBEN ser mayor al total de mujeres. </v>
      </c>
      <c r="DA48" s="1723" t="e">
        <f t="shared" si="66"/>
        <v>#VALUE!</v>
      </c>
      <c r="DB48" s="1723" t="str">
        <f t="shared" si="67"/>
        <v xml:space="preserve"> * La variable Usuarios con Discapacidad No puede ser mayor al Total Ambos Sexos.</v>
      </c>
      <c r="DC48" s="1723" t="str">
        <f t="shared" si="68"/>
        <v xml:space="preserve"> * La variable Niños, niñas, adolescentes y jóvenes población SENAME No puede ser mayor al Total Ambos Sexos.</v>
      </c>
      <c r="DD48" s="1723" t="str">
        <f t="shared" si="69"/>
        <v xml:space="preserve"> * La variable Niños, niñas, adolescentes y jóvenes Mejor Niñez No puede ser mayor al Total Ambos Sexos.</v>
      </c>
      <c r="DE48" s="1723" t="str">
        <f t="shared" si="70"/>
        <v xml:space="preserve"> * La variable Migrantes No puede ser mayor al Total.</v>
      </c>
      <c r="DF48" s="1723" t="str">
        <f t="shared" si="47"/>
        <v xml:space="preserve"> * La variable  Pacientes en control PSCV No puede ser mayor al Total.</v>
      </c>
      <c r="DH48" s="1725" t="e">
        <f t="shared" si="71"/>
        <v>#VALUE!</v>
      </c>
      <c r="DI48" s="1725">
        <f t="shared" si="72"/>
        <v>0</v>
      </c>
      <c r="DJ48" s="1725">
        <f t="shared" si="73"/>
        <v>1</v>
      </c>
      <c r="DK48" s="1725" t="e">
        <f t="shared" si="74"/>
        <v>#VALUE!</v>
      </c>
      <c r="DL48" s="1725">
        <f t="shared" si="75"/>
        <v>1</v>
      </c>
      <c r="DM48" s="1725">
        <f t="shared" si="76"/>
        <v>1</v>
      </c>
      <c r="DN48" s="1725">
        <f t="shared" si="77"/>
        <v>1</v>
      </c>
      <c r="DO48" s="1725">
        <f t="shared" si="78"/>
        <v>1</v>
      </c>
      <c r="DP48" s="1725">
        <f t="shared" si="79"/>
        <v>1</v>
      </c>
    </row>
    <row r="49" spans="1:120" ht="15" customHeight="1" x14ac:dyDescent="0.3">
      <c r="A49" s="6269" t="s">
        <v>4943</v>
      </c>
      <c r="B49" s="7355"/>
      <c r="C49" s="7356"/>
      <c r="D49" s="816" t="s">
        <v>732</v>
      </c>
      <c r="E49" s="802" t="s">
        <v>5292</v>
      </c>
      <c r="F49" s="815" t="s">
        <v>5293</v>
      </c>
      <c r="G49" s="799" t="s">
        <v>5294</v>
      </c>
      <c r="H49" s="6135" t="s">
        <v>5295</v>
      </c>
      <c r="I49" s="1877" t="s">
        <v>5296</v>
      </c>
      <c r="J49" s="6135" t="s">
        <v>5297</v>
      </c>
      <c r="K49" s="6160" t="s">
        <v>5298</v>
      </c>
      <c r="L49" s="6135" t="s">
        <v>5299</v>
      </c>
      <c r="M49" s="1877" t="s">
        <v>5300</v>
      </c>
      <c r="N49" s="6135" t="s">
        <v>5301</v>
      </c>
      <c r="O49" s="1877" t="s">
        <v>5302</v>
      </c>
      <c r="P49" s="6135" t="s">
        <v>5303</v>
      </c>
      <c r="Q49" s="1877" t="s">
        <v>5304</v>
      </c>
      <c r="R49" s="6135" t="s">
        <v>5305</v>
      </c>
      <c r="S49" s="6136" t="s">
        <v>5306</v>
      </c>
      <c r="T49" s="6135" t="s">
        <v>5307</v>
      </c>
      <c r="U49" s="6136" t="s">
        <v>5308</v>
      </c>
      <c r="V49" s="6135" t="s">
        <v>5309</v>
      </c>
      <c r="W49" s="6136" t="s">
        <v>5310</v>
      </c>
      <c r="X49" s="6135" t="s">
        <v>5311</v>
      </c>
      <c r="Y49" s="6136" t="s">
        <v>5312</v>
      </c>
      <c r="Z49" s="6135" t="s">
        <v>5313</v>
      </c>
      <c r="AA49" s="6136" t="s">
        <v>5314</v>
      </c>
      <c r="AB49" s="6135" t="s">
        <v>5315</v>
      </c>
      <c r="AC49" s="6136" t="s">
        <v>5316</v>
      </c>
      <c r="AD49" s="6161" t="s">
        <v>5317</v>
      </c>
      <c r="AE49" s="6136" t="s">
        <v>5318</v>
      </c>
      <c r="AF49" s="6137" t="s">
        <v>5319</v>
      </c>
      <c r="AG49" s="6136" t="s">
        <v>5320</v>
      </c>
      <c r="AH49" s="6135" t="s">
        <v>5321</v>
      </c>
      <c r="AI49" s="6136" t="s">
        <v>5322</v>
      </c>
      <c r="AJ49" s="6135" t="s">
        <v>5323</v>
      </c>
      <c r="AK49" s="6136" t="s">
        <v>5324</v>
      </c>
      <c r="AL49" s="6135" t="s">
        <v>5325</v>
      </c>
      <c r="AM49" s="6136" t="s">
        <v>5326</v>
      </c>
      <c r="AN49" s="6161" t="s">
        <v>5327</v>
      </c>
      <c r="AO49" s="6136" t="s">
        <v>5328</v>
      </c>
      <c r="AP49" s="6160" t="s">
        <v>5329</v>
      </c>
      <c r="AQ49" s="6139" t="s">
        <v>5330</v>
      </c>
      <c r="AR49" s="6132" t="s">
        <v>5331</v>
      </c>
      <c r="AS49" s="1877" t="s">
        <v>5332</v>
      </c>
      <c r="AT49" s="1877" t="s">
        <v>5333</v>
      </c>
      <c r="AU49" s="1877" t="s">
        <v>5334</v>
      </c>
      <c r="AV49" s="1877" t="s">
        <v>5335</v>
      </c>
      <c r="AW49" s="1877" t="s">
        <v>5336</v>
      </c>
      <c r="AX49" s="1877" t="s">
        <v>5337</v>
      </c>
      <c r="AY49" s="1878" t="s">
        <v>5338</v>
      </c>
      <c r="AZ49" t="e">
        <f t="shared" si="41"/>
        <v>#VALUE!</v>
      </c>
      <c r="CX49" s="1723" t="e">
        <f t="shared" si="63"/>
        <v>#VALUE!</v>
      </c>
      <c r="CY49" s="1723" t="str">
        <f t="shared" si="64"/>
        <v/>
      </c>
      <c r="CZ49" s="1723" t="str">
        <f t="shared" si="65"/>
        <v xml:space="preserve"> * Las Embarazadas NO DEBEN ser mayor al total de mujeres. </v>
      </c>
      <c r="DA49" s="1723" t="e">
        <f t="shared" si="66"/>
        <v>#VALUE!</v>
      </c>
      <c r="DB49" s="1723" t="str">
        <f t="shared" si="67"/>
        <v xml:space="preserve"> * La variable Usuarios con Discapacidad No puede ser mayor al Total Ambos Sexos.</v>
      </c>
      <c r="DC49" s="1723" t="str">
        <f t="shared" si="68"/>
        <v xml:space="preserve"> * La variable Niños, niñas, adolescentes y jóvenes población SENAME No puede ser mayor al Total Ambos Sexos.</v>
      </c>
      <c r="DD49" s="1723" t="str">
        <f t="shared" si="69"/>
        <v xml:space="preserve"> * La variable Niños, niñas, adolescentes y jóvenes Mejor Niñez No puede ser mayor al Total Ambos Sexos.</v>
      </c>
      <c r="DE49" s="1723" t="str">
        <f t="shared" si="70"/>
        <v xml:space="preserve"> * La variable Migrantes No puede ser mayor al Total.</v>
      </c>
      <c r="DF49" s="1723" t="str">
        <f t="shared" si="47"/>
        <v xml:space="preserve"> * La variable  Pacientes en control PSCV No puede ser mayor al Total.</v>
      </c>
      <c r="DH49" s="1725" t="e">
        <f t="shared" si="71"/>
        <v>#VALUE!</v>
      </c>
      <c r="DI49" s="1725">
        <f t="shared" si="72"/>
        <v>0</v>
      </c>
      <c r="DJ49" s="1725">
        <f t="shared" si="73"/>
        <v>1</v>
      </c>
      <c r="DK49" s="1725" t="e">
        <f t="shared" si="74"/>
        <v>#VALUE!</v>
      </c>
      <c r="DL49" s="1725">
        <f t="shared" si="75"/>
        <v>1</v>
      </c>
      <c r="DM49" s="1725">
        <f t="shared" si="76"/>
        <v>1</v>
      </c>
      <c r="DN49" s="1725">
        <f t="shared" si="77"/>
        <v>1</v>
      </c>
      <c r="DO49" s="1725">
        <f t="shared" si="78"/>
        <v>1</v>
      </c>
      <c r="DP49" s="1725">
        <f t="shared" si="79"/>
        <v>1</v>
      </c>
    </row>
    <row r="50" spans="1:120" ht="15" customHeight="1" x14ac:dyDescent="0.3">
      <c r="A50" s="6269" t="s">
        <v>4944</v>
      </c>
      <c r="B50" s="7355"/>
      <c r="C50" s="7356"/>
      <c r="D50" s="816" t="s">
        <v>733</v>
      </c>
      <c r="E50" s="802" t="s">
        <v>5292</v>
      </c>
      <c r="F50" s="815" t="s">
        <v>5293</v>
      </c>
      <c r="G50" s="799" t="s">
        <v>5294</v>
      </c>
      <c r="H50" s="6135" t="s">
        <v>5295</v>
      </c>
      <c r="I50" s="1877" t="s">
        <v>5296</v>
      </c>
      <c r="J50" s="6135" t="s">
        <v>5297</v>
      </c>
      <c r="K50" s="6160" t="s">
        <v>5298</v>
      </c>
      <c r="L50" s="6135" t="s">
        <v>5299</v>
      </c>
      <c r="M50" s="1877" t="s">
        <v>5300</v>
      </c>
      <c r="N50" s="6135" t="s">
        <v>5301</v>
      </c>
      <c r="O50" s="1877" t="s">
        <v>5302</v>
      </c>
      <c r="P50" s="6135" t="s">
        <v>5303</v>
      </c>
      <c r="Q50" s="1877" t="s">
        <v>5304</v>
      </c>
      <c r="R50" s="6135" t="s">
        <v>5305</v>
      </c>
      <c r="S50" s="6136" t="s">
        <v>5306</v>
      </c>
      <c r="T50" s="6135" t="s">
        <v>5307</v>
      </c>
      <c r="U50" s="6136" t="s">
        <v>5308</v>
      </c>
      <c r="V50" s="6135" t="s">
        <v>5309</v>
      </c>
      <c r="W50" s="6136" t="s">
        <v>5310</v>
      </c>
      <c r="X50" s="6135" t="s">
        <v>5311</v>
      </c>
      <c r="Y50" s="6136" t="s">
        <v>5312</v>
      </c>
      <c r="Z50" s="6135" t="s">
        <v>5313</v>
      </c>
      <c r="AA50" s="6136" t="s">
        <v>5314</v>
      </c>
      <c r="AB50" s="6135" t="s">
        <v>5315</v>
      </c>
      <c r="AC50" s="6136" t="s">
        <v>5316</v>
      </c>
      <c r="AD50" s="6161" t="s">
        <v>5317</v>
      </c>
      <c r="AE50" s="6136" t="s">
        <v>5318</v>
      </c>
      <c r="AF50" s="6137" t="s">
        <v>5319</v>
      </c>
      <c r="AG50" s="6136" t="s">
        <v>5320</v>
      </c>
      <c r="AH50" s="6135" t="s">
        <v>5321</v>
      </c>
      <c r="AI50" s="6136" t="s">
        <v>5322</v>
      </c>
      <c r="AJ50" s="6135" t="s">
        <v>5323</v>
      </c>
      <c r="AK50" s="6136" t="s">
        <v>5324</v>
      </c>
      <c r="AL50" s="6135" t="s">
        <v>5325</v>
      </c>
      <c r="AM50" s="6136" t="s">
        <v>5326</v>
      </c>
      <c r="AN50" s="6161" t="s">
        <v>5327</v>
      </c>
      <c r="AO50" s="6136" t="s">
        <v>5328</v>
      </c>
      <c r="AP50" s="6160" t="s">
        <v>5329</v>
      </c>
      <c r="AQ50" s="6139" t="s">
        <v>5330</v>
      </c>
      <c r="AR50" s="6132" t="s">
        <v>5331</v>
      </c>
      <c r="AS50" s="1877" t="s">
        <v>5332</v>
      </c>
      <c r="AT50" s="1877" t="s">
        <v>5333</v>
      </c>
      <c r="AU50" s="1877" t="s">
        <v>5334</v>
      </c>
      <c r="AV50" s="1877" t="s">
        <v>5335</v>
      </c>
      <c r="AW50" s="1877" t="s">
        <v>5336</v>
      </c>
      <c r="AX50" s="1877" t="s">
        <v>5337</v>
      </c>
      <c r="AY50" s="1878" t="s">
        <v>5338</v>
      </c>
      <c r="AZ50" t="e">
        <f t="shared" si="41"/>
        <v>#VALUE!</v>
      </c>
      <c r="CX50" s="1723" t="e">
        <f t="shared" si="63"/>
        <v>#VALUE!</v>
      </c>
      <c r="CY50" s="1723" t="str">
        <f t="shared" si="64"/>
        <v/>
      </c>
      <c r="CZ50" s="1723" t="str">
        <f t="shared" si="65"/>
        <v xml:space="preserve"> * Las Embarazadas NO DEBEN ser mayor al total de mujeres. </v>
      </c>
      <c r="DA50" s="1723" t="e">
        <f t="shared" si="66"/>
        <v>#VALUE!</v>
      </c>
      <c r="DB50" s="1723" t="str">
        <f t="shared" si="67"/>
        <v xml:space="preserve"> * La variable Usuarios con Discapacidad No puede ser mayor al Total Ambos Sexos.</v>
      </c>
      <c r="DC50" s="1723" t="str">
        <f t="shared" si="68"/>
        <v xml:space="preserve"> * La variable Niños, niñas, adolescentes y jóvenes población SENAME No puede ser mayor al Total Ambos Sexos.</v>
      </c>
      <c r="DD50" s="1723" t="str">
        <f t="shared" si="69"/>
        <v xml:space="preserve"> * La variable Niños, niñas, adolescentes y jóvenes Mejor Niñez No puede ser mayor al Total Ambos Sexos.</v>
      </c>
      <c r="DE50" s="1723" t="str">
        <f t="shared" si="70"/>
        <v xml:space="preserve"> * La variable Migrantes No puede ser mayor al Total.</v>
      </c>
      <c r="DF50" s="1723" t="str">
        <f t="shared" si="47"/>
        <v xml:space="preserve"> * La variable  Pacientes en control PSCV No puede ser mayor al Total.</v>
      </c>
      <c r="DH50" s="1725" t="e">
        <f t="shared" si="71"/>
        <v>#VALUE!</v>
      </c>
      <c r="DI50" s="1725">
        <f t="shared" si="72"/>
        <v>0</v>
      </c>
      <c r="DJ50" s="1725">
        <f t="shared" si="73"/>
        <v>1</v>
      </c>
      <c r="DK50" s="1725" t="e">
        <f t="shared" si="74"/>
        <v>#VALUE!</v>
      </c>
      <c r="DL50" s="1725">
        <f t="shared" si="75"/>
        <v>1</v>
      </c>
      <c r="DM50" s="1725">
        <f t="shared" si="76"/>
        <v>1</v>
      </c>
      <c r="DN50" s="1725">
        <f t="shared" si="77"/>
        <v>1</v>
      </c>
      <c r="DO50" s="1725">
        <f t="shared" si="78"/>
        <v>1</v>
      </c>
      <c r="DP50" s="1725">
        <f t="shared" si="79"/>
        <v>1</v>
      </c>
    </row>
    <row r="51" spans="1:120" ht="15" customHeight="1" x14ac:dyDescent="0.3">
      <c r="A51" s="6269" t="s">
        <v>4945</v>
      </c>
      <c r="B51" s="7355"/>
      <c r="C51" s="7356"/>
      <c r="D51" s="816" t="s">
        <v>734</v>
      </c>
      <c r="E51" s="802" t="s">
        <v>5292</v>
      </c>
      <c r="F51" s="815" t="s">
        <v>5293</v>
      </c>
      <c r="G51" s="799" t="s">
        <v>5294</v>
      </c>
      <c r="H51" s="6135" t="s">
        <v>5295</v>
      </c>
      <c r="I51" s="1877" t="s">
        <v>5296</v>
      </c>
      <c r="J51" s="6135" t="s">
        <v>5297</v>
      </c>
      <c r="K51" s="6160" t="s">
        <v>5298</v>
      </c>
      <c r="L51" s="6135" t="s">
        <v>5299</v>
      </c>
      <c r="M51" s="1877" t="s">
        <v>5300</v>
      </c>
      <c r="N51" s="6135" t="s">
        <v>5301</v>
      </c>
      <c r="O51" s="1877" t="s">
        <v>5302</v>
      </c>
      <c r="P51" s="6135" t="s">
        <v>5303</v>
      </c>
      <c r="Q51" s="1877" t="s">
        <v>5304</v>
      </c>
      <c r="R51" s="6135" t="s">
        <v>5305</v>
      </c>
      <c r="S51" s="6136" t="s">
        <v>5306</v>
      </c>
      <c r="T51" s="6135" t="s">
        <v>5307</v>
      </c>
      <c r="U51" s="6136" t="s">
        <v>5308</v>
      </c>
      <c r="V51" s="6135" t="s">
        <v>5309</v>
      </c>
      <c r="W51" s="6136" t="s">
        <v>5310</v>
      </c>
      <c r="X51" s="6135" t="s">
        <v>5311</v>
      </c>
      <c r="Y51" s="6136" t="s">
        <v>5312</v>
      </c>
      <c r="Z51" s="6135" t="s">
        <v>5313</v>
      </c>
      <c r="AA51" s="6136" t="s">
        <v>5314</v>
      </c>
      <c r="AB51" s="6135" t="s">
        <v>5315</v>
      </c>
      <c r="AC51" s="6136" t="s">
        <v>5316</v>
      </c>
      <c r="AD51" s="6161" t="s">
        <v>5317</v>
      </c>
      <c r="AE51" s="6136" t="s">
        <v>5318</v>
      </c>
      <c r="AF51" s="6137" t="s">
        <v>5319</v>
      </c>
      <c r="AG51" s="6136" t="s">
        <v>5320</v>
      </c>
      <c r="AH51" s="6135" t="s">
        <v>5321</v>
      </c>
      <c r="AI51" s="6136" t="s">
        <v>5322</v>
      </c>
      <c r="AJ51" s="6135" t="s">
        <v>5323</v>
      </c>
      <c r="AK51" s="6136" t="s">
        <v>5324</v>
      </c>
      <c r="AL51" s="6135" t="s">
        <v>5325</v>
      </c>
      <c r="AM51" s="6136" t="s">
        <v>5326</v>
      </c>
      <c r="AN51" s="6161" t="s">
        <v>5327</v>
      </c>
      <c r="AO51" s="6136" t="s">
        <v>5328</v>
      </c>
      <c r="AP51" s="6160" t="s">
        <v>5329</v>
      </c>
      <c r="AQ51" s="6139" t="s">
        <v>5330</v>
      </c>
      <c r="AR51" s="6132" t="s">
        <v>5331</v>
      </c>
      <c r="AS51" s="1877" t="s">
        <v>5332</v>
      </c>
      <c r="AT51" s="1877" t="s">
        <v>5333</v>
      </c>
      <c r="AU51" s="1877" t="s">
        <v>5334</v>
      </c>
      <c r="AV51" s="1877" t="s">
        <v>5335</v>
      </c>
      <c r="AW51" s="1877" t="s">
        <v>5336</v>
      </c>
      <c r="AX51" s="1877" t="s">
        <v>5337</v>
      </c>
      <c r="AY51" s="1878" t="s">
        <v>5338</v>
      </c>
      <c r="AZ51" t="e">
        <f t="shared" si="41"/>
        <v>#VALUE!</v>
      </c>
      <c r="CX51" s="1723" t="e">
        <f t="shared" si="63"/>
        <v>#VALUE!</v>
      </c>
      <c r="CY51" s="1723" t="str">
        <f t="shared" si="64"/>
        <v/>
      </c>
      <c r="CZ51" s="1723" t="str">
        <f t="shared" si="65"/>
        <v xml:space="preserve"> * Las Embarazadas NO DEBEN ser mayor al total de mujeres. </v>
      </c>
      <c r="DA51" s="1723" t="e">
        <f t="shared" si="66"/>
        <v>#VALUE!</v>
      </c>
      <c r="DB51" s="1723" t="str">
        <f t="shared" si="67"/>
        <v xml:space="preserve"> * La variable Usuarios con Discapacidad No puede ser mayor al Total Ambos Sexos.</v>
      </c>
      <c r="DC51" s="1723" t="str">
        <f t="shared" si="68"/>
        <v xml:space="preserve"> * La variable Niños, niñas, adolescentes y jóvenes población SENAME No puede ser mayor al Total Ambos Sexos.</v>
      </c>
      <c r="DD51" s="1723" t="str">
        <f t="shared" si="69"/>
        <v xml:space="preserve"> * La variable Niños, niñas, adolescentes y jóvenes Mejor Niñez No puede ser mayor al Total Ambos Sexos.</v>
      </c>
      <c r="DE51" s="1723" t="str">
        <f t="shared" si="70"/>
        <v xml:space="preserve"> * La variable Migrantes No puede ser mayor al Total.</v>
      </c>
      <c r="DF51" s="1723" t="str">
        <f t="shared" si="47"/>
        <v xml:space="preserve"> * La variable  Pacientes en control PSCV No puede ser mayor al Total.</v>
      </c>
      <c r="DH51" s="1725" t="e">
        <f t="shared" si="71"/>
        <v>#VALUE!</v>
      </c>
      <c r="DI51" s="1725">
        <f t="shared" si="72"/>
        <v>0</v>
      </c>
      <c r="DJ51" s="1725">
        <f t="shared" si="73"/>
        <v>1</v>
      </c>
      <c r="DK51" s="1725" t="e">
        <f t="shared" si="74"/>
        <v>#VALUE!</v>
      </c>
      <c r="DL51" s="1725">
        <f t="shared" si="75"/>
        <v>1</v>
      </c>
      <c r="DM51" s="1725">
        <f t="shared" si="76"/>
        <v>1</v>
      </c>
      <c r="DN51" s="1725">
        <f t="shared" si="77"/>
        <v>1</v>
      </c>
      <c r="DO51" s="1725">
        <f t="shared" si="78"/>
        <v>1</v>
      </c>
      <c r="DP51" s="1725">
        <f t="shared" si="79"/>
        <v>1</v>
      </c>
    </row>
    <row r="52" spans="1:120" ht="15" customHeight="1" x14ac:dyDescent="0.3">
      <c r="A52" s="6269" t="s">
        <v>4946</v>
      </c>
      <c r="B52" s="7355"/>
      <c r="C52" s="7356"/>
      <c r="D52" s="598" t="s">
        <v>735</v>
      </c>
      <c r="E52" s="805" t="s">
        <v>5292</v>
      </c>
      <c r="F52" s="815" t="s">
        <v>5293</v>
      </c>
      <c r="G52" s="799" t="s">
        <v>5294</v>
      </c>
      <c r="H52" s="1875" t="s">
        <v>5295</v>
      </c>
      <c r="I52" s="1874" t="s">
        <v>5296</v>
      </c>
      <c r="J52" s="1875" t="s">
        <v>5297</v>
      </c>
      <c r="K52" s="6162" t="s">
        <v>5298</v>
      </c>
      <c r="L52" s="1875" t="s">
        <v>5299</v>
      </c>
      <c r="M52" s="1874" t="s">
        <v>5300</v>
      </c>
      <c r="N52" s="1875" t="s">
        <v>5301</v>
      </c>
      <c r="O52" s="1874" t="s">
        <v>5302</v>
      </c>
      <c r="P52" s="1875" t="s">
        <v>5303</v>
      </c>
      <c r="Q52" s="1874" t="s">
        <v>5304</v>
      </c>
      <c r="R52" s="1875" t="s">
        <v>5305</v>
      </c>
      <c r="S52" s="6163" t="s">
        <v>5306</v>
      </c>
      <c r="T52" s="1875" t="s">
        <v>5307</v>
      </c>
      <c r="U52" s="6163" t="s">
        <v>5308</v>
      </c>
      <c r="V52" s="1875" t="s">
        <v>5309</v>
      </c>
      <c r="W52" s="6163" t="s">
        <v>5310</v>
      </c>
      <c r="X52" s="1875" t="s">
        <v>5311</v>
      </c>
      <c r="Y52" s="6163" t="s">
        <v>5312</v>
      </c>
      <c r="Z52" s="1875" t="s">
        <v>5313</v>
      </c>
      <c r="AA52" s="6163" t="s">
        <v>5314</v>
      </c>
      <c r="AB52" s="1875" t="s">
        <v>5315</v>
      </c>
      <c r="AC52" s="6163" t="s">
        <v>5316</v>
      </c>
      <c r="AD52" s="6164" t="s">
        <v>5317</v>
      </c>
      <c r="AE52" s="6163" t="s">
        <v>5318</v>
      </c>
      <c r="AF52" s="6141" t="s">
        <v>5319</v>
      </c>
      <c r="AG52" s="6163" t="s">
        <v>5320</v>
      </c>
      <c r="AH52" s="1875" t="s">
        <v>5321</v>
      </c>
      <c r="AI52" s="6163" t="s">
        <v>5322</v>
      </c>
      <c r="AJ52" s="1875" t="s">
        <v>5323</v>
      </c>
      <c r="AK52" s="6163" t="s">
        <v>5324</v>
      </c>
      <c r="AL52" s="1875" t="s">
        <v>5325</v>
      </c>
      <c r="AM52" s="6163" t="s">
        <v>5326</v>
      </c>
      <c r="AN52" s="6164" t="s">
        <v>5327</v>
      </c>
      <c r="AO52" s="6163" t="s">
        <v>5328</v>
      </c>
      <c r="AP52" s="6162" t="s">
        <v>5329</v>
      </c>
      <c r="AQ52" s="6165" t="s">
        <v>5330</v>
      </c>
      <c r="AR52" s="6166" t="s">
        <v>5331</v>
      </c>
      <c r="AS52" s="1874" t="s">
        <v>5332</v>
      </c>
      <c r="AT52" s="1874" t="s">
        <v>5333</v>
      </c>
      <c r="AU52" s="1874" t="s">
        <v>5334</v>
      </c>
      <c r="AV52" s="1874" t="s">
        <v>5335</v>
      </c>
      <c r="AW52" s="1874" t="s">
        <v>5336</v>
      </c>
      <c r="AX52" s="1874" t="s">
        <v>5337</v>
      </c>
      <c r="AY52" s="1876" t="s">
        <v>5338</v>
      </c>
      <c r="AZ52" t="e">
        <f t="shared" si="41"/>
        <v>#VALUE!</v>
      </c>
      <c r="CX52" s="1723" t="e">
        <f t="shared" si="63"/>
        <v>#VALUE!</v>
      </c>
      <c r="CY52" s="1723" t="str">
        <f t="shared" si="64"/>
        <v/>
      </c>
      <c r="CZ52" s="1723" t="str">
        <f t="shared" si="65"/>
        <v xml:space="preserve"> * Las Embarazadas NO DEBEN ser mayor al total de mujeres. </v>
      </c>
      <c r="DA52" s="1723" t="e">
        <f t="shared" si="66"/>
        <v>#VALUE!</v>
      </c>
      <c r="DB52" s="1723" t="str">
        <f t="shared" si="67"/>
        <v xml:space="preserve"> * La variable Usuarios con Discapacidad No puede ser mayor al Total Ambos Sexos.</v>
      </c>
      <c r="DC52" s="1723" t="str">
        <f t="shared" si="68"/>
        <v xml:space="preserve"> * La variable Niños, niñas, adolescentes y jóvenes población SENAME No puede ser mayor al Total Ambos Sexos.</v>
      </c>
      <c r="DD52" s="1723" t="str">
        <f t="shared" si="69"/>
        <v xml:space="preserve"> * La variable Niños, niñas, adolescentes y jóvenes Mejor Niñez No puede ser mayor al Total Ambos Sexos.</v>
      </c>
      <c r="DE52" s="1723" t="str">
        <f t="shared" si="70"/>
        <v xml:space="preserve"> * La variable Migrantes No puede ser mayor al Total.</v>
      </c>
      <c r="DF52" s="1723" t="str">
        <f t="shared" si="47"/>
        <v xml:space="preserve"> * La variable  Pacientes en control PSCV No puede ser mayor al Total.</v>
      </c>
      <c r="DH52" s="1725" t="e">
        <f t="shared" si="71"/>
        <v>#VALUE!</v>
      </c>
      <c r="DI52" s="1725">
        <f t="shared" si="72"/>
        <v>0</v>
      </c>
      <c r="DJ52" s="1725">
        <f t="shared" si="73"/>
        <v>1</v>
      </c>
      <c r="DK52" s="1725" t="e">
        <f t="shared" si="74"/>
        <v>#VALUE!</v>
      </c>
      <c r="DL52" s="1725">
        <f t="shared" si="75"/>
        <v>1</v>
      </c>
      <c r="DM52" s="1725">
        <f t="shared" si="76"/>
        <v>1</v>
      </c>
      <c r="DN52" s="1725">
        <f t="shared" si="77"/>
        <v>1</v>
      </c>
      <c r="DO52" s="1725">
        <f t="shared" si="78"/>
        <v>1</v>
      </c>
      <c r="DP52" s="1725">
        <f t="shared" si="79"/>
        <v>1</v>
      </c>
    </row>
    <row r="53" spans="1:120" ht="15" customHeight="1" x14ac:dyDescent="0.3">
      <c r="A53" s="6269" t="s">
        <v>4947</v>
      </c>
      <c r="B53" s="7355"/>
      <c r="C53" s="7356"/>
      <c r="D53" s="598" t="s">
        <v>736</v>
      </c>
      <c r="E53" s="817" t="s">
        <v>5292</v>
      </c>
      <c r="F53" s="818" t="s">
        <v>5293</v>
      </c>
      <c r="G53" s="819" t="s">
        <v>5294</v>
      </c>
      <c r="H53" s="1858" t="s">
        <v>5295</v>
      </c>
      <c r="I53" s="1856" t="s">
        <v>5296</v>
      </c>
      <c r="J53" s="1858" t="s">
        <v>5297</v>
      </c>
      <c r="K53" s="6167" t="s">
        <v>5298</v>
      </c>
      <c r="L53" s="1858" t="s">
        <v>5299</v>
      </c>
      <c r="M53" s="1856" t="s">
        <v>5300</v>
      </c>
      <c r="N53" s="1858" t="s">
        <v>5301</v>
      </c>
      <c r="O53" s="1856" t="s">
        <v>5302</v>
      </c>
      <c r="P53" s="1858" t="s">
        <v>5303</v>
      </c>
      <c r="Q53" s="1856" t="s">
        <v>5304</v>
      </c>
      <c r="R53" s="1858" t="s">
        <v>5305</v>
      </c>
      <c r="S53" s="6140" t="s">
        <v>5306</v>
      </c>
      <c r="T53" s="1858" t="s">
        <v>5307</v>
      </c>
      <c r="U53" s="6140" t="s">
        <v>5308</v>
      </c>
      <c r="V53" s="1858" t="s">
        <v>5309</v>
      </c>
      <c r="W53" s="6140" t="s">
        <v>5310</v>
      </c>
      <c r="X53" s="1858" t="s">
        <v>5311</v>
      </c>
      <c r="Y53" s="6140" t="s">
        <v>5312</v>
      </c>
      <c r="Z53" s="1858" t="s">
        <v>5313</v>
      </c>
      <c r="AA53" s="6140" t="s">
        <v>5314</v>
      </c>
      <c r="AB53" s="1858" t="s">
        <v>5315</v>
      </c>
      <c r="AC53" s="6140" t="s">
        <v>5316</v>
      </c>
      <c r="AD53" s="6168" t="s">
        <v>5317</v>
      </c>
      <c r="AE53" s="6140" t="s">
        <v>5318</v>
      </c>
      <c r="AF53" s="6143" t="s">
        <v>5319</v>
      </c>
      <c r="AG53" s="6140" t="s">
        <v>5320</v>
      </c>
      <c r="AH53" s="1858" t="s">
        <v>5321</v>
      </c>
      <c r="AI53" s="6140" t="s">
        <v>5322</v>
      </c>
      <c r="AJ53" s="1858" t="s">
        <v>5323</v>
      </c>
      <c r="AK53" s="6140" t="s">
        <v>5324</v>
      </c>
      <c r="AL53" s="1858" t="s">
        <v>5325</v>
      </c>
      <c r="AM53" s="6140" t="s">
        <v>5326</v>
      </c>
      <c r="AN53" s="6168" t="s">
        <v>5327</v>
      </c>
      <c r="AO53" s="6140" t="s">
        <v>5328</v>
      </c>
      <c r="AP53" s="6167" t="s">
        <v>5329</v>
      </c>
      <c r="AQ53" s="6144" t="s">
        <v>5330</v>
      </c>
      <c r="AR53" s="1856" t="s">
        <v>5331</v>
      </c>
      <c r="AS53" s="1856" t="s">
        <v>5332</v>
      </c>
      <c r="AT53" s="1856" t="s">
        <v>5333</v>
      </c>
      <c r="AU53" s="1856" t="s">
        <v>5334</v>
      </c>
      <c r="AV53" s="1856" t="s">
        <v>5335</v>
      </c>
      <c r="AW53" s="1856" t="s">
        <v>5336</v>
      </c>
      <c r="AX53" s="1856" t="s">
        <v>5337</v>
      </c>
      <c r="AY53" s="6146" t="s">
        <v>5338</v>
      </c>
      <c r="AZ53" t="e">
        <f t="shared" si="41"/>
        <v>#VALUE!</v>
      </c>
      <c r="CX53" s="1723" t="e">
        <f t="shared" si="63"/>
        <v>#VALUE!</v>
      </c>
      <c r="CY53" s="1723" t="str">
        <f t="shared" si="64"/>
        <v/>
      </c>
      <c r="CZ53" s="1723" t="str">
        <f t="shared" si="65"/>
        <v xml:space="preserve"> * Las Embarazadas NO DEBEN ser mayor al total de mujeres. </v>
      </c>
      <c r="DA53" s="1723" t="e">
        <f t="shared" si="66"/>
        <v>#VALUE!</v>
      </c>
      <c r="DB53" s="1723" t="str">
        <f t="shared" si="67"/>
        <v xml:space="preserve"> * La variable Usuarios con Discapacidad No puede ser mayor al Total Ambos Sexos.</v>
      </c>
      <c r="DC53" s="1723" t="str">
        <f t="shared" si="68"/>
        <v xml:space="preserve"> * La variable Niños, niñas, adolescentes y jóvenes población SENAME No puede ser mayor al Total Ambos Sexos.</v>
      </c>
      <c r="DD53" s="1723" t="str">
        <f t="shared" si="69"/>
        <v xml:space="preserve"> * La variable Niños, niñas, adolescentes y jóvenes Mejor Niñez No puede ser mayor al Total Ambos Sexos.</v>
      </c>
      <c r="DE53" s="1723" t="str">
        <f t="shared" si="70"/>
        <v xml:space="preserve"> * La variable Migrantes No puede ser mayor al Total.</v>
      </c>
      <c r="DF53" s="1723" t="str">
        <f t="shared" si="47"/>
        <v xml:space="preserve"> * La variable  Pacientes en control PSCV No puede ser mayor al Total.</v>
      </c>
      <c r="DH53" s="1725" t="e">
        <f t="shared" si="71"/>
        <v>#VALUE!</v>
      </c>
      <c r="DI53" s="1725">
        <f t="shared" si="72"/>
        <v>0</v>
      </c>
      <c r="DJ53" s="1725">
        <f t="shared" si="73"/>
        <v>1</v>
      </c>
      <c r="DK53" s="1725" t="e">
        <f t="shared" si="74"/>
        <v>#VALUE!</v>
      </c>
      <c r="DL53" s="1725">
        <f t="shared" si="75"/>
        <v>1</v>
      </c>
      <c r="DM53" s="1725">
        <f t="shared" si="76"/>
        <v>1</v>
      </c>
      <c r="DN53" s="1725">
        <f t="shared" si="77"/>
        <v>1</v>
      </c>
      <c r="DO53" s="1725">
        <f t="shared" si="78"/>
        <v>1</v>
      </c>
      <c r="DP53" s="1725">
        <f t="shared" si="79"/>
        <v>1</v>
      </c>
    </row>
    <row r="54" spans="1:120" ht="15" customHeight="1" x14ac:dyDescent="0.3">
      <c r="A54" s="6238"/>
      <c r="B54" s="7323" t="s">
        <v>24</v>
      </c>
      <c r="C54" s="7323"/>
      <c r="D54" s="7323"/>
      <c r="E54" s="810">
        <f>SUM(E48:E53)</f>
        <v>0</v>
      </c>
      <c r="F54" s="2434">
        <f>SUM(F48:F53)</f>
        <v>0</v>
      </c>
      <c r="G54" s="812">
        <f>SUM(G48:G53)</f>
        <v>0</v>
      </c>
      <c r="H54" s="810">
        <f>SUM(H48:H53)</f>
        <v>0</v>
      </c>
      <c r="I54" s="2434">
        <f t="shared" ref="I54:AX54" si="80">SUM(I48:I53)</f>
        <v>0</v>
      </c>
      <c r="J54" s="810">
        <f t="shared" si="80"/>
        <v>0</v>
      </c>
      <c r="K54" s="2434">
        <f t="shared" si="80"/>
        <v>0</v>
      </c>
      <c r="L54" s="810">
        <f t="shared" si="80"/>
        <v>0</v>
      </c>
      <c r="M54" s="2434">
        <f t="shared" si="80"/>
        <v>0</v>
      </c>
      <c r="N54" s="810">
        <f t="shared" si="80"/>
        <v>0</v>
      </c>
      <c r="O54" s="2434">
        <f t="shared" si="80"/>
        <v>0</v>
      </c>
      <c r="P54" s="810">
        <f t="shared" si="80"/>
        <v>0</v>
      </c>
      <c r="Q54" s="2434">
        <f t="shared" si="80"/>
        <v>0</v>
      </c>
      <c r="R54" s="810">
        <f t="shared" si="80"/>
        <v>0</v>
      </c>
      <c r="S54" s="2434">
        <f t="shared" si="80"/>
        <v>0</v>
      </c>
      <c r="T54" s="810">
        <f t="shared" si="80"/>
        <v>0</v>
      </c>
      <c r="U54" s="2434">
        <f t="shared" si="80"/>
        <v>0</v>
      </c>
      <c r="V54" s="810">
        <f t="shared" si="80"/>
        <v>0</v>
      </c>
      <c r="W54" s="2434">
        <f t="shared" si="80"/>
        <v>0</v>
      </c>
      <c r="X54" s="810">
        <f t="shared" si="80"/>
        <v>0</v>
      </c>
      <c r="Y54" s="2434">
        <f t="shared" si="80"/>
        <v>0</v>
      </c>
      <c r="Z54" s="810">
        <f>SUM(Z48:Z53)</f>
        <v>0</v>
      </c>
      <c r="AA54" s="2434">
        <f>SUM(AA48:AA53)</f>
        <v>0</v>
      </c>
      <c r="AB54" s="810">
        <f t="shared" si="80"/>
        <v>0</v>
      </c>
      <c r="AC54" s="2434">
        <f t="shared" si="80"/>
        <v>0</v>
      </c>
      <c r="AD54" s="810">
        <f t="shared" si="80"/>
        <v>0</v>
      </c>
      <c r="AE54" s="2434">
        <f t="shared" si="80"/>
        <v>0</v>
      </c>
      <c r="AF54" s="810">
        <f t="shared" si="80"/>
        <v>0</v>
      </c>
      <c r="AG54" s="2434">
        <f t="shared" si="80"/>
        <v>0</v>
      </c>
      <c r="AH54" s="810">
        <f t="shared" si="80"/>
        <v>0</v>
      </c>
      <c r="AI54" s="2434">
        <f t="shared" si="80"/>
        <v>0</v>
      </c>
      <c r="AJ54" s="810">
        <f t="shared" si="80"/>
        <v>0</v>
      </c>
      <c r="AK54" s="2434">
        <f t="shared" si="80"/>
        <v>0</v>
      </c>
      <c r="AL54" s="810">
        <f t="shared" si="80"/>
        <v>0</v>
      </c>
      <c r="AM54" s="2434">
        <f t="shared" si="80"/>
        <v>0</v>
      </c>
      <c r="AN54" s="810">
        <f t="shared" si="80"/>
        <v>0</v>
      </c>
      <c r="AO54" s="2434">
        <f t="shared" si="80"/>
        <v>0</v>
      </c>
      <c r="AP54" s="810">
        <f t="shared" si="80"/>
        <v>0</v>
      </c>
      <c r="AQ54" s="2435">
        <f t="shared" si="80"/>
        <v>0</v>
      </c>
      <c r="AR54" s="2434">
        <f t="shared" si="80"/>
        <v>0</v>
      </c>
      <c r="AS54" s="810">
        <f t="shared" si="80"/>
        <v>0</v>
      </c>
      <c r="AT54" s="810">
        <f t="shared" si="80"/>
        <v>0</v>
      </c>
      <c r="AU54" s="810">
        <f t="shared" si="80"/>
        <v>0</v>
      </c>
      <c r="AV54" s="2436">
        <f t="shared" si="80"/>
        <v>0</v>
      </c>
      <c r="AW54" s="812">
        <f>SUM(AW48:AW53)</f>
        <v>0</v>
      </c>
      <c r="AX54" s="810">
        <f t="shared" si="80"/>
        <v>0</v>
      </c>
      <c r="AY54" s="2441">
        <f>SUM(AY48:AY53)</f>
        <v>0</v>
      </c>
      <c r="CX54"/>
      <c r="CY54"/>
      <c r="CZ54"/>
      <c r="DA54"/>
      <c r="DB54"/>
      <c r="DC54"/>
      <c r="DD54"/>
      <c r="DE54"/>
      <c r="DF54"/>
      <c r="DH54"/>
      <c r="DI54"/>
      <c r="DJ54"/>
      <c r="DK54"/>
      <c r="DL54"/>
      <c r="DM54"/>
      <c r="DN54"/>
    </row>
    <row r="55" spans="1:120" ht="15" customHeight="1" x14ac:dyDescent="0.3">
      <c r="A55" s="6269" t="s">
        <v>4948</v>
      </c>
      <c r="B55" s="7357" t="s">
        <v>737</v>
      </c>
      <c r="C55" s="7358"/>
      <c r="D55" s="820">
        <v>0</v>
      </c>
      <c r="E55" s="625" t="s">
        <v>5292</v>
      </c>
      <c r="F55" s="821" t="s">
        <v>5293</v>
      </c>
      <c r="G55" s="822" t="s">
        <v>5294</v>
      </c>
      <c r="H55" s="6118" t="s">
        <v>5295</v>
      </c>
      <c r="I55" s="6119" t="s">
        <v>5296</v>
      </c>
      <c r="J55" s="6118" t="s">
        <v>5297</v>
      </c>
      <c r="K55" s="6119" t="s">
        <v>5298</v>
      </c>
      <c r="L55" s="6118" t="s">
        <v>5299</v>
      </c>
      <c r="M55" s="6119" t="s">
        <v>5300</v>
      </c>
      <c r="N55" s="6118" t="s">
        <v>5301</v>
      </c>
      <c r="O55" s="6119" t="s">
        <v>5302</v>
      </c>
      <c r="P55" s="6118" t="s">
        <v>5303</v>
      </c>
      <c r="Q55" s="6119" t="s">
        <v>5304</v>
      </c>
      <c r="R55" s="6118" t="s">
        <v>5305</v>
      </c>
      <c r="S55" s="6119" t="s">
        <v>5306</v>
      </c>
      <c r="T55" s="6118" t="s">
        <v>5307</v>
      </c>
      <c r="U55" s="6119" t="s">
        <v>5308</v>
      </c>
      <c r="V55" s="6118" t="s">
        <v>5309</v>
      </c>
      <c r="W55" s="6119" t="s">
        <v>5310</v>
      </c>
      <c r="X55" s="6118" t="s">
        <v>5311</v>
      </c>
      <c r="Y55" s="6119" t="s">
        <v>5312</v>
      </c>
      <c r="Z55" s="6118" t="s">
        <v>5313</v>
      </c>
      <c r="AA55" s="6119" t="s">
        <v>5314</v>
      </c>
      <c r="AB55" s="6118" t="s">
        <v>5315</v>
      </c>
      <c r="AC55" s="6119" t="s">
        <v>5316</v>
      </c>
      <c r="AD55" s="6118" t="s">
        <v>5317</v>
      </c>
      <c r="AE55" s="6119" t="s">
        <v>5318</v>
      </c>
      <c r="AF55" s="6118" t="s">
        <v>5319</v>
      </c>
      <c r="AG55" s="6119" t="s">
        <v>5320</v>
      </c>
      <c r="AH55" s="6118" t="s">
        <v>5321</v>
      </c>
      <c r="AI55" s="6119" t="s">
        <v>5322</v>
      </c>
      <c r="AJ55" s="6118" t="s">
        <v>5323</v>
      </c>
      <c r="AK55" s="6119" t="s">
        <v>5324</v>
      </c>
      <c r="AL55" s="6118" t="s">
        <v>5325</v>
      </c>
      <c r="AM55" s="6119" t="s">
        <v>5326</v>
      </c>
      <c r="AN55" s="6118" t="s">
        <v>5327</v>
      </c>
      <c r="AO55" s="6119" t="s">
        <v>5328</v>
      </c>
      <c r="AP55" s="6118" t="s">
        <v>5329</v>
      </c>
      <c r="AQ55" s="6123" t="s">
        <v>5330</v>
      </c>
      <c r="AR55" s="6125" t="s">
        <v>5331</v>
      </c>
      <c r="AS55" s="6125" t="s">
        <v>5332</v>
      </c>
      <c r="AT55" s="6169" t="s">
        <v>5333</v>
      </c>
      <c r="AU55" s="6169" t="s">
        <v>5334</v>
      </c>
      <c r="AV55" s="6169" t="s">
        <v>5335</v>
      </c>
      <c r="AW55" s="6169" t="s">
        <v>5336</v>
      </c>
      <c r="AX55" s="6169" t="s">
        <v>5337</v>
      </c>
      <c r="AY55" s="6126" t="s">
        <v>5338</v>
      </c>
      <c r="AZ55" t="e">
        <f t="shared" si="41"/>
        <v>#VALUE!</v>
      </c>
      <c r="CX55" s="1723" t="e">
        <f t="shared" ref="CX55:CX59" si="81">IF(AND((Z55+AA55)&gt;0,AR55="")," * No olvide digitar la variable 12 años. Si no tiene digite Cero.",IF(AR55&gt;(Z55+AA55),"* Las Consultas de 12 años NO DEBEN ser mayor que el total de Consultas entre 10-14 años",""))</f>
        <v>#VALUE!</v>
      </c>
      <c r="CY55" s="1723" t="str">
        <f t="shared" ref="CY55:CY59" si="82">IF(AND(G55&gt;0,AS55="")," * No olvide digitar la variable Embarazadas. Digite cero si no tiene.","")</f>
        <v/>
      </c>
      <c r="CZ55" s="1723" t="str">
        <f t="shared" ref="CZ55:CZ59" si="83">IF(AS55&gt;G55," * Las Embarazadas NO DEBEN ser mayor al total de mujeres. ","")</f>
        <v xml:space="preserve"> * Las Embarazadas NO DEBEN ser mayor al total de mujeres. </v>
      </c>
      <c r="DA55" s="1723" t="e">
        <f t="shared" ref="DA55:DA59" si="84">IF(AND((AL55+AM55)&gt;0,AT55="")," * No olvide digitar la variable 60 años. Si no tiene digite Cero.",IF(AT55&gt;(AL55+AM55)," * Las consultas de 60 años NO DEBEN ser mayor que el Total de consultas del grupo 60-64 años",""))</f>
        <v>#VALUE!</v>
      </c>
      <c r="DB55" s="1723" t="str">
        <f>IF(AND(E55&gt;0,AU55="")," * No olvide digitar la variable Usuarios con Discapacidad. Digite Cero si no tiene.",IF(AU55&gt;E55," * La variable Usuarios con Discapacidad No puede ser mayor al Total Ambos Sexos.",""))</f>
        <v xml:space="preserve"> * La variable Usuarios con Discapacidad No puede ser mayor al Total Ambos Sexos.</v>
      </c>
      <c r="DC55" s="1723" t="str">
        <f>IF(AND(E55&gt;0,AV55="")," * No olvide digitar la variable Niños, niñas, adolescentes y jóvenes población SENAME. Digite Cero si no tiene.",IF(AV55&gt;E55,"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55" s="1723" t="str">
        <f>IF(AND(E55&gt;0,AW55="")," * No olvide digitar la variable Niños, niñas, adolescentes y jóvenes Mejor Niñez. Digite Cero si no tiene.",IF(AW55&gt;E55,"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55" s="1723" t="str">
        <f>IF(AND(E55&gt;0,AX55="")," * No olvide digitar la variable Migrantes. Digite Cero si no tiene.",IF(AX55&gt;E55," * La variable Migrantes No puede ser mayor al Total.",""))</f>
        <v xml:space="preserve"> * La variable Migrantes No puede ser mayor al Total.</v>
      </c>
      <c r="DF55" s="1723" t="str">
        <f t="shared" si="47"/>
        <v xml:space="preserve"> * La variable  Pacientes en control PSCV No puede ser mayor al Total.</v>
      </c>
      <c r="DH55" s="1725" t="e">
        <f t="shared" ref="DH55:DH59" si="85">IF(AND((Z55+AA55)&gt;0,AR55=""),1,IF(AR55&gt;(Z55+AA55),1,0))</f>
        <v>#VALUE!</v>
      </c>
      <c r="DI55" s="1725">
        <f t="shared" ref="DI55:DI59" si="86">IF(AND(G55&gt;0,AS55=""),1,0)</f>
        <v>0</v>
      </c>
      <c r="DJ55" s="1725">
        <f t="shared" ref="DJ55:DJ59" si="87">IF(AS55&gt;G55,1,0)</f>
        <v>1</v>
      </c>
      <c r="DK55" s="1725" t="e">
        <f t="shared" ref="DK55:DK59" si="88">IF(AND((AL55+AM55)&gt;0,AT55=""),1,IF(AT55&gt;(AL55+AM55),1,0))</f>
        <v>#VALUE!</v>
      </c>
      <c r="DL55" s="1725">
        <f t="shared" ref="DL55:DL59" si="89">IF(AND(E55&gt;0,AU55=""),1,IF(AU55&gt;E55,1,0))</f>
        <v>1</v>
      </c>
      <c r="DM55" s="1725">
        <f t="shared" ref="DM55:DM59" si="90">IF(AND(E55&gt;0,AV55=""),1,IF(AV55&gt;E55,1,0))</f>
        <v>1</v>
      </c>
      <c r="DN55" s="1725">
        <f t="shared" ref="DN55:DN59" si="91">IF(AND(E55&gt;0,AW55=""),1,IF(AW55&gt;E55,1,0))</f>
        <v>1</v>
      </c>
      <c r="DO55" s="1725">
        <f t="shared" ref="DO55:DO59" si="92">IF(AND(E55&gt;0,AX55=""),1,IF(AX55&gt;E55,1,0))</f>
        <v>1</v>
      </c>
      <c r="DP55" s="1725">
        <f t="shared" ref="DP55:DP59" si="93">IF(AND(E55&gt;0,AY55=""),1,IF(AY55&gt;E55,1,0))</f>
        <v>1</v>
      </c>
    </row>
    <row r="56" spans="1:120" ht="15" customHeight="1" x14ac:dyDescent="0.3">
      <c r="A56" s="6269" t="s">
        <v>4949</v>
      </c>
      <c r="B56" s="7357"/>
      <c r="C56" s="7358"/>
      <c r="D56" s="816" t="s">
        <v>738</v>
      </c>
      <c r="E56" s="802" t="s">
        <v>5292</v>
      </c>
      <c r="F56" s="823" t="s">
        <v>5293</v>
      </c>
      <c r="G56" s="824" t="s">
        <v>5294</v>
      </c>
      <c r="H56" s="6135" t="s">
        <v>5295</v>
      </c>
      <c r="I56" s="6136" t="s">
        <v>5296</v>
      </c>
      <c r="J56" s="6135" t="s">
        <v>5297</v>
      </c>
      <c r="K56" s="6136" t="s">
        <v>5298</v>
      </c>
      <c r="L56" s="6135" t="s">
        <v>5299</v>
      </c>
      <c r="M56" s="6136" t="s">
        <v>5300</v>
      </c>
      <c r="N56" s="6135" t="s">
        <v>5301</v>
      </c>
      <c r="O56" s="6136" t="s">
        <v>5302</v>
      </c>
      <c r="P56" s="6135" t="s">
        <v>5303</v>
      </c>
      <c r="Q56" s="6136" t="s">
        <v>5304</v>
      </c>
      <c r="R56" s="6135" t="s">
        <v>5305</v>
      </c>
      <c r="S56" s="6136" t="s">
        <v>5306</v>
      </c>
      <c r="T56" s="6135" t="s">
        <v>5307</v>
      </c>
      <c r="U56" s="6136" t="s">
        <v>5308</v>
      </c>
      <c r="V56" s="6135" t="s">
        <v>5309</v>
      </c>
      <c r="W56" s="6136" t="s">
        <v>5310</v>
      </c>
      <c r="X56" s="6135" t="s">
        <v>5311</v>
      </c>
      <c r="Y56" s="6136" t="s">
        <v>5312</v>
      </c>
      <c r="Z56" s="6135" t="s">
        <v>5313</v>
      </c>
      <c r="AA56" s="6136" t="s">
        <v>5314</v>
      </c>
      <c r="AB56" s="6135" t="s">
        <v>5315</v>
      </c>
      <c r="AC56" s="6136" t="s">
        <v>5316</v>
      </c>
      <c r="AD56" s="6135" t="s">
        <v>5317</v>
      </c>
      <c r="AE56" s="6136" t="s">
        <v>5318</v>
      </c>
      <c r="AF56" s="6135" t="s">
        <v>5319</v>
      </c>
      <c r="AG56" s="6136" t="s">
        <v>5320</v>
      </c>
      <c r="AH56" s="6135" t="s">
        <v>5321</v>
      </c>
      <c r="AI56" s="6136" t="s">
        <v>5322</v>
      </c>
      <c r="AJ56" s="6135" t="s">
        <v>5323</v>
      </c>
      <c r="AK56" s="6136" t="s">
        <v>5324</v>
      </c>
      <c r="AL56" s="6135" t="s">
        <v>5325</v>
      </c>
      <c r="AM56" s="6136" t="s">
        <v>5326</v>
      </c>
      <c r="AN56" s="6135" t="s">
        <v>5327</v>
      </c>
      <c r="AO56" s="6136" t="s">
        <v>5328</v>
      </c>
      <c r="AP56" s="6135" t="s">
        <v>5329</v>
      </c>
      <c r="AQ56" s="6139" t="s">
        <v>5330</v>
      </c>
      <c r="AR56" s="1877" t="s">
        <v>5331</v>
      </c>
      <c r="AS56" s="1877" t="s">
        <v>5332</v>
      </c>
      <c r="AT56" s="6170" t="s">
        <v>5333</v>
      </c>
      <c r="AU56" s="6170" t="s">
        <v>5334</v>
      </c>
      <c r="AV56" s="6170" t="s">
        <v>5335</v>
      </c>
      <c r="AW56" s="6170" t="s">
        <v>5336</v>
      </c>
      <c r="AX56" s="6170" t="s">
        <v>5337</v>
      </c>
      <c r="AY56" s="1878" t="s">
        <v>5338</v>
      </c>
      <c r="AZ56" t="e">
        <f t="shared" si="41"/>
        <v>#VALUE!</v>
      </c>
      <c r="CX56" s="1723" t="e">
        <f t="shared" si="81"/>
        <v>#VALUE!</v>
      </c>
      <c r="CY56" s="1723" t="str">
        <f t="shared" si="82"/>
        <v/>
      </c>
      <c r="CZ56" s="1723" t="str">
        <f t="shared" si="83"/>
        <v xml:space="preserve"> * Las Embarazadas NO DEBEN ser mayor al total de mujeres. </v>
      </c>
      <c r="DA56" s="1723" t="e">
        <f t="shared" si="84"/>
        <v>#VALUE!</v>
      </c>
      <c r="DB56" s="1723" t="str">
        <f t="shared" ref="DB56:DB59" si="94">IF(AND(E56&gt;0,AU56="")," * No olvide digitar la variable Usuarios con Discapacidad. Digite Cero si no tiene.",IF(AU56&gt;E56," * La variable Usuarios con Discapacidad No puede ser mayor al Total Ambos Sexos.",""))</f>
        <v xml:space="preserve"> * La variable Usuarios con Discapacidad No puede ser mayor al Total Ambos Sexos.</v>
      </c>
      <c r="DC56" s="1723" t="str">
        <f t="shared" ref="DC56:DC59" si="95">IF(AND(E56&gt;0,AV56="")," * No olvide digitar la variable Niños, niñas, adolescentes y jóvenes población SENAME. Digite Cero si no tiene.",IF(AV56&gt;E56,"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56" s="1723" t="str">
        <f t="shared" ref="DD56:DD59" si="96">IF(AND(E56&gt;0,AW56="")," * No olvide digitar la variable Niños, niñas, adolescentes y jóvenes Mejor Niñez. Digite Cero si no tiene.",IF(AW56&gt;E56,"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56" s="1723" t="str">
        <f t="shared" ref="DE56:DE59" si="97">IF(AND(E56&gt;0,AX56="")," * No olvide digitar la variable Migrantes. Digite Cero si no tiene.",IF(AX56&gt;E56," * La variable Migrantes No puede ser mayor al Total.",""))</f>
        <v xml:space="preserve"> * La variable Migrantes No puede ser mayor al Total.</v>
      </c>
      <c r="DF56" s="1723" t="str">
        <f t="shared" si="47"/>
        <v xml:space="preserve"> * La variable  Pacientes en control PSCV No puede ser mayor al Total.</v>
      </c>
      <c r="DH56" s="1725" t="e">
        <f t="shared" si="85"/>
        <v>#VALUE!</v>
      </c>
      <c r="DI56" s="1725">
        <f t="shared" si="86"/>
        <v>0</v>
      </c>
      <c r="DJ56" s="1725">
        <f t="shared" si="87"/>
        <v>1</v>
      </c>
      <c r="DK56" s="1725" t="e">
        <f t="shared" si="88"/>
        <v>#VALUE!</v>
      </c>
      <c r="DL56" s="1725">
        <f t="shared" si="89"/>
        <v>1</v>
      </c>
      <c r="DM56" s="1725">
        <f t="shared" si="90"/>
        <v>1</v>
      </c>
      <c r="DN56" s="1725">
        <f t="shared" si="91"/>
        <v>1</v>
      </c>
      <c r="DO56" s="1725">
        <f t="shared" si="92"/>
        <v>1</v>
      </c>
      <c r="DP56" s="1725">
        <f t="shared" si="93"/>
        <v>1</v>
      </c>
    </row>
    <row r="57" spans="1:120" ht="15" customHeight="1" x14ac:dyDescent="0.3">
      <c r="A57" s="6269" t="s">
        <v>4950</v>
      </c>
      <c r="B57" s="7357"/>
      <c r="C57" s="7358"/>
      <c r="D57" s="816" t="s">
        <v>739</v>
      </c>
      <c r="E57" s="802" t="s">
        <v>5292</v>
      </c>
      <c r="F57" s="823" t="s">
        <v>5293</v>
      </c>
      <c r="G57" s="824" t="s">
        <v>5294</v>
      </c>
      <c r="H57" s="6135" t="s">
        <v>5295</v>
      </c>
      <c r="I57" s="6136" t="s">
        <v>5296</v>
      </c>
      <c r="J57" s="6135" t="s">
        <v>5297</v>
      </c>
      <c r="K57" s="6136" t="s">
        <v>5298</v>
      </c>
      <c r="L57" s="6135" t="s">
        <v>5299</v>
      </c>
      <c r="M57" s="6136" t="s">
        <v>5300</v>
      </c>
      <c r="N57" s="6135" t="s">
        <v>5301</v>
      </c>
      <c r="O57" s="6136" t="s">
        <v>5302</v>
      </c>
      <c r="P57" s="6135" t="s">
        <v>5303</v>
      </c>
      <c r="Q57" s="6136" t="s">
        <v>5304</v>
      </c>
      <c r="R57" s="6135" t="s">
        <v>5305</v>
      </c>
      <c r="S57" s="6136" t="s">
        <v>5306</v>
      </c>
      <c r="T57" s="6135" t="s">
        <v>5307</v>
      </c>
      <c r="U57" s="6136" t="s">
        <v>5308</v>
      </c>
      <c r="V57" s="6135" t="s">
        <v>5309</v>
      </c>
      <c r="W57" s="6136" t="s">
        <v>5310</v>
      </c>
      <c r="X57" s="6135" t="s">
        <v>5311</v>
      </c>
      <c r="Y57" s="6136" t="s">
        <v>5312</v>
      </c>
      <c r="Z57" s="6135" t="s">
        <v>5313</v>
      </c>
      <c r="AA57" s="6136" t="s">
        <v>5314</v>
      </c>
      <c r="AB57" s="6135" t="s">
        <v>5315</v>
      </c>
      <c r="AC57" s="6136" t="s">
        <v>5316</v>
      </c>
      <c r="AD57" s="6135" t="s">
        <v>5317</v>
      </c>
      <c r="AE57" s="6136" t="s">
        <v>5318</v>
      </c>
      <c r="AF57" s="6135" t="s">
        <v>5319</v>
      </c>
      <c r="AG57" s="6136" t="s">
        <v>5320</v>
      </c>
      <c r="AH57" s="6135" t="s">
        <v>5321</v>
      </c>
      <c r="AI57" s="6136" t="s">
        <v>5322</v>
      </c>
      <c r="AJ57" s="6135" t="s">
        <v>5323</v>
      </c>
      <c r="AK57" s="6136" t="s">
        <v>5324</v>
      </c>
      <c r="AL57" s="6135" t="s">
        <v>5325</v>
      </c>
      <c r="AM57" s="6136" t="s">
        <v>5326</v>
      </c>
      <c r="AN57" s="6135" t="s">
        <v>5327</v>
      </c>
      <c r="AO57" s="6136" t="s">
        <v>5328</v>
      </c>
      <c r="AP57" s="6135" t="s">
        <v>5329</v>
      </c>
      <c r="AQ57" s="6139" t="s">
        <v>5330</v>
      </c>
      <c r="AR57" s="1877" t="s">
        <v>5331</v>
      </c>
      <c r="AS57" s="1877" t="s">
        <v>5332</v>
      </c>
      <c r="AT57" s="6170" t="s">
        <v>5333</v>
      </c>
      <c r="AU57" s="6170" t="s">
        <v>5334</v>
      </c>
      <c r="AV57" s="6170" t="s">
        <v>5335</v>
      </c>
      <c r="AW57" s="6170" t="s">
        <v>5336</v>
      </c>
      <c r="AX57" s="6170" t="s">
        <v>5337</v>
      </c>
      <c r="AY57" s="1878" t="s">
        <v>5338</v>
      </c>
      <c r="AZ57" t="e">
        <f t="shared" si="41"/>
        <v>#VALUE!</v>
      </c>
      <c r="CX57" s="1723" t="e">
        <f t="shared" si="81"/>
        <v>#VALUE!</v>
      </c>
      <c r="CY57" s="1723" t="str">
        <f t="shared" si="82"/>
        <v/>
      </c>
      <c r="CZ57" s="1723" t="str">
        <f t="shared" si="83"/>
        <v xml:space="preserve"> * Las Embarazadas NO DEBEN ser mayor al total de mujeres. </v>
      </c>
      <c r="DA57" s="1723" t="e">
        <f t="shared" si="84"/>
        <v>#VALUE!</v>
      </c>
      <c r="DB57" s="1723" t="str">
        <f t="shared" si="94"/>
        <v xml:space="preserve"> * La variable Usuarios con Discapacidad No puede ser mayor al Total Ambos Sexos.</v>
      </c>
      <c r="DC57" s="1723" t="str">
        <f t="shared" si="95"/>
        <v xml:space="preserve"> * La variable Niños, niñas, adolescentes y jóvenes población SENAME No puede ser mayor al Total Ambos Sexos.</v>
      </c>
      <c r="DD57" s="1723" t="str">
        <f t="shared" si="96"/>
        <v xml:space="preserve"> * La variable Niños, niñas, adolescentes y jóvenes Mejor Niñez No puede ser mayor al Total Ambos Sexos.</v>
      </c>
      <c r="DE57" s="1723" t="str">
        <f t="shared" si="97"/>
        <v xml:space="preserve"> * La variable Migrantes No puede ser mayor al Total.</v>
      </c>
      <c r="DF57" s="1723" t="str">
        <f t="shared" si="47"/>
        <v xml:space="preserve"> * La variable  Pacientes en control PSCV No puede ser mayor al Total.</v>
      </c>
      <c r="DH57" s="1725" t="e">
        <f t="shared" si="85"/>
        <v>#VALUE!</v>
      </c>
      <c r="DI57" s="1725">
        <f t="shared" si="86"/>
        <v>0</v>
      </c>
      <c r="DJ57" s="1725">
        <f t="shared" si="87"/>
        <v>1</v>
      </c>
      <c r="DK57" s="1725" t="e">
        <f t="shared" si="88"/>
        <v>#VALUE!</v>
      </c>
      <c r="DL57" s="1725">
        <f t="shared" si="89"/>
        <v>1</v>
      </c>
      <c r="DM57" s="1725">
        <f t="shared" si="90"/>
        <v>1</v>
      </c>
      <c r="DN57" s="1725">
        <f t="shared" si="91"/>
        <v>1</v>
      </c>
      <c r="DO57" s="1725">
        <f t="shared" si="92"/>
        <v>1</v>
      </c>
      <c r="DP57" s="1725">
        <f t="shared" si="93"/>
        <v>1</v>
      </c>
    </row>
    <row r="58" spans="1:120" ht="15" customHeight="1" x14ac:dyDescent="0.3">
      <c r="A58" s="6269" t="s">
        <v>4951</v>
      </c>
      <c r="B58" s="7357"/>
      <c r="C58" s="7358"/>
      <c r="D58" s="816" t="s">
        <v>740</v>
      </c>
      <c r="E58" s="802" t="s">
        <v>5292</v>
      </c>
      <c r="F58" s="823" t="s">
        <v>5293</v>
      </c>
      <c r="G58" s="824" t="s">
        <v>5294</v>
      </c>
      <c r="H58" s="6135" t="s">
        <v>5295</v>
      </c>
      <c r="I58" s="6136" t="s">
        <v>5296</v>
      </c>
      <c r="J58" s="6135" t="s">
        <v>5297</v>
      </c>
      <c r="K58" s="6136" t="s">
        <v>5298</v>
      </c>
      <c r="L58" s="6135" t="s">
        <v>5299</v>
      </c>
      <c r="M58" s="6136" t="s">
        <v>5300</v>
      </c>
      <c r="N58" s="6135" t="s">
        <v>5301</v>
      </c>
      <c r="O58" s="6136" t="s">
        <v>5302</v>
      </c>
      <c r="P58" s="6135" t="s">
        <v>5303</v>
      </c>
      <c r="Q58" s="6136" t="s">
        <v>5304</v>
      </c>
      <c r="R58" s="6135" t="s">
        <v>5305</v>
      </c>
      <c r="S58" s="6136" t="s">
        <v>5306</v>
      </c>
      <c r="T58" s="6135" t="s">
        <v>5307</v>
      </c>
      <c r="U58" s="6136" t="s">
        <v>5308</v>
      </c>
      <c r="V58" s="6135" t="s">
        <v>5309</v>
      </c>
      <c r="W58" s="6136" t="s">
        <v>5310</v>
      </c>
      <c r="X58" s="6135" t="s">
        <v>5311</v>
      </c>
      <c r="Y58" s="6136" t="s">
        <v>5312</v>
      </c>
      <c r="Z58" s="6135" t="s">
        <v>5313</v>
      </c>
      <c r="AA58" s="6136" t="s">
        <v>5314</v>
      </c>
      <c r="AB58" s="6135" t="s">
        <v>5315</v>
      </c>
      <c r="AC58" s="6136" t="s">
        <v>5316</v>
      </c>
      <c r="AD58" s="6135" t="s">
        <v>5317</v>
      </c>
      <c r="AE58" s="6136" t="s">
        <v>5318</v>
      </c>
      <c r="AF58" s="6135" t="s">
        <v>5319</v>
      </c>
      <c r="AG58" s="6136" t="s">
        <v>5320</v>
      </c>
      <c r="AH58" s="6135" t="s">
        <v>5321</v>
      </c>
      <c r="AI58" s="6136" t="s">
        <v>5322</v>
      </c>
      <c r="AJ58" s="6135" t="s">
        <v>5323</v>
      </c>
      <c r="AK58" s="6136" t="s">
        <v>5324</v>
      </c>
      <c r="AL58" s="6135" t="s">
        <v>5325</v>
      </c>
      <c r="AM58" s="6136" t="s">
        <v>5326</v>
      </c>
      <c r="AN58" s="6135" t="s">
        <v>5327</v>
      </c>
      <c r="AO58" s="6136" t="s">
        <v>5328</v>
      </c>
      <c r="AP58" s="6135" t="s">
        <v>5329</v>
      </c>
      <c r="AQ58" s="6139" t="s">
        <v>5330</v>
      </c>
      <c r="AR58" s="1877" t="s">
        <v>5331</v>
      </c>
      <c r="AS58" s="1877" t="s">
        <v>5332</v>
      </c>
      <c r="AT58" s="6170" t="s">
        <v>5333</v>
      </c>
      <c r="AU58" s="6170" t="s">
        <v>5334</v>
      </c>
      <c r="AV58" s="6170" t="s">
        <v>5335</v>
      </c>
      <c r="AW58" s="6170" t="s">
        <v>5336</v>
      </c>
      <c r="AX58" s="6170" t="s">
        <v>5337</v>
      </c>
      <c r="AY58" s="1878" t="s">
        <v>5338</v>
      </c>
      <c r="AZ58" t="e">
        <f t="shared" si="41"/>
        <v>#VALUE!</v>
      </c>
      <c r="CX58" s="1723" t="e">
        <f t="shared" si="81"/>
        <v>#VALUE!</v>
      </c>
      <c r="CY58" s="1723" t="str">
        <f t="shared" si="82"/>
        <v/>
      </c>
      <c r="CZ58" s="1723" t="str">
        <f t="shared" si="83"/>
        <v xml:space="preserve"> * Las Embarazadas NO DEBEN ser mayor al total de mujeres. </v>
      </c>
      <c r="DA58" s="1723" t="e">
        <f t="shared" si="84"/>
        <v>#VALUE!</v>
      </c>
      <c r="DB58" s="1723" t="str">
        <f t="shared" si="94"/>
        <v xml:space="preserve"> * La variable Usuarios con Discapacidad No puede ser mayor al Total Ambos Sexos.</v>
      </c>
      <c r="DC58" s="1723" t="str">
        <f t="shared" si="95"/>
        <v xml:space="preserve"> * La variable Niños, niñas, adolescentes y jóvenes población SENAME No puede ser mayor al Total Ambos Sexos.</v>
      </c>
      <c r="DD58" s="1723" t="str">
        <f t="shared" si="96"/>
        <v xml:space="preserve"> * La variable Niños, niñas, adolescentes y jóvenes Mejor Niñez No puede ser mayor al Total Ambos Sexos.</v>
      </c>
      <c r="DE58" s="1723" t="str">
        <f t="shared" si="97"/>
        <v xml:space="preserve"> * La variable Migrantes No puede ser mayor al Total.</v>
      </c>
      <c r="DF58" s="1723" t="str">
        <f t="shared" si="47"/>
        <v xml:space="preserve"> * La variable  Pacientes en control PSCV No puede ser mayor al Total.</v>
      </c>
      <c r="DH58" s="1725" t="e">
        <f t="shared" si="85"/>
        <v>#VALUE!</v>
      </c>
      <c r="DI58" s="1725">
        <f t="shared" si="86"/>
        <v>0</v>
      </c>
      <c r="DJ58" s="1725">
        <f t="shared" si="87"/>
        <v>1</v>
      </c>
      <c r="DK58" s="1725" t="e">
        <f t="shared" si="88"/>
        <v>#VALUE!</v>
      </c>
      <c r="DL58" s="1725">
        <f t="shared" si="89"/>
        <v>1</v>
      </c>
      <c r="DM58" s="1725">
        <f t="shared" si="90"/>
        <v>1</v>
      </c>
      <c r="DN58" s="1725">
        <f t="shared" si="91"/>
        <v>1</v>
      </c>
      <c r="DO58" s="1725">
        <f t="shared" si="92"/>
        <v>1</v>
      </c>
      <c r="DP58" s="1725">
        <f t="shared" si="93"/>
        <v>1</v>
      </c>
    </row>
    <row r="59" spans="1:120" ht="15" customHeight="1" x14ac:dyDescent="0.3">
      <c r="A59" s="6269" t="s">
        <v>4952</v>
      </c>
      <c r="B59" s="7359"/>
      <c r="C59" s="7360"/>
      <c r="D59" s="165" t="s">
        <v>741</v>
      </c>
      <c r="E59" s="817" t="s">
        <v>5292</v>
      </c>
      <c r="F59" s="818" t="s">
        <v>5293</v>
      </c>
      <c r="G59" s="825" t="s">
        <v>5294</v>
      </c>
      <c r="H59" s="1858" t="s">
        <v>5295</v>
      </c>
      <c r="I59" s="6140" t="s">
        <v>5296</v>
      </c>
      <c r="J59" s="1858" t="s">
        <v>5297</v>
      </c>
      <c r="K59" s="6140" t="s">
        <v>5298</v>
      </c>
      <c r="L59" s="1858" t="s">
        <v>5299</v>
      </c>
      <c r="M59" s="6140" t="s">
        <v>5300</v>
      </c>
      <c r="N59" s="1858" t="s">
        <v>5301</v>
      </c>
      <c r="O59" s="6140" t="s">
        <v>5302</v>
      </c>
      <c r="P59" s="1858" t="s">
        <v>5303</v>
      </c>
      <c r="Q59" s="6140" t="s">
        <v>5304</v>
      </c>
      <c r="R59" s="1858" t="s">
        <v>5305</v>
      </c>
      <c r="S59" s="6140" t="s">
        <v>5306</v>
      </c>
      <c r="T59" s="1858" t="s">
        <v>5307</v>
      </c>
      <c r="U59" s="6140" t="s">
        <v>5308</v>
      </c>
      <c r="V59" s="1858" t="s">
        <v>5309</v>
      </c>
      <c r="W59" s="6140" t="s">
        <v>5310</v>
      </c>
      <c r="X59" s="1858" t="s">
        <v>5311</v>
      </c>
      <c r="Y59" s="6140" t="s">
        <v>5312</v>
      </c>
      <c r="Z59" s="1858" t="s">
        <v>5313</v>
      </c>
      <c r="AA59" s="6140" t="s">
        <v>5314</v>
      </c>
      <c r="AB59" s="1858" t="s">
        <v>5315</v>
      </c>
      <c r="AC59" s="6140" t="s">
        <v>5316</v>
      </c>
      <c r="AD59" s="1858" t="s">
        <v>5317</v>
      </c>
      <c r="AE59" s="6140" t="s">
        <v>5318</v>
      </c>
      <c r="AF59" s="1858" t="s">
        <v>5319</v>
      </c>
      <c r="AG59" s="6140" t="s">
        <v>5320</v>
      </c>
      <c r="AH59" s="1858" t="s">
        <v>5321</v>
      </c>
      <c r="AI59" s="6140" t="s">
        <v>5322</v>
      </c>
      <c r="AJ59" s="1858" t="s">
        <v>5323</v>
      </c>
      <c r="AK59" s="6140" t="s">
        <v>5324</v>
      </c>
      <c r="AL59" s="1858" t="s">
        <v>5325</v>
      </c>
      <c r="AM59" s="6140" t="s">
        <v>5326</v>
      </c>
      <c r="AN59" s="1858" t="s">
        <v>5327</v>
      </c>
      <c r="AO59" s="6140" t="s">
        <v>5328</v>
      </c>
      <c r="AP59" s="1858" t="s">
        <v>5329</v>
      </c>
      <c r="AQ59" s="6144" t="s">
        <v>5330</v>
      </c>
      <c r="AR59" s="1856" t="s">
        <v>5331</v>
      </c>
      <c r="AS59" s="1856" t="s">
        <v>5332</v>
      </c>
      <c r="AT59" s="6146" t="s">
        <v>5333</v>
      </c>
      <c r="AU59" s="6146" t="s">
        <v>5334</v>
      </c>
      <c r="AV59" s="6146" t="s">
        <v>5335</v>
      </c>
      <c r="AW59" s="6146" t="s">
        <v>5336</v>
      </c>
      <c r="AX59" s="6146" t="s">
        <v>5337</v>
      </c>
      <c r="AY59" s="6146" t="s">
        <v>5338</v>
      </c>
      <c r="AZ59" t="e">
        <f t="shared" si="41"/>
        <v>#VALUE!</v>
      </c>
      <c r="CX59" s="1723" t="e">
        <f t="shared" si="81"/>
        <v>#VALUE!</v>
      </c>
      <c r="CY59" s="1723" t="str">
        <f t="shared" si="82"/>
        <v/>
      </c>
      <c r="CZ59" s="1723" t="str">
        <f t="shared" si="83"/>
        <v xml:space="preserve"> * Las Embarazadas NO DEBEN ser mayor al total de mujeres. </v>
      </c>
      <c r="DA59" s="1723" t="e">
        <f t="shared" si="84"/>
        <v>#VALUE!</v>
      </c>
      <c r="DB59" s="1723" t="str">
        <f t="shared" si="94"/>
        <v xml:space="preserve"> * La variable Usuarios con Discapacidad No puede ser mayor al Total Ambos Sexos.</v>
      </c>
      <c r="DC59" s="1723" t="str">
        <f t="shared" si="95"/>
        <v xml:space="preserve"> * La variable Niños, niñas, adolescentes y jóvenes población SENAME No puede ser mayor al Total Ambos Sexos.</v>
      </c>
      <c r="DD59" s="1723" t="str">
        <f t="shared" si="96"/>
        <v xml:space="preserve"> * La variable Niños, niñas, adolescentes y jóvenes Mejor Niñez No puede ser mayor al Total Ambos Sexos.</v>
      </c>
      <c r="DE59" s="1723" t="str">
        <f t="shared" si="97"/>
        <v xml:space="preserve"> * La variable Migrantes No puede ser mayor al Total.</v>
      </c>
      <c r="DF59" s="1723" t="str">
        <f t="shared" si="47"/>
        <v xml:space="preserve"> * La variable  Pacientes en control PSCV No puede ser mayor al Total.</v>
      </c>
      <c r="DH59" s="1725" t="e">
        <f t="shared" si="85"/>
        <v>#VALUE!</v>
      </c>
      <c r="DI59" s="1725">
        <f t="shared" si="86"/>
        <v>0</v>
      </c>
      <c r="DJ59" s="1725">
        <f t="shared" si="87"/>
        <v>1</v>
      </c>
      <c r="DK59" s="1725" t="e">
        <f t="shared" si="88"/>
        <v>#VALUE!</v>
      </c>
      <c r="DL59" s="1725">
        <f t="shared" si="89"/>
        <v>1</v>
      </c>
      <c r="DM59" s="1725">
        <f t="shared" si="90"/>
        <v>1</v>
      </c>
      <c r="DN59" s="1725">
        <f t="shared" si="91"/>
        <v>1</v>
      </c>
      <c r="DO59" s="1725">
        <f t="shared" si="92"/>
        <v>1</v>
      </c>
      <c r="DP59" s="1725">
        <f t="shared" si="93"/>
        <v>1</v>
      </c>
    </row>
    <row r="60" spans="1:120" ht="15" customHeight="1" x14ac:dyDescent="0.3">
      <c r="A60" s="6238"/>
      <c r="B60" s="7296" t="s">
        <v>24</v>
      </c>
      <c r="C60" s="7297"/>
      <c r="D60" s="7295"/>
      <c r="E60" s="810">
        <f t="shared" ref="E60:AY60" si="98">SUM(E55:E59)</f>
        <v>0</v>
      </c>
      <c r="F60" s="811">
        <f>SUM(F55:F59)</f>
        <v>0</v>
      </c>
      <c r="G60" s="2437">
        <f>SUM(G55:G59)</f>
        <v>0</v>
      </c>
      <c r="H60" s="810">
        <f t="shared" si="98"/>
        <v>0</v>
      </c>
      <c r="I60" s="2434">
        <f t="shared" si="98"/>
        <v>0</v>
      </c>
      <c r="J60" s="810">
        <f t="shared" si="98"/>
        <v>0</v>
      </c>
      <c r="K60" s="2434">
        <f t="shared" si="98"/>
        <v>0</v>
      </c>
      <c r="L60" s="810">
        <f t="shared" si="98"/>
        <v>0</v>
      </c>
      <c r="M60" s="2434">
        <f t="shared" si="98"/>
        <v>0</v>
      </c>
      <c r="N60" s="810">
        <f t="shared" si="98"/>
        <v>0</v>
      </c>
      <c r="O60" s="2434">
        <f t="shared" si="98"/>
        <v>0</v>
      </c>
      <c r="P60" s="810">
        <f t="shared" si="98"/>
        <v>0</v>
      </c>
      <c r="Q60" s="2434">
        <f t="shared" si="98"/>
        <v>0</v>
      </c>
      <c r="R60" s="810">
        <f t="shared" si="98"/>
        <v>0</v>
      </c>
      <c r="S60" s="2434">
        <f t="shared" si="98"/>
        <v>0</v>
      </c>
      <c r="T60" s="810">
        <f t="shared" si="98"/>
        <v>0</v>
      </c>
      <c r="U60" s="2437">
        <f t="shared" si="98"/>
        <v>0</v>
      </c>
      <c r="V60" s="810">
        <f t="shared" si="98"/>
        <v>0</v>
      </c>
      <c r="W60" s="2434">
        <f t="shared" si="98"/>
        <v>0</v>
      </c>
      <c r="X60" s="810">
        <f t="shared" si="98"/>
        <v>0</v>
      </c>
      <c r="Y60" s="2434">
        <f t="shared" si="98"/>
        <v>0</v>
      </c>
      <c r="Z60" s="810">
        <f t="shared" si="98"/>
        <v>0</v>
      </c>
      <c r="AA60" s="2434">
        <f t="shared" si="98"/>
        <v>0</v>
      </c>
      <c r="AB60" s="810">
        <f t="shared" si="98"/>
        <v>0</v>
      </c>
      <c r="AC60" s="2434">
        <f t="shared" si="98"/>
        <v>0</v>
      </c>
      <c r="AD60" s="810">
        <f t="shared" si="98"/>
        <v>0</v>
      </c>
      <c r="AE60" s="2434">
        <f t="shared" si="98"/>
        <v>0</v>
      </c>
      <c r="AF60" s="810">
        <f t="shared" si="98"/>
        <v>0</v>
      </c>
      <c r="AG60" s="2434">
        <f t="shared" si="98"/>
        <v>0</v>
      </c>
      <c r="AH60" s="810">
        <f t="shared" si="98"/>
        <v>0</v>
      </c>
      <c r="AI60" s="2434">
        <f t="shared" si="98"/>
        <v>0</v>
      </c>
      <c r="AJ60" s="810">
        <f t="shared" si="98"/>
        <v>0</v>
      </c>
      <c r="AK60" s="2434">
        <f t="shared" si="98"/>
        <v>0</v>
      </c>
      <c r="AL60" s="810">
        <f t="shared" si="98"/>
        <v>0</v>
      </c>
      <c r="AM60" s="2434">
        <f t="shared" si="98"/>
        <v>0</v>
      </c>
      <c r="AN60" s="810">
        <f t="shared" si="98"/>
        <v>0</v>
      </c>
      <c r="AO60" s="2434">
        <f t="shared" si="98"/>
        <v>0</v>
      </c>
      <c r="AP60" s="810">
        <f t="shared" si="98"/>
        <v>0</v>
      </c>
      <c r="AQ60" s="2435">
        <f t="shared" si="98"/>
        <v>0</v>
      </c>
      <c r="AR60" s="2434">
        <f t="shared" si="98"/>
        <v>0</v>
      </c>
      <c r="AS60" s="810">
        <f t="shared" si="98"/>
        <v>0</v>
      </c>
      <c r="AT60" s="810">
        <f t="shared" si="98"/>
        <v>0</v>
      </c>
      <c r="AU60" s="810">
        <f t="shared" si="98"/>
        <v>0</v>
      </c>
      <c r="AV60" s="810">
        <f t="shared" si="98"/>
        <v>0</v>
      </c>
      <c r="AW60" s="812">
        <f>SUM(AW55:AW59)</f>
        <v>0</v>
      </c>
      <c r="AX60" s="810">
        <f t="shared" si="98"/>
        <v>0</v>
      </c>
      <c r="AY60" s="2441">
        <f t="shared" si="98"/>
        <v>0</v>
      </c>
      <c r="CX60"/>
      <c r="CY60"/>
      <c r="CZ60"/>
      <c r="DA60"/>
      <c r="DB60"/>
      <c r="DC60"/>
      <c r="DD60"/>
      <c r="DE60"/>
      <c r="DF60"/>
      <c r="DH60"/>
      <c r="DI60"/>
      <c r="DJ60"/>
      <c r="DK60"/>
      <c r="DL60"/>
      <c r="DM60"/>
      <c r="DN60"/>
    </row>
    <row r="61" spans="1:120" ht="15" customHeight="1" x14ac:dyDescent="0.3">
      <c r="A61" s="6269" t="s">
        <v>4953</v>
      </c>
      <c r="B61" s="7239" t="s">
        <v>742</v>
      </c>
      <c r="C61" s="7240"/>
      <c r="D61" s="816">
        <v>0</v>
      </c>
      <c r="E61" s="805" t="s">
        <v>5292</v>
      </c>
      <c r="F61" s="806" t="s">
        <v>5293</v>
      </c>
      <c r="G61" s="804" t="s">
        <v>5294</v>
      </c>
      <c r="H61" s="6171" t="s">
        <v>5295</v>
      </c>
      <c r="I61" s="6172" t="s">
        <v>5296</v>
      </c>
      <c r="J61" s="6173" t="s">
        <v>5297</v>
      </c>
      <c r="K61" s="6172" t="s">
        <v>5298</v>
      </c>
      <c r="L61" s="6173" t="s">
        <v>5299</v>
      </c>
      <c r="M61" s="6172" t="s">
        <v>5300</v>
      </c>
      <c r="N61" s="6173" t="s">
        <v>5301</v>
      </c>
      <c r="O61" s="6172" t="s">
        <v>5302</v>
      </c>
      <c r="P61" s="6173" t="s">
        <v>5303</v>
      </c>
      <c r="Q61" s="6172" t="s">
        <v>5304</v>
      </c>
      <c r="R61" s="6173" t="s">
        <v>5305</v>
      </c>
      <c r="S61" s="6172" t="s">
        <v>5306</v>
      </c>
      <c r="T61" s="6174" t="s">
        <v>5307</v>
      </c>
      <c r="U61" s="6175" t="s">
        <v>5308</v>
      </c>
      <c r="V61" s="6173" t="s">
        <v>5309</v>
      </c>
      <c r="W61" s="6172" t="s">
        <v>5310</v>
      </c>
      <c r="X61" s="6173" t="s">
        <v>5311</v>
      </c>
      <c r="Y61" s="6172" t="s">
        <v>5312</v>
      </c>
      <c r="Z61" s="1875" t="s">
        <v>5313</v>
      </c>
      <c r="AA61" s="6163" t="s">
        <v>5314</v>
      </c>
      <c r="AB61" s="1875" t="s">
        <v>5315</v>
      </c>
      <c r="AC61" s="6163" t="s">
        <v>5316</v>
      </c>
      <c r="AD61" s="6176" t="s">
        <v>5317</v>
      </c>
      <c r="AE61" s="6177" t="s">
        <v>5318</v>
      </c>
      <c r="AF61" s="6178" t="s">
        <v>5319</v>
      </c>
      <c r="AG61" s="6179" t="s">
        <v>5320</v>
      </c>
      <c r="AH61" s="6178" t="s">
        <v>5321</v>
      </c>
      <c r="AI61" s="6179" t="s">
        <v>5322</v>
      </c>
      <c r="AJ61" s="6141" t="s">
        <v>5323</v>
      </c>
      <c r="AK61" s="6163" t="s">
        <v>5324</v>
      </c>
      <c r="AL61" s="1875" t="s">
        <v>5325</v>
      </c>
      <c r="AM61" s="6163" t="s">
        <v>5326</v>
      </c>
      <c r="AN61" s="6176" t="s">
        <v>5327</v>
      </c>
      <c r="AO61" s="6177" t="s">
        <v>5328</v>
      </c>
      <c r="AP61" s="6141" t="s">
        <v>5329</v>
      </c>
      <c r="AQ61" s="6123" t="s">
        <v>5330</v>
      </c>
      <c r="AR61" s="6180" t="s">
        <v>5331</v>
      </c>
      <c r="AS61" s="1874" t="s">
        <v>5332</v>
      </c>
      <c r="AT61" s="1874" t="s">
        <v>5333</v>
      </c>
      <c r="AU61" s="6181" t="s">
        <v>5334</v>
      </c>
      <c r="AV61" s="1874" t="s">
        <v>5335</v>
      </c>
      <c r="AW61" s="1874" t="s">
        <v>5336</v>
      </c>
      <c r="AX61" s="6181" t="s">
        <v>5337</v>
      </c>
      <c r="AY61" s="6182" t="s">
        <v>5338</v>
      </c>
      <c r="AZ61" t="e">
        <f t="shared" si="41"/>
        <v>#VALUE!</v>
      </c>
      <c r="CX61" s="1723" t="e">
        <f t="shared" ref="CX61:CX63" si="99">IF(AND((Z61+AA61)&gt;0,AR61="")," * No olvide digitar la variable 12 años. Si no tiene digite Cero.",IF(AR61&gt;(Z61+AA61),"* Las Consultas de 12 años NO DEBEN ser mayor que el total de Consultas entre 10-14 años",""))</f>
        <v>#VALUE!</v>
      </c>
      <c r="CY61" s="1723" t="str">
        <f t="shared" ref="CY61:CY63" si="100">IF(AND(G61&gt;0,AS61="")," * No olvide digitar la variable Embarazadas. Digite cero si no tiene.","")</f>
        <v/>
      </c>
      <c r="CZ61" s="1723" t="str">
        <f t="shared" ref="CZ61:CZ63" si="101">IF(AS61&gt;G61," * Las Embarazadas NO DEBEN ser mayor al total de mujeres. ","")</f>
        <v xml:space="preserve"> * Las Embarazadas NO DEBEN ser mayor al total de mujeres. </v>
      </c>
      <c r="DA61" s="1723" t="e">
        <f t="shared" ref="DA61:DA63" si="102">IF(AND((AL61+AM61)&gt;0,AT61="")," * No olvide digitar la variable 60 años. Si no tiene digite Cero.",IF(AT61&gt;(AL61+AM61)," * Las consultas de 60 años NO DEBEN ser mayor que el Total de consultas del grupo 60-64 años",""))</f>
        <v>#VALUE!</v>
      </c>
      <c r="DB61" s="1723" t="str">
        <f t="shared" ref="DB61:DB63" si="103">IF(AND(E61&gt;0,AU61="")," * No olvide digitar la variable Usuarios con Discapacidad. Digite Cero si no tiene.",IF(AU61&gt;E61," * La variable Usuarios con Discapacidad No puede ser mayor al Total Ambos Sexos.",""))</f>
        <v xml:space="preserve"> * La variable Usuarios con Discapacidad No puede ser mayor al Total Ambos Sexos.</v>
      </c>
      <c r="DC61" s="1723" t="str">
        <f t="shared" ref="DC61:DC63" si="104">IF(AND(E61&gt;0,AV61="")," * No olvide digitar la variable Niños, niñas, adolescentes y jóvenes población SENAME. Digite Cero si no tiene.",IF(AV61&gt;E61," * La variable Niños, niñas, adolescentes y jóvenes población SENAME No puede ser mayor al Total Ambos Sexos.",""))</f>
        <v xml:space="preserve"> * La variable Niños, niñas, adolescentes y jóvenes población SENAME No puede ser mayor al Total Ambos Sexos.</v>
      </c>
      <c r="DD61" s="1723" t="str">
        <f t="shared" ref="DD61:DD63" si="105">IF(AND(E61&gt;0,AW61="")," * No olvide digitar la variable Niños, niñas, adolescentes y jóvenes Mejor Niñez. Digite Cero si no tiene.",IF(AW61&gt;E61,"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61" s="1723" t="str">
        <f t="shared" ref="DE61:DE63" si="106">IF(AND(E61&gt;0,AX61="")," * No olvide digitar la variable Migrantes. Digite Cero si no tiene.",IF(AX61&gt;E61," * La variable Migrantes No puede ser mayor al Total.",""))</f>
        <v xml:space="preserve"> * La variable Migrantes No puede ser mayor al Total.</v>
      </c>
      <c r="DF61" s="1723" t="str">
        <f t="shared" si="47"/>
        <v xml:space="preserve"> * La variable  Pacientes en control PSCV No puede ser mayor al Total.</v>
      </c>
      <c r="DH61" s="1725" t="e">
        <f t="shared" ref="DH61:DH63" si="107">IF(AND((Z61+AA61)&gt;0,AR61=""),1,IF(AR61&gt;(Z61+AA61),1,0))</f>
        <v>#VALUE!</v>
      </c>
      <c r="DI61" s="1725">
        <f t="shared" ref="DI61:DI63" si="108">IF(AND(G61&gt;0,AS61=""),1,0)</f>
        <v>0</v>
      </c>
      <c r="DJ61" s="1725">
        <f t="shared" ref="DJ61:DJ63" si="109">IF(AS61&gt;G61,1,0)</f>
        <v>1</v>
      </c>
      <c r="DK61" s="1725" t="e">
        <f t="shared" ref="DK61:DK63" si="110">IF(AND((AL61+AM61)&gt;0,AT61=""),1,IF(AT61&gt;(AL61+AM61),1,0))</f>
        <v>#VALUE!</v>
      </c>
      <c r="DL61" s="1725">
        <f t="shared" ref="DL61:DL63" si="111">IF(AND(E61&gt;0,AU61=""),1,IF(AU61&gt;E61,1,0))</f>
        <v>1</v>
      </c>
      <c r="DM61" s="1725">
        <f t="shared" ref="DM61:DM63" si="112">IF(AND(E61&gt;0,AV61=""),1,IF(AV61&gt;E61,1,0))</f>
        <v>1</v>
      </c>
      <c r="DN61" s="1725">
        <f t="shared" ref="DN61:DN63" si="113">IF(AND(E61&gt;0,AW61=""),1,IF(AW61&gt;E61,1,0))</f>
        <v>1</v>
      </c>
      <c r="DO61" s="1725">
        <f t="shared" ref="DO61:DO63" si="114">IF(AND(E61&gt;0,AX61=""),1,IF(AX61&gt;E61,1,0))</f>
        <v>1</v>
      </c>
      <c r="DP61" s="1725">
        <f t="shared" ref="DP61:DP63" si="115">IF(AND(E61&gt;0,AY61=""),1,IF(AY61&gt;E61,1,0))</f>
        <v>1</v>
      </c>
    </row>
    <row r="62" spans="1:120" ht="15" customHeight="1" x14ac:dyDescent="0.3">
      <c r="A62" s="6269" t="s">
        <v>4954</v>
      </c>
      <c r="B62" s="7241"/>
      <c r="C62" s="7242"/>
      <c r="D62" s="816" t="s">
        <v>743</v>
      </c>
      <c r="E62" s="805" t="s">
        <v>5292</v>
      </c>
      <c r="F62" s="806" t="s">
        <v>5293</v>
      </c>
      <c r="G62" s="804" t="s">
        <v>5294</v>
      </c>
      <c r="H62" s="6183" t="s">
        <v>5295</v>
      </c>
      <c r="I62" s="6184" t="s">
        <v>5296</v>
      </c>
      <c r="J62" s="6183" t="s">
        <v>5297</v>
      </c>
      <c r="K62" s="6184" t="s">
        <v>5298</v>
      </c>
      <c r="L62" s="6183" t="s">
        <v>5299</v>
      </c>
      <c r="M62" s="6184" t="s">
        <v>5300</v>
      </c>
      <c r="N62" s="6183" t="s">
        <v>5301</v>
      </c>
      <c r="O62" s="6184" t="s">
        <v>5302</v>
      </c>
      <c r="P62" s="6183" t="s">
        <v>5303</v>
      </c>
      <c r="Q62" s="6184" t="s">
        <v>5304</v>
      </c>
      <c r="R62" s="6183" t="s">
        <v>5305</v>
      </c>
      <c r="S62" s="6184" t="s">
        <v>5306</v>
      </c>
      <c r="T62" s="6174" t="s">
        <v>5307</v>
      </c>
      <c r="U62" s="6175" t="s">
        <v>5308</v>
      </c>
      <c r="V62" s="6183" t="s">
        <v>5309</v>
      </c>
      <c r="W62" s="6184" t="s">
        <v>5310</v>
      </c>
      <c r="X62" s="6183" t="s">
        <v>5311</v>
      </c>
      <c r="Y62" s="6184" t="s">
        <v>5312</v>
      </c>
      <c r="Z62" s="1875" t="s">
        <v>5313</v>
      </c>
      <c r="AA62" s="6163" t="s">
        <v>5314</v>
      </c>
      <c r="AB62" s="1875" t="s">
        <v>5315</v>
      </c>
      <c r="AC62" s="6163" t="s">
        <v>5316</v>
      </c>
      <c r="AD62" s="1875" t="s">
        <v>5317</v>
      </c>
      <c r="AE62" s="6163" t="s">
        <v>5318</v>
      </c>
      <c r="AF62" s="6141" t="s">
        <v>5319</v>
      </c>
      <c r="AG62" s="6163" t="s">
        <v>5320</v>
      </c>
      <c r="AH62" s="6141" t="s">
        <v>5321</v>
      </c>
      <c r="AI62" s="6163" t="s">
        <v>5322</v>
      </c>
      <c r="AJ62" s="6141" t="s">
        <v>5323</v>
      </c>
      <c r="AK62" s="6163" t="s">
        <v>5324</v>
      </c>
      <c r="AL62" s="1875" t="s">
        <v>5325</v>
      </c>
      <c r="AM62" s="6163" t="s">
        <v>5326</v>
      </c>
      <c r="AN62" s="1875" t="s">
        <v>5327</v>
      </c>
      <c r="AO62" s="6163" t="s">
        <v>5328</v>
      </c>
      <c r="AP62" s="6141" t="s">
        <v>5329</v>
      </c>
      <c r="AQ62" s="6165" t="s">
        <v>5330</v>
      </c>
      <c r="AR62" s="6166" t="s">
        <v>5331</v>
      </c>
      <c r="AS62" s="1874" t="s">
        <v>5332</v>
      </c>
      <c r="AT62" s="1874" t="s">
        <v>5333</v>
      </c>
      <c r="AU62" s="1876" t="s">
        <v>5334</v>
      </c>
      <c r="AV62" s="1874" t="s">
        <v>5335</v>
      </c>
      <c r="AW62" s="1874" t="s">
        <v>5336</v>
      </c>
      <c r="AX62" s="1876" t="s">
        <v>5337</v>
      </c>
      <c r="AY62" s="1876" t="s">
        <v>5338</v>
      </c>
      <c r="AZ62" t="e">
        <f t="shared" si="41"/>
        <v>#VALUE!</v>
      </c>
      <c r="CX62" s="1723" t="e">
        <f t="shared" si="99"/>
        <v>#VALUE!</v>
      </c>
      <c r="CY62" s="1723" t="str">
        <f t="shared" si="100"/>
        <v/>
      </c>
      <c r="CZ62" s="1723" t="str">
        <f t="shared" si="101"/>
        <v xml:space="preserve"> * Las Embarazadas NO DEBEN ser mayor al total de mujeres. </v>
      </c>
      <c r="DA62" s="1723" t="e">
        <f t="shared" si="102"/>
        <v>#VALUE!</v>
      </c>
      <c r="DB62" s="1723" t="str">
        <f t="shared" si="103"/>
        <v xml:space="preserve"> * La variable Usuarios con Discapacidad No puede ser mayor al Total Ambos Sexos.</v>
      </c>
      <c r="DC62" s="1723" t="str">
        <f t="shared" si="104"/>
        <v xml:space="preserve"> * La variable Niños, niñas, adolescentes y jóvenes población SENAME No puede ser mayor al Total Ambos Sexos.</v>
      </c>
      <c r="DD62" s="1723" t="str">
        <f t="shared" si="105"/>
        <v xml:space="preserve"> * La variable Niños, niñas, adolescentes y jóvenes Mejor Niñez No puede ser mayor al Total Ambos Sexos.</v>
      </c>
      <c r="DE62" s="1723" t="str">
        <f t="shared" si="106"/>
        <v xml:space="preserve"> * La variable Migrantes No puede ser mayor al Total.</v>
      </c>
      <c r="DF62" s="1723" t="str">
        <f t="shared" si="47"/>
        <v xml:space="preserve"> * La variable  Pacientes en control PSCV No puede ser mayor al Total.</v>
      </c>
      <c r="DH62" s="1725" t="e">
        <f t="shared" si="107"/>
        <v>#VALUE!</v>
      </c>
      <c r="DI62" s="1725">
        <f t="shared" si="108"/>
        <v>0</v>
      </c>
      <c r="DJ62" s="1725">
        <f t="shared" si="109"/>
        <v>1</v>
      </c>
      <c r="DK62" s="1725" t="e">
        <f t="shared" si="110"/>
        <v>#VALUE!</v>
      </c>
      <c r="DL62" s="1725">
        <f t="shared" si="111"/>
        <v>1</v>
      </c>
      <c r="DM62" s="1725">
        <f t="shared" si="112"/>
        <v>1</v>
      </c>
      <c r="DN62" s="1725">
        <f t="shared" si="113"/>
        <v>1</v>
      </c>
      <c r="DO62" s="1725">
        <f t="shared" si="114"/>
        <v>1</v>
      </c>
      <c r="DP62" s="1725">
        <f t="shared" si="115"/>
        <v>1</v>
      </c>
    </row>
    <row r="63" spans="1:120" ht="15" customHeight="1" x14ac:dyDescent="0.3">
      <c r="A63" s="6269" t="s">
        <v>4955</v>
      </c>
      <c r="B63" s="7241"/>
      <c r="C63" s="7242"/>
      <c r="D63" s="598" t="s">
        <v>744</v>
      </c>
      <c r="E63" s="805" t="s">
        <v>5292</v>
      </c>
      <c r="F63" s="806" t="s">
        <v>5293</v>
      </c>
      <c r="G63" s="804" t="s">
        <v>5294</v>
      </c>
      <c r="H63" s="6183" t="s">
        <v>5295</v>
      </c>
      <c r="I63" s="6184" t="s">
        <v>5296</v>
      </c>
      <c r="J63" s="6183" t="s">
        <v>5297</v>
      </c>
      <c r="K63" s="6184" t="s">
        <v>5298</v>
      </c>
      <c r="L63" s="6183" t="s">
        <v>5299</v>
      </c>
      <c r="M63" s="6184" t="s">
        <v>5300</v>
      </c>
      <c r="N63" s="6183" t="s">
        <v>5301</v>
      </c>
      <c r="O63" s="6184" t="s">
        <v>5302</v>
      </c>
      <c r="P63" s="6183" t="s">
        <v>5303</v>
      </c>
      <c r="Q63" s="6184" t="s">
        <v>5304</v>
      </c>
      <c r="R63" s="6183" t="s">
        <v>5305</v>
      </c>
      <c r="S63" s="6184" t="s">
        <v>5306</v>
      </c>
      <c r="T63" s="6174" t="s">
        <v>5307</v>
      </c>
      <c r="U63" s="6175" t="s">
        <v>5308</v>
      </c>
      <c r="V63" s="6183" t="s">
        <v>5309</v>
      </c>
      <c r="W63" s="6184" t="s">
        <v>5310</v>
      </c>
      <c r="X63" s="6183" t="s">
        <v>5311</v>
      </c>
      <c r="Y63" s="6184" t="s">
        <v>5312</v>
      </c>
      <c r="Z63" s="1875" t="s">
        <v>5313</v>
      </c>
      <c r="AA63" s="6163" t="s">
        <v>5314</v>
      </c>
      <c r="AB63" s="1875" t="s">
        <v>5315</v>
      </c>
      <c r="AC63" s="6163" t="s">
        <v>5316</v>
      </c>
      <c r="AD63" s="1875" t="s">
        <v>5317</v>
      </c>
      <c r="AE63" s="6163" t="s">
        <v>5318</v>
      </c>
      <c r="AF63" s="6141" t="s">
        <v>5319</v>
      </c>
      <c r="AG63" s="6163" t="s">
        <v>5320</v>
      </c>
      <c r="AH63" s="6141" t="s">
        <v>5321</v>
      </c>
      <c r="AI63" s="6163" t="s">
        <v>5322</v>
      </c>
      <c r="AJ63" s="6141" t="s">
        <v>5323</v>
      </c>
      <c r="AK63" s="6163" t="s">
        <v>5324</v>
      </c>
      <c r="AL63" s="1875" t="s">
        <v>5325</v>
      </c>
      <c r="AM63" s="6163" t="s">
        <v>5326</v>
      </c>
      <c r="AN63" s="1858" t="s">
        <v>5327</v>
      </c>
      <c r="AO63" s="6140" t="s">
        <v>5328</v>
      </c>
      <c r="AP63" s="6141" t="s">
        <v>5329</v>
      </c>
      <c r="AQ63" s="6165" t="s">
        <v>5330</v>
      </c>
      <c r="AR63" s="6145" t="s">
        <v>5331</v>
      </c>
      <c r="AS63" s="1874" t="s">
        <v>5332</v>
      </c>
      <c r="AT63" s="1874" t="s">
        <v>5333</v>
      </c>
      <c r="AU63" s="1876" t="s">
        <v>5334</v>
      </c>
      <c r="AV63" s="1874" t="s">
        <v>5335</v>
      </c>
      <c r="AW63" s="1874" t="s">
        <v>5336</v>
      </c>
      <c r="AX63" s="1876" t="s">
        <v>5337</v>
      </c>
      <c r="AY63" s="1876" t="s">
        <v>5338</v>
      </c>
      <c r="AZ63" t="e">
        <f t="shared" si="41"/>
        <v>#VALUE!</v>
      </c>
      <c r="CX63" s="1723" t="e">
        <f t="shared" si="99"/>
        <v>#VALUE!</v>
      </c>
      <c r="CY63" s="1723" t="str">
        <f t="shared" si="100"/>
        <v/>
      </c>
      <c r="CZ63" s="1723" t="str">
        <f t="shared" si="101"/>
        <v xml:space="preserve"> * Las Embarazadas NO DEBEN ser mayor al total de mujeres. </v>
      </c>
      <c r="DA63" s="1723" t="e">
        <f t="shared" si="102"/>
        <v>#VALUE!</v>
      </c>
      <c r="DB63" s="1723" t="str">
        <f t="shared" si="103"/>
        <v xml:space="preserve"> * La variable Usuarios con Discapacidad No puede ser mayor al Total Ambos Sexos.</v>
      </c>
      <c r="DC63" s="1723" t="str">
        <f t="shared" si="104"/>
        <v xml:space="preserve"> * La variable Niños, niñas, adolescentes y jóvenes población SENAME No puede ser mayor al Total Ambos Sexos.</v>
      </c>
      <c r="DD63" s="1723" t="str">
        <f t="shared" si="105"/>
        <v xml:space="preserve"> * La variable Niños, niñas, adolescentes y jóvenes Mejor Niñez No puede ser mayor al Total Ambos Sexos.</v>
      </c>
      <c r="DE63" s="1723" t="str">
        <f t="shared" si="106"/>
        <v xml:space="preserve"> * La variable Migrantes No puede ser mayor al Total.</v>
      </c>
      <c r="DF63" s="1723" t="str">
        <f t="shared" si="47"/>
        <v xml:space="preserve"> * La variable  Pacientes en control PSCV No puede ser mayor al Total.</v>
      </c>
      <c r="DH63" s="1725" t="e">
        <f t="shared" si="107"/>
        <v>#VALUE!</v>
      </c>
      <c r="DI63" s="1725">
        <f t="shared" si="108"/>
        <v>0</v>
      </c>
      <c r="DJ63" s="1725">
        <f t="shared" si="109"/>
        <v>1</v>
      </c>
      <c r="DK63" s="1725" t="e">
        <f t="shared" si="110"/>
        <v>#VALUE!</v>
      </c>
      <c r="DL63" s="1725">
        <f t="shared" si="111"/>
        <v>1</v>
      </c>
      <c r="DM63" s="1725">
        <f t="shared" si="112"/>
        <v>1</v>
      </c>
      <c r="DN63" s="1725">
        <f t="shared" si="113"/>
        <v>1</v>
      </c>
      <c r="DO63" s="1725">
        <f t="shared" si="114"/>
        <v>1</v>
      </c>
      <c r="DP63" s="1725">
        <f t="shared" si="115"/>
        <v>1</v>
      </c>
    </row>
    <row r="64" spans="1:120" ht="15" customHeight="1" x14ac:dyDescent="0.3">
      <c r="A64" s="6238"/>
      <c r="B64" s="7346"/>
      <c r="C64" s="7347"/>
      <c r="D64" s="567" t="s">
        <v>24</v>
      </c>
      <c r="E64" s="810">
        <f>SUM(F64:G64)</f>
        <v>0</v>
      </c>
      <c r="F64" s="811">
        <f>SUM(F61:F63)</f>
        <v>0</v>
      </c>
      <c r="G64" s="812">
        <f>SUM(G61:G63)</f>
        <v>0</v>
      </c>
      <c r="H64" s="7505"/>
      <c r="I64" s="7506"/>
      <c r="J64" s="7506"/>
      <c r="K64" s="7506"/>
      <c r="L64" s="7506"/>
      <c r="M64" s="7506"/>
      <c r="N64" s="7506"/>
      <c r="O64" s="7506"/>
      <c r="P64" s="7506"/>
      <c r="Q64" s="7506"/>
      <c r="R64" s="7506"/>
      <c r="S64" s="7506"/>
      <c r="T64" s="7506"/>
      <c r="U64" s="7506"/>
      <c r="V64" s="7506"/>
      <c r="W64" s="7506"/>
      <c r="X64" s="7506"/>
      <c r="Y64" s="7507"/>
      <c r="Z64" s="810">
        <f>SUM(Z61:Z63)</f>
        <v>0</v>
      </c>
      <c r="AA64" s="812">
        <f t="shared" ref="AA64:AY64" si="116">SUM(AA61:AA63)</f>
        <v>0</v>
      </c>
      <c r="AB64" s="810">
        <f t="shared" si="116"/>
        <v>0</v>
      </c>
      <c r="AC64" s="812">
        <f t="shared" si="116"/>
        <v>0</v>
      </c>
      <c r="AD64" s="810">
        <f t="shared" si="116"/>
        <v>0</v>
      </c>
      <c r="AE64" s="2437">
        <f t="shared" si="116"/>
        <v>0</v>
      </c>
      <c r="AF64" s="2434">
        <f t="shared" si="116"/>
        <v>0</v>
      </c>
      <c r="AG64" s="2437">
        <f t="shared" si="116"/>
        <v>0</v>
      </c>
      <c r="AH64" s="2434">
        <f t="shared" si="116"/>
        <v>0</v>
      </c>
      <c r="AI64" s="2437">
        <f t="shared" si="116"/>
        <v>0</v>
      </c>
      <c r="AJ64" s="2434">
        <f t="shared" si="116"/>
        <v>0</v>
      </c>
      <c r="AK64" s="812">
        <f t="shared" si="116"/>
        <v>0</v>
      </c>
      <c r="AL64" s="810">
        <f t="shared" si="116"/>
        <v>0</v>
      </c>
      <c r="AM64" s="812">
        <f t="shared" si="116"/>
        <v>0</v>
      </c>
      <c r="AN64" s="810">
        <f t="shared" si="116"/>
        <v>0</v>
      </c>
      <c r="AO64" s="2437">
        <f t="shared" si="116"/>
        <v>0</v>
      </c>
      <c r="AP64" s="2434">
        <f t="shared" si="116"/>
        <v>0</v>
      </c>
      <c r="AQ64" s="2435">
        <f t="shared" si="116"/>
        <v>0</v>
      </c>
      <c r="AR64" s="2438">
        <f t="shared" si="116"/>
        <v>0</v>
      </c>
      <c r="AS64" s="812">
        <f t="shared" si="116"/>
        <v>0</v>
      </c>
      <c r="AT64" s="812">
        <f t="shared" si="116"/>
        <v>0</v>
      </c>
      <c r="AU64" s="2436">
        <f t="shared" si="116"/>
        <v>0</v>
      </c>
      <c r="AV64" s="812">
        <f t="shared" si="116"/>
        <v>0</v>
      </c>
      <c r="AW64" s="812">
        <f t="shared" si="116"/>
        <v>0</v>
      </c>
      <c r="AX64" s="2436">
        <f t="shared" si="116"/>
        <v>0</v>
      </c>
      <c r="AY64" s="2441">
        <f t="shared" si="116"/>
        <v>0</v>
      </c>
      <c r="CX64"/>
      <c r="CY64"/>
      <c r="CZ64"/>
      <c r="DA64"/>
      <c r="DB64"/>
      <c r="DC64"/>
      <c r="DD64"/>
      <c r="DE64"/>
      <c r="DF64"/>
      <c r="DH64"/>
      <c r="DI64"/>
      <c r="DJ64"/>
      <c r="DK64"/>
      <c r="DL64"/>
      <c r="DM64"/>
      <c r="DN64"/>
    </row>
    <row r="65" spans="1:118" ht="18" customHeight="1" x14ac:dyDescent="0.3">
      <c r="B65" s="122" t="s">
        <v>745</v>
      </c>
      <c r="C65" s="2439"/>
      <c r="D65" s="2439"/>
      <c r="E65" s="2440"/>
      <c r="F65" s="163"/>
      <c r="G65" s="777"/>
      <c r="H65" s="777"/>
      <c r="I65" s="777"/>
      <c r="J65" s="777"/>
      <c r="K65" s="777"/>
      <c r="CX65"/>
      <c r="CY65"/>
      <c r="CZ65"/>
      <c r="DA65"/>
      <c r="DB65"/>
      <c r="DC65"/>
      <c r="DD65"/>
      <c r="DE65"/>
      <c r="DF65"/>
      <c r="DH65"/>
      <c r="DI65"/>
      <c r="DJ65"/>
      <c r="DK65"/>
      <c r="DL65"/>
      <c r="DM65"/>
      <c r="DN65"/>
    </row>
    <row r="66" spans="1:118" ht="40.799999999999997" x14ac:dyDescent="0.3">
      <c r="B66" s="7338" t="s">
        <v>502</v>
      </c>
      <c r="C66" s="7332"/>
      <c r="D66" s="7308"/>
      <c r="E66" s="2430" t="s">
        <v>24</v>
      </c>
      <c r="F66" s="2430" t="s">
        <v>39</v>
      </c>
      <c r="G66" s="172" t="s">
        <v>746</v>
      </c>
      <c r="H66" s="172" t="s">
        <v>678</v>
      </c>
      <c r="I66" s="2429" t="s">
        <v>747</v>
      </c>
      <c r="J66" s="2429" t="s">
        <v>748</v>
      </c>
      <c r="K66" s="2429" t="s">
        <v>3</v>
      </c>
      <c r="CX66"/>
      <c r="CY66"/>
      <c r="CZ66"/>
      <c r="DA66"/>
      <c r="DB66"/>
      <c r="DC66"/>
      <c r="DD66"/>
      <c r="DE66"/>
      <c r="DF66"/>
      <c r="DH66"/>
      <c r="DI66"/>
      <c r="DJ66"/>
      <c r="DK66"/>
      <c r="DL66"/>
      <c r="DM66"/>
      <c r="DN66"/>
    </row>
    <row r="67" spans="1:118" ht="15" customHeight="1" x14ac:dyDescent="0.3">
      <c r="A67" s="6269" t="s">
        <v>4956</v>
      </c>
      <c r="B67" s="7348" t="s">
        <v>749</v>
      </c>
      <c r="C67" s="7349"/>
      <c r="D67" s="7350"/>
      <c r="E67" s="826" t="s">
        <v>5292</v>
      </c>
      <c r="F67" s="826" t="s">
        <v>5293</v>
      </c>
      <c r="G67" s="826" t="s">
        <v>5294</v>
      </c>
      <c r="H67" s="826" t="s">
        <v>5295</v>
      </c>
      <c r="I67" s="826" t="s">
        <v>5296</v>
      </c>
      <c r="J67" s="826" t="s">
        <v>5297</v>
      </c>
      <c r="K67" s="826" t="s">
        <v>5298</v>
      </c>
      <c r="L67" t="str">
        <f>CX67&amp;CY67&amp;CZ67&amp;DA67&amp;DB67&amp;DC67&amp;DD67&amp;DE67&amp;DF67</f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67" s="1723" t="str">
        <f>IF(AND(E67&gt;0,F67=""), "* No olvide digitar la variable Gestantes. Digite Cero si no tiene.",IF(F67&gt;E67,"  * La variable Gestantes No puede ser mayor al Total.",""))</f>
        <v xml:space="preserve">  * La variable Gestantes No puede ser mayor al Total.</v>
      </c>
      <c r="CY67" s="1723" t="str">
        <f>IF(AND(E67&gt;0,G67=""), "* No olvide digitar la variable 60 años. Digite Cero si no tiene.",IF(G67&gt;E67,"  * La variable 60 años No puede ser mayor al Total.",""))</f>
        <v xml:space="preserve">  * La variable 60 años No puede ser mayor al Total.</v>
      </c>
      <c r="CZ67" s="1723" t="str">
        <f>IF(AND(E67&gt;0,H67=""), "* No olvide digitar la variable Usuarios con Discapacidad. Digite Cero si no tiene.",IF(H67&gt;E67,"  * La variable Usuarios con Discapacidad No puede ser mayor al Total.",""))</f>
        <v xml:space="preserve">  * La variable Usuarios con Discapacidad No puede ser mayor al Total.</v>
      </c>
      <c r="DA67" s="1723" t="str">
        <f>IF(AND(E67&gt;0,I67=""), "* No olvide digitar la variable Niños, niñas, adolescentes y jóvenes SENAME. Digite Cero si no tiene.",IF(I67&gt;E67,"  * La variable  Niños, niñas, adolescentes y jóvenes SENAME No puede ser mayor al Total.",""))</f>
        <v xml:space="preserve">  * La variable  Niños, niñas, adolescentes y jóvenes SENAME No puede ser mayor al Total.</v>
      </c>
      <c r="DB67" s="1723" t="str">
        <f>IF(AND(E67&gt;0,J67=""), "* No olvide digitar la variable Niños, niñas, adolescentes y jóvenes Mejor niñez. Digite Cero si no tiene.",IF(J67&gt;E67,"  * La variable  Niños, niñas, adolescentes y jóvenes Mejor niñez  No puede ser mayor al Total.",""))</f>
        <v xml:space="preserve">  * La variable  Niños, niñas, adolescentes y jóvenes Mejor niñez  No puede ser mayor al Total.</v>
      </c>
      <c r="DC67" s="1723" t="str">
        <f>IF(AND(E67&gt;0,K67=""), "* No olvide digitar la variable Migrantes. Digite Cero si no tiene.",IF(K67&gt;E67,"  * La variable Migrantes No puede ser mayor al Total.",""))</f>
        <v xml:space="preserve">  * La variable Migrantes No puede ser mayor al Total.</v>
      </c>
      <c r="DD67"/>
      <c r="DE67"/>
      <c r="DF67"/>
      <c r="DH67" s="1725">
        <f>IF(AND(E67&gt;0,F67=""),1,IF(F67&gt;E67,1,0))</f>
        <v>1</v>
      </c>
      <c r="DI67" s="1725">
        <f>IF(AND(E67&gt;0,G67=""),1,IF(G67&gt;E67,1,0))</f>
        <v>1</v>
      </c>
      <c r="DJ67" s="1725">
        <f>IF(AND(E67&gt;0,H67=""),1,IF(H67&gt;E67,1,0))</f>
        <v>1</v>
      </c>
      <c r="DK67" s="1725">
        <f>IF(AND(E67&gt;0,I67=""),1,IF(I67&gt;E67,1,0))</f>
        <v>1</v>
      </c>
      <c r="DL67" s="1725">
        <f>IF(AND(E67&gt;0,J67=""),1,IF(J67&gt;E67,1,0))</f>
        <v>1</v>
      </c>
      <c r="DM67" s="1725">
        <f>IF(AND(E67&gt;0,K67=""),1,IF(K67&gt;E67,1,0))</f>
        <v>1</v>
      </c>
      <c r="DN67"/>
    </row>
    <row r="68" spans="1:118" ht="15" customHeight="1" x14ac:dyDescent="0.3">
      <c r="A68" s="6269" t="s">
        <v>4957</v>
      </c>
      <c r="B68" s="7267" t="s">
        <v>750</v>
      </c>
      <c r="C68" s="7351" t="s">
        <v>751</v>
      </c>
      <c r="D68" s="7352"/>
      <c r="E68" s="827" t="s">
        <v>5292</v>
      </c>
      <c r="F68" s="827" t="s">
        <v>5293</v>
      </c>
      <c r="G68" s="827" t="s">
        <v>5294</v>
      </c>
      <c r="H68" s="827" t="s">
        <v>5295</v>
      </c>
      <c r="I68" s="827" t="s">
        <v>5296</v>
      </c>
      <c r="J68" s="827" t="s">
        <v>5297</v>
      </c>
      <c r="K68" s="827" t="s">
        <v>5298</v>
      </c>
      <c r="L68" t="str">
        <f t="shared" ref="L68:L78" si="117">CX68&amp;CY68&amp;CZ68&amp;DA68&amp;DB68&amp;DC68&amp;DD68&amp;DE68&amp;DF68</f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68" s="1723" t="str">
        <f t="shared" ref="CX68:CX78" si="118">IF(AND(E68&gt;0,F68=""), "* No olvide digitar la variable Gestantes. Digite Cero si no tiene.",IF(F68&gt;E68,"  * La variable Gestantes No puede ser mayor al Total.",""))</f>
        <v xml:space="preserve">  * La variable Gestantes No puede ser mayor al Total.</v>
      </c>
      <c r="CY68" s="1723" t="str">
        <f t="shared" ref="CY68:CY78" si="119">IF(AND(E68&gt;0,G68=""), "* No olvide digitar la variable 60 años. Digite Cero si no tiene.",IF(G68&gt;E68,"  * La variable 60 años No puede ser mayor al Total.",""))</f>
        <v xml:space="preserve">  * La variable 60 años No puede ser mayor al Total.</v>
      </c>
      <c r="CZ68" s="1723" t="str">
        <f t="shared" ref="CZ68:CZ78" si="120">IF(AND(E68&gt;0,H68=""), "* No olvide digitar la variable Usuarios con Discapacidad. Digite Cero si no tiene.",IF(H68&gt;E68,"  * La variable Usuarios con Discapacidad No puede ser mayor al Total.",""))</f>
        <v xml:space="preserve">  * La variable Usuarios con Discapacidad No puede ser mayor al Total.</v>
      </c>
      <c r="DA68" s="1723" t="str">
        <f t="shared" ref="DA68:DA78" si="121">IF(AND(E68&gt;0,I68=""), "* No olvide digitar la variable Niños, niñas, adolescentes y jóvenes SENAME. Digite Cero si no tiene.",IF(I68&gt;E68,"  * La variable  Niños, niñas, adolescentes y jóvenes SENAME No puede ser mayor al Total.",""))</f>
        <v xml:space="preserve">  * La variable  Niños, niñas, adolescentes y jóvenes SENAME No puede ser mayor al Total.</v>
      </c>
      <c r="DB68" s="1723" t="str">
        <f t="shared" ref="DB68:DB78" si="122">IF(AND(E68&gt;0,J68=""), "* No olvide digitar la variable Niños, niñas, adolescentes y jóvenes Mejor niñez. Digite Cero si no tiene.",IF(J68&gt;E68,"  * La variable  Niños, niñas, adolescentes y jóvenes Mejor niñez  No puede ser mayor al Total.",""))</f>
        <v xml:space="preserve">  * La variable  Niños, niñas, adolescentes y jóvenes Mejor niñez  No puede ser mayor al Total.</v>
      </c>
      <c r="DC68" s="1723" t="str">
        <f t="shared" ref="DC68:DC78" si="123">IF(AND(E68&gt;0,K68=""), "* No olvide digitar la variable Migrantes. Digite Cero si no tiene.",IF(K68&gt;E68,"  * La variable Migrantes No puede ser mayor al Total.",""))</f>
        <v xml:space="preserve">  * La variable Migrantes No puede ser mayor al Total.</v>
      </c>
      <c r="DD68"/>
      <c r="DE68"/>
      <c r="DF68"/>
      <c r="DH68" s="1725">
        <f t="shared" ref="DH68:DH78" si="124">IF(AND(E68&gt;0,F68=""),1,IF(F68&gt;E68,1,0))</f>
        <v>1</v>
      </c>
      <c r="DI68" s="1725">
        <f t="shared" ref="DI68:DI78" si="125">IF(AND(E68&gt;0,G68=""),1,IF(G68&gt;E68,1,0))</f>
        <v>1</v>
      </c>
      <c r="DJ68" s="1725">
        <f t="shared" ref="DJ68:DJ78" si="126">IF(AND(E68&gt;0,H68=""),1,IF(H68&gt;E68,1,0))</f>
        <v>1</v>
      </c>
      <c r="DK68" s="1725">
        <f t="shared" ref="DK68:DK78" si="127">IF(AND(E68&gt;0,I68=""),1,IF(I68&gt;E68,1,0))</f>
        <v>1</v>
      </c>
      <c r="DL68" s="1725">
        <f t="shared" ref="DL68:DL78" si="128">IF(AND(E68&gt;0,J68=""),1,IF(J68&gt;E68,1,0))</f>
        <v>1</v>
      </c>
      <c r="DM68" s="1725">
        <f t="shared" ref="DM68:DM78" si="129">IF(AND(E68&gt;0,K68=""),1,IF(K68&gt;E68,1,0))</f>
        <v>1</v>
      </c>
      <c r="DN68"/>
    </row>
    <row r="69" spans="1:118" ht="15" customHeight="1" x14ac:dyDescent="0.3">
      <c r="A69" s="6269" t="s">
        <v>4958</v>
      </c>
      <c r="B69" s="7267"/>
      <c r="C69" s="7327" t="s">
        <v>752</v>
      </c>
      <c r="D69" s="7254"/>
      <c r="E69" s="828" t="s">
        <v>5292</v>
      </c>
      <c r="F69" s="828" t="s">
        <v>5293</v>
      </c>
      <c r="G69" s="828" t="s">
        <v>5294</v>
      </c>
      <c r="H69" s="828" t="s">
        <v>5295</v>
      </c>
      <c r="I69" s="828" t="s">
        <v>5296</v>
      </c>
      <c r="J69" s="828" t="s">
        <v>5297</v>
      </c>
      <c r="K69" s="828" t="s">
        <v>5298</v>
      </c>
      <c r="L69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69" s="1723" t="str">
        <f t="shared" si="118"/>
        <v xml:space="preserve">  * La variable Gestantes No puede ser mayor al Total.</v>
      </c>
      <c r="CY69" s="1723" t="str">
        <f t="shared" si="119"/>
        <v xml:space="preserve">  * La variable 60 años No puede ser mayor al Total.</v>
      </c>
      <c r="CZ69" s="1723" t="str">
        <f t="shared" si="120"/>
        <v xml:space="preserve">  * La variable Usuarios con Discapacidad No puede ser mayor al Total.</v>
      </c>
      <c r="DA69" s="1723" t="str">
        <f t="shared" si="121"/>
        <v xml:space="preserve">  * La variable  Niños, niñas, adolescentes y jóvenes SENAME No puede ser mayor al Total.</v>
      </c>
      <c r="DB69" s="1723" t="str">
        <f t="shared" si="122"/>
        <v xml:space="preserve">  * La variable  Niños, niñas, adolescentes y jóvenes Mejor niñez  No puede ser mayor al Total.</v>
      </c>
      <c r="DC69" s="1723" t="str">
        <f t="shared" si="123"/>
        <v xml:space="preserve">  * La variable Migrantes No puede ser mayor al Total.</v>
      </c>
      <c r="DD69"/>
      <c r="DE69"/>
      <c r="DF69"/>
      <c r="DH69" s="1725">
        <f t="shared" si="124"/>
        <v>1</v>
      </c>
      <c r="DI69" s="1725">
        <f t="shared" si="125"/>
        <v>1</v>
      </c>
      <c r="DJ69" s="1725">
        <f t="shared" si="126"/>
        <v>1</v>
      </c>
      <c r="DK69" s="1725">
        <f t="shared" si="127"/>
        <v>1</v>
      </c>
      <c r="DL69" s="1725">
        <f t="shared" si="128"/>
        <v>1</v>
      </c>
      <c r="DM69" s="1725">
        <f t="shared" si="129"/>
        <v>1</v>
      </c>
      <c r="DN69"/>
    </row>
    <row r="70" spans="1:118" ht="15" customHeight="1" x14ac:dyDescent="0.3">
      <c r="A70" s="6269" t="s">
        <v>4959</v>
      </c>
      <c r="B70" s="7367" t="s">
        <v>527</v>
      </c>
      <c r="C70" s="7368"/>
      <c r="D70" s="7369"/>
      <c r="E70" s="829" t="s">
        <v>5292</v>
      </c>
      <c r="F70" s="829" t="s">
        <v>5293</v>
      </c>
      <c r="G70" s="829" t="s">
        <v>5294</v>
      </c>
      <c r="H70" s="829" t="s">
        <v>5295</v>
      </c>
      <c r="I70" s="829" t="s">
        <v>5296</v>
      </c>
      <c r="J70" s="829" t="s">
        <v>5297</v>
      </c>
      <c r="K70" s="829" t="s">
        <v>5298</v>
      </c>
      <c r="L70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0" s="1723" t="str">
        <f t="shared" si="118"/>
        <v xml:space="preserve">  * La variable Gestantes No puede ser mayor al Total.</v>
      </c>
      <c r="CY70" s="1723" t="str">
        <f t="shared" si="119"/>
        <v xml:space="preserve">  * La variable 60 años No puede ser mayor al Total.</v>
      </c>
      <c r="CZ70" s="1723" t="str">
        <f t="shared" si="120"/>
        <v xml:space="preserve">  * La variable Usuarios con Discapacidad No puede ser mayor al Total.</v>
      </c>
      <c r="DA70" s="1723" t="str">
        <f t="shared" si="121"/>
        <v xml:space="preserve">  * La variable  Niños, niñas, adolescentes y jóvenes SENAME No puede ser mayor al Total.</v>
      </c>
      <c r="DB70" s="1723" t="str">
        <f t="shared" si="122"/>
        <v xml:space="preserve">  * La variable  Niños, niñas, adolescentes y jóvenes Mejor niñez  No puede ser mayor al Total.</v>
      </c>
      <c r="DC70" s="1723" t="str">
        <f t="shared" si="123"/>
        <v xml:space="preserve">  * La variable Migrantes No puede ser mayor al Total.</v>
      </c>
      <c r="DD70"/>
      <c r="DE70"/>
      <c r="DF70"/>
      <c r="DH70" s="1725">
        <f t="shared" si="124"/>
        <v>1</v>
      </c>
      <c r="DI70" s="1725">
        <f t="shared" si="125"/>
        <v>1</v>
      </c>
      <c r="DJ70" s="1725">
        <f t="shared" si="126"/>
        <v>1</v>
      </c>
      <c r="DK70" s="1725">
        <f t="shared" si="127"/>
        <v>1</v>
      </c>
      <c r="DL70" s="1725">
        <f t="shared" si="128"/>
        <v>1</v>
      </c>
      <c r="DM70" s="1725">
        <f t="shared" si="129"/>
        <v>1</v>
      </c>
      <c r="DN70"/>
    </row>
    <row r="71" spans="1:118" ht="15" customHeight="1" x14ac:dyDescent="0.3">
      <c r="A71" s="6269" t="s">
        <v>4960</v>
      </c>
      <c r="B71" s="7327" t="s">
        <v>753</v>
      </c>
      <c r="C71" s="7328"/>
      <c r="D71" s="7254"/>
      <c r="E71" s="828" t="s">
        <v>5292</v>
      </c>
      <c r="F71" s="828" t="s">
        <v>5293</v>
      </c>
      <c r="G71" s="828" t="s">
        <v>5294</v>
      </c>
      <c r="H71" s="828" t="s">
        <v>5295</v>
      </c>
      <c r="I71" s="828" t="s">
        <v>5296</v>
      </c>
      <c r="J71" s="828" t="s">
        <v>5297</v>
      </c>
      <c r="K71" s="828" t="s">
        <v>5298</v>
      </c>
      <c r="L71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1" s="1723" t="str">
        <f t="shared" si="118"/>
        <v xml:space="preserve">  * La variable Gestantes No puede ser mayor al Total.</v>
      </c>
      <c r="CY71" s="1723" t="str">
        <f t="shared" si="119"/>
        <v xml:space="preserve">  * La variable 60 años No puede ser mayor al Total.</v>
      </c>
      <c r="CZ71" s="1723" t="str">
        <f t="shared" si="120"/>
        <v xml:space="preserve">  * La variable Usuarios con Discapacidad No puede ser mayor al Total.</v>
      </c>
      <c r="DA71" s="1723" t="str">
        <f t="shared" si="121"/>
        <v xml:space="preserve">  * La variable  Niños, niñas, adolescentes y jóvenes SENAME No puede ser mayor al Total.</v>
      </c>
      <c r="DB71" s="1723" t="str">
        <f t="shared" si="122"/>
        <v xml:space="preserve">  * La variable  Niños, niñas, adolescentes y jóvenes Mejor niñez  No puede ser mayor al Total.</v>
      </c>
      <c r="DC71" s="1723" t="str">
        <f t="shared" si="123"/>
        <v xml:space="preserve">  * La variable Migrantes No puede ser mayor al Total.</v>
      </c>
      <c r="DD71"/>
      <c r="DE71"/>
      <c r="DF71"/>
      <c r="DH71" s="1725">
        <f t="shared" si="124"/>
        <v>1</v>
      </c>
      <c r="DI71" s="1725">
        <f t="shared" si="125"/>
        <v>1</v>
      </c>
      <c r="DJ71" s="1725">
        <f t="shared" si="126"/>
        <v>1</v>
      </c>
      <c r="DK71" s="1725">
        <f t="shared" si="127"/>
        <v>1</v>
      </c>
      <c r="DL71" s="1725">
        <f t="shared" si="128"/>
        <v>1</v>
      </c>
      <c r="DM71" s="1725">
        <f t="shared" si="129"/>
        <v>1</v>
      </c>
      <c r="DN71"/>
    </row>
    <row r="72" spans="1:118" ht="15" customHeight="1" x14ac:dyDescent="0.3">
      <c r="A72" s="6269" t="s">
        <v>4961</v>
      </c>
      <c r="B72" s="7346" t="s">
        <v>754</v>
      </c>
      <c r="C72" s="7370"/>
      <c r="D72" s="7347"/>
      <c r="E72" s="830" t="s">
        <v>5292</v>
      </c>
      <c r="F72" s="830" t="s">
        <v>5293</v>
      </c>
      <c r="G72" s="830" t="s">
        <v>5294</v>
      </c>
      <c r="H72" s="830" t="s">
        <v>5295</v>
      </c>
      <c r="I72" s="830" t="s">
        <v>5296</v>
      </c>
      <c r="J72" s="830" t="s">
        <v>5297</v>
      </c>
      <c r="K72" s="830" t="s">
        <v>5298</v>
      </c>
      <c r="L72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2" s="1723" t="str">
        <f t="shared" si="118"/>
        <v xml:space="preserve">  * La variable Gestantes No puede ser mayor al Total.</v>
      </c>
      <c r="CY72" s="1723" t="str">
        <f t="shared" si="119"/>
        <v xml:space="preserve">  * La variable 60 años No puede ser mayor al Total.</v>
      </c>
      <c r="CZ72" s="1723" t="str">
        <f t="shared" si="120"/>
        <v xml:space="preserve">  * La variable Usuarios con Discapacidad No puede ser mayor al Total.</v>
      </c>
      <c r="DA72" s="1723" t="str">
        <f t="shared" si="121"/>
        <v xml:space="preserve">  * La variable  Niños, niñas, adolescentes y jóvenes SENAME No puede ser mayor al Total.</v>
      </c>
      <c r="DB72" s="1723" t="str">
        <f t="shared" si="122"/>
        <v xml:space="preserve">  * La variable  Niños, niñas, adolescentes y jóvenes Mejor niñez  No puede ser mayor al Total.</v>
      </c>
      <c r="DC72" s="1723" t="str">
        <f t="shared" si="123"/>
        <v xml:space="preserve">  * La variable Migrantes No puede ser mayor al Total.</v>
      </c>
      <c r="DD72"/>
      <c r="DE72"/>
      <c r="DF72"/>
      <c r="DH72" s="1725">
        <f t="shared" si="124"/>
        <v>1</v>
      </c>
      <c r="DI72" s="1725">
        <f t="shared" si="125"/>
        <v>1</v>
      </c>
      <c r="DJ72" s="1725">
        <f t="shared" si="126"/>
        <v>1</v>
      </c>
      <c r="DK72" s="1725">
        <f t="shared" si="127"/>
        <v>1</v>
      </c>
      <c r="DL72" s="1725">
        <f t="shared" si="128"/>
        <v>1</v>
      </c>
      <c r="DM72" s="1725">
        <f t="shared" si="129"/>
        <v>1</v>
      </c>
      <c r="DN72"/>
    </row>
    <row r="73" spans="1:118" ht="15" customHeight="1" x14ac:dyDescent="0.3">
      <c r="A73" s="6269" t="s">
        <v>4962</v>
      </c>
      <c r="B73" s="7371" t="s">
        <v>755</v>
      </c>
      <c r="C73" s="7372"/>
      <c r="D73" s="7373"/>
      <c r="E73" s="829" t="s">
        <v>5292</v>
      </c>
      <c r="F73" s="829" t="s">
        <v>5293</v>
      </c>
      <c r="G73" s="831" t="s">
        <v>5294</v>
      </c>
      <c r="H73" s="832" t="s">
        <v>5295</v>
      </c>
      <c r="I73" s="832" t="s">
        <v>5296</v>
      </c>
      <c r="J73" s="832" t="s">
        <v>5297</v>
      </c>
      <c r="K73" s="832" t="s">
        <v>5298</v>
      </c>
      <c r="L73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3" s="1723" t="str">
        <f t="shared" si="118"/>
        <v xml:space="preserve">  * La variable Gestantes No puede ser mayor al Total.</v>
      </c>
      <c r="CY73" s="1723" t="str">
        <f t="shared" si="119"/>
        <v xml:space="preserve">  * La variable 60 años No puede ser mayor al Total.</v>
      </c>
      <c r="CZ73" s="1723" t="str">
        <f t="shared" si="120"/>
        <v xml:space="preserve">  * La variable Usuarios con Discapacidad No puede ser mayor al Total.</v>
      </c>
      <c r="DA73" s="1723" t="str">
        <f t="shared" si="121"/>
        <v xml:space="preserve">  * La variable  Niños, niñas, adolescentes y jóvenes SENAME No puede ser mayor al Total.</v>
      </c>
      <c r="DB73" s="1723" t="str">
        <f t="shared" si="122"/>
        <v xml:space="preserve">  * La variable  Niños, niñas, adolescentes y jóvenes Mejor niñez  No puede ser mayor al Total.</v>
      </c>
      <c r="DC73" s="1723" t="str">
        <f t="shared" si="123"/>
        <v xml:space="preserve">  * La variable Migrantes No puede ser mayor al Total.</v>
      </c>
      <c r="DD73"/>
      <c r="DE73"/>
      <c r="DF73"/>
      <c r="DH73" s="1725">
        <f t="shared" si="124"/>
        <v>1</v>
      </c>
      <c r="DI73" s="1725">
        <f t="shared" si="125"/>
        <v>1</v>
      </c>
      <c r="DJ73" s="1725">
        <f t="shared" si="126"/>
        <v>1</v>
      </c>
      <c r="DK73" s="1725">
        <f t="shared" si="127"/>
        <v>1</v>
      </c>
      <c r="DL73" s="1725">
        <f t="shared" si="128"/>
        <v>1</v>
      </c>
      <c r="DM73" s="1725">
        <f t="shared" si="129"/>
        <v>1</v>
      </c>
      <c r="DN73"/>
    </row>
    <row r="74" spans="1:118" ht="15" customHeight="1" x14ac:dyDescent="0.3">
      <c r="A74" s="6269" t="s">
        <v>4963</v>
      </c>
      <c r="B74" s="7367" t="s">
        <v>756</v>
      </c>
      <c r="C74" s="7368"/>
      <c r="D74" s="7369"/>
      <c r="E74" s="829" t="s">
        <v>5292</v>
      </c>
      <c r="F74" s="829" t="s">
        <v>5293</v>
      </c>
      <c r="G74" s="829" t="s">
        <v>5294</v>
      </c>
      <c r="H74" s="829" t="s">
        <v>5295</v>
      </c>
      <c r="I74" s="829" t="s">
        <v>5296</v>
      </c>
      <c r="J74" s="829" t="s">
        <v>5297</v>
      </c>
      <c r="K74" s="829" t="s">
        <v>5298</v>
      </c>
      <c r="L74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4" s="1723" t="str">
        <f t="shared" si="118"/>
        <v xml:space="preserve">  * La variable Gestantes No puede ser mayor al Total.</v>
      </c>
      <c r="CY74" s="1723" t="str">
        <f t="shared" si="119"/>
        <v xml:space="preserve">  * La variable 60 años No puede ser mayor al Total.</v>
      </c>
      <c r="CZ74" s="1723" t="str">
        <f t="shared" si="120"/>
        <v xml:space="preserve">  * La variable Usuarios con Discapacidad No puede ser mayor al Total.</v>
      </c>
      <c r="DA74" s="1723" t="str">
        <f t="shared" si="121"/>
        <v xml:space="preserve">  * La variable  Niños, niñas, adolescentes y jóvenes SENAME No puede ser mayor al Total.</v>
      </c>
      <c r="DB74" s="1723" t="str">
        <f t="shared" si="122"/>
        <v xml:space="preserve">  * La variable  Niños, niñas, adolescentes y jóvenes Mejor niñez  No puede ser mayor al Total.</v>
      </c>
      <c r="DC74" s="1723" t="str">
        <f t="shared" si="123"/>
        <v xml:space="preserve">  * La variable Migrantes No puede ser mayor al Total.</v>
      </c>
      <c r="DD74"/>
      <c r="DE74"/>
      <c r="DF74"/>
      <c r="DH74" s="1725">
        <f t="shared" si="124"/>
        <v>1</v>
      </c>
      <c r="DI74" s="1725">
        <f t="shared" si="125"/>
        <v>1</v>
      </c>
      <c r="DJ74" s="1725">
        <f t="shared" si="126"/>
        <v>1</v>
      </c>
      <c r="DK74" s="1725">
        <f t="shared" si="127"/>
        <v>1</v>
      </c>
      <c r="DL74" s="1725">
        <f t="shared" si="128"/>
        <v>1</v>
      </c>
      <c r="DM74" s="1725">
        <f t="shared" si="129"/>
        <v>1</v>
      </c>
      <c r="DN74"/>
    </row>
    <row r="75" spans="1:118" ht="15" customHeight="1" x14ac:dyDescent="0.3">
      <c r="A75" s="6269" t="s">
        <v>4964</v>
      </c>
      <c r="B75" s="7327" t="s">
        <v>757</v>
      </c>
      <c r="C75" s="7328"/>
      <c r="D75" s="7254"/>
      <c r="E75" s="828" t="s">
        <v>5292</v>
      </c>
      <c r="F75" s="828" t="s">
        <v>5293</v>
      </c>
      <c r="G75" s="833" t="s">
        <v>5294</v>
      </c>
      <c r="H75" s="834" t="s">
        <v>5295</v>
      </c>
      <c r="I75" s="834" t="s">
        <v>5296</v>
      </c>
      <c r="J75" s="834" t="s">
        <v>5297</v>
      </c>
      <c r="K75" s="834" t="s">
        <v>5298</v>
      </c>
      <c r="L75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5" s="1723" t="str">
        <f t="shared" si="118"/>
        <v xml:space="preserve">  * La variable Gestantes No puede ser mayor al Total.</v>
      </c>
      <c r="CY75" s="1723" t="str">
        <f t="shared" si="119"/>
        <v xml:space="preserve">  * La variable 60 años No puede ser mayor al Total.</v>
      </c>
      <c r="CZ75" s="1723" t="str">
        <f t="shared" si="120"/>
        <v xml:space="preserve">  * La variable Usuarios con Discapacidad No puede ser mayor al Total.</v>
      </c>
      <c r="DA75" s="1723" t="str">
        <f t="shared" si="121"/>
        <v xml:space="preserve">  * La variable  Niños, niñas, adolescentes y jóvenes SENAME No puede ser mayor al Total.</v>
      </c>
      <c r="DB75" s="1723" t="str">
        <f t="shared" si="122"/>
        <v xml:space="preserve">  * La variable  Niños, niñas, adolescentes y jóvenes Mejor niñez  No puede ser mayor al Total.</v>
      </c>
      <c r="DC75" s="1723" t="str">
        <f t="shared" si="123"/>
        <v xml:space="preserve">  * La variable Migrantes No puede ser mayor al Total.</v>
      </c>
      <c r="DD75"/>
      <c r="DE75"/>
      <c r="DF75"/>
      <c r="DH75" s="1725">
        <f t="shared" si="124"/>
        <v>1</v>
      </c>
      <c r="DI75" s="1725">
        <f t="shared" si="125"/>
        <v>1</v>
      </c>
      <c r="DJ75" s="1725">
        <f t="shared" si="126"/>
        <v>1</v>
      </c>
      <c r="DK75" s="1725">
        <f t="shared" si="127"/>
        <v>1</v>
      </c>
      <c r="DL75" s="1725">
        <f t="shared" si="128"/>
        <v>1</v>
      </c>
      <c r="DM75" s="1725">
        <f t="shared" si="129"/>
        <v>1</v>
      </c>
      <c r="DN75"/>
    </row>
    <row r="76" spans="1:118" ht="15" customHeight="1" x14ac:dyDescent="0.3">
      <c r="A76" s="6269" t="s">
        <v>4965</v>
      </c>
      <c r="B76" s="7327" t="s">
        <v>758</v>
      </c>
      <c r="C76" s="7328"/>
      <c r="D76" s="7254"/>
      <c r="E76" s="828" t="s">
        <v>5292</v>
      </c>
      <c r="F76" s="828" t="s">
        <v>5293</v>
      </c>
      <c r="G76" s="833" t="s">
        <v>5294</v>
      </c>
      <c r="H76" s="834" t="s">
        <v>5295</v>
      </c>
      <c r="I76" s="834" t="s">
        <v>5296</v>
      </c>
      <c r="J76" s="834" t="s">
        <v>5297</v>
      </c>
      <c r="K76" s="834" t="s">
        <v>5298</v>
      </c>
      <c r="L76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6" s="1723" t="str">
        <f t="shared" si="118"/>
        <v xml:space="preserve">  * La variable Gestantes No puede ser mayor al Total.</v>
      </c>
      <c r="CY76" s="1723" t="str">
        <f t="shared" si="119"/>
        <v xml:space="preserve">  * La variable 60 años No puede ser mayor al Total.</v>
      </c>
      <c r="CZ76" s="1723" t="str">
        <f t="shared" si="120"/>
        <v xml:space="preserve">  * La variable Usuarios con Discapacidad No puede ser mayor al Total.</v>
      </c>
      <c r="DA76" s="1723" t="str">
        <f t="shared" si="121"/>
        <v xml:space="preserve">  * La variable  Niños, niñas, adolescentes y jóvenes SENAME No puede ser mayor al Total.</v>
      </c>
      <c r="DB76" s="1723" t="str">
        <f t="shared" si="122"/>
        <v xml:space="preserve">  * La variable  Niños, niñas, adolescentes y jóvenes Mejor niñez  No puede ser mayor al Total.</v>
      </c>
      <c r="DC76" s="1723" t="str">
        <f t="shared" si="123"/>
        <v xml:space="preserve">  * La variable Migrantes No puede ser mayor al Total.</v>
      </c>
      <c r="DD76"/>
      <c r="DE76"/>
      <c r="DF76"/>
      <c r="DH76" s="1725">
        <f t="shared" si="124"/>
        <v>1</v>
      </c>
      <c r="DI76" s="1725">
        <f t="shared" si="125"/>
        <v>1</v>
      </c>
      <c r="DJ76" s="1725">
        <f t="shared" si="126"/>
        <v>1</v>
      </c>
      <c r="DK76" s="1725">
        <f t="shared" si="127"/>
        <v>1</v>
      </c>
      <c r="DL76" s="1725">
        <f t="shared" si="128"/>
        <v>1</v>
      </c>
      <c r="DM76" s="1725">
        <f t="shared" si="129"/>
        <v>1</v>
      </c>
      <c r="DN76"/>
    </row>
    <row r="77" spans="1:118" ht="15" customHeight="1" x14ac:dyDescent="0.3">
      <c r="A77" s="6269" t="s">
        <v>4966</v>
      </c>
      <c r="B77" s="7327" t="s">
        <v>759</v>
      </c>
      <c r="C77" s="7328"/>
      <c r="D77" s="7254"/>
      <c r="E77" s="828" t="s">
        <v>5292</v>
      </c>
      <c r="F77" s="828" t="s">
        <v>5293</v>
      </c>
      <c r="G77" s="833" t="s">
        <v>5294</v>
      </c>
      <c r="H77" s="834" t="s">
        <v>5295</v>
      </c>
      <c r="I77" s="834" t="s">
        <v>5296</v>
      </c>
      <c r="J77" s="834" t="s">
        <v>5297</v>
      </c>
      <c r="K77" s="834" t="s">
        <v>5298</v>
      </c>
      <c r="L77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7" s="1723" t="str">
        <f t="shared" si="118"/>
        <v xml:space="preserve">  * La variable Gestantes No puede ser mayor al Total.</v>
      </c>
      <c r="CY77" s="1723" t="str">
        <f t="shared" si="119"/>
        <v xml:space="preserve">  * La variable 60 años No puede ser mayor al Total.</v>
      </c>
      <c r="CZ77" s="1723" t="str">
        <f t="shared" si="120"/>
        <v xml:space="preserve">  * La variable Usuarios con Discapacidad No puede ser mayor al Total.</v>
      </c>
      <c r="DA77" s="1723" t="str">
        <f t="shared" si="121"/>
        <v xml:space="preserve">  * La variable  Niños, niñas, adolescentes y jóvenes SENAME No puede ser mayor al Total.</v>
      </c>
      <c r="DB77" s="1723" t="str">
        <f t="shared" si="122"/>
        <v xml:space="preserve">  * La variable  Niños, niñas, adolescentes y jóvenes Mejor niñez  No puede ser mayor al Total.</v>
      </c>
      <c r="DC77" s="1723" t="str">
        <f t="shared" si="123"/>
        <v xml:space="preserve">  * La variable Migrantes No puede ser mayor al Total.</v>
      </c>
      <c r="DD77"/>
      <c r="DE77"/>
      <c r="DF77"/>
      <c r="DH77" s="1725">
        <f t="shared" si="124"/>
        <v>1</v>
      </c>
      <c r="DI77" s="1725">
        <f t="shared" si="125"/>
        <v>1</v>
      </c>
      <c r="DJ77" s="1725">
        <f t="shared" si="126"/>
        <v>1</v>
      </c>
      <c r="DK77" s="1725">
        <f t="shared" si="127"/>
        <v>1</v>
      </c>
      <c r="DL77" s="1725">
        <f t="shared" si="128"/>
        <v>1</v>
      </c>
      <c r="DM77" s="1725">
        <f t="shared" si="129"/>
        <v>1</v>
      </c>
      <c r="DN77"/>
    </row>
    <row r="78" spans="1:118" ht="15" customHeight="1" x14ac:dyDescent="0.3">
      <c r="A78" s="6269" t="s">
        <v>4967</v>
      </c>
      <c r="B78" s="6644" t="s">
        <v>760</v>
      </c>
      <c r="C78" s="7361"/>
      <c r="D78" s="6645"/>
      <c r="E78" s="835" t="s">
        <v>5292</v>
      </c>
      <c r="F78" s="835" t="s">
        <v>5293</v>
      </c>
      <c r="G78" s="836" t="s">
        <v>5294</v>
      </c>
      <c r="H78" s="837" t="s">
        <v>5295</v>
      </c>
      <c r="I78" s="837" t="s">
        <v>5296</v>
      </c>
      <c r="J78" s="837" t="s">
        <v>5297</v>
      </c>
      <c r="K78" s="837" t="s">
        <v>5298</v>
      </c>
      <c r="L78" t="str">
        <f t="shared" si="117"/>
        <v xml:space="preserve">  * La variable Gestantes No puede ser mayor al Total.  * La variable 60 años No puede ser mayor al Total.  * La variable Usuarios con Discapacidad No puede ser mayor al Total.  * La variable  Niños, niñas, adolescentes y jóvenes SENAME No puede ser mayor al Total.  * La variable  Niños, niñas, adolescentes y jóvenes Mejor niñez  No puede ser mayor al Total.  * La variable Migrantes No puede ser mayor al Total.</v>
      </c>
      <c r="CX78" s="1723" t="str">
        <f t="shared" si="118"/>
        <v xml:space="preserve">  * La variable Gestantes No puede ser mayor al Total.</v>
      </c>
      <c r="CY78" s="1723" t="str">
        <f t="shared" si="119"/>
        <v xml:space="preserve">  * La variable 60 años No puede ser mayor al Total.</v>
      </c>
      <c r="CZ78" s="1723" t="str">
        <f t="shared" si="120"/>
        <v xml:space="preserve">  * La variable Usuarios con Discapacidad No puede ser mayor al Total.</v>
      </c>
      <c r="DA78" s="1723" t="str">
        <f t="shared" si="121"/>
        <v xml:space="preserve">  * La variable  Niños, niñas, adolescentes y jóvenes SENAME No puede ser mayor al Total.</v>
      </c>
      <c r="DB78" s="1723" t="str">
        <f t="shared" si="122"/>
        <v xml:space="preserve">  * La variable  Niños, niñas, adolescentes y jóvenes Mejor niñez  No puede ser mayor al Total.</v>
      </c>
      <c r="DC78" s="1723" t="str">
        <f t="shared" si="123"/>
        <v xml:space="preserve">  * La variable Migrantes No puede ser mayor al Total.</v>
      </c>
      <c r="DD78"/>
      <c r="DE78"/>
      <c r="DF78"/>
      <c r="DH78" s="1725">
        <f t="shared" si="124"/>
        <v>1</v>
      </c>
      <c r="DI78" s="1725">
        <f t="shared" si="125"/>
        <v>1</v>
      </c>
      <c r="DJ78" s="1725">
        <f t="shared" si="126"/>
        <v>1</v>
      </c>
      <c r="DK78" s="1725">
        <f t="shared" si="127"/>
        <v>1</v>
      </c>
      <c r="DL78" s="1725">
        <f t="shared" si="128"/>
        <v>1</v>
      </c>
      <c r="DM78" s="1725">
        <f t="shared" si="129"/>
        <v>1</v>
      </c>
      <c r="DN78"/>
    </row>
    <row r="79" spans="1:118" ht="18" customHeight="1" x14ac:dyDescent="0.3">
      <c r="B79" s="778" t="s">
        <v>761</v>
      </c>
      <c r="CX79"/>
      <c r="CY79"/>
      <c r="CZ79"/>
      <c r="DA79"/>
      <c r="DB79"/>
      <c r="DC79"/>
      <c r="DD79"/>
      <c r="DE79"/>
      <c r="DF79"/>
      <c r="DH79"/>
      <c r="DI79"/>
      <c r="DJ79"/>
      <c r="DK79"/>
      <c r="DL79"/>
      <c r="DM79"/>
      <c r="DN79"/>
    </row>
    <row r="80" spans="1:118" ht="15" customHeight="1" x14ac:dyDescent="0.3">
      <c r="B80" s="7223" t="s">
        <v>762</v>
      </c>
      <c r="C80" s="6611"/>
      <c r="D80" s="7226"/>
      <c r="E80" s="7338" t="s">
        <v>570</v>
      </c>
      <c r="F80" s="7332"/>
      <c r="G80" s="7308"/>
      <c r="CX80"/>
      <c r="CY80"/>
      <c r="CZ80"/>
      <c r="DA80"/>
      <c r="DB80"/>
      <c r="DC80"/>
      <c r="DD80"/>
      <c r="DE80"/>
      <c r="DF80"/>
      <c r="DH80"/>
      <c r="DI80"/>
      <c r="DJ80"/>
      <c r="DK80"/>
      <c r="DL80"/>
      <c r="DM80"/>
      <c r="DN80"/>
    </row>
    <row r="81" spans="1:119" ht="15" customHeight="1" x14ac:dyDescent="0.3">
      <c r="B81" s="7320"/>
      <c r="C81" s="7292"/>
      <c r="D81" s="7293"/>
      <c r="E81" s="572" t="s">
        <v>24</v>
      </c>
      <c r="F81" s="569" t="s">
        <v>22</v>
      </c>
      <c r="G81" s="570" t="s">
        <v>27</v>
      </c>
      <c r="CX81"/>
      <c r="CY81"/>
      <c r="CZ81"/>
      <c r="DA81"/>
      <c r="DB81"/>
      <c r="DC81"/>
      <c r="DD81"/>
      <c r="DE81"/>
      <c r="DF81"/>
      <c r="DH81"/>
      <c r="DI81"/>
      <c r="DJ81"/>
      <c r="DK81"/>
      <c r="DL81"/>
      <c r="DM81"/>
      <c r="DN81"/>
    </row>
    <row r="82" spans="1:119" ht="15" customHeight="1" x14ac:dyDescent="0.3">
      <c r="A82" s="6269" t="s">
        <v>4968</v>
      </c>
      <c r="B82" s="7362" t="s">
        <v>763</v>
      </c>
      <c r="C82" s="7364" t="s">
        <v>764</v>
      </c>
      <c r="D82" s="7365"/>
      <c r="E82" s="633" t="s">
        <v>5292</v>
      </c>
      <c r="F82" s="586" t="s">
        <v>5293</v>
      </c>
      <c r="G82" s="587" t="s">
        <v>5294</v>
      </c>
      <c r="CX82"/>
      <c r="CY82"/>
      <c r="CZ82"/>
      <c r="DA82"/>
      <c r="DB82"/>
      <c r="DC82"/>
      <c r="DD82"/>
      <c r="DE82"/>
      <c r="DF82"/>
      <c r="DH82"/>
      <c r="DI82"/>
      <c r="DJ82"/>
      <c r="DK82"/>
      <c r="DL82"/>
      <c r="DM82"/>
      <c r="DN82"/>
    </row>
    <row r="83" spans="1:119" ht="15" customHeight="1" x14ac:dyDescent="0.3">
      <c r="A83" s="6269" t="s">
        <v>4969</v>
      </c>
      <c r="B83" s="7363"/>
      <c r="C83" s="7366" t="s">
        <v>765</v>
      </c>
      <c r="D83" s="6620"/>
      <c r="E83" s="150" t="s">
        <v>5292</v>
      </c>
      <c r="F83" s="114" t="s">
        <v>5293</v>
      </c>
      <c r="G83" s="116" t="s">
        <v>5294</v>
      </c>
      <c r="CX83"/>
      <c r="CY83"/>
      <c r="CZ83"/>
      <c r="DA83"/>
      <c r="DB83"/>
      <c r="DC83"/>
      <c r="DD83"/>
      <c r="DE83"/>
      <c r="DF83"/>
      <c r="DH83"/>
      <c r="DI83"/>
      <c r="DJ83"/>
      <c r="DK83"/>
      <c r="DL83"/>
      <c r="DM83"/>
      <c r="DN83"/>
    </row>
    <row r="84" spans="1:119" ht="18" customHeight="1" x14ac:dyDescent="0.3">
      <c r="B84" s="122" t="s">
        <v>766</v>
      </c>
      <c r="C84" s="838"/>
      <c r="D84" s="838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CX84"/>
      <c r="CY84"/>
      <c r="CZ84"/>
      <c r="DA84"/>
      <c r="DB84"/>
      <c r="DC84"/>
      <c r="DD84"/>
      <c r="DE84"/>
      <c r="DF84"/>
      <c r="DH84"/>
      <c r="DI84"/>
      <c r="DJ84"/>
      <c r="DK84"/>
      <c r="DL84"/>
      <c r="DM84"/>
      <c r="DN84"/>
    </row>
    <row r="85" spans="1:119" x14ac:dyDescent="0.3">
      <c r="A85" s="6236"/>
      <c r="B85" s="6611" t="s">
        <v>767</v>
      </c>
      <c r="C85" s="6611"/>
      <c r="D85" s="7226"/>
      <c r="E85" s="7223" t="s">
        <v>24</v>
      </c>
      <c r="F85" s="6611"/>
      <c r="G85" s="7226"/>
      <c r="H85" s="7296" t="s">
        <v>30</v>
      </c>
      <c r="I85" s="7297"/>
      <c r="J85" s="7297"/>
      <c r="K85" s="7297"/>
      <c r="L85" s="7297"/>
      <c r="M85" s="7297"/>
      <c r="N85" s="7297"/>
      <c r="O85" s="7297"/>
      <c r="P85" s="7297"/>
      <c r="Q85" s="7297"/>
      <c r="R85" s="7297"/>
      <c r="S85" s="7297"/>
      <c r="T85" s="7297"/>
      <c r="U85" s="7297"/>
      <c r="V85" s="7297"/>
      <c r="W85" s="7297"/>
      <c r="X85" s="7297"/>
      <c r="Y85" s="7297"/>
      <c r="Z85" s="7297"/>
      <c r="AA85" s="7297"/>
      <c r="AB85" s="7297"/>
      <c r="AC85" s="7297"/>
      <c r="AD85" s="7297"/>
      <c r="AE85" s="7297"/>
      <c r="AF85" s="7297"/>
      <c r="AG85" s="7297"/>
      <c r="AH85" s="7297"/>
      <c r="AI85" s="7297"/>
      <c r="AJ85" s="7297"/>
      <c r="AK85" s="7297"/>
      <c r="AL85" s="7297"/>
      <c r="AM85" s="7297"/>
      <c r="AN85" s="7297"/>
      <c r="AO85" s="7298"/>
      <c r="AP85" s="7306" t="s">
        <v>768</v>
      </c>
      <c r="AQ85" s="7323" t="s">
        <v>327</v>
      </c>
      <c r="AR85" s="7378" t="s">
        <v>67</v>
      </c>
      <c r="AS85" s="7299" t="s">
        <v>769</v>
      </c>
      <c r="AT85" s="7299" t="s">
        <v>770</v>
      </c>
      <c r="AU85" s="7374" t="s">
        <v>771</v>
      </c>
      <c r="AV85" s="7374" t="s">
        <v>680</v>
      </c>
      <c r="AW85" s="7374" t="s">
        <v>681</v>
      </c>
      <c r="AX85" s="7375" t="s">
        <v>3</v>
      </c>
      <c r="CX85"/>
      <c r="CY85"/>
      <c r="CZ85"/>
      <c r="DA85"/>
      <c r="DB85"/>
      <c r="DC85"/>
      <c r="DD85"/>
      <c r="DE85"/>
      <c r="DF85"/>
      <c r="DH85"/>
      <c r="DI85"/>
      <c r="DJ85"/>
      <c r="DK85"/>
      <c r="DL85"/>
      <c r="DM85"/>
      <c r="DN85"/>
    </row>
    <row r="86" spans="1:119" x14ac:dyDescent="0.3">
      <c r="A86" s="6236"/>
      <c r="B86" s="7283"/>
      <c r="C86" s="7283"/>
      <c r="D86" s="7247"/>
      <c r="E86" s="7320"/>
      <c r="F86" s="7292"/>
      <c r="G86" s="7293"/>
      <c r="H86" s="7304" t="s">
        <v>772</v>
      </c>
      <c r="I86" s="7305"/>
      <c r="J86" s="7296" t="s">
        <v>684</v>
      </c>
      <c r="K86" s="7297"/>
      <c r="L86" s="7296" t="s">
        <v>685</v>
      </c>
      <c r="M86" s="7306"/>
      <c r="N86" s="7296" t="s">
        <v>686</v>
      </c>
      <c r="O86" s="7306"/>
      <c r="P86" s="7296" t="s">
        <v>687</v>
      </c>
      <c r="Q86" s="7306"/>
      <c r="R86" s="7296" t="s">
        <v>688</v>
      </c>
      <c r="S86" s="7306"/>
      <c r="T86" s="7296" t="s">
        <v>689</v>
      </c>
      <c r="U86" s="7306"/>
      <c r="V86" s="7297" t="s">
        <v>690</v>
      </c>
      <c r="W86" s="7306"/>
      <c r="X86" s="7296" t="s">
        <v>554</v>
      </c>
      <c r="Y86" s="7308"/>
      <c r="Z86" s="7296" t="s">
        <v>568</v>
      </c>
      <c r="AA86" s="7308"/>
      <c r="AB86" s="7296" t="s">
        <v>691</v>
      </c>
      <c r="AC86" s="7308"/>
      <c r="AD86" s="7296" t="s">
        <v>692</v>
      </c>
      <c r="AE86" s="7308"/>
      <c r="AF86" s="7296" t="s">
        <v>693</v>
      </c>
      <c r="AG86" s="7308"/>
      <c r="AH86" s="7296" t="s">
        <v>694</v>
      </c>
      <c r="AI86" s="7308"/>
      <c r="AJ86" s="7296" t="s">
        <v>556</v>
      </c>
      <c r="AK86" s="7308"/>
      <c r="AL86" s="7297" t="s">
        <v>695</v>
      </c>
      <c r="AM86" s="7308"/>
      <c r="AN86" s="7296" t="s">
        <v>57</v>
      </c>
      <c r="AO86" s="7307"/>
      <c r="AP86" s="7306"/>
      <c r="AQ86" s="7323"/>
      <c r="AR86" s="7199"/>
      <c r="AS86" s="7213"/>
      <c r="AT86" s="7213"/>
      <c r="AU86" s="7374"/>
      <c r="AV86" s="7374"/>
      <c r="AW86" s="7374"/>
      <c r="AX86" s="7376"/>
      <c r="CX86"/>
      <c r="CY86"/>
      <c r="CZ86"/>
      <c r="DA86"/>
      <c r="DB86"/>
      <c r="DC86"/>
      <c r="DD86"/>
      <c r="DE86"/>
      <c r="DF86"/>
      <c r="DH86"/>
      <c r="DI86"/>
      <c r="DJ86"/>
      <c r="DK86"/>
      <c r="DL86"/>
      <c r="DM86"/>
      <c r="DN86"/>
    </row>
    <row r="87" spans="1:119" x14ac:dyDescent="0.3">
      <c r="A87" s="6236"/>
      <c r="B87" s="7292"/>
      <c r="C87" s="7292"/>
      <c r="D87" s="7293"/>
      <c r="E87" s="603" t="s">
        <v>26</v>
      </c>
      <c r="F87" s="604" t="s">
        <v>22</v>
      </c>
      <c r="G87" s="597" t="s">
        <v>27</v>
      </c>
      <c r="H87" s="603" t="s">
        <v>22</v>
      </c>
      <c r="I87" s="597" t="s">
        <v>27</v>
      </c>
      <c r="J87" s="603" t="s">
        <v>22</v>
      </c>
      <c r="K87" s="596" t="s">
        <v>27</v>
      </c>
      <c r="L87" s="603" t="s">
        <v>22</v>
      </c>
      <c r="M87" s="597" t="s">
        <v>27</v>
      </c>
      <c r="N87" s="603" t="s">
        <v>22</v>
      </c>
      <c r="O87" s="597" t="s">
        <v>27</v>
      </c>
      <c r="P87" s="604" t="s">
        <v>22</v>
      </c>
      <c r="Q87" s="597" t="s">
        <v>27</v>
      </c>
      <c r="R87" s="604" t="s">
        <v>22</v>
      </c>
      <c r="S87" s="597" t="s">
        <v>27</v>
      </c>
      <c r="T87" s="604" t="s">
        <v>22</v>
      </c>
      <c r="U87" s="597" t="s">
        <v>27</v>
      </c>
      <c r="V87" s="604" t="s">
        <v>22</v>
      </c>
      <c r="W87" s="597" t="s">
        <v>27</v>
      </c>
      <c r="X87" s="604" t="s">
        <v>22</v>
      </c>
      <c r="Y87" s="597" t="s">
        <v>27</v>
      </c>
      <c r="Z87" s="604" t="s">
        <v>22</v>
      </c>
      <c r="AA87" s="597" t="s">
        <v>27</v>
      </c>
      <c r="AB87" s="604" t="s">
        <v>22</v>
      </c>
      <c r="AC87" s="597" t="s">
        <v>27</v>
      </c>
      <c r="AD87" s="604" t="s">
        <v>22</v>
      </c>
      <c r="AE87" s="597" t="s">
        <v>27</v>
      </c>
      <c r="AF87" s="604" t="s">
        <v>22</v>
      </c>
      <c r="AG87" s="597" t="s">
        <v>27</v>
      </c>
      <c r="AH87" s="604" t="s">
        <v>22</v>
      </c>
      <c r="AI87" s="597" t="s">
        <v>27</v>
      </c>
      <c r="AJ87" s="604" t="s">
        <v>22</v>
      </c>
      <c r="AK87" s="597" t="s">
        <v>27</v>
      </c>
      <c r="AL87" s="604" t="s">
        <v>22</v>
      </c>
      <c r="AM87" s="597" t="s">
        <v>27</v>
      </c>
      <c r="AN87" s="604" t="s">
        <v>22</v>
      </c>
      <c r="AO87" s="601" t="s">
        <v>27</v>
      </c>
      <c r="AP87" s="7306"/>
      <c r="AQ87" s="7323"/>
      <c r="AR87" s="7379"/>
      <c r="AS87" s="7300"/>
      <c r="AT87" s="7300"/>
      <c r="AU87" s="7374"/>
      <c r="AV87" s="7374"/>
      <c r="AW87" s="7374"/>
      <c r="AX87" s="7377"/>
      <c r="CX87"/>
      <c r="CY87"/>
      <c r="CZ87"/>
      <c r="DA87"/>
      <c r="DB87"/>
      <c r="DC87"/>
      <c r="DD87"/>
      <c r="DE87"/>
      <c r="DF87"/>
      <c r="DH87"/>
      <c r="DI87"/>
      <c r="DJ87"/>
      <c r="DK87"/>
      <c r="DL87"/>
      <c r="DM87"/>
      <c r="DN87"/>
    </row>
    <row r="88" spans="1:119" ht="15" customHeight="1" x14ac:dyDescent="0.3">
      <c r="A88" s="6270" t="s">
        <v>4970</v>
      </c>
      <c r="B88" s="7380" t="s">
        <v>3919</v>
      </c>
      <c r="C88" s="7380"/>
      <c r="D88" s="7380"/>
      <c r="E88" s="622" t="s">
        <v>5292</v>
      </c>
      <c r="F88" s="782" t="s">
        <v>5293</v>
      </c>
      <c r="G88" s="783" t="s">
        <v>5294</v>
      </c>
      <c r="H88" s="482" t="s">
        <v>5295</v>
      </c>
      <c r="I88" s="185" t="s">
        <v>5296</v>
      </c>
      <c r="J88" s="482" t="s">
        <v>5297</v>
      </c>
      <c r="K88" s="578" t="s">
        <v>5298</v>
      </c>
      <c r="L88" s="482" t="s">
        <v>5299</v>
      </c>
      <c r="M88" s="185" t="s">
        <v>5300</v>
      </c>
      <c r="N88" s="482" t="s">
        <v>5301</v>
      </c>
      <c r="O88" s="185" t="s">
        <v>5302</v>
      </c>
      <c r="P88" s="483" t="s">
        <v>5303</v>
      </c>
      <c r="Q88" s="185" t="s">
        <v>5304</v>
      </c>
      <c r="R88" s="483" t="s">
        <v>5305</v>
      </c>
      <c r="S88" s="185" t="s">
        <v>5306</v>
      </c>
      <c r="T88" s="483" t="s">
        <v>5307</v>
      </c>
      <c r="U88" s="185" t="s">
        <v>5308</v>
      </c>
      <c r="V88" s="483" t="s">
        <v>5309</v>
      </c>
      <c r="W88" s="185" t="s">
        <v>5310</v>
      </c>
      <c r="X88" s="483" t="s">
        <v>5311</v>
      </c>
      <c r="Y88" s="185" t="s">
        <v>5312</v>
      </c>
      <c r="Z88" s="483" t="s">
        <v>5313</v>
      </c>
      <c r="AA88" s="185" t="s">
        <v>5314</v>
      </c>
      <c r="AB88" s="483" t="s">
        <v>5315</v>
      </c>
      <c r="AC88" s="185" t="s">
        <v>5316</v>
      </c>
      <c r="AD88" s="483" t="s">
        <v>5317</v>
      </c>
      <c r="AE88" s="185" t="s">
        <v>5318</v>
      </c>
      <c r="AF88" s="483" t="s">
        <v>5319</v>
      </c>
      <c r="AG88" s="185" t="s">
        <v>5320</v>
      </c>
      <c r="AH88" s="483" t="s">
        <v>5321</v>
      </c>
      <c r="AI88" s="185" t="s">
        <v>5322</v>
      </c>
      <c r="AJ88" s="483" t="s">
        <v>5323</v>
      </c>
      <c r="AK88" s="185" t="s">
        <v>5324</v>
      </c>
      <c r="AL88" s="483" t="s">
        <v>5325</v>
      </c>
      <c r="AM88" s="185" t="s">
        <v>5326</v>
      </c>
      <c r="AN88" s="483" t="s">
        <v>5327</v>
      </c>
      <c r="AO88" s="321" t="s">
        <v>5328</v>
      </c>
      <c r="AP88" s="499" t="s">
        <v>5329</v>
      </c>
      <c r="AQ88" s="498" t="s">
        <v>5330</v>
      </c>
      <c r="AR88" s="498" t="s">
        <v>5331</v>
      </c>
      <c r="AS88" s="498" t="s">
        <v>5332</v>
      </c>
      <c r="AT88" s="498" t="s">
        <v>5333</v>
      </c>
      <c r="AU88" s="498" t="s">
        <v>5334</v>
      </c>
      <c r="AV88" s="498" t="s">
        <v>5335</v>
      </c>
      <c r="AW88" s="498" t="s">
        <v>5336</v>
      </c>
      <c r="AX88" s="498" t="s">
        <v>5337</v>
      </c>
      <c r="AY88" t="e">
        <f>CX88&amp;CY88&amp;CZ88&amp;DA88&amp;DB88&amp;DC88&amp;DD88&amp;DE88</f>
        <v>#VALUE!</v>
      </c>
      <c r="CX88" s="1723" t="e">
        <f>IF(AND((X88+Y88)&gt;0,AP88="")," * No olvide digitar la variable 12 años. Si no tiene digite Cero.",IF(AP88&gt;(X88+Y88),"* Las Consultas de 12 años NO DEBEN ser mayor que el total de Consultas entre 10-14 años",""))</f>
        <v>#VALUE!</v>
      </c>
      <c r="CY88" s="1723" t="str">
        <f>IF(AND(G88&gt;0,AQ88="")," * No olvide digitar la variable Embarazadas. Digite cero si no tiene.",IF(AQ88&gt;G88," * Las embarazadas no pueden ser mayor al Total Mujeres.",""))</f>
        <v xml:space="preserve"> * Las embarazadas no pueden ser mayor al Total Mujeres.</v>
      </c>
      <c r="CZ88" s="1723" t="str">
        <f>IF(AND(E88&gt;0,AR88="")," * No olvide digitar Beneficiarios. Digite Cero si no tiene",IF(AR88&gt;E88," * Los beneficiarios no pueden ser mayor al Total Ambos Sexos.",""))</f>
        <v xml:space="preserve"> * Los beneficiarios no pueden ser mayor al Total Ambos Sexos.</v>
      </c>
      <c r="DA88" s="1723" t="e">
        <f>IF(AND((AJ88+AK88&gt;0),AS88="")," * No olvide digitar la variable 60 años. Si no tiene digite Cero.",IF(AS88&gt;(AJ88+AK88)," * Las consultas de 60 años NO DEBEN ser mayor que el total de consultas de entre 60-64 años",""))</f>
        <v>#VALUE!</v>
      </c>
      <c r="DB88" s="1723" t="str">
        <f>IF(AND(E88&gt;0,AU88="")," * No olvide digitar la variable usuarios con discapacidad. Digite Cero si no tiene.",IF(AU88&gt;E88," * La variable Usuarios con discapacidad No puede ser mayor al Total Ambos Sexos.",""))</f>
        <v xml:space="preserve"> * La variable Usuarios con discapacidad No puede ser mayor al Total Ambos Sexos.</v>
      </c>
      <c r="DC88" s="1723" t="str">
        <f>IF(AND(E88&gt;0,AV88="")," * No olvide digitar la variable Niños, niñas, adolescentes y jóvenes SENAME. Digite Cero si no tiene.",IF(AV88&gt;E88," * La variable Niños, niñas, adolescentes y jóvenes SENAME No puede ser mayor al Total Ambos Sexos.",""))</f>
        <v xml:space="preserve"> * La variable Niños, niñas, adolescentes y jóvenes SENAME No puede ser mayor al Total Ambos Sexos.</v>
      </c>
      <c r="DD88" s="1723" t="str">
        <f>IF(AND(E88&gt;0,AW88="")," * No olvide digitar la variable Niños, niñas, adolescentes y jóvenes Mejor Niñez. Digite Cero si no tiene.",IF(AW88&gt;E88,"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88" s="1723" t="str">
        <f>IF(AND(E88&gt;0,AX88="")," * No olvide digitar la variable Migrantes. Digite Cero si no tiene.",IF(AX88&gt;E88," * La variable Migrantes No puede ser mayor al Total Ambos Sexos.",""))</f>
        <v xml:space="preserve"> * La variable Migrantes No puede ser mayor al Total Ambos Sexos.</v>
      </c>
      <c r="DF88"/>
      <c r="DH88" s="1725" t="e">
        <f>IF(AND((X88+Y88)&gt;0,AP88=""),1,IF(AP88&gt;(X88+Y88),1,0))</f>
        <v>#VALUE!</v>
      </c>
      <c r="DI88" s="1725">
        <f>IF(AND(G88&gt;0,AQ88=""),1,IF(AQ88&gt;G88,1,0))</f>
        <v>1</v>
      </c>
      <c r="DJ88" s="1725">
        <f>IF(AND(E88&gt;0,AR88=""),1,IF(AR88&gt;E88,1,0))</f>
        <v>1</v>
      </c>
      <c r="DK88" s="1725" t="e">
        <f>IF(AND((AJ88+AK88&gt;0),AS88=""),1,IF(AS88&gt;(AJ88+AK88),1,0))</f>
        <v>#VALUE!</v>
      </c>
      <c r="DL88" s="1725">
        <f>IF(AND(E88&gt;0,AU88=""),1,IF(AU88&gt;E88,1,0))</f>
        <v>1</v>
      </c>
      <c r="DM88" s="1725">
        <f>IF(AND(E88&gt;0,AV88=""),1,IF(AV88&gt;E88,1,0))</f>
        <v>1</v>
      </c>
      <c r="DN88" s="1725">
        <f>IF(AND(E88&gt;0,AW88=""),1,IF(AW88&gt;E88,1,0))</f>
        <v>1</v>
      </c>
      <c r="DO88" s="1725">
        <f>IF(AND(E88&gt;0,AX88=""),1,IF(AX88&gt;E88,1,0))</f>
        <v>1</v>
      </c>
    </row>
    <row r="89" spans="1:119" ht="15" customHeight="1" x14ac:dyDescent="0.3">
      <c r="A89" s="6270" t="s">
        <v>4971</v>
      </c>
      <c r="B89" s="6355" t="s">
        <v>3920</v>
      </c>
      <c r="C89" s="6355"/>
      <c r="D89" s="6355"/>
      <c r="E89" s="635" t="s">
        <v>5292</v>
      </c>
      <c r="F89" s="785" t="s">
        <v>5293</v>
      </c>
      <c r="G89" s="786" t="s">
        <v>5294</v>
      </c>
      <c r="H89" s="616" t="s">
        <v>5295</v>
      </c>
      <c r="I89" s="626" t="s">
        <v>5296</v>
      </c>
      <c r="J89" s="616" t="s">
        <v>5297</v>
      </c>
      <c r="K89" s="791" t="s">
        <v>5298</v>
      </c>
      <c r="L89" s="616" t="s">
        <v>5299</v>
      </c>
      <c r="M89" s="626" t="s">
        <v>5300</v>
      </c>
      <c r="N89" s="616" t="s">
        <v>5301</v>
      </c>
      <c r="O89" s="626" t="s">
        <v>5302</v>
      </c>
      <c r="P89" s="623" t="s">
        <v>5303</v>
      </c>
      <c r="Q89" s="626" t="s">
        <v>5304</v>
      </c>
      <c r="R89" s="623" t="s">
        <v>5305</v>
      </c>
      <c r="S89" s="626" t="s">
        <v>5306</v>
      </c>
      <c r="T89" s="623" t="s">
        <v>5307</v>
      </c>
      <c r="U89" s="626" t="s">
        <v>5308</v>
      </c>
      <c r="V89" s="623" t="s">
        <v>5309</v>
      </c>
      <c r="W89" s="626" t="s">
        <v>5310</v>
      </c>
      <c r="X89" s="623" t="s">
        <v>5311</v>
      </c>
      <c r="Y89" s="626" t="s">
        <v>5312</v>
      </c>
      <c r="Z89" s="623" t="s">
        <v>5313</v>
      </c>
      <c r="AA89" s="626" t="s">
        <v>5314</v>
      </c>
      <c r="AB89" s="623" t="s">
        <v>5315</v>
      </c>
      <c r="AC89" s="626" t="s">
        <v>5316</v>
      </c>
      <c r="AD89" s="623" t="s">
        <v>5317</v>
      </c>
      <c r="AE89" s="626" t="s">
        <v>5318</v>
      </c>
      <c r="AF89" s="623" t="s">
        <v>5319</v>
      </c>
      <c r="AG89" s="626" t="s">
        <v>5320</v>
      </c>
      <c r="AH89" s="623" t="s">
        <v>5321</v>
      </c>
      <c r="AI89" s="626" t="s">
        <v>5322</v>
      </c>
      <c r="AJ89" s="623" t="s">
        <v>5323</v>
      </c>
      <c r="AK89" s="626" t="s">
        <v>5324</v>
      </c>
      <c r="AL89" s="623" t="s">
        <v>5325</v>
      </c>
      <c r="AM89" s="626" t="s">
        <v>5326</v>
      </c>
      <c r="AN89" s="623" t="s">
        <v>5327</v>
      </c>
      <c r="AO89" s="624" t="s">
        <v>5328</v>
      </c>
      <c r="AP89" s="83" t="s">
        <v>5329</v>
      </c>
      <c r="AQ89" s="83" t="s">
        <v>5330</v>
      </c>
      <c r="AR89" s="644" t="s">
        <v>5331</v>
      </c>
      <c r="AS89" s="644" t="s">
        <v>5332</v>
      </c>
      <c r="AT89" s="644" t="s">
        <v>5333</v>
      </c>
      <c r="AU89" s="83" t="s">
        <v>5334</v>
      </c>
      <c r="AV89" s="83" t="s">
        <v>5335</v>
      </c>
      <c r="AW89" s="83" t="s">
        <v>5336</v>
      </c>
      <c r="AX89" s="83" t="s">
        <v>5337</v>
      </c>
      <c r="AY89" t="e">
        <f t="shared" ref="AY89:AY140" si="130">CX89&amp;CY89&amp;CZ89&amp;DA89&amp;DB89&amp;DC89&amp;DD89&amp;DE89</f>
        <v>#VALUE!</v>
      </c>
      <c r="CX89" s="1723" t="e">
        <f t="shared" ref="CX89:CX118" si="131">IF(AND((X89+Y89)&gt;0,AP89="")," * No olvide digitar la variable 12 años. Si no tiene digite Cero.",IF(AP89&gt;(X89+Y89),"* Las Consultas de 12 años NO DEBEN ser mayor que el total de Consultas entre 10-14 años",""))</f>
        <v>#VALUE!</v>
      </c>
      <c r="CY89" s="1723" t="str">
        <f t="shared" ref="CY89:CY140" si="132">IF(AND(G89&gt;0,AQ89="")," * No olvide digitar la variable Embarazadas. Digite cero si no tiene.",IF(AQ89&gt;G89," * Las embarazadas no pueden ser mayor al Total Mujeres.",""))</f>
        <v xml:space="preserve"> * Las embarazadas no pueden ser mayor al Total Mujeres.</v>
      </c>
      <c r="CZ89" s="1723" t="str">
        <f t="shared" ref="CZ89:CZ140" si="133">IF(AND(E89&gt;0,AR89="")," * No olvide digitar Beneficiarios. Digite Cero si no tiene",IF(AR89&gt;E89," * Los beneficiarios no pueden ser mayor al Total Ambos Sexos.",""))</f>
        <v xml:space="preserve"> * Los beneficiarios no pueden ser mayor al Total Ambos Sexos.</v>
      </c>
      <c r="DA89" s="1723" t="e">
        <f t="shared" ref="DA89:DA140" si="134">IF(AND((AJ89+AK89&gt;0),AS89="")," * No olvide digitar la variable 60 años. Si no tiene digite Cero.",IF(AS89&gt;(AJ89+AK89)," * Las consultas de 60 años NO DEBEN ser mayor que el total de consultas de entre 60-64 años",""))</f>
        <v>#VALUE!</v>
      </c>
      <c r="DB89" s="1723" t="str">
        <f t="shared" ref="DB89:DB140" si="135">IF(AND(E89&gt;0,AU89="")," * No olvide digitar la variable usuarios con discapacidad. Digite Cero si no tiene.",IF(AU89&gt;E89," * La variable Usuarios con discapacidad No puede ser mayor al Total Ambos Sexos.",""))</f>
        <v xml:space="preserve"> * La variable Usuarios con discapacidad No puede ser mayor al Total Ambos Sexos.</v>
      </c>
      <c r="DC89" s="1723" t="str">
        <f t="shared" ref="DC89:DC140" si="136">IF(AND(E89&gt;0,AV89="")," * No olvide digitar la variable Niños, niñas, adolescentes y jóvenes SENAME. Digite Cero si no tiene.",IF(AV89&gt;E89," * La variable Niños, niñas, adolescentes y jóvenes SENAME No puede ser mayor al Total Ambos Sexos.",""))</f>
        <v xml:space="preserve"> * La variable Niños, niñas, adolescentes y jóvenes SENAME No puede ser mayor al Total Ambos Sexos.</v>
      </c>
      <c r="DD89" s="1723" t="str">
        <f t="shared" ref="DD89:DD140" si="137">IF(AND(E89&gt;0,AW89="")," * No olvide digitar la variable Niños, niñas, adolescentes y jóvenes Mejor Niñez. Digite Cero si no tiene.",IF(AW89&gt;E89,"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DE89" s="1723" t="str">
        <f t="shared" ref="DE89:DE140" si="138">IF(AND(E89&gt;0,AX89="")," * No olvide digitar la variable Migrantes. Digite Cero si no tiene.",IF(AX89&gt;E89," * La variable Migrantes No puede ser mayor al Total Ambos Sexos.",""))</f>
        <v xml:space="preserve"> * La variable Migrantes No puede ser mayor al Total Ambos Sexos.</v>
      </c>
      <c r="DF89"/>
      <c r="DH89" s="1725" t="e">
        <f t="shared" ref="DH89:DH92" si="139">IF(AND((X89+Y89)&gt;0,AP89=""),1,IF(AP89&gt;(X89+Y89),1,0))</f>
        <v>#VALUE!</v>
      </c>
      <c r="DI89" s="1725">
        <f t="shared" ref="DI89:DI140" si="140">IF(AND(G89&gt;0,AQ89=""),1,IF(AQ89&gt;G89,1,0))</f>
        <v>1</v>
      </c>
      <c r="DJ89" s="1725">
        <f t="shared" ref="DJ89:DJ140" si="141">IF(AND(E89&gt;0,AR89=""),1,IF(AR89&gt;E89,1,0))</f>
        <v>1</v>
      </c>
      <c r="DK89" s="1725" t="e">
        <f t="shared" ref="DK89:DK140" si="142">IF(AND((AJ89+AK89&gt;0),AS89=""),1,IF(AS89&gt;(AJ89+AK89),1,0))</f>
        <v>#VALUE!</v>
      </c>
      <c r="DL89" s="1725">
        <f t="shared" ref="DL89:DL140" si="143">IF(AND(E89&gt;0,AU89=""),1,IF(AU89&gt;E89,1,0))</f>
        <v>1</v>
      </c>
      <c r="DM89" s="1725">
        <f t="shared" ref="DM89:DM140" si="144">IF(AND(E89&gt;0,AV89=""),1,IF(AV89&gt;E89,1,0))</f>
        <v>1</v>
      </c>
      <c r="DN89" s="1725">
        <f t="shared" ref="DN89:DN140" si="145">IF(AND(E89&gt;0,AW89=""),1,IF(AW89&gt;E89,1,0))</f>
        <v>1</v>
      </c>
      <c r="DO89" s="1725">
        <f t="shared" ref="DO89:DO140" si="146">IF(AND(E89&gt;0,AX89=""),1,IF(AX89&gt;E89,1,0))</f>
        <v>1</v>
      </c>
    </row>
    <row r="90" spans="1:119" ht="15" customHeight="1" x14ac:dyDescent="0.3">
      <c r="A90" s="6269" t="s">
        <v>4972</v>
      </c>
      <c r="B90" s="7381" t="s">
        <v>773</v>
      </c>
      <c r="C90" s="7382"/>
      <c r="D90" s="7383"/>
      <c r="E90" s="635" t="s">
        <v>5292</v>
      </c>
      <c r="F90" s="785" t="s">
        <v>5293</v>
      </c>
      <c r="G90" s="786" t="s">
        <v>5294</v>
      </c>
      <c r="H90" s="616" t="s">
        <v>5295</v>
      </c>
      <c r="I90" s="587" t="s">
        <v>5296</v>
      </c>
      <c r="J90" s="586" t="s">
        <v>5297</v>
      </c>
      <c r="K90" s="839" t="s">
        <v>5298</v>
      </c>
      <c r="L90" s="586" t="s">
        <v>5299</v>
      </c>
      <c r="M90" s="626" t="s">
        <v>5300</v>
      </c>
      <c r="N90" s="616" t="s">
        <v>5301</v>
      </c>
      <c r="O90" s="626" t="s">
        <v>5302</v>
      </c>
      <c r="P90" s="623" t="s">
        <v>5303</v>
      </c>
      <c r="Q90" s="626" t="s">
        <v>5304</v>
      </c>
      <c r="R90" s="623" t="s">
        <v>5305</v>
      </c>
      <c r="S90" s="626" t="s">
        <v>5306</v>
      </c>
      <c r="T90" s="623" t="s">
        <v>5307</v>
      </c>
      <c r="U90" s="626" t="s">
        <v>5308</v>
      </c>
      <c r="V90" s="623" t="s">
        <v>5309</v>
      </c>
      <c r="W90" s="626" t="s">
        <v>5310</v>
      </c>
      <c r="X90" s="623" t="s">
        <v>5311</v>
      </c>
      <c r="Y90" s="626" t="s">
        <v>5312</v>
      </c>
      <c r="Z90" s="623" t="s">
        <v>5313</v>
      </c>
      <c r="AA90" s="626" t="s">
        <v>5314</v>
      </c>
      <c r="AB90" s="623" t="s">
        <v>5315</v>
      </c>
      <c r="AC90" s="626" t="s">
        <v>5316</v>
      </c>
      <c r="AD90" s="623" t="s">
        <v>5317</v>
      </c>
      <c r="AE90" s="626" t="s">
        <v>5318</v>
      </c>
      <c r="AF90" s="623" t="s">
        <v>5319</v>
      </c>
      <c r="AG90" s="626" t="s">
        <v>5320</v>
      </c>
      <c r="AH90" s="623" t="s">
        <v>5321</v>
      </c>
      <c r="AI90" s="626" t="s">
        <v>5322</v>
      </c>
      <c r="AJ90" s="623" t="s">
        <v>5323</v>
      </c>
      <c r="AK90" s="626" t="s">
        <v>5324</v>
      </c>
      <c r="AL90" s="623" t="s">
        <v>5325</v>
      </c>
      <c r="AM90" s="626" t="s">
        <v>5326</v>
      </c>
      <c r="AN90" s="623" t="s">
        <v>5327</v>
      </c>
      <c r="AO90" s="624" t="s">
        <v>5328</v>
      </c>
      <c r="AP90" s="83" t="s">
        <v>5329</v>
      </c>
      <c r="AQ90" s="105" t="s">
        <v>5330</v>
      </c>
      <c r="AR90" s="784" t="s">
        <v>5331</v>
      </c>
      <c r="AS90" s="784" t="s">
        <v>5332</v>
      </c>
      <c r="AT90" s="784" t="s">
        <v>5333</v>
      </c>
      <c r="AU90" s="105" t="s">
        <v>5334</v>
      </c>
      <c r="AV90" s="105" t="s">
        <v>5335</v>
      </c>
      <c r="AW90" s="105" t="s">
        <v>5336</v>
      </c>
      <c r="AX90" s="105" t="s">
        <v>5337</v>
      </c>
      <c r="AY90" t="e">
        <f t="shared" si="130"/>
        <v>#VALUE!</v>
      </c>
      <c r="CX90" s="1723" t="e">
        <f t="shared" si="131"/>
        <v>#VALUE!</v>
      </c>
      <c r="CY90" s="1723" t="str">
        <f t="shared" si="132"/>
        <v xml:space="preserve"> * Las embarazadas no pueden ser mayor al Total Mujeres.</v>
      </c>
      <c r="CZ90" s="1723" t="str">
        <f t="shared" si="133"/>
        <v xml:space="preserve"> * Los beneficiarios no pueden ser mayor al Total Ambos Sexos.</v>
      </c>
      <c r="DA90" s="1723" t="e">
        <f t="shared" si="134"/>
        <v>#VALUE!</v>
      </c>
      <c r="DB90" s="1723" t="str">
        <f t="shared" si="135"/>
        <v xml:space="preserve"> * La variable Usuarios con discapacidad No puede ser mayor al Total Ambos Sexos.</v>
      </c>
      <c r="DC90" s="1723" t="str">
        <f t="shared" si="136"/>
        <v xml:space="preserve"> * La variable Niños, niñas, adolescentes y jóvenes SENAME No puede ser mayor al Total Ambos Sexos.</v>
      </c>
      <c r="DD90" s="1723" t="str">
        <f t="shared" si="137"/>
        <v xml:space="preserve"> * La variable Niños, niñas, adolescentes y jóvenes Mejor Niñez No puede ser mayor al Total Ambos Sexos.</v>
      </c>
      <c r="DE90" s="1723" t="str">
        <f t="shared" si="138"/>
        <v xml:space="preserve"> * La variable Migrantes No puede ser mayor al Total Ambos Sexos.</v>
      </c>
      <c r="DF90"/>
      <c r="DH90" s="1725" t="e">
        <f t="shared" si="139"/>
        <v>#VALUE!</v>
      </c>
      <c r="DI90" s="1725">
        <f t="shared" si="140"/>
        <v>1</v>
      </c>
      <c r="DJ90" s="1725">
        <f t="shared" si="141"/>
        <v>1</v>
      </c>
      <c r="DK90" s="1725" t="e">
        <f t="shared" si="142"/>
        <v>#VALUE!</v>
      </c>
      <c r="DL90" s="1725">
        <f t="shared" si="143"/>
        <v>1</v>
      </c>
      <c r="DM90" s="1725">
        <f t="shared" si="144"/>
        <v>1</v>
      </c>
      <c r="DN90" s="1725">
        <f t="shared" si="145"/>
        <v>1</v>
      </c>
      <c r="DO90" s="1725">
        <f t="shared" si="146"/>
        <v>1</v>
      </c>
    </row>
    <row r="91" spans="1:119" ht="15" customHeight="1" x14ac:dyDescent="0.3">
      <c r="A91" s="6269" t="s">
        <v>4973</v>
      </c>
      <c r="B91" s="7381" t="s">
        <v>774</v>
      </c>
      <c r="C91" s="7382"/>
      <c r="D91" s="7383"/>
      <c r="E91" s="635" t="s">
        <v>5292</v>
      </c>
      <c r="F91" s="785" t="s">
        <v>5293</v>
      </c>
      <c r="G91" s="786" t="s">
        <v>5294</v>
      </c>
      <c r="H91" s="616" t="s">
        <v>5295</v>
      </c>
      <c r="I91" s="587" t="s">
        <v>5296</v>
      </c>
      <c r="J91" s="586" t="s">
        <v>5297</v>
      </c>
      <c r="K91" s="839" t="s">
        <v>5298</v>
      </c>
      <c r="L91" s="586" t="s">
        <v>5299</v>
      </c>
      <c r="M91" s="626" t="s">
        <v>5300</v>
      </c>
      <c r="N91" s="616" t="s">
        <v>5301</v>
      </c>
      <c r="O91" s="626" t="s">
        <v>5302</v>
      </c>
      <c r="P91" s="623" t="s">
        <v>5303</v>
      </c>
      <c r="Q91" s="626" t="s">
        <v>5304</v>
      </c>
      <c r="R91" s="623" t="s">
        <v>5305</v>
      </c>
      <c r="S91" s="626" t="s">
        <v>5306</v>
      </c>
      <c r="T91" s="623" t="s">
        <v>5307</v>
      </c>
      <c r="U91" s="626" t="s">
        <v>5308</v>
      </c>
      <c r="V91" s="623" t="s">
        <v>5309</v>
      </c>
      <c r="W91" s="626" t="s">
        <v>5310</v>
      </c>
      <c r="X91" s="623" t="s">
        <v>5311</v>
      </c>
      <c r="Y91" s="626" t="s">
        <v>5312</v>
      </c>
      <c r="Z91" s="623" t="s">
        <v>5313</v>
      </c>
      <c r="AA91" s="626" t="s">
        <v>5314</v>
      </c>
      <c r="AB91" s="623" t="s">
        <v>5315</v>
      </c>
      <c r="AC91" s="626" t="s">
        <v>5316</v>
      </c>
      <c r="AD91" s="623" t="s">
        <v>5317</v>
      </c>
      <c r="AE91" s="626" t="s">
        <v>5318</v>
      </c>
      <c r="AF91" s="623" t="s">
        <v>5319</v>
      </c>
      <c r="AG91" s="626" t="s">
        <v>5320</v>
      </c>
      <c r="AH91" s="623" t="s">
        <v>5321</v>
      </c>
      <c r="AI91" s="626" t="s">
        <v>5322</v>
      </c>
      <c r="AJ91" s="623" t="s">
        <v>5323</v>
      </c>
      <c r="AK91" s="626" t="s">
        <v>5324</v>
      </c>
      <c r="AL91" s="623" t="s">
        <v>5325</v>
      </c>
      <c r="AM91" s="626" t="s">
        <v>5326</v>
      </c>
      <c r="AN91" s="623" t="s">
        <v>5327</v>
      </c>
      <c r="AO91" s="624" t="s">
        <v>5328</v>
      </c>
      <c r="AP91" s="83" t="s">
        <v>5329</v>
      </c>
      <c r="AQ91" s="105" t="s">
        <v>5330</v>
      </c>
      <c r="AR91" s="784" t="s">
        <v>5331</v>
      </c>
      <c r="AS91" s="784" t="s">
        <v>5332</v>
      </c>
      <c r="AT91" s="784" t="s">
        <v>5333</v>
      </c>
      <c r="AU91" s="105" t="s">
        <v>5334</v>
      </c>
      <c r="AV91" s="105" t="s">
        <v>5335</v>
      </c>
      <c r="AW91" s="105" t="s">
        <v>5336</v>
      </c>
      <c r="AX91" s="105" t="s">
        <v>5337</v>
      </c>
      <c r="AY91" t="e">
        <f t="shared" si="130"/>
        <v>#VALUE!</v>
      </c>
      <c r="CX91" s="1723" t="e">
        <f t="shared" si="131"/>
        <v>#VALUE!</v>
      </c>
      <c r="CY91" s="1723" t="str">
        <f t="shared" si="132"/>
        <v xml:space="preserve"> * Las embarazadas no pueden ser mayor al Total Mujeres.</v>
      </c>
      <c r="CZ91" s="1723" t="str">
        <f t="shared" si="133"/>
        <v xml:space="preserve"> * Los beneficiarios no pueden ser mayor al Total Ambos Sexos.</v>
      </c>
      <c r="DA91" s="1723" t="e">
        <f t="shared" si="134"/>
        <v>#VALUE!</v>
      </c>
      <c r="DB91" s="1723" t="str">
        <f t="shared" si="135"/>
        <v xml:space="preserve"> * La variable Usuarios con discapacidad No puede ser mayor al Total Ambos Sexos.</v>
      </c>
      <c r="DC91" s="1723" t="str">
        <f t="shared" si="136"/>
        <v xml:space="preserve"> * La variable Niños, niñas, adolescentes y jóvenes SENAME No puede ser mayor al Total Ambos Sexos.</v>
      </c>
      <c r="DD91" s="1723" t="str">
        <f t="shared" si="137"/>
        <v xml:space="preserve"> * La variable Niños, niñas, adolescentes y jóvenes Mejor Niñez No puede ser mayor al Total Ambos Sexos.</v>
      </c>
      <c r="DE91" s="1723" t="str">
        <f t="shared" si="138"/>
        <v xml:space="preserve"> * La variable Migrantes No puede ser mayor al Total Ambos Sexos.</v>
      </c>
      <c r="DF91"/>
      <c r="DH91" s="1725" t="e">
        <f t="shared" si="139"/>
        <v>#VALUE!</v>
      </c>
      <c r="DI91" s="1725">
        <f t="shared" si="140"/>
        <v>1</v>
      </c>
      <c r="DJ91" s="1725">
        <f t="shared" si="141"/>
        <v>1</v>
      </c>
      <c r="DK91" s="1725" t="e">
        <f t="shared" si="142"/>
        <v>#VALUE!</v>
      </c>
      <c r="DL91" s="1725">
        <f t="shared" si="143"/>
        <v>1</v>
      </c>
      <c r="DM91" s="1725">
        <f t="shared" si="144"/>
        <v>1</v>
      </c>
      <c r="DN91" s="1725">
        <f t="shared" si="145"/>
        <v>1</v>
      </c>
      <c r="DO91" s="1725">
        <f t="shared" si="146"/>
        <v>1</v>
      </c>
    </row>
    <row r="92" spans="1:119" ht="15" customHeight="1" x14ac:dyDescent="0.3">
      <c r="A92" s="6269" t="s">
        <v>4974</v>
      </c>
      <c r="B92" s="7381" t="s">
        <v>775</v>
      </c>
      <c r="C92" s="7382"/>
      <c r="D92" s="7383"/>
      <c r="E92" s="635" t="s">
        <v>5292</v>
      </c>
      <c r="F92" s="785" t="s">
        <v>5293</v>
      </c>
      <c r="G92" s="786" t="s">
        <v>5294</v>
      </c>
      <c r="H92" s="616" t="s">
        <v>5295</v>
      </c>
      <c r="I92" s="587" t="s">
        <v>5296</v>
      </c>
      <c r="J92" s="586" t="s">
        <v>5297</v>
      </c>
      <c r="K92" s="839" t="s">
        <v>5298</v>
      </c>
      <c r="L92" s="586" t="s">
        <v>5299</v>
      </c>
      <c r="M92" s="626" t="s">
        <v>5300</v>
      </c>
      <c r="N92" s="616" t="s">
        <v>5301</v>
      </c>
      <c r="O92" s="626" t="s">
        <v>5302</v>
      </c>
      <c r="P92" s="623" t="s">
        <v>5303</v>
      </c>
      <c r="Q92" s="626" t="s">
        <v>5304</v>
      </c>
      <c r="R92" s="623" t="s">
        <v>5305</v>
      </c>
      <c r="S92" s="626" t="s">
        <v>5306</v>
      </c>
      <c r="T92" s="623" t="s">
        <v>5307</v>
      </c>
      <c r="U92" s="626" t="s">
        <v>5308</v>
      </c>
      <c r="V92" s="623" t="s">
        <v>5309</v>
      </c>
      <c r="W92" s="626" t="s">
        <v>5310</v>
      </c>
      <c r="X92" s="623" t="s">
        <v>5311</v>
      </c>
      <c r="Y92" s="626" t="s">
        <v>5312</v>
      </c>
      <c r="Z92" s="623" t="s">
        <v>5313</v>
      </c>
      <c r="AA92" s="626" t="s">
        <v>5314</v>
      </c>
      <c r="AB92" s="623" t="s">
        <v>5315</v>
      </c>
      <c r="AC92" s="626" t="s">
        <v>5316</v>
      </c>
      <c r="AD92" s="623" t="s">
        <v>5317</v>
      </c>
      <c r="AE92" s="626" t="s">
        <v>5318</v>
      </c>
      <c r="AF92" s="623" t="s">
        <v>5319</v>
      </c>
      <c r="AG92" s="626" t="s">
        <v>5320</v>
      </c>
      <c r="AH92" s="623" t="s">
        <v>5321</v>
      </c>
      <c r="AI92" s="626" t="s">
        <v>5322</v>
      </c>
      <c r="AJ92" s="623" t="s">
        <v>5323</v>
      </c>
      <c r="AK92" s="626" t="s">
        <v>5324</v>
      </c>
      <c r="AL92" s="623" t="s">
        <v>5325</v>
      </c>
      <c r="AM92" s="626" t="s">
        <v>5326</v>
      </c>
      <c r="AN92" s="623" t="s">
        <v>5327</v>
      </c>
      <c r="AO92" s="624" t="s">
        <v>5328</v>
      </c>
      <c r="AP92" s="83" t="s">
        <v>5329</v>
      </c>
      <c r="AQ92" s="105" t="s">
        <v>5330</v>
      </c>
      <c r="AR92" s="784" t="s">
        <v>5331</v>
      </c>
      <c r="AS92" s="784" t="s">
        <v>5332</v>
      </c>
      <c r="AT92" s="784" t="s">
        <v>5333</v>
      </c>
      <c r="AU92" s="105" t="s">
        <v>5334</v>
      </c>
      <c r="AV92" s="105" t="s">
        <v>5335</v>
      </c>
      <c r="AW92" s="105" t="s">
        <v>5336</v>
      </c>
      <c r="AX92" s="105" t="s">
        <v>5337</v>
      </c>
      <c r="AY92" t="e">
        <f t="shared" si="130"/>
        <v>#VALUE!</v>
      </c>
      <c r="CX92" s="1723" t="e">
        <f t="shared" si="131"/>
        <v>#VALUE!</v>
      </c>
      <c r="CY92" s="1723" t="str">
        <f t="shared" si="132"/>
        <v xml:space="preserve"> * Las embarazadas no pueden ser mayor al Total Mujeres.</v>
      </c>
      <c r="CZ92" s="1723" t="str">
        <f t="shared" si="133"/>
        <v xml:space="preserve"> * Los beneficiarios no pueden ser mayor al Total Ambos Sexos.</v>
      </c>
      <c r="DA92" s="1723" t="e">
        <f t="shared" si="134"/>
        <v>#VALUE!</v>
      </c>
      <c r="DB92" s="1723" t="str">
        <f t="shared" si="135"/>
        <v xml:space="preserve"> * La variable Usuarios con discapacidad No puede ser mayor al Total Ambos Sexos.</v>
      </c>
      <c r="DC92" s="1723" t="str">
        <f t="shared" si="136"/>
        <v xml:space="preserve"> * La variable Niños, niñas, adolescentes y jóvenes SENAME No puede ser mayor al Total Ambos Sexos.</v>
      </c>
      <c r="DD92" s="1723" t="str">
        <f t="shared" si="137"/>
        <v xml:space="preserve"> * La variable Niños, niñas, adolescentes y jóvenes Mejor Niñez No puede ser mayor al Total Ambos Sexos.</v>
      </c>
      <c r="DE92" s="1723" t="str">
        <f t="shared" si="138"/>
        <v xml:space="preserve"> * La variable Migrantes No puede ser mayor al Total Ambos Sexos.</v>
      </c>
      <c r="DF92"/>
      <c r="DH92" s="1725" t="e">
        <f t="shared" si="139"/>
        <v>#VALUE!</v>
      </c>
      <c r="DI92" s="1725">
        <f t="shared" si="140"/>
        <v>1</v>
      </c>
      <c r="DJ92" s="1725">
        <f t="shared" si="141"/>
        <v>1</v>
      </c>
      <c r="DK92" s="1725" t="e">
        <f t="shared" si="142"/>
        <v>#VALUE!</v>
      </c>
      <c r="DL92" s="1725">
        <f t="shared" si="143"/>
        <v>1</v>
      </c>
      <c r="DM92" s="1725">
        <f t="shared" si="144"/>
        <v>1</v>
      </c>
      <c r="DN92" s="1725">
        <f t="shared" si="145"/>
        <v>1</v>
      </c>
      <c r="DO92" s="1725">
        <f t="shared" si="146"/>
        <v>1</v>
      </c>
    </row>
    <row r="93" spans="1:119" ht="15" customHeight="1" x14ac:dyDescent="0.3">
      <c r="A93" s="6269" t="s">
        <v>4975</v>
      </c>
      <c r="B93" s="7381" t="s">
        <v>776</v>
      </c>
      <c r="C93" s="7382"/>
      <c r="D93" s="7383"/>
      <c r="E93" s="635" t="s">
        <v>5292</v>
      </c>
      <c r="F93" s="785" t="s">
        <v>5293</v>
      </c>
      <c r="G93" s="786" t="s">
        <v>5294</v>
      </c>
      <c r="H93" s="840" t="s">
        <v>5295</v>
      </c>
      <c r="I93" s="841" t="s">
        <v>5296</v>
      </c>
      <c r="J93" s="840" t="s">
        <v>5297</v>
      </c>
      <c r="K93" s="842" t="s">
        <v>5298</v>
      </c>
      <c r="L93" s="840" t="s">
        <v>5299</v>
      </c>
      <c r="M93" s="841" t="s">
        <v>5300</v>
      </c>
      <c r="N93" s="840" t="s">
        <v>5301</v>
      </c>
      <c r="O93" s="841" t="s">
        <v>5302</v>
      </c>
      <c r="P93" s="627" t="s">
        <v>5303</v>
      </c>
      <c r="Q93" s="841" t="s">
        <v>5304</v>
      </c>
      <c r="R93" s="627" t="s">
        <v>5305</v>
      </c>
      <c r="S93" s="841" t="s">
        <v>5306</v>
      </c>
      <c r="T93" s="627" t="s">
        <v>5307</v>
      </c>
      <c r="U93" s="841" t="s">
        <v>5308</v>
      </c>
      <c r="V93" s="627" t="s">
        <v>5309</v>
      </c>
      <c r="W93" s="841" t="s">
        <v>5310</v>
      </c>
      <c r="X93" s="627" t="s">
        <v>5311</v>
      </c>
      <c r="Y93" s="841" t="s">
        <v>5312</v>
      </c>
      <c r="Z93" s="623" t="s">
        <v>5313</v>
      </c>
      <c r="AA93" s="626" t="s">
        <v>5314</v>
      </c>
      <c r="AB93" s="623" t="s">
        <v>5315</v>
      </c>
      <c r="AC93" s="626" t="s">
        <v>5316</v>
      </c>
      <c r="AD93" s="623" t="s">
        <v>5317</v>
      </c>
      <c r="AE93" s="626" t="s">
        <v>5318</v>
      </c>
      <c r="AF93" s="623" t="s">
        <v>5319</v>
      </c>
      <c r="AG93" s="626" t="s">
        <v>5320</v>
      </c>
      <c r="AH93" s="623" t="s">
        <v>5321</v>
      </c>
      <c r="AI93" s="626" t="s">
        <v>5322</v>
      </c>
      <c r="AJ93" s="623" t="s">
        <v>5323</v>
      </c>
      <c r="AK93" s="626" t="s">
        <v>5324</v>
      </c>
      <c r="AL93" s="623" t="s">
        <v>5325</v>
      </c>
      <c r="AM93" s="626" t="s">
        <v>5326</v>
      </c>
      <c r="AN93" s="623" t="s">
        <v>5327</v>
      </c>
      <c r="AO93" s="624" t="s">
        <v>5328</v>
      </c>
      <c r="AP93" s="843" t="s">
        <v>5329</v>
      </c>
      <c r="AQ93" s="105" t="s">
        <v>5330</v>
      </c>
      <c r="AR93" s="784" t="s">
        <v>5331</v>
      </c>
      <c r="AS93" s="784" t="s">
        <v>5332</v>
      </c>
      <c r="AT93" s="784" t="s">
        <v>5333</v>
      </c>
      <c r="AU93" s="105" t="s">
        <v>5334</v>
      </c>
      <c r="AV93" s="105" t="s">
        <v>5335</v>
      </c>
      <c r="AW93" s="105" t="s">
        <v>5336</v>
      </c>
      <c r="AX93" s="105" t="s">
        <v>5337</v>
      </c>
      <c r="AY93" t="e">
        <f t="shared" si="130"/>
        <v>#VALUE!</v>
      </c>
      <c r="CX93" s="4788"/>
      <c r="CY93" s="1723" t="str">
        <f t="shared" si="132"/>
        <v xml:space="preserve"> * Las embarazadas no pueden ser mayor al Total Mujeres.</v>
      </c>
      <c r="CZ93" s="1723" t="str">
        <f t="shared" si="133"/>
        <v xml:space="preserve"> * Los beneficiarios no pueden ser mayor al Total Ambos Sexos.</v>
      </c>
      <c r="DA93" s="1723" t="e">
        <f t="shared" si="134"/>
        <v>#VALUE!</v>
      </c>
      <c r="DB93" s="1723" t="str">
        <f t="shared" si="135"/>
        <v xml:space="preserve"> * La variable Usuarios con discapacidad No puede ser mayor al Total Ambos Sexos.</v>
      </c>
      <c r="DC93" s="1723" t="str">
        <f t="shared" si="136"/>
        <v xml:space="preserve"> * La variable Niños, niñas, adolescentes y jóvenes SENAME No puede ser mayor al Total Ambos Sexos.</v>
      </c>
      <c r="DD93" s="1723" t="str">
        <f t="shared" si="137"/>
        <v xml:space="preserve"> * La variable Niños, niñas, adolescentes y jóvenes Mejor Niñez No puede ser mayor al Total Ambos Sexos.</v>
      </c>
      <c r="DE93" s="1723" t="str">
        <f t="shared" si="138"/>
        <v xml:space="preserve"> * La variable Migrantes No puede ser mayor al Total Ambos Sexos.</v>
      </c>
      <c r="DF93"/>
      <c r="DH93" s="4788"/>
      <c r="DI93" s="1725">
        <f t="shared" si="140"/>
        <v>1</v>
      </c>
      <c r="DJ93" s="1725">
        <f t="shared" si="141"/>
        <v>1</v>
      </c>
      <c r="DK93" s="1725" t="e">
        <f t="shared" si="142"/>
        <v>#VALUE!</v>
      </c>
      <c r="DL93" s="1725">
        <f t="shared" si="143"/>
        <v>1</v>
      </c>
      <c r="DM93" s="1725">
        <f t="shared" si="144"/>
        <v>1</v>
      </c>
      <c r="DN93" s="1725">
        <f t="shared" si="145"/>
        <v>1</v>
      </c>
      <c r="DO93" s="1725">
        <f t="shared" si="146"/>
        <v>1</v>
      </c>
    </row>
    <row r="94" spans="1:119" ht="15" customHeight="1" x14ac:dyDescent="0.3">
      <c r="A94" s="6269" t="s">
        <v>4976</v>
      </c>
      <c r="B94" s="7387" t="s">
        <v>777</v>
      </c>
      <c r="C94" s="7387"/>
      <c r="D94" s="7387"/>
      <c r="E94" s="635" t="s">
        <v>5292</v>
      </c>
      <c r="F94" s="785" t="s">
        <v>5293</v>
      </c>
      <c r="G94" s="786" t="s">
        <v>5294</v>
      </c>
      <c r="H94" s="616" t="s">
        <v>5295</v>
      </c>
      <c r="I94" s="626" t="s">
        <v>5296</v>
      </c>
      <c r="J94" s="616" t="s">
        <v>5297</v>
      </c>
      <c r="K94" s="791" t="s">
        <v>5298</v>
      </c>
      <c r="L94" s="616" t="s">
        <v>5299</v>
      </c>
      <c r="M94" s="626" t="s">
        <v>5300</v>
      </c>
      <c r="N94" s="616" t="s">
        <v>5301</v>
      </c>
      <c r="O94" s="626" t="s">
        <v>5302</v>
      </c>
      <c r="P94" s="623" t="s">
        <v>5303</v>
      </c>
      <c r="Q94" s="626" t="s">
        <v>5304</v>
      </c>
      <c r="R94" s="623" t="s">
        <v>5305</v>
      </c>
      <c r="S94" s="626" t="s">
        <v>5306</v>
      </c>
      <c r="T94" s="623" t="s">
        <v>5307</v>
      </c>
      <c r="U94" s="626" t="s">
        <v>5308</v>
      </c>
      <c r="V94" s="623" t="s">
        <v>5309</v>
      </c>
      <c r="W94" s="626" t="s">
        <v>5310</v>
      </c>
      <c r="X94" s="623" t="s">
        <v>5311</v>
      </c>
      <c r="Y94" s="626" t="s">
        <v>5312</v>
      </c>
      <c r="Z94" s="623" t="s">
        <v>5313</v>
      </c>
      <c r="AA94" s="626" t="s">
        <v>5314</v>
      </c>
      <c r="AB94" s="623" t="s">
        <v>5315</v>
      </c>
      <c r="AC94" s="626" t="s">
        <v>5316</v>
      </c>
      <c r="AD94" s="623" t="s">
        <v>5317</v>
      </c>
      <c r="AE94" s="626" t="s">
        <v>5318</v>
      </c>
      <c r="AF94" s="623" t="s">
        <v>5319</v>
      </c>
      <c r="AG94" s="626" t="s">
        <v>5320</v>
      </c>
      <c r="AH94" s="623" t="s">
        <v>5321</v>
      </c>
      <c r="AI94" s="626" t="s">
        <v>5322</v>
      </c>
      <c r="AJ94" s="623" t="s">
        <v>5323</v>
      </c>
      <c r="AK94" s="626" t="s">
        <v>5324</v>
      </c>
      <c r="AL94" s="623" t="s">
        <v>5325</v>
      </c>
      <c r="AM94" s="626" t="s">
        <v>5326</v>
      </c>
      <c r="AN94" s="623" t="s">
        <v>5327</v>
      </c>
      <c r="AO94" s="624" t="s">
        <v>5328</v>
      </c>
      <c r="AP94" s="83" t="s">
        <v>5329</v>
      </c>
      <c r="AQ94" s="83" t="s">
        <v>5330</v>
      </c>
      <c r="AR94" s="644" t="s">
        <v>5331</v>
      </c>
      <c r="AS94" s="644" t="s">
        <v>5332</v>
      </c>
      <c r="AT94" s="644" t="s">
        <v>5333</v>
      </c>
      <c r="AU94" s="83" t="s">
        <v>5334</v>
      </c>
      <c r="AV94" s="83" t="s">
        <v>5335</v>
      </c>
      <c r="AW94" s="83" t="s">
        <v>5336</v>
      </c>
      <c r="AX94" s="83" t="s">
        <v>5337</v>
      </c>
      <c r="AY94" t="e">
        <f t="shared" si="130"/>
        <v>#VALUE!</v>
      </c>
      <c r="CX94" s="1723" t="e">
        <f t="shared" si="131"/>
        <v>#VALUE!</v>
      </c>
      <c r="CY94" s="1723" t="str">
        <f t="shared" si="132"/>
        <v xml:space="preserve"> * Las embarazadas no pueden ser mayor al Total Mujeres.</v>
      </c>
      <c r="CZ94" s="1723" t="str">
        <f t="shared" si="133"/>
        <v xml:space="preserve"> * Los beneficiarios no pueden ser mayor al Total Ambos Sexos.</v>
      </c>
      <c r="DA94" s="1723" t="e">
        <f t="shared" si="134"/>
        <v>#VALUE!</v>
      </c>
      <c r="DB94" s="1723" t="str">
        <f t="shared" si="135"/>
        <v xml:space="preserve"> * La variable Usuarios con discapacidad No puede ser mayor al Total Ambos Sexos.</v>
      </c>
      <c r="DC94" s="1723" t="str">
        <f t="shared" si="136"/>
        <v xml:space="preserve"> * La variable Niños, niñas, adolescentes y jóvenes SENAME No puede ser mayor al Total Ambos Sexos.</v>
      </c>
      <c r="DD94" s="1723" t="str">
        <f t="shared" si="137"/>
        <v xml:space="preserve"> * La variable Niños, niñas, adolescentes y jóvenes Mejor Niñez No puede ser mayor al Total Ambos Sexos.</v>
      </c>
      <c r="DE94" s="1723" t="str">
        <f t="shared" si="138"/>
        <v xml:space="preserve"> * La variable Migrantes No puede ser mayor al Total Ambos Sexos.</v>
      </c>
      <c r="DF94"/>
      <c r="DH94" s="1725" t="e">
        <f t="shared" ref="DH94:DH96" si="147">IF(AND((X94+Y94)&gt;0,AP94=""),1,IF(AP94&gt;(X94+Y94),1,0))</f>
        <v>#VALUE!</v>
      </c>
      <c r="DI94" s="1725">
        <f t="shared" si="140"/>
        <v>1</v>
      </c>
      <c r="DJ94" s="1725">
        <f t="shared" si="141"/>
        <v>1</v>
      </c>
      <c r="DK94" s="1725" t="e">
        <f t="shared" si="142"/>
        <v>#VALUE!</v>
      </c>
      <c r="DL94" s="1725">
        <f t="shared" si="143"/>
        <v>1</v>
      </c>
      <c r="DM94" s="1725">
        <f t="shared" si="144"/>
        <v>1</v>
      </c>
      <c r="DN94" s="1725">
        <f t="shared" si="145"/>
        <v>1</v>
      </c>
      <c r="DO94" s="1725">
        <f t="shared" si="146"/>
        <v>1</v>
      </c>
    </row>
    <row r="95" spans="1:119" ht="15" customHeight="1" x14ac:dyDescent="0.3">
      <c r="A95" s="6269" t="s">
        <v>4977</v>
      </c>
      <c r="B95" s="7388" t="s">
        <v>778</v>
      </c>
      <c r="C95" s="7388"/>
      <c r="D95" s="7388"/>
      <c r="E95" s="635" t="s">
        <v>5292</v>
      </c>
      <c r="F95" s="785" t="s">
        <v>5293</v>
      </c>
      <c r="G95" s="786" t="s">
        <v>5294</v>
      </c>
      <c r="H95" s="616" t="s">
        <v>5295</v>
      </c>
      <c r="I95" s="626" t="s">
        <v>5296</v>
      </c>
      <c r="J95" s="616" t="s">
        <v>5297</v>
      </c>
      <c r="K95" s="791" t="s">
        <v>5298</v>
      </c>
      <c r="L95" s="616" t="s">
        <v>5299</v>
      </c>
      <c r="M95" s="626" t="s">
        <v>5300</v>
      </c>
      <c r="N95" s="616" t="s">
        <v>5301</v>
      </c>
      <c r="O95" s="626" t="s">
        <v>5302</v>
      </c>
      <c r="P95" s="623" t="s">
        <v>5303</v>
      </c>
      <c r="Q95" s="626" t="s">
        <v>5304</v>
      </c>
      <c r="R95" s="623" t="s">
        <v>5305</v>
      </c>
      <c r="S95" s="626" t="s">
        <v>5306</v>
      </c>
      <c r="T95" s="623" t="s">
        <v>5307</v>
      </c>
      <c r="U95" s="626" t="s">
        <v>5308</v>
      </c>
      <c r="V95" s="623" t="s">
        <v>5309</v>
      </c>
      <c r="W95" s="626" t="s">
        <v>5310</v>
      </c>
      <c r="X95" s="623" t="s">
        <v>5311</v>
      </c>
      <c r="Y95" s="626" t="s">
        <v>5312</v>
      </c>
      <c r="Z95" s="623" t="s">
        <v>5313</v>
      </c>
      <c r="AA95" s="626" t="s">
        <v>5314</v>
      </c>
      <c r="AB95" s="623" t="s">
        <v>5315</v>
      </c>
      <c r="AC95" s="626" t="s">
        <v>5316</v>
      </c>
      <c r="AD95" s="623" t="s">
        <v>5317</v>
      </c>
      <c r="AE95" s="626" t="s">
        <v>5318</v>
      </c>
      <c r="AF95" s="623" t="s">
        <v>5319</v>
      </c>
      <c r="AG95" s="626" t="s">
        <v>5320</v>
      </c>
      <c r="AH95" s="623" t="s">
        <v>5321</v>
      </c>
      <c r="AI95" s="626" t="s">
        <v>5322</v>
      </c>
      <c r="AJ95" s="623" t="s">
        <v>5323</v>
      </c>
      <c r="AK95" s="626" t="s">
        <v>5324</v>
      </c>
      <c r="AL95" s="623" t="s">
        <v>5325</v>
      </c>
      <c r="AM95" s="626" t="s">
        <v>5326</v>
      </c>
      <c r="AN95" s="623" t="s">
        <v>5327</v>
      </c>
      <c r="AO95" s="624" t="s">
        <v>5328</v>
      </c>
      <c r="AP95" s="83" t="s">
        <v>5329</v>
      </c>
      <c r="AQ95" s="83" t="s">
        <v>5330</v>
      </c>
      <c r="AR95" s="644" t="s">
        <v>5331</v>
      </c>
      <c r="AS95" s="644" t="s">
        <v>5332</v>
      </c>
      <c r="AT95" s="644" t="s">
        <v>5333</v>
      </c>
      <c r="AU95" s="83" t="s">
        <v>5334</v>
      </c>
      <c r="AV95" s="83" t="s">
        <v>5335</v>
      </c>
      <c r="AW95" s="83" t="s">
        <v>5336</v>
      </c>
      <c r="AX95" s="83" t="s">
        <v>5337</v>
      </c>
      <c r="AY95" t="e">
        <f t="shared" si="130"/>
        <v>#VALUE!</v>
      </c>
      <c r="CX95" s="1723" t="e">
        <f t="shared" si="131"/>
        <v>#VALUE!</v>
      </c>
      <c r="CY95" s="1723" t="str">
        <f t="shared" si="132"/>
        <v xml:space="preserve"> * Las embarazadas no pueden ser mayor al Total Mujeres.</v>
      </c>
      <c r="CZ95" s="1723" t="str">
        <f t="shared" si="133"/>
        <v xml:space="preserve"> * Los beneficiarios no pueden ser mayor al Total Ambos Sexos.</v>
      </c>
      <c r="DA95" s="1723" t="e">
        <f t="shared" si="134"/>
        <v>#VALUE!</v>
      </c>
      <c r="DB95" s="1723" t="str">
        <f t="shared" si="135"/>
        <v xml:space="preserve"> * La variable Usuarios con discapacidad No puede ser mayor al Total Ambos Sexos.</v>
      </c>
      <c r="DC95" s="1723" t="str">
        <f t="shared" si="136"/>
        <v xml:space="preserve"> * La variable Niños, niñas, adolescentes y jóvenes SENAME No puede ser mayor al Total Ambos Sexos.</v>
      </c>
      <c r="DD95" s="1723" t="str">
        <f t="shared" si="137"/>
        <v xml:space="preserve"> * La variable Niños, niñas, adolescentes y jóvenes Mejor Niñez No puede ser mayor al Total Ambos Sexos.</v>
      </c>
      <c r="DE95" s="1723" t="str">
        <f t="shared" si="138"/>
        <v xml:space="preserve"> * La variable Migrantes No puede ser mayor al Total Ambos Sexos.</v>
      </c>
      <c r="DF95"/>
      <c r="DH95" s="1725" t="e">
        <f t="shared" si="147"/>
        <v>#VALUE!</v>
      </c>
      <c r="DI95" s="1725">
        <f t="shared" si="140"/>
        <v>1</v>
      </c>
      <c r="DJ95" s="1725">
        <f t="shared" si="141"/>
        <v>1</v>
      </c>
      <c r="DK95" s="1725" t="e">
        <f t="shared" si="142"/>
        <v>#VALUE!</v>
      </c>
      <c r="DL95" s="1725">
        <f t="shared" si="143"/>
        <v>1</v>
      </c>
      <c r="DM95" s="1725">
        <f t="shared" si="144"/>
        <v>1</v>
      </c>
      <c r="DN95" s="1725">
        <f t="shared" si="145"/>
        <v>1</v>
      </c>
      <c r="DO95" s="1725">
        <f t="shared" si="146"/>
        <v>1</v>
      </c>
    </row>
    <row r="96" spans="1:119" ht="15" customHeight="1" x14ac:dyDescent="0.3">
      <c r="A96" s="6269" t="s">
        <v>4978</v>
      </c>
      <c r="B96" s="7327" t="s">
        <v>779</v>
      </c>
      <c r="C96" s="7328"/>
      <c r="D96" s="7254"/>
      <c r="E96" s="635" t="s">
        <v>5292</v>
      </c>
      <c r="F96" s="785" t="s">
        <v>5293</v>
      </c>
      <c r="G96" s="786" t="s">
        <v>5294</v>
      </c>
      <c r="H96" s="616" t="s">
        <v>5295</v>
      </c>
      <c r="I96" s="587" t="s">
        <v>5296</v>
      </c>
      <c r="J96" s="586" t="s">
        <v>5297</v>
      </c>
      <c r="K96" s="839" t="s">
        <v>5298</v>
      </c>
      <c r="L96" s="586" t="s">
        <v>5299</v>
      </c>
      <c r="M96" s="626" t="s">
        <v>5300</v>
      </c>
      <c r="N96" s="616" t="s">
        <v>5301</v>
      </c>
      <c r="O96" s="626" t="s">
        <v>5302</v>
      </c>
      <c r="P96" s="623" t="s">
        <v>5303</v>
      </c>
      <c r="Q96" s="626" t="s">
        <v>5304</v>
      </c>
      <c r="R96" s="623" t="s">
        <v>5305</v>
      </c>
      <c r="S96" s="626" t="s">
        <v>5306</v>
      </c>
      <c r="T96" s="623" t="s">
        <v>5307</v>
      </c>
      <c r="U96" s="626" t="s">
        <v>5308</v>
      </c>
      <c r="V96" s="623" t="s">
        <v>5309</v>
      </c>
      <c r="W96" s="626" t="s">
        <v>5310</v>
      </c>
      <c r="X96" s="623" t="s">
        <v>5311</v>
      </c>
      <c r="Y96" s="626" t="s">
        <v>5312</v>
      </c>
      <c r="Z96" s="623" t="s">
        <v>5313</v>
      </c>
      <c r="AA96" s="626" t="s">
        <v>5314</v>
      </c>
      <c r="AB96" s="623" t="s">
        <v>5315</v>
      </c>
      <c r="AC96" s="626" t="s">
        <v>5316</v>
      </c>
      <c r="AD96" s="623" t="s">
        <v>5317</v>
      </c>
      <c r="AE96" s="626" t="s">
        <v>5318</v>
      </c>
      <c r="AF96" s="623" t="s">
        <v>5319</v>
      </c>
      <c r="AG96" s="626" t="s">
        <v>5320</v>
      </c>
      <c r="AH96" s="623" t="s">
        <v>5321</v>
      </c>
      <c r="AI96" s="626" t="s">
        <v>5322</v>
      </c>
      <c r="AJ96" s="623" t="s">
        <v>5323</v>
      </c>
      <c r="AK96" s="626" t="s">
        <v>5324</v>
      </c>
      <c r="AL96" s="623" t="s">
        <v>5325</v>
      </c>
      <c r="AM96" s="626" t="s">
        <v>5326</v>
      </c>
      <c r="AN96" s="623" t="s">
        <v>5327</v>
      </c>
      <c r="AO96" s="624" t="s">
        <v>5328</v>
      </c>
      <c r="AP96" s="83" t="s">
        <v>5329</v>
      </c>
      <c r="AQ96" s="105" t="s">
        <v>5330</v>
      </c>
      <c r="AR96" s="784" t="s">
        <v>5331</v>
      </c>
      <c r="AS96" s="784" t="s">
        <v>5332</v>
      </c>
      <c r="AT96" s="784" t="s">
        <v>5333</v>
      </c>
      <c r="AU96" s="105" t="s">
        <v>5334</v>
      </c>
      <c r="AV96" s="105" t="s">
        <v>5335</v>
      </c>
      <c r="AW96" s="105" t="s">
        <v>5336</v>
      </c>
      <c r="AX96" s="105" t="s">
        <v>5337</v>
      </c>
      <c r="AY96" t="e">
        <f t="shared" si="130"/>
        <v>#VALUE!</v>
      </c>
      <c r="CX96" s="1723" t="e">
        <f t="shared" si="131"/>
        <v>#VALUE!</v>
      </c>
      <c r="CY96" s="1723" t="str">
        <f t="shared" si="132"/>
        <v xml:space="preserve"> * Las embarazadas no pueden ser mayor al Total Mujeres.</v>
      </c>
      <c r="CZ96" s="1723" t="str">
        <f t="shared" si="133"/>
        <v xml:space="preserve"> * Los beneficiarios no pueden ser mayor al Total Ambos Sexos.</v>
      </c>
      <c r="DA96" s="1723" t="e">
        <f t="shared" si="134"/>
        <v>#VALUE!</v>
      </c>
      <c r="DB96" s="1723" t="str">
        <f t="shared" si="135"/>
        <v xml:space="preserve"> * La variable Usuarios con discapacidad No puede ser mayor al Total Ambos Sexos.</v>
      </c>
      <c r="DC96" s="1723" t="str">
        <f t="shared" si="136"/>
        <v xml:space="preserve"> * La variable Niños, niñas, adolescentes y jóvenes SENAME No puede ser mayor al Total Ambos Sexos.</v>
      </c>
      <c r="DD96" s="1723" t="str">
        <f t="shared" si="137"/>
        <v xml:space="preserve"> * La variable Niños, niñas, adolescentes y jóvenes Mejor Niñez No puede ser mayor al Total Ambos Sexos.</v>
      </c>
      <c r="DE96" s="1723" t="str">
        <f t="shared" si="138"/>
        <v xml:space="preserve"> * La variable Migrantes No puede ser mayor al Total Ambos Sexos.</v>
      </c>
      <c r="DF96"/>
      <c r="DH96" s="1725" t="e">
        <f t="shared" si="147"/>
        <v>#VALUE!</v>
      </c>
      <c r="DI96" s="1725">
        <f t="shared" si="140"/>
        <v>1</v>
      </c>
      <c r="DJ96" s="1725">
        <f t="shared" si="141"/>
        <v>1</v>
      </c>
      <c r="DK96" s="1725" t="e">
        <f t="shared" si="142"/>
        <v>#VALUE!</v>
      </c>
      <c r="DL96" s="1725">
        <f t="shared" si="143"/>
        <v>1</v>
      </c>
      <c r="DM96" s="1725">
        <f t="shared" si="144"/>
        <v>1</v>
      </c>
      <c r="DN96" s="1725">
        <f t="shared" si="145"/>
        <v>1</v>
      </c>
      <c r="DO96" s="1725">
        <f t="shared" si="146"/>
        <v>1</v>
      </c>
    </row>
    <row r="97" spans="1:119" ht="15" customHeight="1" x14ac:dyDescent="0.3">
      <c r="A97" s="6269" t="s">
        <v>4979</v>
      </c>
      <c r="B97" s="7381" t="s">
        <v>780</v>
      </c>
      <c r="C97" s="7382"/>
      <c r="D97" s="7383"/>
      <c r="E97" s="635" t="s">
        <v>5292</v>
      </c>
      <c r="F97" s="785" t="s">
        <v>5293</v>
      </c>
      <c r="G97" s="786" t="s">
        <v>5294</v>
      </c>
      <c r="H97" s="840" t="s">
        <v>5295</v>
      </c>
      <c r="I97" s="841" t="s">
        <v>5296</v>
      </c>
      <c r="J97" s="840" t="s">
        <v>5297</v>
      </c>
      <c r="K97" s="842" t="s">
        <v>5298</v>
      </c>
      <c r="L97" s="840" t="s">
        <v>5299</v>
      </c>
      <c r="M97" s="841" t="s">
        <v>5300</v>
      </c>
      <c r="N97" s="840" t="s">
        <v>5301</v>
      </c>
      <c r="O97" s="841" t="s">
        <v>5302</v>
      </c>
      <c r="P97" s="627" t="s">
        <v>5303</v>
      </c>
      <c r="Q97" s="841" t="s">
        <v>5304</v>
      </c>
      <c r="R97" s="627" t="s">
        <v>5305</v>
      </c>
      <c r="S97" s="841" t="s">
        <v>5306</v>
      </c>
      <c r="T97" s="627" t="s">
        <v>5307</v>
      </c>
      <c r="U97" s="841" t="s">
        <v>5308</v>
      </c>
      <c r="V97" s="627" t="s">
        <v>5309</v>
      </c>
      <c r="W97" s="841" t="s">
        <v>5310</v>
      </c>
      <c r="X97" s="627" t="s">
        <v>5311</v>
      </c>
      <c r="Y97" s="841" t="s">
        <v>5312</v>
      </c>
      <c r="Z97" s="623" t="s">
        <v>5313</v>
      </c>
      <c r="AA97" s="626" t="s">
        <v>5314</v>
      </c>
      <c r="AB97" s="623" t="s">
        <v>5315</v>
      </c>
      <c r="AC97" s="626" t="s">
        <v>5316</v>
      </c>
      <c r="AD97" s="623" t="s">
        <v>5317</v>
      </c>
      <c r="AE97" s="626" t="s">
        <v>5318</v>
      </c>
      <c r="AF97" s="623" t="s">
        <v>5319</v>
      </c>
      <c r="AG97" s="626" t="s">
        <v>5320</v>
      </c>
      <c r="AH97" s="623" t="s">
        <v>5321</v>
      </c>
      <c r="AI97" s="626" t="s">
        <v>5322</v>
      </c>
      <c r="AJ97" s="623" t="s">
        <v>5323</v>
      </c>
      <c r="AK97" s="626" t="s">
        <v>5324</v>
      </c>
      <c r="AL97" s="623" t="s">
        <v>5325</v>
      </c>
      <c r="AM97" s="626" t="s">
        <v>5326</v>
      </c>
      <c r="AN97" s="623" t="s">
        <v>5327</v>
      </c>
      <c r="AO97" s="624" t="s">
        <v>5328</v>
      </c>
      <c r="AP97" s="843" t="s">
        <v>5329</v>
      </c>
      <c r="AQ97" s="105" t="s">
        <v>5330</v>
      </c>
      <c r="AR97" s="784" t="s">
        <v>5331</v>
      </c>
      <c r="AS97" s="784" t="s">
        <v>5332</v>
      </c>
      <c r="AT97" s="784" t="s">
        <v>5333</v>
      </c>
      <c r="AU97" s="105" t="s">
        <v>5334</v>
      </c>
      <c r="AV97" s="105" t="s">
        <v>5335</v>
      </c>
      <c r="AW97" s="105" t="s">
        <v>5336</v>
      </c>
      <c r="AX97" s="105" t="s">
        <v>5337</v>
      </c>
      <c r="AY97" t="e">
        <f t="shared" si="130"/>
        <v>#VALUE!</v>
      </c>
      <c r="CX97" s="4788"/>
      <c r="CY97" s="1723" t="str">
        <f t="shared" si="132"/>
        <v xml:space="preserve"> * Las embarazadas no pueden ser mayor al Total Mujeres.</v>
      </c>
      <c r="CZ97" s="1723" t="str">
        <f t="shared" si="133"/>
        <v xml:space="preserve"> * Los beneficiarios no pueden ser mayor al Total Ambos Sexos.</v>
      </c>
      <c r="DA97" s="1723" t="e">
        <f t="shared" si="134"/>
        <v>#VALUE!</v>
      </c>
      <c r="DB97" s="1723" t="str">
        <f t="shared" si="135"/>
        <v xml:space="preserve"> * La variable Usuarios con discapacidad No puede ser mayor al Total Ambos Sexos.</v>
      </c>
      <c r="DC97" s="1723" t="str">
        <f t="shared" si="136"/>
        <v xml:space="preserve"> * La variable Niños, niñas, adolescentes y jóvenes SENAME No puede ser mayor al Total Ambos Sexos.</v>
      </c>
      <c r="DD97" s="1723" t="str">
        <f t="shared" si="137"/>
        <v xml:space="preserve"> * La variable Niños, niñas, adolescentes y jóvenes Mejor Niñez No puede ser mayor al Total Ambos Sexos.</v>
      </c>
      <c r="DE97" s="1723" t="str">
        <f t="shared" si="138"/>
        <v xml:space="preserve"> * La variable Migrantes No puede ser mayor al Total Ambos Sexos.</v>
      </c>
      <c r="DF97"/>
      <c r="DH97" s="4788"/>
      <c r="DI97" s="1725">
        <f t="shared" si="140"/>
        <v>1</v>
      </c>
      <c r="DJ97" s="1725">
        <f t="shared" si="141"/>
        <v>1</v>
      </c>
      <c r="DK97" s="1725" t="e">
        <f t="shared" si="142"/>
        <v>#VALUE!</v>
      </c>
      <c r="DL97" s="1725">
        <f t="shared" si="143"/>
        <v>1</v>
      </c>
      <c r="DM97" s="1725">
        <f t="shared" si="144"/>
        <v>1</v>
      </c>
      <c r="DN97" s="1725">
        <f t="shared" si="145"/>
        <v>1</v>
      </c>
      <c r="DO97" s="1725">
        <f t="shared" si="146"/>
        <v>1</v>
      </c>
    </row>
    <row r="98" spans="1:119" ht="15" customHeight="1" x14ac:dyDescent="0.3">
      <c r="A98" s="6269" t="s">
        <v>4980</v>
      </c>
      <c r="B98" s="7387" t="s">
        <v>781</v>
      </c>
      <c r="C98" s="7387"/>
      <c r="D98" s="7387"/>
      <c r="E98" s="635" t="s">
        <v>5292</v>
      </c>
      <c r="F98" s="785" t="s">
        <v>5293</v>
      </c>
      <c r="G98" s="786" t="s">
        <v>5294</v>
      </c>
      <c r="H98" s="616" t="s">
        <v>5295</v>
      </c>
      <c r="I98" s="626" t="s">
        <v>5296</v>
      </c>
      <c r="J98" s="616" t="s">
        <v>5297</v>
      </c>
      <c r="K98" s="791" t="s">
        <v>5298</v>
      </c>
      <c r="L98" s="586" t="s">
        <v>5299</v>
      </c>
      <c r="M98" s="626" t="s">
        <v>5300</v>
      </c>
      <c r="N98" s="616" t="s">
        <v>5301</v>
      </c>
      <c r="O98" s="626" t="s">
        <v>5302</v>
      </c>
      <c r="P98" s="623" t="s">
        <v>5303</v>
      </c>
      <c r="Q98" s="626" t="s">
        <v>5304</v>
      </c>
      <c r="R98" s="623" t="s">
        <v>5305</v>
      </c>
      <c r="S98" s="626" t="s">
        <v>5306</v>
      </c>
      <c r="T98" s="623" t="s">
        <v>5307</v>
      </c>
      <c r="U98" s="626" t="s">
        <v>5308</v>
      </c>
      <c r="V98" s="623" t="s">
        <v>5309</v>
      </c>
      <c r="W98" s="626" t="s">
        <v>5310</v>
      </c>
      <c r="X98" s="623" t="s">
        <v>5311</v>
      </c>
      <c r="Y98" s="626" t="s">
        <v>5312</v>
      </c>
      <c r="Z98" s="623" t="s">
        <v>5313</v>
      </c>
      <c r="AA98" s="626" t="s">
        <v>5314</v>
      </c>
      <c r="AB98" s="627" t="s">
        <v>5315</v>
      </c>
      <c r="AC98" s="841" t="s">
        <v>5316</v>
      </c>
      <c r="AD98" s="627" t="s">
        <v>5317</v>
      </c>
      <c r="AE98" s="841" t="s">
        <v>5318</v>
      </c>
      <c r="AF98" s="627" t="s">
        <v>5319</v>
      </c>
      <c r="AG98" s="841" t="s">
        <v>5320</v>
      </c>
      <c r="AH98" s="627" t="s">
        <v>5321</v>
      </c>
      <c r="AI98" s="841" t="s">
        <v>5322</v>
      </c>
      <c r="AJ98" s="627" t="s">
        <v>5323</v>
      </c>
      <c r="AK98" s="841" t="s">
        <v>5324</v>
      </c>
      <c r="AL98" s="627" t="s">
        <v>5325</v>
      </c>
      <c r="AM98" s="841" t="s">
        <v>5326</v>
      </c>
      <c r="AN98" s="627" t="s">
        <v>5327</v>
      </c>
      <c r="AO98" s="844" t="s">
        <v>5328</v>
      </c>
      <c r="AP98" s="83" t="s">
        <v>5329</v>
      </c>
      <c r="AQ98" s="83" t="s">
        <v>5330</v>
      </c>
      <c r="AR98" s="644" t="s">
        <v>5331</v>
      </c>
      <c r="AS98" s="845" t="s">
        <v>5332</v>
      </c>
      <c r="AT98" s="644" t="s">
        <v>5333</v>
      </c>
      <c r="AU98" s="83" t="s">
        <v>5334</v>
      </c>
      <c r="AV98" s="83" t="s">
        <v>5335</v>
      </c>
      <c r="AW98" s="83" t="s">
        <v>5336</v>
      </c>
      <c r="AX98" s="83" t="s">
        <v>5337</v>
      </c>
      <c r="AY98" t="e">
        <f t="shared" si="130"/>
        <v>#VALUE!</v>
      </c>
      <c r="CX98" s="1723" t="e">
        <f t="shared" si="131"/>
        <v>#VALUE!</v>
      </c>
      <c r="CY98" s="1723" t="str">
        <f t="shared" si="132"/>
        <v xml:space="preserve"> * Las embarazadas no pueden ser mayor al Total Mujeres.</v>
      </c>
      <c r="CZ98" s="1723" t="str">
        <f t="shared" si="133"/>
        <v xml:space="preserve"> * Los beneficiarios no pueden ser mayor al Total Ambos Sexos.</v>
      </c>
      <c r="DA98" s="4788"/>
      <c r="DB98" s="1723" t="str">
        <f t="shared" si="135"/>
        <v xml:space="preserve"> * La variable Usuarios con discapacidad No puede ser mayor al Total Ambos Sexos.</v>
      </c>
      <c r="DC98" s="1723" t="str">
        <f t="shared" si="136"/>
        <v xml:space="preserve"> * La variable Niños, niñas, adolescentes y jóvenes SENAME No puede ser mayor al Total Ambos Sexos.</v>
      </c>
      <c r="DD98" s="1723" t="str">
        <f t="shared" si="137"/>
        <v xml:space="preserve"> * La variable Niños, niñas, adolescentes y jóvenes Mejor Niñez No puede ser mayor al Total Ambos Sexos.</v>
      </c>
      <c r="DE98" s="1723" t="str">
        <f t="shared" si="138"/>
        <v xml:space="preserve"> * La variable Migrantes No puede ser mayor al Total Ambos Sexos.</v>
      </c>
      <c r="DF98"/>
      <c r="DH98" s="1725" t="e">
        <f t="shared" ref="DH98:DH116" si="148">IF(AND((X98+Y98)&gt;0,AP98=""),1,IF(AP98&gt;(X98+Y98),1,0))</f>
        <v>#VALUE!</v>
      </c>
      <c r="DI98" s="1725">
        <f t="shared" si="140"/>
        <v>1</v>
      </c>
      <c r="DJ98" s="1725">
        <f t="shared" si="141"/>
        <v>1</v>
      </c>
      <c r="DK98" s="4788"/>
      <c r="DL98" s="1725">
        <f t="shared" si="143"/>
        <v>1</v>
      </c>
      <c r="DM98" s="1725">
        <f t="shared" si="144"/>
        <v>1</v>
      </c>
      <c r="DN98" s="1725">
        <f t="shared" si="145"/>
        <v>1</v>
      </c>
      <c r="DO98" s="1725">
        <f t="shared" si="146"/>
        <v>1</v>
      </c>
    </row>
    <row r="99" spans="1:119" ht="15" customHeight="1" x14ac:dyDescent="0.3">
      <c r="A99" s="6269" t="s">
        <v>4981</v>
      </c>
      <c r="B99" s="7384" t="s">
        <v>782</v>
      </c>
      <c r="C99" s="7385"/>
      <c r="D99" s="7386"/>
      <c r="E99" s="635" t="s">
        <v>5292</v>
      </c>
      <c r="F99" s="785" t="s">
        <v>5293</v>
      </c>
      <c r="G99" s="786" t="s">
        <v>5294</v>
      </c>
      <c r="H99" s="616" t="s">
        <v>5295</v>
      </c>
      <c r="I99" s="626" t="s">
        <v>5296</v>
      </c>
      <c r="J99" s="616" t="s">
        <v>5297</v>
      </c>
      <c r="K99" s="791" t="s">
        <v>5298</v>
      </c>
      <c r="L99" s="586" t="s">
        <v>5299</v>
      </c>
      <c r="M99" s="626" t="s">
        <v>5300</v>
      </c>
      <c r="N99" s="616" t="s">
        <v>5301</v>
      </c>
      <c r="O99" s="626" t="s">
        <v>5302</v>
      </c>
      <c r="P99" s="623" t="s">
        <v>5303</v>
      </c>
      <c r="Q99" s="626" t="s">
        <v>5304</v>
      </c>
      <c r="R99" s="623" t="s">
        <v>5305</v>
      </c>
      <c r="S99" s="626" t="s">
        <v>5306</v>
      </c>
      <c r="T99" s="623" t="s">
        <v>5307</v>
      </c>
      <c r="U99" s="626" t="s">
        <v>5308</v>
      </c>
      <c r="V99" s="623" t="s">
        <v>5309</v>
      </c>
      <c r="W99" s="626" t="s">
        <v>5310</v>
      </c>
      <c r="X99" s="623" t="s">
        <v>5311</v>
      </c>
      <c r="Y99" s="626" t="s">
        <v>5312</v>
      </c>
      <c r="Z99" s="623" t="s">
        <v>5313</v>
      </c>
      <c r="AA99" s="626" t="s">
        <v>5314</v>
      </c>
      <c r="AB99" s="623" t="s">
        <v>5315</v>
      </c>
      <c r="AC99" s="626" t="s">
        <v>5316</v>
      </c>
      <c r="AD99" s="623" t="s">
        <v>5317</v>
      </c>
      <c r="AE99" s="626" t="s">
        <v>5318</v>
      </c>
      <c r="AF99" s="623" t="s">
        <v>5319</v>
      </c>
      <c r="AG99" s="626" t="s">
        <v>5320</v>
      </c>
      <c r="AH99" s="623" t="s">
        <v>5321</v>
      </c>
      <c r="AI99" s="626" t="s">
        <v>5322</v>
      </c>
      <c r="AJ99" s="623" t="s">
        <v>5323</v>
      </c>
      <c r="AK99" s="626" t="s">
        <v>5324</v>
      </c>
      <c r="AL99" s="623" t="s">
        <v>5325</v>
      </c>
      <c r="AM99" s="626" t="s">
        <v>5326</v>
      </c>
      <c r="AN99" s="623" t="s">
        <v>5327</v>
      </c>
      <c r="AO99" s="624" t="s">
        <v>5328</v>
      </c>
      <c r="AP99" s="83" t="s">
        <v>5329</v>
      </c>
      <c r="AQ99" s="83" t="s">
        <v>5330</v>
      </c>
      <c r="AR99" s="644" t="s">
        <v>5331</v>
      </c>
      <c r="AS99" s="784" t="s">
        <v>5332</v>
      </c>
      <c r="AT99" s="644" t="s">
        <v>5333</v>
      </c>
      <c r="AU99" s="83" t="s">
        <v>5334</v>
      </c>
      <c r="AV99" s="83" t="s">
        <v>5335</v>
      </c>
      <c r="AW99" s="83" t="s">
        <v>5336</v>
      </c>
      <c r="AX99" s="83" t="s">
        <v>5337</v>
      </c>
      <c r="AY99" t="e">
        <f t="shared" si="130"/>
        <v>#VALUE!</v>
      </c>
      <c r="CX99" s="1723" t="e">
        <f t="shared" si="131"/>
        <v>#VALUE!</v>
      </c>
      <c r="CY99" s="1723" t="str">
        <f t="shared" si="132"/>
        <v xml:space="preserve"> * Las embarazadas no pueden ser mayor al Total Mujeres.</v>
      </c>
      <c r="CZ99" s="1723" t="str">
        <f t="shared" si="133"/>
        <v xml:space="preserve"> * Los beneficiarios no pueden ser mayor al Total Ambos Sexos.</v>
      </c>
      <c r="DA99" s="1723" t="e">
        <f t="shared" si="134"/>
        <v>#VALUE!</v>
      </c>
      <c r="DB99" s="1723" t="str">
        <f t="shared" si="135"/>
        <v xml:space="preserve"> * La variable Usuarios con discapacidad No puede ser mayor al Total Ambos Sexos.</v>
      </c>
      <c r="DC99" s="1723" t="str">
        <f t="shared" si="136"/>
        <v xml:space="preserve"> * La variable Niños, niñas, adolescentes y jóvenes SENAME No puede ser mayor al Total Ambos Sexos.</v>
      </c>
      <c r="DD99" s="1723" t="str">
        <f t="shared" si="137"/>
        <v xml:space="preserve"> * La variable Niños, niñas, adolescentes y jóvenes Mejor Niñez No puede ser mayor al Total Ambos Sexos.</v>
      </c>
      <c r="DE99" s="1723" t="str">
        <f t="shared" si="138"/>
        <v xml:space="preserve"> * La variable Migrantes No puede ser mayor al Total Ambos Sexos.</v>
      </c>
      <c r="DF99"/>
      <c r="DH99" s="1725" t="e">
        <f t="shared" si="148"/>
        <v>#VALUE!</v>
      </c>
      <c r="DI99" s="1725">
        <f t="shared" si="140"/>
        <v>1</v>
      </c>
      <c r="DJ99" s="1725">
        <f t="shared" si="141"/>
        <v>1</v>
      </c>
      <c r="DK99" s="1725" t="e">
        <f t="shared" si="142"/>
        <v>#VALUE!</v>
      </c>
      <c r="DL99" s="1725">
        <f t="shared" si="143"/>
        <v>1</v>
      </c>
      <c r="DM99" s="1725">
        <f t="shared" si="144"/>
        <v>1</v>
      </c>
      <c r="DN99" s="1725">
        <f t="shared" si="145"/>
        <v>1</v>
      </c>
      <c r="DO99" s="1725">
        <f t="shared" si="146"/>
        <v>1</v>
      </c>
    </row>
    <row r="100" spans="1:119" ht="15" customHeight="1" x14ac:dyDescent="0.3">
      <c r="A100" s="6269" t="s">
        <v>4982</v>
      </c>
      <c r="B100" s="7384" t="s">
        <v>783</v>
      </c>
      <c r="C100" s="7385"/>
      <c r="D100" s="7386"/>
      <c r="E100" s="635" t="s">
        <v>5292</v>
      </c>
      <c r="F100" s="785" t="s">
        <v>5293</v>
      </c>
      <c r="G100" s="786" t="s">
        <v>5294</v>
      </c>
      <c r="H100" s="616" t="s">
        <v>5295</v>
      </c>
      <c r="I100" s="626" t="s">
        <v>5296</v>
      </c>
      <c r="J100" s="616" t="s">
        <v>5297</v>
      </c>
      <c r="K100" s="791" t="s">
        <v>5298</v>
      </c>
      <c r="L100" s="586" t="s">
        <v>5299</v>
      </c>
      <c r="M100" s="626" t="s">
        <v>5300</v>
      </c>
      <c r="N100" s="616" t="s">
        <v>5301</v>
      </c>
      <c r="O100" s="626" t="s">
        <v>5302</v>
      </c>
      <c r="P100" s="623" t="s">
        <v>5303</v>
      </c>
      <c r="Q100" s="626" t="s">
        <v>5304</v>
      </c>
      <c r="R100" s="623" t="s">
        <v>5305</v>
      </c>
      <c r="S100" s="626" t="s">
        <v>5306</v>
      </c>
      <c r="T100" s="623" t="s">
        <v>5307</v>
      </c>
      <c r="U100" s="626" t="s">
        <v>5308</v>
      </c>
      <c r="V100" s="623" t="s">
        <v>5309</v>
      </c>
      <c r="W100" s="626" t="s">
        <v>5310</v>
      </c>
      <c r="X100" s="623" t="s">
        <v>5311</v>
      </c>
      <c r="Y100" s="626" t="s">
        <v>5312</v>
      </c>
      <c r="Z100" s="623" t="s">
        <v>5313</v>
      </c>
      <c r="AA100" s="626" t="s">
        <v>5314</v>
      </c>
      <c r="AB100" s="623" t="s">
        <v>5315</v>
      </c>
      <c r="AC100" s="626" t="s">
        <v>5316</v>
      </c>
      <c r="AD100" s="623" t="s">
        <v>5317</v>
      </c>
      <c r="AE100" s="626" t="s">
        <v>5318</v>
      </c>
      <c r="AF100" s="623" t="s">
        <v>5319</v>
      </c>
      <c r="AG100" s="626" t="s">
        <v>5320</v>
      </c>
      <c r="AH100" s="623" t="s">
        <v>5321</v>
      </c>
      <c r="AI100" s="626" t="s">
        <v>5322</v>
      </c>
      <c r="AJ100" s="623" t="s">
        <v>5323</v>
      </c>
      <c r="AK100" s="626" t="s">
        <v>5324</v>
      </c>
      <c r="AL100" s="623" t="s">
        <v>5325</v>
      </c>
      <c r="AM100" s="626" t="s">
        <v>5326</v>
      </c>
      <c r="AN100" s="623" t="s">
        <v>5327</v>
      </c>
      <c r="AO100" s="624" t="s">
        <v>5328</v>
      </c>
      <c r="AP100" s="83" t="s">
        <v>5329</v>
      </c>
      <c r="AQ100" s="83" t="s">
        <v>5330</v>
      </c>
      <c r="AR100" s="644" t="s">
        <v>5331</v>
      </c>
      <c r="AS100" s="784" t="s">
        <v>5332</v>
      </c>
      <c r="AT100" s="644" t="s">
        <v>5333</v>
      </c>
      <c r="AU100" s="83" t="s">
        <v>5334</v>
      </c>
      <c r="AV100" s="83" t="s">
        <v>5335</v>
      </c>
      <c r="AW100" s="83" t="s">
        <v>5336</v>
      </c>
      <c r="AX100" s="83" t="s">
        <v>5337</v>
      </c>
      <c r="AY100" t="e">
        <f t="shared" si="130"/>
        <v>#VALUE!</v>
      </c>
      <c r="CX100" s="1723" t="e">
        <f t="shared" si="131"/>
        <v>#VALUE!</v>
      </c>
      <c r="CY100" s="1723" t="str">
        <f t="shared" si="132"/>
        <v xml:space="preserve"> * Las embarazadas no pueden ser mayor al Total Mujeres.</v>
      </c>
      <c r="CZ100" s="1723" t="str">
        <f t="shared" si="133"/>
        <v xml:space="preserve"> * Los beneficiarios no pueden ser mayor al Total Ambos Sexos.</v>
      </c>
      <c r="DA100" s="1723" t="e">
        <f t="shared" si="134"/>
        <v>#VALUE!</v>
      </c>
      <c r="DB100" s="1723" t="str">
        <f t="shared" si="135"/>
        <v xml:space="preserve"> * La variable Usuarios con discapacidad No puede ser mayor al Total Ambos Sexos.</v>
      </c>
      <c r="DC100" s="1723" t="str">
        <f t="shared" si="136"/>
        <v xml:space="preserve"> * La variable Niños, niñas, adolescentes y jóvenes SENAME No puede ser mayor al Total Ambos Sexos.</v>
      </c>
      <c r="DD100" s="1723" t="str">
        <f t="shared" si="137"/>
        <v xml:space="preserve"> * La variable Niños, niñas, adolescentes y jóvenes Mejor Niñez No puede ser mayor al Total Ambos Sexos.</v>
      </c>
      <c r="DE100" s="1723" t="str">
        <f t="shared" si="138"/>
        <v xml:space="preserve"> * La variable Migrantes No puede ser mayor al Total Ambos Sexos.</v>
      </c>
      <c r="DF100"/>
      <c r="DH100" s="1725" t="e">
        <f t="shared" si="148"/>
        <v>#VALUE!</v>
      </c>
      <c r="DI100" s="1725">
        <f t="shared" si="140"/>
        <v>1</v>
      </c>
      <c r="DJ100" s="1725">
        <f t="shared" si="141"/>
        <v>1</v>
      </c>
      <c r="DK100" s="1725" t="e">
        <f t="shared" si="142"/>
        <v>#VALUE!</v>
      </c>
      <c r="DL100" s="1725">
        <f t="shared" si="143"/>
        <v>1</v>
      </c>
      <c r="DM100" s="1725">
        <f t="shared" si="144"/>
        <v>1</v>
      </c>
      <c r="DN100" s="1725">
        <f t="shared" si="145"/>
        <v>1</v>
      </c>
      <c r="DO100" s="1725">
        <f t="shared" si="146"/>
        <v>1</v>
      </c>
    </row>
    <row r="101" spans="1:119" ht="15" customHeight="1" x14ac:dyDescent="0.3">
      <c r="A101" s="6269" t="s">
        <v>4983</v>
      </c>
      <c r="B101" s="7387" t="s">
        <v>784</v>
      </c>
      <c r="C101" s="7387"/>
      <c r="D101" s="7387"/>
      <c r="E101" s="635" t="s">
        <v>5292</v>
      </c>
      <c r="F101" s="785" t="s">
        <v>5293</v>
      </c>
      <c r="G101" s="786" t="s">
        <v>5294</v>
      </c>
      <c r="H101" s="616" t="s">
        <v>5295</v>
      </c>
      <c r="I101" s="626" t="s">
        <v>5296</v>
      </c>
      <c r="J101" s="616" t="s">
        <v>5297</v>
      </c>
      <c r="K101" s="791" t="s">
        <v>5298</v>
      </c>
      <c r="L101" s="616" t="s">
        <v>5299</v>
      </c>
      <c r="M101" s="626" t="s">
        <v>5300</v>
      </c>
      <c r="N101" s="616" t="s">
        <v>5301</v>
      </c>
      <c r="O101" s="626" t="s">
        <v>5302</v>
      </c>
      <c r="P101" s="623" t="s">
        <v>5303</v>
      </c>
      <c r="Q101" s="626" t="s">
        <v>5304</v>
      </c>
      <c r="R101" s="623" t="s">
        <v>5305</v>
      </c>
      <c r="S101" s="626" t="s">
        <v>5306</v>
      </c>
      <c r="T101" s="623" t="s">
        <v>5307</v>
      </c>
      <c r="U101" s="626" t="s">
        <v>5308</v>
      </c>
      <c r="V101" s="623" t="s">
        <v>5309</v>
      </c>
      <c r="W101" s="626" t="s">
        <v>5310</v>
      </c>
      <c r="X101" s="623" t="s">
        <v>5311</v>
      </c>
      <c r="Y101" s="626" t="s">
        <v>5312</v>
      </c>
      <c r="Z101" s="623" t="s">
        <v>5313</v>
      </c>
      <c r="AA101" s="626" t="s">
        <v>5314</v>
      </c>
      <c r="AB101" s="623" t="s">
        <v>5315</v>
      </c>
      <c r="AC101" s="626" t="s">
        <v>5316</v>
      </c>
      <c r="AD101" s="623" t="s">
        <v>5317</v>
      </c>
      <c r="AE101" s="626" t="s">
        <v>5318</v>
      </c>
      <c r="AF101" s="623" t="s">
        <v>5319</v>
      </c>
      <c r="AG101" s="626" t="s">
        <v>5320</v>
      </c>
      <c r="AH101" s="623" t="s">
        <v>5321</v>
      </c>
      <c r="AI101" s="626" t="s">
        <v>5322</v>
      </c>
      <c r="AJ101" s="623" t="s">
        <v>5323</v>
      </c>
      <c r="AK101" s="626" t="s">
        <v>5324</v>
      </c>
      <c r="AL101" s="623" t="s">
        <v>5325</v>
      </c>
      <c r="AM101" s="626" t="s">
        <v>5326</v>
      </c>
      <c r="AN101" s="623" t="s">
        <v>5327</v>
      </c>
      <c r="AO101" s="624" t="s">
        <v>5328</v>
      </c>
      <c r="AP101" s="83" t="s">
        <v>5329</v>
      </c>
      <c r="AQ101" s="83" t="s">
        <v>5330</v>
      </c>
      <c r="AR101" s="644" t="s">
        <v>5331</v>
      </c>
      <c r="AS101" s="784" t="s">
        <v>5332</v>
      </c>
      <c r="AT101" s="644" t="s">
        <v>5333</v>
      </c>
      <c r="AU101" s="83" t="s">
        <v>5334</v>
      </c>
      <c r="AV101" s="83" t="s">
        <v>5335</v>
      </c>
      <c r="AW101" s="83" t="s">
        <v>5336</v>
      </c>
      <c r="AX101" s="83" t="s">
        <v>5337</v>
      </c>
      <c r="AY101" t="e">
        <f t="shared" si="130"/>
        <v>#VALUE!</v>
      </c>
      <c r="CX101" s="1723" t="e">
        <f t="shared" si="131"/>
        <v>#VALUE!</v>
      </c>
      <c r="CY101" s="1723" t="str">
        <f t="shared" si="132"/>
        <v xml:space="preserve"> * Las embarazadas no pueden ser mayor al Total Mujeres.</v>
      </c>
      <c r="CZ101" s="1723" t="str">
        <f t="shared" si="133"/>
        <v xml:space="preserve"> * Los beneficiarios no pueden ser mayor al Total Ambos Sexos.</v>
      </c>
      <c r="DA101" s="1723" t="e">
        <f t="shared" si="134"/>
        <v>#VALUE!</v>
      </c>
      <c r="DB101" s="1723" t="str">
        <f t="shared" si="135"/>
        <v xml:space="preserve"> * La variable Usuarios con discapacidad No puede ser mayor al Total Ambos Sexos.</v>
      </c>
      <c r="DC101" s="1723" t="str">
        <f t="shared" si="136"/>
        <v xml:space="preserve"> * La variable Niños, niñas, adolescentes y jóvenes SENAME No puede ser mayor al Total Ambos Sexos.</v>
      </c>
      <c r="DD101" s="1723" t="str">
        <f t="shared" si="137"/>
        <v xml:space="preserve"> * La variable Niños, niñas, adolescentes y jóvenes Mejor Niñez No puede ser mayor al Total Ambos Sexos.</v>
      </c>
      <c r="DE101" s="1723" t="str">
        <f t="shared" si="138"/>
        <v xml:space="preserve"> * La variable Migrantes No puede ser mayor al Total Ambos Sexos.</v>
      </c>
      <c r="DF101"/>
      <c r="DH101" s="1725" t="e">
        <f t="shared" si="148"/>
        <v>#VALUE!</v>
      </c>
      <c r="DI101" s="1725">
        <f t="shared" si="140"/>
        <v>1</v>
      </c>
      <c r="DJ101" s="1725">
        <f t="shared" si="141"/>
        <v>1</v>
      </c>
      <c r="DK101" s="1725" t="e">
        <f t="shared" si="142"/>
        <v>#VALUE!</v>
      </c>
      <c r="DL101" s="1725">
        <f t="shared" si="143"/>
        <v>1</v>
      </c>
      <c r="DM101" s="1725">
        <f t="shared" si="144"/>
        <v>1</v>
      </c>
      <c r="DN101" s="1725">
        <f t="shared" si="145"/>
        <v>1</v>
      </c>
      <c r="DO101" s="1725">
        <f t="shared" si="146"/>
        <v>1</v>
      </c>
    </row>
    <row r="102" spans="1:119" ht="15" customHeight="1" x14ac:dyDescent="0.3">
      <c r="A102" s="6269" t="s">
        <v>4984</v>
      </c>
      <c r="B102" s="7387" t="s">
        <v>785</v>
      </c>
      <c r="C102" s="7387"/>
      <c r="D102" s="7387"/>
      <c r="E102" s="635" t="s">
        <v>5292</v>
      </c>
      <c r="F102" s="785" t="s">
        <v>5293</v>
      </c>
      <c r="G102" s="786" t="s">
        <v>5294</v>
      </c>
      <c r="H102" s="616" t="s">
        <v>5295</v>
      </c>
      <c r="I102" s="626" t="s">
        <v>5296</v>
      </c>
      <c r="J102" s="616" t="s">
        <v>5297</v>
      </c>
      <c r="K102" s="791" t="s">
        <v>5298</v>
      </c>
      <c r="L102" s="616" t="s">
        <v>5299</v>
      </c>
      <c r="M102" s="626" t="s">
        <v>5300</v>
      </c>
      <c r="N102" s="616" t="s">
        <v>5301</v>
      </c>
      <c r="O102" s="626" t="s">
        <v>5302</v>
      </c>
      <c r="P102" s="623" t="s">
        <v>5303</v>
      </c>
      <c r="Q102" s="626" t="s">
        <v>5304</v>
      </c>
      <c r="R102" s="623" t="s">
        <v>5305</v>
      </c>
      <c r="S102" s="626" t="s">
        <v>5306</v>
      </c>
      <c r="T102" s="623" t="s">
        <v>5307</v>
      </c>
      <c r="U102" s="626" t="s">
        <v>5308</v>
      </c>
      <c r="V102" s="623" t="s">
        <v>5309</v>
      </c>
      <c r="W102" s="626" t="s">
        <v>5310</v>
      </c>
      <c r="X102" s="623" t="s">
        <v>5311</v>
      </c>
      <c r="Y102" s="626" t="s">
        <v>5312</v>
      </c>
      <c r="Z102" s="623" t="s">
        <v>5313</v>
      </c>
      <c r="AA102" s="626" t="s">
        <v>5314</v>
      </c>
      <c r="AB102" s="623" t="s">
        <v>5315</v>
      </c>
      <c r="AC102" s="626" t="s">
        <v>5316</v>
      </c>
      <c r="AD102" s="623" t="s">
        <v>5317</v>
      </c>
      <c r="AE102" s="626" t="s">
        <v>5318</v>
      </c>
      <c r="AF102" s="623" t="s">
        <v>5319</v>
      </c>
      <c r="AG102" s="626" t="s">
        <v>5320</v>
      </c>
      <c r="AH102" s="623" t="s">
        <v>5321</v>
      </c>
      <c r="AI102" s="626" t="s">
        <v>5322</v>
      </c>
      <c r="AJ102" s="623" t="s">
        <v>5323</v>
      </c>
      <c r="AK102" s="626" t="s">
        <v>5324</v>
      </c>
      <c r="AL102" s="623" t="s">
        <v>5325</v>
      </c>
      <c r="AM102" s="626" t="s">
        <v>5326</v>
      </c>
      <c r="AN102" s="623" t="s">
        <v>5327</v>
      </c>
      <c r="AO102" s="624" t="s">
        <v>5328</v>
      </c>
      <c r="AP102" s="83" t="s">
        <v>5329</v>
      </c>
      <c r="AQ102" s="83" t="s">
        <v>5330</v>
      </c>
      <c r="AR102" s="644" t="s">
        <v>5331</v>
      </c>
      <c r="AS102" s="784" t="s">
        <v>5332</v>
      </c>
      <c r="AT102" s="644" t="s">
        <v>5333</v>
      </c>
      <c r="AU102" s="83" t="s">
        <v>5334</v>
      </c>
      <c r="AV102" s="83" t="s">
        <v>5335</v>
      </c>
      <c r="AW102" s="83" t="s">
        <v>5336</v>
      </c>
      <c r="AX102" s="83" t="s">
        <v>5337</v>
      </c>
      <c r="AY102" t="e">
        <f t="shared" si="130"/>
        <v>#VALUE!</v>
      </c>
      <c r="CX102" s="1723" t="e">
        <f t="shared" si="131"/>
        <v>#VALUE!</v>
      </c>
      <c r="CY102" s="1723" t="str">
        <f t="shared" si="132"/>
        <v xml:space="preserve"> * Las embarazadas no pueden ser mayor al Total Mujeres.</v>
      </c>
      <c r="CZ102" s="1723" t="str">
        <f t="shared" si="133"/>
        <v xml:space="preserve"> * Los beneficiarios no pueden ser mayor al Total Ambos Sexos.</v>
      </c>
      <c r="DA102" s="1723" t="e">
        <f t="shared" si="134"/>
        <v>#VALUE!</v>
      </c>
      <c r="DB102" s="1723" t="str">
        <f t="shared" si="135"/>
        <v xml:space="preserve"> * La variable Usuarios con discapacidad No puede ser mayor al Total Ambos Sexos.</v>
      </c>
      <c r="DC102" s="1723" t="str">
        <f t="shared" si="136"/>
        <v xml:space="preserve"> * La variable Niños, niñas, adolescentes y jóvenes SENAME No puede ser mayor al Total Ambos Sexos.</v>
      </c>
      <c r="DD102" s="1723" t="str">
        <f t="shared" si="137"/>
        <v xml:space="preserve"> * La variable Niños, niñas, adolescentes y jóvenes Mejor Niñez No puede ser mayor al Total Ambos Sexos.</v>
      </c>
      <c r="DE102" s="1723" t="str">
        <f t="shared" si="138"/>
        <v xml:space="preserve"> * La variable Migrantes No puede ser mayor al Total Ambos Sexos.</v>
      </c>
      <c r="DF102"/>
      <c r="DH102" s="1725" t="e">
        <f t="shared" si="148"/>
        <v>#VALUE!</v>
      </c>
      <c r="DI102" s="1725">
        <f t="shared" si="140"/>
        <v>1</v>
      </c>
      <c r="DJ102" s="1725">
        <f t="shared" si="141"/>
        <v>1</v>
      </c>
      <c r="DK102" s="1725" t="e">
        <f t="shared" si="142"/>
        <v>#VALUE!</v>
      </c>
      <c r="DL102" s="1725">
        <f t="shared" si="143"/>
        <v>1</v>
      </c>
      <c r="DM102" s="1725">
        <f t="shared" si="144"/>
        <v>1</v>
      </c>
      <c r="DN102" s="1725">
        <f t="shared" si="145"/>
        <v>1</v>
      </c>
      <c r="DO102" s="1725">
        <f t="shared" si="146"/>
        <v>1</v>
      </c>
    </row>
    <row r="103" spans="1:119" ht="15" customHeight="1" x14ac:dyDescent="0.3">
      <c r="A103" s="6269" t="s">
        <v>4985</v>
      </c>
      <c r="B103" s="7387" t="s">
        <v>786</v>
      </c>
      <c r="C103" s="7387"/>
      <c r="D103" s="7387"/>
      <c r="E103" s="635" t="s">
        <v>5292</v>
      </c>
      <c r="F103" s="785" t="s">
        <v>5293</v>
      </c>
      <c r="G103" s="786" t="s">
        <v>5294</v>
      </c>
      <c r="H103" s="846" t="s">
        <v>5295</v>
      </c>
      <c r="I103" s="626" t="s">
        <v>5296</v>
      </c>
      <c r="J103" s="846" t="s">
        <v>5297</v>
      </c>
      <c r="K103" s="791" t="s">
        <v>5298</v>
      </c>
      <c r="L103" s="616" t="s">
        <v>5299</v>
      </c>
      <c r="M103" s="626" t="s">
        <v>5300</v>
      </c>
      <c r="N103" s="616" t="s">
        <v>5301</v>
      </c>
      <c r="O103" s="626" t="s">
        <v>5302</v>
      </c>
      <c r="P103" s="623" t="s">
        <v>5303</v>
      </c>
      <c r="Q103" s="626" t="s">
        <v>5304</v>
      </c>
      <c r="R103" s="623" t="s">
        <v>5305</v>
      </c>
      <c r="S103" s="626" t="s">
        <v>5306</v>
      </c>
      <c r="T103" s="623" t="s">
        <v>5307</v>
      </c>
      <c r="U103" s="626" t="s">
        <v>5308</v>
      </c>
      <c r="V103" s="623" t="s">
        <v>5309</v>
      </c>
      <c r="W103" s="626" t="s">
        <v>5310</v>
      </c>
      <c r="X103" s="623" t="s">
        <v>5311</v>
      </c>
      <c r="Y103" s="626" t="s">
        <v>5312</v>
      </c>
      <c r="Z103" s="627" t="s">
        <v>5313</v>
      </c>
      <c r="AA103" s="841" t="s">
        <v>5314</v>
      </c>
      <c r="AB103" s="627" t="s">
        <v>5315</v>
      </c>
      <c r="AC103" s="841" t="s">
        <v>5316</v>
      </c>
      <c r="AD103" s="627" t="s">
        <v>5317</v>
      </c>
      <c r="AE103" s="841" t="s">
        <v>5318</v>
      </c>
      <c r="AF103" s="627" t="s">
        <v>5319</v>
      </c>
      <c r="AG103" s="841" t="s">
        <v>5320</v>
      </c>
      <c r="AH103" s="627" t="s">
        <v>5321</v>
      </c>
      <c r="AI103" s="841" t="s">
        <v>5322</v>
      </c>
      <c r="AJ103" s="627" t="s">
        <v>5323</v>
      </c>
      <c r="AK103" s="841" t="s">
        <v>5324</v>
      </c>
      <c r="AL103" s="627" t="s">
        <v>5325</v>
      </c>
      <c r="AM103" s="841" t="s">
        <v>5326</v>
      </c>
      <c r="AN103" s="627" t="s">
        <v>5327</v>
      </c>
      <c r="AO103" s="844" t="s">
        <v>5328</v>
      </c>
      <c r="AP103" s="83" t="s">
        <v>5329</v>
      </c>
      <c r="AQ103" s="83" t="s">
        <v>5330</v>
      </c>
      <c r="AR103" s="644" t="s">
        <v>5331</v>
      </c>
      <c r="AS103" s="845" t="s">
        <v>5332</v>
      </c>
      <c r="AT103" s="644" t="s">
        <v>5333</v>
      </c>
      <c r="AU103" s="83" t="s">
        <v>5334</v>
      </c>
      <c r="AV103" s="83" t="s">
        <v>5335</v>
      </c>
      <c r="AW103" s="83" t="s">
        <v>5336</v>
      </c>
      <c r="AX103" s="83" t="s">
        <v>5337</v>
      </c>
      <c r="AY103" t="e">
        <f t="shared" si="130"/>
        <v>#VALUE!</v>
      </c>
      <c r="CX103" s="1723" t="e">
        <f t="shared" si="131"/>
        <v>#VALUE!</v>
      </c>
      <c r="CY103" s="1723" t="str">
        <f t="shared" si="132"/>
        <v xml:space="preserve"> * Las embarazadas no pueden ser mayor al Total Mujeres.</v>
      </c>
      <c r="CZ103" s="1723" t="str">
        <f t="shared" si="133"/>
        <v xml:space="preserve"> * Los beneficiarios no pueden ser mayor al Total Ambos Sexos.</v>
      </c>
      <c r="DA103" s="1723" t="e">
        <f t="shared" si="134"/>
        <v>#VALUE!</v>
      </c>
      <c r="DB103" s="1723" t="str">
        <f t="shared" si="135"/>
        <v xml:space="preserve"> * La variable Usuarios con discapacidad No puede ser mayor al Total Ambos Sexos.</v>
      </c>
      <c r="DC103" s="1723" t="str">
        <f t="shared" si="136"/>
        <v xml:space="preserve"> * La variable Niños, niñas, adolescentes y jóvenes SENAME No puede ser mayor al Total Ambos Sexos.</v>
      </c>
      <c r="DD103" s="1723" t="str">
        <f t="shared" si="137"/>
        <v xml:space="preserve"> * La variable Niños, niñas, adolescentes y jóvenes Mejor Niñez No puede ser mayor al Total Ambos Sexos.</v>
      </c>
      <c r="DE103" s="1723" t="str">
        <f t="shared" si="138"/>
        <v xml:space="preserve"> * La variable Migrantes No puede ser mayor al Total Ambos Sexos.</v>
      </c>
      <c r="DF103"/>
      <c r="DH103" s="1725" t="e">
        <f t="shared" si="148"/>
        <v>#VALUE!</v>
      </c>
      <c r="DI103" s="1725">
        <f t="shared" si="140"/>
        <v>1</v>
      </c>
      <c r="DJ103" s="1725">
        <f t="shared" si="141"/>
        <v>1</v>
      </c>
      <c r="DK103" s="1725" t="e">
        <f t="shared" si="142"/>
        <v>#VALUE!</v>
      </c>
      <c r="DL103" s="1725">
        <f t="shared" si="143"/>
        <v>1</v>
      </c>
      <c r="DM103" s="1725">
        <f t="shared" si="144"/>
        <v>1</v>
      </c>
      <c r="DN103" s="1725">
        <f t="shared" si="145"/>
        <v>1</v>
      </c>
      <c r="DO103" s="1725">
        <f t="shared" si="146"/>
        <v>1</v>
      </c>
    </row>
    <row r="104" spans="1:119" ht="15" customHeight="1" x14ac:dyDescent="0.3">
      <c r="A104" s="6269" t="s">
        <v>4986</v>
      </c>
      <c r="B104" s="7387" t="s">
        <v>787</v>
      </c>
      <c r="C104" s="7387"/>
      <c r="D104" s="7387"/>
      <c r="E104" s="635" t="s">
        <v>5292</v>
      </c>
      <c r="F104" s="785" t="s">
        <v>5293</v>
      </c>
      <c r="G104" s="786" t="s">
        <v>5294</v>
      </c>
      <c r="H104" s="789" t="s">
        <v>5295</v>
      </c>
      <c r="I104" s="790" t="s">
        <v>5296</v>
      </c>
      <c r="J104" s="789" t="s">
        <v>5297</v>
      </c>
      <c r="K104" s="847" t="s">
        <v>5298</v>
      </c>
      <c r="L104" s="789" t="s">
        <v>5299</v>
      </c>
      <c r="M104" s="790" t="s">
        <v>5300</v>
      </c>
      <c r="N104" s="789" t="s">
        <v>5301</v>
      </c>
      <c r="O104" s="790" t="s">
        <v>5302</v>
      </c>
      <c r="P104" s="800" t="s">
        <v>5303</v>
      </c>
      <c r="Q104" s="790" t="s">
        <v>5304</v>
      </c>
      <c r="R104" s="623" t="s">
        <v>5305</v>
      </c>
      <c r="S104" s="626" t="s">
        <v>5306</v>
      </c>
      <c r="T104" s="623" t="s">
        <v>5307</v>
      </c>
      <c r="U104" s="626" t="s">
        <v>5308</v>
      </c>
      <c r="V104" s="623" t="s">
        <v>5309</v>
      </c>
      <c r="W104" s="626" t="s">
        <v>5310</v>
      </c>
      <c r="X104" s="623" t="s">
        <v>5311</v>
      </c>
      <c r="Y104" s="626" t="s">
        <v>5312</v>
      </c>
      <c r="Z104" s="623" t="s">
        <v>5313</v>
      </c>
      <c r="AA104" s="626" t="s">
        <v>5314</v>
      </c>
      <c r="AB104" s="623" t="s">
        <v>5315</v>
      </c>
      <c r="AC104" s="626" t="s">
        <v>5316</v>
      </c>
      <c r="AD104" s="623" t="s">
        <v>5317</v>
      </c>
      <c r="AE104" s="626" t="s">
        <v>5318</v>
      </c>
      <c r="AF104" s="623" t="s">
        <v>5319</v>
      </c>
      <c r="AG104" s="626" t="s">
        <v>5320</v>
      </c>
      <c r="AH104" s="623" t="s">
        <v>5321</v>
      </c>
      <c r="AI104" s="626" t="s">
        <v>5322</v>
      </c>
      <c r="AJ104" s="623" t="s">
        <v>5323</v>
      </c>
      <c r="AK104" s="626" t="s">
        <v>5324</v>
      </c>
      <c r="AL104" s="623" t="s">
        <v>5325</v>
      </c>
      <c r="AM104" s="626" t="s">
        <v>5326</v>
      </c>
      <c r="AN104" s="623" t="s">
        <v>5327</v>
      </c>
      <c r="AO104" s="624" t="s">
        <v>5328</v>
      </c>
      <c r="AP104" s="83" t="s">
        <v>5329</v>
      </c>
      <c r="AQ104" s="83" t="s">
        <v>5330</v>
      </c>
      <c r="AR104" s="644" t="s">
        <v>5331</v>
      </c>
      <c r="AS104" s="644" t="s">
        <v>5332</v>
      </c>
      <c r="AT104" s="644" t="s">
        <v>5333</v>
      </c>
      <c r="AU104" s="83" t="s">
        <v>5334</v>
      </c>
      <c r="AV104" s="83" t="s">
        <v>5335</v>
      </c>
      <c r="AW104" s="83" t="s">
        <v>5336</v>
      </c>
      <c r="AX104" s="83" t="s">
        <v>5337</v>
      </c>
      <c r="AY104" t="e">
        <f t="shared" si="130"/>
        <v>#VALUE!</v>
      </c>
      <c r="CX104" s="1723" t="e">
        <f t="shared" si="131"/>
        <v>#VALUE!</v>
      </c>
      <c r="CY104" s="1723" t="str">
        <f t="shared" si="132"/>
        <v xml:space="preserve"> * Las embarazadas no pueden ser mayor al Total Mujeres.</v>
      </c>
      <c r="CZ104" s="1723" t="str">
        <f t="shared" si="133"/>
        <v xml:space="preserve"> * Los beneficiarios no pueden ser mayor al Total Ambos Sexos.</v>
      </c>
      <c r="DA104" s="1723" t="e">
        <f t="shared" si="134"/>
        <v>#VALUE!</v>
      </c>
      <c r="DB104" s="1723" t="str">
        <f t="shared" si="135"/>
        <v xml:space="preserve"> * La variable Usuarios con discapacidad No puede ser mayor al Total Ambos Sexos.</v>
      </c>
      <c r="DC104" s="1723" t="str">
        <f t="shared" si="136"/>
        <v xml:space="preserve"> * La variable Niños, niñas, adolescentes y jóvenes SENAME No puede ser mayor al Total Ambos Sexos.</v>
      </c>
      <c r="DD104" s="1723" t="str">
        <f t="shared" si="137"/>
        <v xml:space="preserve"> * La variable Niños, niñas, adolescentes y jóvenes Mejor Niñez No puede ser mayor al Total Ambos Sexos.</v>
      </c>
      <c r="DE104" s="1723" t="str">
        <f t="shared" si="138"/>
        <v xml:space="preserve"> * La variable Migrantes No puede ser mayor al Total Ambos Sexos.</v>
      </c>
      <c r="DF104"/>
      <c r="DH104" s="1725" t="e">
        <f t="shared" si="148"/>
        <v>#VALUE!</v>
      </c>
      <c r="DI104" s="1725">
        <f t="shared" si="140"/>
        <v>1</v>
      </c>
      <c r="DJ104" s="1725">
        <f t="shared" si="141"/>
        <v>1</v>
      </c>
      <c r="DK104" s="1725" t="e">
        <f t="shared" si="142"/>
        <v>#VALUE!</v>
      </c>
      <c r="DL104" s="1725">
        <f t="shared" si="143"/>
        <v>1</v>
      </c>
      <c r="DM104" s="1725">
        <f t="shared" si="144"/>
        <v>1</v>
      </c>
      <c r="DN104" s="1725">
        <f t="shared" si="145"/>
        <v>1</v>
      </c>
      <c r="DO104" s="1725">
        <f t="shared" si="146"/>
        <v>1</v>
      </c>
    </row>
    <row r="105" spans="1:119" ht="15" customHeight="1" x14ac:dyDescent="0.3">
      <c r="A105" s="6269" t="s">
        <v>4987</v>
      </c>
      <c r="B105" s="7387" t="s">
        <v>788</v>
      </c>
      <c r="C105" s="7387"/>
      <c r="D105" s="7387"/>
      <c r="E105" s="635" t="s">
        <v>5292</v>
      </c>
      <c r="F105" s="785" t="s">
        <v>5293</v>
      </c>
      <c r="G105" s="786" t="s">
        <v>5294</v>
      </c>
      <c r="H105" s="789" t="s">
        <v>5295</v>
      </c>
      <c r="I105" s="790" t="s">
        <v>5296</v>
      </c>
      <c r="J105" s="789" t="s">
        <v>5297</v>
      </c>
      <c r="K105" s="847" t="s">
        <v>5298</v>
      </c>
      <c r="L105" s="789" t="s">
        <v>5299</v>
      </c>
      <c r="M105" s="790" t="s">
        <v>5300</v>
      </c>
      <c r="N105" s="789" t="s">
        <v>5301</v>
      </c>
      <c r="O105" s="790" t="s">
        <v>5302</v>
      </c>
      <c r="P105" s="800" t="s">
        <v>5303</v>
      </c>
      <c r="Q105" s="790" t="s">
        <v>5304</v>
      </c>
      <c r="R105" s="623" t="s">
        <v>5305</v>
      </c>
      <c r="S105" s="626" t="s">
        <v>5306</v>
      </c>
      <c r="T105" s="623" t="s">
        <v>5307</v>
      </c>
      <c r="U105" s="626" t="s">
        <v>5308</v>
      </c>
      <c r="V105" s="623" t="s">
        <v>5309</v>
      </c>
      <c r="W105" s="626" t="s">
        <v>5310</v>
      </c>
      <c r="X105" s="623" t="s">
        <v>5311</v>
      </c>
      <c r="Y105" s="626" t="s">
        <v>5312</v>
      </c>
      <c r="Z105" s="623" t="s">
        <v>5313</v>
      </c>
      <c r="AA105" s="626" t="s">
        <v>5314</v>
      </c>
      <c r="AB105" s="623" t="s">
        <v>5315</v>
      </c>
      <c r="AC105" s="626" t="s">
        <v>5316</v>
      </c>
      <c r="AD105" s="623" t="s">
        <v>5317</v>
      </c>
      <c r="AE105" s="626" t="s">
        <v>5318</v>
      </c>
      <c r="AF105" s="623" t="s">
        <v>5319</v>
      </c>
      <c r="AG105" s="626" t="s">
        <v>5320</v>
      </c>
      <c r="AH105" s="623" t="s">
        <v>5321</v>
      </c>
      <c r="AI105" s="626" t="s">
        <v>5322</v>
      </c>
      <c r="AJ105" s="623" t="s">
        <v>5323</v>
      </c>
      <c r="AK105" s="626" t="s">
        <v>5324</v>
      </c>
      <c r="AL105" s="623" t="s">
        <v>5325</v>
      </c>
      <c r="AM105" s="626" t="s">
        <v>5326</v>
      </c>
      <c r="AN105" s="623" t="s">
        <v>5327</v>
      </c>
      <c r="AO105" s="624" t="s">
        <v>5328</v>
      </c>
      <c r="AP105" s="83" t="s">
        <v>5329</v>
      </c>
      <c r="AQ105" s="83" t="s">
        <v>5330</v>
      </c>
      <c r="AR105" s="644" t="s">
        <v>5331</v>
      </c>
      <c r="AS105" s="644" t="s">
        <v>5332</v>
      </c>
      <c r="AT105" s="644" t="s">
        <v>5333</v>
      </c>
      <c r="AU105" s="83" t="s">
        <v>5334</v>
      </c>
      <c r="AV105" s="83" t="s">
        <v>5335</v>
      </c>
      <c r="AW105" s="83" t="s">
        <v>5336</v>
      </c>
      <c r="AX105" s="83" t="s">
        <v>5337</v>
      </c>
      <c r="AY105" t="e">
        <f t="shared" si="130"/>
        <v>#VALUE!</v>
      </c>
      <c r="CX105" s="1723" t="e">
        <f t="shared" si="131"/>
        <v>#VALUE!</v>
      </c>
      <c r="CY105" s="1723" t="str">
        <f t="shared" si="132"/>
        <v xml:space="preserve"> * Las embarazadas no pueden ser mayor al Total Mujeres.</v>
      </c>
      <c r="CZ105" s="1723" t="str">
        <f t="shared" si="133"/>
        <v xml:space="preserve"> * Los beneficiarios no pueden ser mayor al Total Ambos Sexos.</v>
      </c>
      <c r="DA105" s="1723" t="e">
        <f t="shared" si="134"/>
        <v>#VALUE!</v>
      </c>
      <c r="DB105" s="1723" t="str">
        <f t="shared" si="135"/>
        <v xml:space="preserve"> * La variable Usuarios con discapacidad No puede ser mayor al Total Ambos Sexos.</v>
      </c>
      <c r="DC105" s="1723" t="str">
        <f t="shared" si="136"/>
        <v xml:space="preserve"> * La variable Niños, niñas, adolescentes y jóvenes SENAME No puede ser mayor al Total Ambos Sexos.</v>
      </c>
      <c r="DD105" s="1723" t="str">
        <f t="shared" si="137"/>
        <v xml:space="preserve"> * La variable Niños, niñas, adolescentes y jóvenes Mejor Niñez No puede ser mayor al Total Ambos Sexos.</v>
      </c>
      <c r="DE105" s="1723" t="str">
        <f t="shared" si="138"/>
        <v xml:space="preserve"> * La variable Migrantes No puede ser mayor al Total Ambos Sexos.</v>
      </c>
      <c r="DF105"/>
      <c r="DH105" s="1725" t="e">
        <f t="shared" si="148"/>
        <v>#VALUE!</v>
      </c>
      <c r="DI105" s="1725">
        <f t="shared" si="140"/>
        <v>1</v>
      </c>
      <c r="DJ105" s="1725">
        <f t="shared" si="141"/>
        <v>1</v>
      </c>
      <c r="DK105" s="1725" t="e">
        <f t="shared" si="142"/>
        <v>#VALUE!</v>
      </c>
      <c r="DL105" s="1725">
        <f t="shared" si="143"/>
        <v>1</v>
      </c>
      <c r="DM105" s="1725">
        <f t="shared" si="144"/>
        <v>1</v>
      </c>
      <c r="DN105" s="1725">
        <f t="shared" si="145"/>
        <v>1</v>
      </c>
      <c r="DO105" s="1725">
        <f t="shared" si="146"/>
        <v>1</v>
      </c>
    </row>
    <row r="106" spans="1:119" ht="15" customHeight="1" x14ac:dyDescent="0.3">
      <c r="A106" s="6269" t="s">
        <v>4988</v>
      </c>
      <c r="B106" s="7387" t="s">
        <v>789</v>
      </c>
      <c r="C106" s="7387"/>
      <c r="D106" s="7387"/>
      <c r="E106" s="635" t="s">
        <v>5292</v>
      </c>
      <c r="F106" s="785" t="s">
        <v>5293</v>
      </c>
      <c r="G106" s="786" t="s">
        <v>5294</v>
      </c>
      <c r="H106" s="789" t="s">
        <v>5295</v>
      </c>
      <c r="I106" s="790" t="s">
        <v>5296</v>
      </c>
      <c r="J106" s="789" t="s">
        <v>5297</v>
      </c>
      <c r="K106" s="847" t="s">
        <v>5298</v>
      </c>
      <c r="L106" s="789" t="s">
        <v>5299</v>
      </c>
      <c r="M106" s="790" t="s">
        <v>5300</v>
      </c>
      <c r="N106" s="789" t="s">
        <v>5301</v>
      </c>
      <c r="O106" s="790" t="s">
        <v>5302</v>
      </c>
      <c r="P106" s="800" t="s">
        <v>5303</v>
      </c>
      <c r="Q106" s="790" t="s">
        <v>5304</v>
      </c>
      <c r="R106" s="623" t="s">
        <v>5305</v>
      </c>
      <c r="S106" s="626" t="s">
        <v>5306</v>
      </c>
      <c r="T106" s="623" t="s">
        <v>5307</v>
      </c>
      <c r="U106" s="626" t="s">
        <v>5308</v>
      </c>
      <c r="V106" s="623" t="s">
        <v>5309</v>
      </c>
      <c r="W106" s="626" t="s">
        <v>5310</v>
      </c>
      <c r="X106" s="623" t="s">
        <v>5311</v>
      </c>
      <c r="Y106" s="626" t="s">
        <v>5312</v>
      </c>
      <c r="Z106" s="623" t="s">
        <v>5313</v>
      </c>
      <c r="AA106" s="626" t="s">
        <v>5314</v>
      </c>
      <c r="AB106" s="623" t="s">
        <v>5315</v>
      </c>
      <c r="AC106" s="626" t="s">
        <v>5316</v>
      </c>
      <c r="AD106" s="623" t="s">
        <v>5317</v>
      </c>
      <c r="AE106" s="626" t="s">
        <v>5318</v>
      </c>
      <c r="AF106" s="623" t="s">
        <v>5319</v>
      </c>
      <c r="AG106" s="626" t="s">
        <v>5320</v>
      </c>
      <c r="AH106" s="623" t="s">
        <v>5321</v>
      </c>
      <c r="AI106" s="626" t="s">
        <v>5322</v>
      </c>
      <c r="AJ106" s="623" t="s">
        <v>5323</v>
      </c>
      <c r="AK106" s="626" t="s">
        <v>5324</v>
      </c>
      <c r="AL106" s="623" t="s">
        <v>5325</v>
      </c>
      <c r="AM106" s="626" t="s">
        <v>5326</v>
      </c>
      <c r="AN106" s="623" t="s">
        <v>5327</v>
      </c>
      <c r="AO106" s="624" t="s">
        <v>5328</v>
      </c>
      <c r="AP106" s="83" t="s">
        <v>5329</v>
      </c>
      <c r="AQ106" s="83" t="s">
        <v>5330</v>
      </c>
      <c r="AR106" s="644" t="s">
        <v>5331</v>
      </c>
      <c r="AS106" s="644" t="s">
        <v>5332</v>
      </c>
      <c r="AT106" s="644" t="s">
        <v>5333</v>
      </c>
      <c r="AU106" s="83" t="s">
        <v>5334</v>
      </c>
      <c r="AV106" s="83" t="s">
        <v>5335</v>
      </c>
      <c r="AW106" s="83" t="s">
        <v>5336</v>
      </c>
      <c r="AX106" s="83" t="s">
        <v>5337</v>
      </c>
      <c r="AY106" t="e">
        <f t="shared" si="130"/>
        <v>#VALUE!</v>
      </c>
      <c r="CX106" s="1723" t="e">
        <f t="shared" si="131"/>
        <v>#VALUE!</v>
      </c>
      <c r="CY106" s="1723" t="str">
        <f t="shared" si="132"/>
        <v xml:space="preserve"> * Las embarazadas no pueden ser mayor al Total Mujeres.</v>
      </c>
      <c r="CZ106" s="1723" t="str">
        <f t="shared" si="133"/>
        <v xml:space="preserve"> * Los beneficiarios no pueden ser mayor al Total Ambos Sexos.</v>
      </c>
      <c r="DA106" s="1723" t="e">
        <f t="shared" si="134"/>
        <v>#VALUE!</v>
      </c>
      <c r="DB106" s="1723" t="str">
        <f t="shared" si="135"/>
        <v xml:space="preserve"> * La variable Usuarios con discapacidad No puede ser mayor al Total Ambos Sexos.</v>
      </c>
      <c r="DC106" s="1723" t="str">
        <f t="shared" si="136"/>
        <v xml:space="preserve"> * La variable Niños, niñas, adolescentes y jóvenes SENAME No puede ser mayor al Total Ambos Sexos.</v>
      </c>
      <c r="DD106" s="1723" t="str">
        <f t="shared" si="137"/>
        <v xml:space="preserve"> * La variable Niños, niñas, adolescentes y jóvenes Mejor Niñez No puede ser mayor al Total Ambos Sexos.</v>
      </c>
      <c r="DE106" s="1723" t="str">
        <f t="shared" si="138"/>
        <v xml:space="preserve"> * La variable Migrantes No puede ser mayor al Total Ambos Sexos.</v>
      </c>
      <c r="DF106"/>
      <c r="DH106" s="1725" t="e">
        <f t="shared" si="148"/>
        <v>#VALUE!</v>
      </c>
      <c r="DI106" s="1725">
        <f t="shared" si="140"/>
        <v>1</v>
      </c>
      <c r="DJ106" s="1725">
        <f t="shared" si="141"/>
        <v>1</v>
      </c>
      <c r="DK106" s="1725" t="e">
        <f t="shared" si="142"/>
        <v>#VALUE!</v>
      </c>
      <c r="DL106" s="1725">
        <f t="shared" si="143"/>
        <v>1</v>
      </c>
      <c r="DM106" s="1725">
        <f t="shared" si="144"/>
        <v>1</v>
      </c>
      <c r="DN106" s="1725">
        <f t="shared" si="145"/>
        <v>1</v>
      </c>
      <c r="DO106" s="1725">
        <f t="shared" si="146"/>
        <v>1</v>
      </c>
    </row>
    <row r="107" spans="1:119" ht="15" customHeight="1" x14ac:dyDescent="0.3">
      <c r="A107" s="6269" t="s">
        <v>4989</v>
      </c>
      <c r="B107" s="7381" t="s">
        <v>790</v>
      </c>
      <c r="C107" s="7382"/>
      <c r="D107" s="7383"/>
      <c r="E107" s="635" t="s">
        <v>5292</v>
      </c>
      <c r="F107" s="785" t="s">
        <v>5293</v>
      </c>
      <c r="G107" s="786" t="s">
        <v>5294</v>
      </c>
      <c r="H107" s="840" t="s">
        <v>5295</v>
      </c>
      <c r="I107" s="841" t="s">
        <v>5296</v>
      </c>
      <c r="J107" s="840" t="s">
        <v>5297</v>
      </c>
      <c r="K107" s="842" t="s">
        <v>5298</v>
      </c>
      <c r="L107" s="840" t="s">
        <v>5299</v>
      </c>
      <c r="M107" s="841" t="s">
        <v>5300</v>
      </c>
      <c r="N107" s="840" t="s">
        <v>5301</v>
      </c>
      <c r="O107" s="841" t="s">
        <v>5302</v>
      </c>
      <c r="P107" s="627" t="s">
        <v>5303</v>
      </c>
      <c r="Q107" s="841" t="s">
        <v>5304</v>
      </c>
      <c r="R107" s="623" t="s">
        <v>5305</v>
      </c>
      <c r="S107" s="626" t="s">
        <v>5306</v>
      </c>
      <c r="T107" s="623" t="s">
        <v>5307</v>
      </c>
      <c r="U107" s="626" t="s">
        <v>5308</v>
      </c>
      <c r="V107" s="623" t="s">
        <v>5309</v>
      </c>
      <c r="W107" s="626" t="s">
        <v>5310</v>
      </c>
      <c r="X107" s="623" t="s">
        <v>5311</v>
      </c>
      <c r="Y107" s="626" t="s">
        <v>5312</v>
      </c>
      <c r="Z107" s="623" t="s">
        <v>5313</v>
      </c>
      <c r="AA107" s="626" t="s">
        <v>5314</v>
      </c>
      <c r="AB107" s="627" t="s">
        <v>5315</v>
      </c>
      <c r="AC107" s="841" t="s">
        <v>5316</v>
      </c>
      <c r="AD107" s="627" t="s">
        <v>5317</v>
      </c>
      <c r="AE107" s="841" t="s">
        <v>5318</v>
      </c>
      <c r="AF107" s="627" t="s">
        <v>5319</v>
      </c>
      <c r="AG107" s="841" t="s">
        <v>5320</v>
      </c>
      <c r="AH107" s="627" t="s">
        <v>5321</v>
      </c>
      <c r="AI107" s="841" t="s">
        <v>5322</v>
      </c>
      <c r="AJ107" s="627" t="s">
        <v>5323</v>
      </c>
      <c r="AK107" s="841" t="s">
        <v>5324</v>
      </c>
      <c r="AL107" s="627" t="s">
        <v>5325</v>
      </c>
      <c r="AM107" s="841" t="s">
        <v>5326</v>
      </c>
      <c r="AN107" s="627" t="s">
        <v>5327</v>
      </c>
      <c r="AO107" s="844" t="s">
        <v>5328</v>
      </c>
      <c r="AP107" s="83" t="s">
        <v>5329</v>
      </c>
      <c r="AQ107" s="83" t="s">
        <v>5330</v>
      </c>
      <c r="AR107" s="644" t="s">
        <v>5331</v>
      </c>
      <c r="AS107" s="845" t="s">
        <v>5332</v>
      </c>
      <c r="AT107" s="644" t="s">
        <v>5333</v>
      </c>
      <c r="AU107" s="83" t="s">
        <v>5334</v>
      </c>
      <c r="AV107" s="83" t="s">
        <v>5335</v>
      </c>
      <c r="AW107" s="83" t="s">
        <v>5336</v>
      </c>
      <c r="AX107" s="83" t="s">
        <v>5337</v>
      </c>
      <c r="AY107" t="e">
        <f t="shared" si="130"/>
        <v>#VALUE!</v>
      </c>
      <c r="CX107" s="1723" t="e">
        <f t="shared" si="131"/>
        <v>#VALUE!</v>
      </c>
      <c r="CY107" s="1723" t="str">
        <f t="shared" si="132"/>
        <v xml:space="preserve"> * Las embarazadas no pueden ser mayor al Total Mujeres.</v>
      </c>
      <c r="CZ107" s="1723" t="str">
        <f t="shared" si="133"/>
        <v xml:space="preserve"> * Los beneficiarios no pueden ser mayor al Total Ambos Sexos.</v>
      </c>
      <c r="DA107" s="1723" t="e">
        <f t="shared" si="134"/>
        <v>#VALUE!</v>
      </c>
      <c r="DB107" s="1723" t="str">
        <f t="shared" si="135"/>
        <v xml:space="preserve"> * La variable Usuarios con discapacidad No puede ser mayor al Total Ambos Sexos.</v>
      </c>
      <c r="DC107" s="1723" t="str">
        <f t="shared" si="136"/>
        <v xml:space="preserve"> * La variable Niños, niñas, adolescentes y jóvenes SENAME No puede ser mayor al Total Ambos Sexos.</v>
      </c>
      <c r="DD107" s="1723" t="str">
        <f t="shared" si="137"/>
        <v xml:space="preserve"> * La variable Niños, niñas, adolescentes y jóvenes Mejor Niñez No puede ser mayor al Total Ambos Sexos.</v>
      </c>
      <c r="DE107" s="1723" t="str">
        <f t="shared" si="138"/>
        <v xml:space="preserve"> * La variable Migrantes No puede ser mayor al Total Ambos Sexos.</v>
      </c>
      <c r="DF107"/>
      <c r="DH107" s="1725" t="e">
        <f t="shared" si="148"/>
        <v>#VALUE!</v>
      </c>
      <c r="DI107" s="1725">
        <f t="shared" si="140"/>
        <v>1</v>
      </c>
      <c r="DJ107" s="1725">
        <f t="shared" si="141"/>
        <v>1</v>
      </c>
      <c r="DK107" s="1725" t="e">
        <f t="shared" si="142"/>
        <v>#VALUE!</v>
      </c>
      <c r="DL107" s="1725">
        <f t="shared" si="143"/>
        <v>1</v>
      </c>
      <c r="DM107" s="1725">
        <f t="shared" si="144"/>
        <v>1</v>
      </c>
      <c r="DN107" s="1725">
        <f t="shared" si="145"/>
        <v>1</v>
      </c>
      <c r="DO107" s="1725">
        <f t="shared" si="146"/>
        <v>1</v>
      </c>
    </row>
    <row r="108" spans="1:119" ht="15" customHeight="1" x14ac:dyDescent="0.3">
      <c r="A108" s="6269" t="s">
        <v>4990</v>
      </c>
      <c r="B108" s="7381" t="s">
        <v>791</v>
      </c>
      <c r="C108" s="7382"/>
      <c r="D108" s="7383"/>
      <c r="E108" s="635" t="s">
        <v>5292</v>
      </c>
      <c r="F108" s="785" t="s">
        <v>5293</v>
      </c>
      <c r="G108" s="786" t="s">
        <v>5294</v>
      </c>
      <c r="H108" s="840" t="s">
        <v>5295</v>
      </c>
      <c r="I108" s="841" t="s">
        <v>5296</v>
      </c>
      <c r="J108" s="840" t="s">
        <v>5297</v>
      </c>
      <c r="K108" s="842" t="s">
        <v>5298</v>
      </c>
      <c r="L108" s="840" t="s">
        <v>5299</v>
      </c>
      <c r="M108" s="841" t="s">
        <v>5300</v>
      </c>
      <c r="N108" s="840" t="s">
        <v>5301</v>
      </c>
      <c r="O108" s="841" t="s">
        <v>5302</v>
      </c>
      <c r="P108" s="627" t="s">
        <v>5303</v>
      </c>
      <c r="Q108" s="841" t="s">
        <v>5304</v>
      </c>
      <c r="R108" s="623" t="s">
        <v>5305</v>
      </c>
      <c r="S108" s="626" t="s">
        <v>5306</v>
      </c>
      <c r="T108" s="623" t="s">
        <v>5307</v>
      </c>
      <c r="U108" s="626" t="s">
        <v>5308</v>
      </c>
      <c r="V108" s="623" t="s">
        <v>5309</v>
      </c>
      <c r="W108" s="626" t="s">
        <v>5310</v>
      </c>
      <c r="X108" s="623" t="s">
        <v>5311</v>
      </c>
      <c r="Y108" s="626" t="s">
        <v>5312</v>
      </c>
      <c r="Z108" s="623" t="s">
        <v>5313</v>
      </c>
      <c r="AA108" s="626" t="s">
        <v>5314</v>
      </c>
      <c r="AB108" s="623" t="s">
        <v>5315</v>
      </c>
      <c r="AC108" s="626" t="s">
        <v>5316</v>
      </c>
      <c r="AD108" s="623" t="s">
        <v>5317</v>
      </c>
      <c r="AE108" s="626" t="s">
        <v>5318</v>
      </c>
      <c r="AF108" s="623" t="s">
        <v>5319</v>
      </c>
      <c r="AG108" s="626" t="s">
        <v>5320</v>
      </c>
      <c r="AH108" s="623" t="s">
        <v>5321</v>
      </c>
      <c r="AI108" s="626" t="s">
        <v>5322</v>
      </c>
      <c r="AJ108" s="623" t="s">
        <v>5323</v>
      </c>
      <c r="AK108" s="626" t="s">
        <v>5324</v>
      </c>
      <c r="AL108" s="623" t="s">
        <v>5325</v>
      </c>
      <c r="AM108" s="626" t="s">
        <v>5326</v>
      </c>
      <c r="AN108" s="623" t="s">
        <v>5327</v>
      </c>
      <c r="AO108" s="624" t="s">
        <v>5328</v>
      </c>
      <c r="AP108" s="83" t="s">
        <v>5329</v>
      </c>
      <c r="AQ108" s="83" t="s">
        <v>5330</v>
      </c>
      <c r="AR108" s="644" t="s">
        <v>5331</v>
      </c>
      <c r="AS108" s="644" t="s">
        <v>5332</v>
      </c>
      <c r="AT108" s="644" t="s">
        <v>5333</v>
      </c>
      <c r="AU108" s="83" t="s">
        <v>5334</v>
      </c>
      <c r="AV108" s="83" t="s">
        <v>5335</v>
      </c>
      <c r="AW108" s="83" t="s">
        <v>5336</v>
      </c>
      <c r="AX108" s="83" t="s">
        <v>5337</v>
      </c>
      <c r="AY108" t="e">
        <f t="shared" si="130"/>
        <v>#VALUE!</v>
      </c>
      <c r="CX108" s="1723" t="e">
        <f t="shared" si="131"/>
        <v>#VALUE!</v>
      </c>
      <c r="CY108" s="1723" t="str">
        <f t="shared" si="132"/>
        <v xml:space="preserve"> * Las embarazadas no pueden ser mayor al Total Mujeres.</v>
      </c>
      <c r="CZ108" s="1723" t="str">
        <f t="shared" si="133"/>
        <v xml:space="preserve"> * Los beneficiarios no pueden ser mayor al Total Ambos Sexos.</v>
      </c>
      <c r="DA108" s="1723" t="e">
        <f t="shared" si="134"/>
        <v>#VALUE!</v>
      </c>
      <c r="DB108" s="1723" t="str">
        <f t="shared" si="135"/>
        <v xml:space="preserve"> * La variable Usuarios con discapacidad No puede ser mayor al Total Ambos Sexos.</v>
      </c>
      <c r="DC108" s="1723" t="str">
        <f t="shared" si="136"/>
        <v xml:space="preserve"> * La variable Niños, niñas, adolescentes y jóvenes SENAME No puede ser mayor al Total Ambos Sexos.</v>
      </c>
      <c r="DD108" s="1723" t="str">
        <f t="shared" si="137"/>
        <v xml:space="preserve"> * La variable Niños, niñas, adolescentes y jóvenes Mejor Niñez No puede ser mayor al Total Ambos Sexos.</v>
      </c>
      <c r="DE108" s="1723" t="str">
        <f t="shared" si="138"/>
        <v xml:space="preserve"> * La variable Migrantes No puede ser mayor al Total Ambos Sexos.</v>
      </c>
      <c r="DF108"/>
      <c r="DH108" s="1725" t="e">
        <f t="shared" si="148"/>
        <v>#VALUE!</v>
      </c>
      <c r="DI108" s="1725">
        <f t="shared" si="140"/>
        <v>1</v>
      </c>
      <c r="DJ108" s="1725">
        <f t="shared" si="141"/>
        <v>1</v>
      </c>
      <c r="DK108" s="1725" t="e">
        <f t="shared" si="142"/>
        <v>#VALUE!</v>
      </c>
      <c r="DL108" s="1725">
        <f t="shared" si="143"/>
        <v>1</v>
      </c>
      <c r="DM108" s="1725">
        <f t="shared" si="144"/>
        <v>1</v>
      </c>
      <c r="DN108" s="1725">
        <f t="shared" si="145"/>
        <v>1</v>
      </c>
      <c r="DO108" s="1725">
        <f t="shared" si="146"/>
        <v>1</v>
      </c>
    </row>
    <row r="109" spans="1:119" ht="15" customHeight="1" x14ac:dyDescent="0.3">
      <c r="A109" s="6269" t="s">
        <v>4991</v>
      </c>
      <c r="B109" s="7381" t="s">
        <v>792</v>
      </c>
      <c r="C109" s="7382"/>
      <c r="D109" s="7383"/>
      <c r="E109" s="635" t="s">
        <v>5292</v>
      </c>
      <c r="F109" s="785" t="s">
        <v>5293</v>
      </c>
      <c r="G109" s="786" t="s">
        <v>5294</v>
      </c>
      <c r="H109" s="840" t="s">
        <v>5295</v>
      </c>
      <c r="I109" s="841" t="s">
        <v>5296</v>
      </c>
      <c r="J109" s="840" t="s">
        <v>5297</v>
      </c>
      <c r="K109" s="842" t="s">
        <v>5298</v>
      </c>
      <c r="L109" s="840" t="s">
        <v>5299</v>
      </c>
      <c r="M109" s="841" t="s">
        <v>5300</v>
      </c>
      <c r="N109" s="840" t="s">
        <v>5301</v>
      </c>
      <c r="O109" s="841" t="s">
        <v>5302</v>
      </c>
      <c r="P109" s="627" t="s">
        <v>5303</v>
      </c>
      <c r="Q109" s="841" t="s">
        <v>5304</v>
      </c>
      <c r="R109" s="623" t="s">
        <v>5305</v>
      </c>
      <c r="S109" s="626" t="s">
        <v>5306</v>
      </c>
      <c r="T109" s="623" t="s">
        <v>5307</v>
      </c>
      <c r="U109" s="626" t="s">
        <v>5308</v>
      </c>
      <c r="V109" s="623" t="s">
        <v>5309</v>
      </c>
      <c r="W109" s="626" t="s">
        <v>5310</v>
      </c>
      <c r="X109" s="623" t="s">
        <v>5311</v>
      </c>
      <c r="Y109" s="626" t="s">
        <v>5312</v>
      </c>
      <c r="Z109" s="623" t="s">
        <v>5313</v>
      </c>
      <c r="AA109" s="626" t="s">
        <v>5314</v>
      </c>
      <c r="AB109" s="623" t="s">
        <v>5315</v>
      </c>
      <c r="AC109" s="626" t="s">
        <v>5316</v>
      </c>
      <c r="AD109" s="623" t="s">
        <v>5317</v>
      </c>
      <c r="AE109" s="626" t="s">
        <v>5318</v>
      </c>
      <c r="AF109" s="623" t="s">
        <v>5319</v>
      </c>
      <c r="AG109" s="626" t="s">
        <v>5320</v>
      </c>
      <c r="AH109" s="623" t="s">
        <v>5321</v>
      </c>
      <c r="AI109" s="626" t="s">
        <v>5322</v>
      </c>
      <c r="AJ109" s="623" t="s">
        <v>5323</v>
      </c>
      <c r="AK109" s="626" t="s">
        <v>5324</v>
      </c>
      <c r="AL109" s="623" t="s">
        <v>5325</v>
      </c>
      <c r="AM109" s="626" t="s">
        <v>5326</v>
      </c>
      <c r="AN109" s="623" t="s">
        <v>5327</v>
      </c>
      <c r="AO109" s="624" t="s">
        <v>5328</v>
      </c>
      <c r="AP109" s="83" t="s">
        <v>5329</v>
      </c>
      <c r="AQ109" s="83" t="s">
        <v>5330</v>
      </c>
      <c r="AR109" s="644" t="s">
        <v>5331</v>
      </c>
      <c r="AS109" s="644" t="s">
        <v>5332</v>
      </c>
      <c r="AT109" s="644" t="s">
        <v>5333</v>
      </c>
      <c r="AU109" s="83" t="s">
        <v>5334</v>
      </c>
      <c r="AV109" s="83" t="s">
        <v>5335</v>
      </c>
      <c r="AW109" s="83" t="s">
        <v>5336</v>
      </c>
      <c r="AX109" s="83" t="s">
        <v>5337</v>
      </c>
      <c r="AY109" t="e">
        <f t="shared" si="130"/>
        <v>#VALUE!</v>
      </c>
      <c r="CX109" s="1723" t="e">
        <f t="shared" si="131"/>
        <v>#VALUE!</v>
      </c>
      <c r="CY109" s="1723" t="str">
        <f t="shared" si="132"/>
        <v xml:space="preserve"> * Las embarazadas no pueden ser mayor al Total Mujeres.</v>
      </c>
      <c r="CZ109" s="1723" t="str">
        <f t="shared" si="133"/>
        <v xml:space="preserve"> * Los beneficiarios no pueden ser mayor al Total Ambos Sexos.</v>
      </c>
      <c r="DA109" s="1723" t="e">
        <f t="shared" si="134"/>
        <v>#VALUE!</v>
      </c>
      <c r="DB109" s="1723" t="str">
        <f t="shared" si="135"/>
        <v xml:space="preserve"> * La variable Usuarios con discapacidad No puede ser mayor al Total Ambos Sexos.</v>
      </c>
      <c r="DC109" s="1723" t="str">
        <f t="shared" si="136"/>
        <v xml:space="preserve"> * La variable Niños, niñas, adolescentes y jóvenes SENAME No puede ser mayor al Total Ambos Sexos.</v>
      </c>
      <c r="DD109" s="1723" t="str">
        <f t="shared" si="137"/>
        <v xml:space="preserve"> * La variable Niños, niñas, adolescentes y jóvenes Mejor Niñez No puede ser mayor al Total Ambos Sexos.</v>
      </c>
      <c r="DE109" s="1723" t="str">
        <f t="shared" si="138"/>
        <v xml:space="preserve"> * La variable Migrantes No puede ser mayor al Total Ambos Sexos.</v>
      </c>
      <c r="DF109"/>
      <c r="DH109" s="1725" t="e">
        <f t="shared" si="148"/>
        <v>#VALUE!</v>
      </c>
      <c r="DI109" s="1725">
        <f t="shared" si="140"/>
        <v>1</v>
      </c>
      <c r="DJ109" s="1725">
        <f t="shared" si="141"/>
        <v>1</v>
      </c>
      <c r="DK109" s="1725" t="e">
        <f t="shared" si="142"/>
        <v>#VALUE!</v>
      </c>
      <c r="DL109" s="1725">
        <f t="shared" si="143"/>
        <v>1</v>
      </c>
      <c r="DM109" s="1725">
        <f t="shared" si="144"/>
        <v>1</v>
      </c>
      <c r="DN109" s="1725">
        <f t="shared" si="145"/>
        <v>1</v>
      </c>
      <c r="DO109" s="1725">
        <f t="shared" si="146"/>
        <v>1</v>
      </c>
    </row>
    <row r="110" spans="1:119" ht="15" customHeight="1" x14ac:dyDescent="0.3">
      <c r="A110" s="6269" t="s">
        <v>4992</v>
      </c>
      <c r="B110" s="7381" t="s">
        <v>793</v>
      </c>
      <c r="C110" s="7382"/>
      <c r="D110" s="7383"/>
      <c r="E110" s="635" t="s">
        <v>5292</v>
      </c>
      <c r="F110" s="785" t="s">
        <v>5293</v>
      </c>
      <c r="G110" s="786" t="s">
        <v>5294</v>
      </c>
      <c r="H110" s="846" t="s">
        <v>5295</v>
      </c>
      <c r="I110" s="848" t="s">
        <v>5296</v>
      </c>
      <c r="J110" s="616" t="s">
        <v>5297</v>
      </c>
      <c r="K110" s="791" t="s">
        <v>5298</v>
      </c>
      <c r="L110" s="616" t="s">
        <v>5299</v>
      </c>
      <c r="M110" s="626" t="s">
        <v>5300</v>
      </c>
      <c r="N110" s="616" t="s">
        <v>5301</v>
      </c>
      <c r="O110" s="626" t="s">
        <v>5302</v>
      </c>
      <c r="P110" s="623" t="s">
        <v>5303</v>
      </c>
      <c r="Q110" s="626" t="s">
        <v>5304</v>
      </c>
      <c r="R110" s="623" t="s">
        <v>5305</v>
      </c>
      <c r="S110" s="626" t="s">
        <v>5306</v>
      </c>
      <c r="T110" s="623" t="s">
        <v>5307</v>
      </c>
      <c r="U110" s="626" t="s">
        <v>5308</v>
      </c>
      <c r="V110" s="623" t="s">
        <v>5309</v>
      </c>
      <c r="W110" s="626" t="s">
        <v>5310</v>
      </c>
      <c r="X110" s="623" t="s">
        <v>5311</v>
      </c>
      <c r="Y110" s="626" t="s">
        <v>5312</v>
      </c>
      <c r="Z110" s="623" t="s">
        <v>5313</v>
      </c>
      <c r="AA110" s="626" t="s">
        <v>5314</v>
      </c>
      <c r="AB110" s="623" t="s">
        <v>5315</v>
      </c>
      <c r="AC110" s="626" t="s">
        <v>5316</v>
      </c>
      <c r="AD110" s="623" t="s">
        <v>5317</v>
      </c>
      <c r="AE110" s="626" t="s">
        <v>5318</v>
      </c>
      <c r="AF110" s="623" t="s">
        <v>5319</v>
      </c>
      <c r="AG110" s="626" t="s">
        <v>5320</v>
      </c>
      <c r="AH110" s="623" t="s">
        <v>5321</v>
      </c>
      <c r="AI110" s="626" t="s">
        <v>5322</v>
      </c>
      <c r="AJ110" s="623" t="s">
        <v>5323</v>
      </c>
      <c r="AK110" s="626" t="s">
        <v>5324</v>
      </c>
      <c r="AL110" s="623" t="s">
        <v>5325</v>
      </c>
      <c r="AM110" s="626" t="s">
        <v>5326</v>
      </c>
      <c r="AN110" s="623" t="s">
        <v>5327</v>
      </c>
      <c r="AO110" s="624" t="s">
        <v>5328</v>
      </c>
      <c r="AP110" s="83" t="s">
        <v>5329</v>
      </c>
      <c r="AQ110" s="83" t="s">
        <v>5330</v>
      </c>
      <c r="AR110" s="644" t="s">
        <v>5331</v>
      </c>
      <c r="AS110" s="644" t="s">
        <v>5332</v>
      </c>
      <c r="AT110" s="644" t="s">
        <v>5333</v>
      </c>
      <c r="AU110" s="83" t="s">
        <v>5334</v>
      </c>
      <c r="AV110" s="83" t="s">
        <v>5335</v>
      </c>
      <c r="AW110" s="83" t="s">
        <v>5336</v>
      </c>
      <c r="AX110" s="83" t="s">
        <v>5337</v>
      </c>
      <c r="AY110" t="e">
        <f t="shared" si="130"/>
        <v>#VALUE!</v>
      </c>
      <c r="CX110" s="1723" t="e">
        <f t="shared" si="131"/>
        <v>#VALUE!</v>
      </c>
      <c r="CY110" s="1723" t="str">
        <f t="shared" si="132"/>
        <v xml:space="preserve"> * Las embarazadas no pueden ser mayor al Total Mujeres.</v>
      </c>
      <c r="CZ110" s="1723" t="str">
        <f t="shared" si="133"/>
        <v xml:space="preserve"> * Los beneficiarios no pueden ser mayor al Total Ambos Sexos.</v>
      </c>
      <c r="DA110" s="1723" t="e">
        <f t="shared" si="134"/>
        <v>#VALUE!</v>
      </c>
      <c r="DB110" s="1723" t="str">
        <f t="shared" si="135"/>
        <v xml:space="preserve"> * La variable Usuarios con discapacidad No puede ser mayor al Total Ambos Sexos.</v>
      </c>
      <c r="DC110" s="1723" t="str">
        <f t="shared" si="136"/>
        <v xml:space="preserve"> * La variable Niños, niñas, adolescentes y jóvenes SENAME No puede ser mayor al Total Ambos Sexos.</v>
      </c>
      <c r="DD110" s="1723" t="str">
        <f t="shared" si="137"/>
        <v xml:space="preserve"> * La variable Niños, niñas, adolescentes y jóvenes Mejor Niñez No puede ser mayor al Total Ambos Sexos.</v>
      </c>
      <c r="DE110" s="1723" t="str">
        <f t="shared" si="138"/>
        <v xml:space="preserve"> * La variable Migrantes No puede ser mayor al Total Ambos Sexos.</v>
      </c>
      <c r="DF110"/>
      <c r="DH110" s="1725" t="e">
        <f t="shared" si="148"/>
        <v>#VALUE!</v>
      </c>
      <c r="DI110" s="1725">
        <f t="shared" si="140"/>
        <v>1</v>
      </c>
      <c r="DJ110" s="1725">
        <f t="shared" si="141"/>
        <v>1</v>
      </c>
      <c r="DK110" s="1725" t="e">
        <f t="shared" si="142"/>
        <v>#VALUE!</v>
      </c>
      <c r="DL110" s="1725">
        <f t="shared" si="143"/>
        <v>1</v>
      </c>
      <c r="DM110" s="1725">
        <f t="shared" si="144"/>
        <v>1</v>
      </c>
      <c r="DN110" s="1725">
        <f t="shared" si="145"/>
        <v>1</v>
      </c>
      <c r="DO110" s="1725">
        <f t="shared" si="146"/>
        <v>1</v>
      </c>
    </row>
    <row r="111" spans="1:119" ht="15" customHeight="1" x14ac:dyDescent="0.3">
      <c r="A111" s="6269" t="s">
        <v>4993</v>
      </c>
      <c r="B111" s="7381" t="s">
        <v>794</v>
      </c>
      <c r="C111" s="7382"/>
      <c r="D111" s="7383"/>
      <c r="E111" s="635" t="s">
        <v>5292</v>
      </c>
      <c r="F111" s="785" t="s">
        <v>5293</v>
      </c>
      <c r="G111" s="786" t="s">
        <v>5294</v>
      </c>
      <c r="H111" s="846" t="s">
        <v>5295</v>
      </c>
      <c r="I111" s="848" t="s">
        <v>5296</v>
      </c>
      <c r="J111" s="616" t="s">
        <v>5297</v>
      </c>
      <c r="K111" s="791" t="s">
        <v>5298</v>
      </c>
      <c r="L111" s="616" t="s">
        <v>5299</v>
      </c>
      <c r="M111" s="626" t="s">
        <v>5300</v>
      </c>
      <c r="N111" s="616" t="s">
        <v>5301</v>
      </c>
      <c r="O111" s="626" t="s">
        <v>5302</v>
      </c>
      <c r="P111" s="623" t="s">
        <v>5303</v>
      </c>
      <c r="Q111" s="626" t="s">
        <v>5304</v>
      </c>
      <c r="R111" s="623" t="s">
        <v>5305</v>
      </c>
      <c r="S111" s="626" t="s">
        <v>5306</v>
      </c>
      <c r="T111" s="623" t="s">
        <v>5307</v>
      </c>
      <c r="U111" s="626" t="s">
        <v>5308</v>
      </c>
      <c r="V111" s="623" t="s">
        <v>5309</v>
      </c>
      <c r="W111" s="626" t="s">
        <v>5310</v>
      </c>
      <c r="X111" s="623" t="s">
        <v>5311</v>
      </c>
      <c r="Y111" s="626" t="s">
        <v>5312</v>
      </c>
      <c r="Z111" s="623" t="s">
        <v>5313</v>
      </c>
      <c r="AA111" s="626" t="s">
        <v>5314</v>
      </c>
      <c r="AB111" s="623" t="s">
        <v>5315</v>
      </c>
      <c r="AC111" s="626" t="s">
        <v>5316</v>
      </c>
      <c r="AD111" s="623" t="s">
        <v>5317</v>
      </c>
      <c r="AE111" s="626" t="s">
        <v>5318</v>
      </c>
      <c r="AF111" s="623" t="s">
        <v>5319</v>
      </c>
      <c r="AG111" s="626" t="s">
        <v>5320</v>
      </c>
      <c r="AH111" s="623" t="s">
        <v>5321</v>
      </c>
      <c r="AI111" s="626" t="s">
        <v>5322</v>
      </c>
      <c r="AJ111" s="623" t="s">
        <v>5323</v>
      </c>
      <c r="AK111" s="626" t="s">
        <v>5324</v>
      </c>
      <c r="AL111" s="623" t="s">
        <v>5325</v>
      </c>
      <c r="AM111" s="626" t="s">
        <v>5326</v>
      </c>
      <c r="AN111" s="623" t="s">
        <v>5327</v>
      </c>
      <c r="AO111" s="624" t="s">
        <v>5328</v>
      </c>
      <c r="AP111" s="83" t="s">
        <v>5329</v>
      </c>
      <c r="AQ111" s="83" t="s">
        <v>5330</v>
      </c>
      <c r="AR111" s="644" t="s">
        <v>5331</v>
      </c>
      <c r="AS111" s="644" t="s">
        <v>5332</v>
      </c>
      <c r="AT111" s="644" t="s">
        <v>5333</v>
      </c>
      <c r="AU111" s="83" t="s">
        <v>5334</v>
      </c>
      <c r="AV111" s="83" t="s">
        <v>5335</v>
      </c>
      <c r="AW111" s="83" t="s">
        <v>5336</v>
      </c>
      <c r="AX111" s="83" t="s">
        <v>5337</v>
      </c>
      <c r="AY111" t="e">
        <f t="shared" si="130"/>
        <v>#VALUE!</v>
      </c>
      <c r="CX111" s="1723" t="e">
        <f t="shared" si="131"/>
        <v>#VALUE!</v>
      </c>
      <c r="CY111" s="1723" t="str">
        <f t="shared" si="132"/>
        <v xml:space="preserve"> * Las embarazadas no pueden ser mayor al Total Mujeres.</v>
      </c>
      <c r="CZ111" s="1723" t="str">
        <f t="shared" si="133"/>
        <v xml:space="preserve"> * Los beneficiarios no pueden ser mayor al Total Ambos Sexos.</v>
      </c>
      <c r="DA111" s="1723" t="e">
        <f t="shared" si="134"/>
        <v>#VALUE!</v>
      </c>
      <c r="DB111" s="1723" t="str">
        <f t="shared" si="135"/>
        <v xml:space="preserve"> * La variable Usuarios con discapacidad No puede ser mayor al Total Ambos Sexos.</v>
      </c>
      <c r="DC111" s="1723" t="str">
        <f t="shared" si="136"/>
        <v xml:space="preserve"> * La variable Niños, niñas, adolescentes y jóvenes SENAME No puede ser mayor al Total Ambos Sexos.</v>
      </c>
      <c r="DD111" s="1723" t="str">
        <f t="shared" si="137"/>
        <v xml:space="preserve"> * La variable Niños, niñas, adolescentes y jóvenes Mejor Niñez No puede ser mayor al Total Ambos Sexos.</v>
      </c>
      <c r="DE111" s="1723" t="str">
        <f t="shared" si="138"/>
        <v xml:space="preserve"> * La variable Migrantes No puede ser mayor al Total Ambos Sexos.</v>
      </c>
      <c r="DF111"/>
      <c r="DH111" s="1725" t="e">
        <f t="shared" si="148"/>
        <v>#VALUE!</v>
      </c>
      <c r="DI111" s="1725">
        <f t="shared" si="140"/>
        <v>1</v>
      </c>
      <c r="DJ111" s="1725">
        <f t="shared" si="141"/>
        <v>1</v>
      </c>
      <c r="DK111" s="1725" t="e">
        <f t="shared" si="142"/>
        <v>#VALUE!</v>
      </c>
      <c r="DL111" s="1725">
        <f t="shared" si="143"/>
        <v>1</v>
      </c>
      <c r="DM111" s="1725">
        <f t="shared" si="144"/>
        <v>1</v>
      </c>
      <c r="DN111" s="1725">
        <f t="shared" si="145"/>
        <v>1</v>
      </c>
      <c r="DO111" s="1725">
        <f t="shared" si="146"/>
        <v>1</v>
      </c>
    </row>
    <row r="112" spans="1:119" ht="15" customHeight="1" x14ac:dyDescent="0.3">
      <c r="A112" s="6269" t="s">
        <v>4994</v>
      </c>
      <c r="B112" s="7381" t="s">
        <v>795</v>
      </c>
      <c r="C112" s="7382"/>
      <c r="D112" s="7383"/>
      <c r="E112" s="635" t="s">
        <v>5292</v>
      </c>
      <c r="F112" s="785" t="s">
        <v>5293</v>
      </c>
      <c r="G112" s="786" t="s">
        <v>5294</v>
      </c>
      <c r="H112" s="846" t="s">
        <v>5295</v>
      </c>
      <c r="I112" s="848" t="s">
        <v>5296</v>
      </c>
      <c r="J112" s="616" t="s">
        <v>5297</v>
      </c>
      <c r="K112" s="791" t="s">
        <v>5298</v>
      </c>
      <c r="L112" s="616" t="s">
        <v>5299</v>
      </c>
      <c r="M112" s="626" t="s">
        <v>5300</v>
      </c>
      <c r="N112" s="616" t="s">
        <v>5301</v>
      </c>
      <c r="O112" s="626" t="s">
        <v>5302</v>
      </c>
      <c r="P112" s="623" t="s">
        <v>5303</v>
      </c>
      <c r="Q112" s="626" t="s">
        <v>5304</v>
      </c>
      <c r="R112" s="623" t="s">
        <v>5305</v>
      </c>
      <c r="S112" s="626" t="s">
        <v>5306</v>
      </c>
      <c r="T112" s="623" t="s">
        <v>5307</v>
      </c>
      <c r="U112" s="626" t="s">
        <v>5308</v>
      </c>
      <c r="V112" s="623" t="s">
        <v>5309</v>
      </c>
      <c r="W112" s="626" t="s">
        <v>5310</v>
      </c>
      <c r="X112" s="623" t="s">
        <v>5311</v>
      </c>
      <c r="Y112" s="626" t="s">
        <v>5312</v>
      </c>
      <c r="Z112" s="623" t="s">
        <v>5313</v>
      </c>
      <c r="AA112" s="626" t="s">
        <v>5314</v>
      </c>
      <c r="AB112" s="623" t="s">
        <v>5315</v>
      </c>
      <c r="AC112" s="626" t="s">
        <v>5316</v>
      </c>
      <c r="AD112" s="623" t="s">
        <v>5317</v>
      </c>
      <c r="AE112" s="626" t="s">
        <v>5318</v>
      </c>
      <c r="AF112" s="623" t="s">
        <v>5319</v>
      </c>
      <c r="AG112" s="626" t="s">
        <v>5320</v>
      </c>
      <c r="AH112" s="623" t="s">
        <v>5321</v>
      </c>
      <c r="AI112" s="626" t="s">
        <v>5322</v>
      </c>
      <c r="AJ112" s="623" t="s">
        <v>5323</v>
      </c>
      <c r="AK112" s="626" t="s">
        <v>5324</v>
      </c>
      <c r="AL112" s="623" t="s">
        <v>5325</v>
      </c>
      <c r="AM112" s="626" t="s">
        <v>5326</v>
      </c>
      <c r="AN112" s="623" t="s">
        <v>5327</v>
      </c>
      <c r="AO112" s="624" t="s">
        <v>5328</v>
      </c>
      <c r="AP112" s="83" t="s">
        <v>5329</v>
      </c>
      <c r="AQ112" s="83" t="s">
        <v>5330</v>
      </c>
      <c r="AR112" s="644" t="s">
        <v>5331</v>
      </c>
      <c r="AS112" s="644" t="s">
        <v>5332</v>
      </c>
      <c r="AT112" s="644" t="s">
        <v>5333</v>
      </c>
      <c r="AU112" s="83" t="s">
        <v>5334</v>
      </c>
      <c r="AV112" s="83" t="s">
        <v>5335</v>
      </c>
      <c r="AW112" s="83" t="s">
        <v>5336</v>
      </c>
      <c r="AX112" s="83" t="s">
        <v>5337</v>
      </c>
      <c r="AY112" t="e">
        <f t="shared" si="130"/>
        <v>#VALUE!</v>
      </c>
      <c r="CX112" s="1723" t="e">
        <f t="shared" si="131"/>
        <v>#VALUE!</v>
      </c>
      <c r="CY112" s="1723" t="str">
        <f t="shared" si="132"/>
        <v xml:space="preserve"> * Las embarazadas no pueden ser mayor al Total Mujeres.</v>
      </c>
      <c r="CZ112" s="1723" t="str">
        <f t="shared" si="133"/>
        <v xml:space="preserve"> * Los beneficiarios no pueden ser mayor al Total Ambos Sexos.</v>
      </c>
      <c r="DA112" s="1723" t="e">
        <f t="shared" si="134"/>
        <v>#VALUE!</v>
      </c>
      <c r="DB112" s="1723" t="str">
        <f t="shared" si="135"/>
        <v xml:space="preserve"> * La variable Usuarios con discapacidad No puede ser mayor al Total Ambos Sexos.</v>
      </c>
      <c r="DC112" s="1723" t="str">
        <f t="shared" si="136"/>
        <v xml:space="preserve"> * La variable Niños, niñas, adolescentes y jóvenes SENAME No puede ser mayor al Total Ambos Sexos.</v>
      </c>
      <c r="DD112" s="1723" t="str">
        <f t="shared" si="137"/>
        <v xml:space="preserve"> * La variable Niños, niñas, adolescentes y jóvenes Mejor Niñez No puede ser mayor al Total Ambos Sexos.</v>
      </c>
      <c r="DE112" s="1723" t="str">
        <f t="shared" si="138"/>
        <v xml:space="preserve"> * La variable Migrantes No puede ser mayor al Total Ambos Sexos.</v>
      </c>
      <c r="DF112"/>
      <c r="DH112" s="1725" t="e">
        <f t="shared" si="148"/>
        <v>#VALUE!</v>
      </c>
      <c r="DI112" s="1725">
        <f t="shared" si="140"/>
        <v>1</v>
      </c>
      <c r="DJ112" s="1725">
        <f t="shared" si="141"/>
        <v>1</v>
      </c>
      <c r="DK112" s="1725" t="e">
        <f t="shared" si="142"/>
        <v>#VALUE!</v>
      </c>
      <c r="DL112" s="1725">
        <f t="shared" si="143"/>
        <v>1</v>
      </c>
      <c r="DM112" s="1725">
        <f t="shared" si="144"/>
        <v>1</v>
      </c>
      <c r="DN112" s="1725">
        <f t="shared" si="145"/>
        <v>1</v>
      </c>
      <c r="DO112" s="1725">
        <f t="shared" si="146"/>
        <v>1</v>
      </c>
    </row>
    <row r="113" spans="1:119" ht="15" customHeight="1" x14ac:dyDescent="0.3">
      <c r="A113" s="6269" t="s">
        <v>4995</v>
      </c>
      <c r="B113" s="7381" t="s">
        <v>796</v>
      </c>
      <c r="C113" s="7382"/>
      <c r="D113" s="7383"/>
      <c r="E113" s="635" t="s">
        <v>5292</v>
      </c>
      <c r="F113" s="785" t="s">
        <v>5293</v>
      </c>
      <c r="G113" s="786" t="s">
        <v>5294</v>
      </c>
      <c r="H113" s="846" t="s">
        <v>5295</v>
      </c>
      <c r="I113" s="848" t="s">
        <v>5296</v>
      </c>
      <c r="J113" s="616" t="s">
        <v>5297</v>
      </c>
      <c r="K113" s="791" t="s">
        <v>5298</v>
      </c>
      <c r="L113" s="616" t="s">
        <v>5299</v>
      </c>
      <c r="M113" s="626" t="s">
        <v>5300</v>
      </c>
      <c r="N113" s="616" t="s">
        <v>5301</v>
      </c>
      <c r="O113" s="626" t="s">
        <v>5302</v>
      </c>
      <c r="P113" s="623" t="s">
        <v>5303</v>
      </c>
      <c r="Q113" s="626" t="s">
        <v>5304</v>
      </c>
      <c r="R113" s="623" t="s">
        <v>5305</v>
      </c>
      <c r="S113" s="626" t="s">
        <v>5306</v>
      </c>
      <c r="T113" s="623" t="s">
        <v>5307</v>
      </c>
      <c r="U113" s="626" t="s">
        <v>5308</v>
      </c>
      <c r="V113" s="623" t="s">
        <v>5309</v>
      </c>
      <c r="W113" s="626" t="s">
        <v>5310</v>
      </c>
      <c r="X113" s="623" t="s">
        <v>5311</v>
      </c>
      <c r="Y113" s="626" t="s">
        <v>5312</v>
      </c>
      <c r="Z113" s="623" t="s">
        <v>5313</v>
      </c>
      <c r="AA113" s="626" t="s">
        <v>5314</v>
      </c>
      <c r="AB113" s="623" t="s">
        <v>5315</v>
      </c>
      <c r="AC113" s="626" t="s">
        <v>5316</v>
      </c>
      <c r="AD113" s="623" t="s">
        <v>5317</v>
      </c>
      <c r="AE113" s="626" t="s">
        <v>5318</v>
      </c>
      <c r="AF113" s="623" t="s">
        <v>5319</v>
      </c>
      <c r="AG113" s="626" t="s">
        <v>5320</v>
      </c>
      <c r="AH113" s="623" t="s">
        <v>5321</v>
      </c>
      <c r="AI113" s="626" t="s">
        <v>5322</v>
      </c>
      <c r="AJ113" s="623" t="s">
        <v>5323</v>
      </c>
      <c r="AK113" s="626" t="s">
        <v>5324</v>
      </c>
      <c r="AL113" s="623" t="s">
        <v>5325</v>
      </c>
      <c r="AM113" s="626" t="s">
        <v>5326</v>
      </c>
      <c r="AN113" s="623" t="s">
        <v>5327</v>
      </c>
      <c r="AO113" s="624" t="s">
        <v>5328</v>
      </c>
      <c r="AP113" s="83" t="s">
        <v>5329</v>
      </c>
      <c r="AQ113" s="83" t="s">
        <v>5330</v>
      </c>
      <c r="AR113" s="644" t="s">
        <v>5331</v>
      </c>
      <c r="AS113" s="644" t="s">
        <v>5332</v>
      </c>
      <c r="AT113" s="644" t="s">
        <v>5333</v>
      </c>
      <c r="AU113" s="83" t="s">
        <v>5334</v>
      </c>
      <c r="AV113" s="83" t="s">
        <v>5335</v>
      </c>
      <c r="AW113" s="83" t="s">
        <v>5336</v>
      </c>
      <c r="AX113" s="83" t="s">
        <v>5337</v>
      </c>
      <c r="AY113" t="e">
        <f t="shared" si="130"/>
        <v>#VALUE!</v>
      </c>
      <c r="CX113" s="1723" t="e">
        <f t="shared" si="131"/>
        <v>#VALUE!</v>
      </c>
      <c r="CY113" s="1723" t="str">
        <f t="shared" si="132"/>
        <v xml:space="preserve"> * Las embarazadas no pueden ser mayor al Total Mujeres.</v>
      </c>
      <c r="CZ113" s="1723" t="str">
        <f t="shared" si="133"/>
        <v xml:space="preserve"> * Los beneficiarios no pueden ser mayor al Total Ambos Sexos.</v>
      </c>
      <c r="DA113" s="1723" t="e">
        <f t="shared" si="134"/>
        <v>#VALUE!</v>
      </c>
      <c r="DB113" s="1723" t="str">
        <f t="shared" si="135"/>
        <v xml:space="preserve"> * La variable Usuarios con discapacidad No puede ser mayor al Total Ambos Sexos.</v>
      </c>
      <c r="DC113" s="1723" t="str">
        <f t="shared" si="136"/>
        <v xml:space="preserve"> * La variable Niños, niñas, adolescentes y jóvenes SENAME No puede ser mayor al Total Ambos Sexos.</v>
      </c>
      <c r="DD113" s="1723" t="str">
        <f t="shared" si="137"/>
        <v xml:space="preserve"> * La variable Niños, niñas, adolescentes y jóvenes Mejor Niñez No puede ser mayor al Total Ambos Sexos.</v>
      </c>
      <c r="DE113" s="1723" t="str">
        <f t="shared" si="138"/>
        <v xml:space="preserve"> * La variable Migrantes No puede ser mayor al Total Ambos Sexos.</v>
      </c>
      <c r="DF113"/>
      <c r="DH113" s="1725" t="e">
        <f t="shared" si="148"/>
        <v>#VALUE!</v>
      </c>
      <c r="DI113" s="1725">
        <f t="shared" si="140"/>
        <v>1</v>
      </c>
      <c r="DJ113" s="1725">
        <f t="shared" si="141"/>
        <v>1</v>
      </c>
      <c r="DK113" s="1725" t="e">
        <f t="shared" si="142"/>
        <v>#VALUE!</v>
      </c>
      <c r="DL113" s="1725">
        <f t="shared" si="143"/>
        <v>1</v>
      </c>
      <c r="DM113" s="1725">
        <f t="shared" si="144"/>
        <v>1</v>
      </c>
      <c r="DN113" s="1725">
        <f t="shared" si="145"/>
        <v>1</v>
      </c>
      <c r="DO113" s="1725">
        <f t="shared" si="146"/>
        <v>1</v>
      </c>
    </row>
    <row r="114" spans="1:119" ht="15" customHeight="1" x14ac:dyDescent="0.3">
      <c r="A114" s="6269" t="s">
        <v>4996</v>
      </c>
      <c r="B114" s="7387" t="s">
        <v>797</v>
      </c>
      <c r="C114" s="7387"/>
      <c r="D114" s="7387"/>
      <c r="E114" s="635" t="s">
        <v>5292</v>
      </c>
      <c r="F114" s="785" t="s">
        <v>5293</v>
      </c>
      <c r="G114" s="786" t="s">
        <v>5294</v>
      </c>
      <c r="H114" s="789" t="s">
        <v>5295</v>
      </c>
      <c r="I114" s="790" t="s">
        <v>5296</v>
      </c>
      <c r="J114" s="789" t="s">
        <v>5297</v>
      </c>
      <c r="K114" s="847" t="s">
        <v>5298</v>
      </c>
      <c r="L114" s="789" t="s">
        <v>5299</v>
      </c>
      <c r="M114" s="790" t="s">
        <v>5300</v>
      </c>
      <c r="N114" s="789" t="s">
        <v>5301</v>
      </c>
      <c r="O114" s="790" t="s">
        <v>5302</v>
      </c>
      <c r="P114" s="800" t="s">
        <v>5303</v>
      </c>
      <c r="Q114" s="790" t="s">
        <v>5304</v>
      </c>
      <c r="R114" s="800" t="s">
        <v>5305</v>
      </c>
      <c r="S114" s="790" t="s">
        <v>5306</v>
      </c>
      <c r="T114" s="623" t="s">
        <v>5307</v>
      </c>
      <c r="U114" s="626" t="s">
        <v>5308</v>
      </c>
      <c r="V114" s="623" t="s">
        <v>5309</v>
      </c>
      <c r="W114" s="626" t="s">
        <v>5310</v>
      </c>
      <c r="X114" s="623" t="s">
        <v>5311</v>
      </c>
      <c r="Y114" s="626" t="s">
        <v>5312</v>
      </c>
      <c r="Z114" s="623" t="s">
        <v>5313</v>
      </c>
      <c r="AA114" s="626" t="s">
        <v>5314</v>
      </c>
      <c r="AB114" s="623" t="s">
        <v>5315</v>
      </c>
      <c r="AC114" s="626" t="s">
        <v>5316</v>
      </c>
      <c r="AD114" s="623" t="s">
        <v>5317</v>
      </c>
      <c r="AE114" s="626" t="s">
        <v>5318</v>
      </c>
      <c r="AF114" s="623" t="s">
        <v>5319</v>
      </c>
      <c r="AG114" s="626" t="s">
        <v>5320</v>
      </c>
      <c r="AH114" s="623" t="s">
        <v>5321</v>
      </c>
      <c r="AI114" s="626" t="s">
        <v>5322</v>
      </c>
      <c r="AJ114" s="623" t="s">
        <v>5323</v>
      </c>
      <c r="AK114" s="626" t="s">
        <v>5324</v>
      </c>
      <c r="AL114" s="623" t="s">
        <v>5325</v>
      </c>
      <c r="AM114" s="626" t="s">
        <v>5326</v>
      </c>
      <c r="AN114" s="623" t="s">
        <v>5327</v>
      </c>
      <c r="AO114" s="624" t="s">
        <v>5328</v>
      </c>
      <c r="AP114" s="83" t="s">
        <v>5329</v>
      </c>
      <c r="AQ114" s="83" t="s">
        <v>5330</v>
      </c>
      <c r="AR114" s="644" t="s">
        <v>5331</v>
      </c>
      <c r="AS114" s="644" t="s">
        <v>5332</v>
      </c>
      <c r="AT114" s="644" t="s">
        <v>5333</v>
      </c>
      <c r="AU114" s="83" t="s">
        <v>5334</v>
      </c>
      <c r="AV114" s="83" t="s">
        <v>5335</v>
      </c>
      <c r="AW114" s="83" t="s">
        <v>5336</v>
      </c>
      <c r="AX114" s="83" t="s">
        <v>5337</v>
      </c>
      <c r="AY114" t="e">
        <f t="shared" si="130"/>
        <v>#VALUE!</v>
      </c>
      <c r="CX114" s="1723" t="e">
        <f t="shared" si="131"/>
        <v>#VALUE!</v>
      </c>
      <c r="CY114" s="1723" t="str">
        <f t="shared" si="132"/>
        <v xml:space="preserve"> * Las embarazadas no pueden ser mayor al Total Mujeres.</v>
      </c>
      <c r="CZ114" s="1723" t="str">
        <f t="shared" si="133"/>
        <v xml:space="preserve"> * Los beneficiarios no pueden ser mayor al Total Ambos Sexos.</v>
      </c>
      <c r="DA114" s="1723" t="e">
        <f t="shared" si="134"/>
        <v>#VALUE!</v>
      </c>
      <c r="DB114" s="1723" t="str">
        <f t="shared" si="135"/>
        <v xml:space="preserve"> * La variable Usuarios con discapacidad No puede ser mayor al Total Ambos Sexos.</v>
      </c>
      <c r="DC114" s="1723" t="str">
        <f t="shared" si="136"/>
        <v xml:space="preserve"> * La variable Niños, niñas, adolescentes y jóvenes SENAME No puede ser mayor al Total Ambos Sexos.</v>
      </c>
      <c r="DD114" s="1723" t="str">
        <f t="shared" si="137"/>
        <v xml:space="preserve"> * La variable Niños, niñas, adolescentes y jóvenes Mejor Niñez No puede ser mayor al Total Ambos Sexos.</v>
      </c>
      <c r="DE114" s="1723" t="str">
        <f t="shared" si="138"/>
        <v xml:space="preserve"> * La variable Migrantes No puede ser mayor al Total Ambos Sexos.</v>
      </c>
      <c r="DF114"/>
      <c r="DH114" s="1725" t="e">
        <f t="shared" si="148"/>
        <v>#VALUE!</v>
      </c>
      <c r="DI114" s="1725">
        <f t="shared" si="140"/>
        <v>1</v>
      </c>
      <c r="DJ114" s="1725">
        <f t="shared" si="141"/>
        <v>1</v>
      </c>
      <c r="DK114" s="1725" t="e">
        <f t="shared" si="142"/>
        <v>#VALUE!</v>
      </c>
      <c r="DL114" s="1725">
        <f t="shared" si="143"/>
        <v>1</v>
      </c>
      <c r="DM114" s="1725">
        <f t="shared" si="144"/>
        <v>1</v>
      </c>
      <c r="DN114" s="1725">
        <f t="shared" si="145"/>
        <v>1</v>
      </c>
      <c r="DO114" s="1725">
        <f t="shared" si="146"/>
        <v>1</v>
      </c>
    </row>
    <row r="115" spans="1:119" ht="15" customHeight="1" x14ac:dyDescent="0.3">
      <c r="A115" s="6269" t="s">
        <v>4997</v>
      </c>
      <c r="B115" s="7387" t="s">
        <v>798</v>
      </c>
      <c r="C115" s="7387"/>
      <c r="D115" s="7387"/>
      <c r="E115" s="635" t="s">
        <v>5292</v>
      </c>
      <c r="F115" s="785" t="s">
        <v>5293</v>
      </c>
      <c r="G115" s="786" t="s">
        <v>5294</v>
      </c>
      <c r="H115" s="840" t="s">
        <v>5295</v>
      </c>
      <c r="I115" s="841" t="s">
        <v>5296</v>
      </c>
      <c r="J115" s="840" t="s">
        <v>5297</v>
      </c>
      <c r="K115" s="842" t="s">
        <v>5298</v>
      </c>
      <c r="L115" s="840" t="s">
        <v>5299</v>
      </c>
      <c r="M115" s="841" t="s">
        <v>5300</v>
      </c>
      <c r="N115" s="840" t="s">
        <v>5301</v>
      </c>
      <c r="O115" s="841" t="s">
        <v>5302</v>
      </c>
      <c r="P115" s="627" t="s">
        <v>5303</v>
      </c>
      <c r="Q115" s="841" t="s">
        <v>5304</v>
      </c>
      <c r="R115" s="627" t="s">
        <v>5305</v>
      </c>
      <c r="S115" s="841" t="s">
        <v>5306</v>
      </c>
      <c r="T115" s="623" t="s">
        <v>5307</v>
      </c>
      <c r="U115" s="626" t="s">
        <v>5308</v>
      </c>
      <c r="V115" s="623" t="s">
        <v>5309</v>
      </c>
      <c r="W115" s="626" t="s">
        <v>5310</v>
      </c>
      <c r="X115" s="623" t="s">
        <v>5311</v>
      </c>
      <c r="Y115" s="626" t="s">
        <v>5312</v>
      </c>
      <c r="Z115" s="623" t="s">
        <v>5313</v>
      </c>
      <c r="AA115" s="626" t="s">
        <v>5314</v>
      </c>
      <c r="AB115" s="623" t="s">
        <v>5315</v>
      </c>
      <c r="AC115" s="626" t="s">
        <v>5316</v>
      </c>
      <c r="AD115" s="623" t="s">
        <v>5317</v>
      </c>
      <c r="AE115" s="626" t="s">
        <v>5318</v>
      </c>
      <c r="AF115" s="623" t="s">
        <v>5319</v>
      </c>
      <c r="AG115" s="626" t="s">
        <v>5320</v>
      </c>
      <c r="AH115" s="623" t="s">
        <v>5321</v>
      </c>
      <c r="AI115" s="626" t="s">
        <v>5322</v>
      </c>
      <c r="AJ115" s="623" t="s">
        <v>5323</v>
      </c>
      <c r="AK115" s="626" t="s">
        <v>5324</v>
      </c>
      <c r="AL115" s="623" t="s">
        <v>5325</v>
      </c>
      <c r="AM115" s="626" t="s">
        <v>5326</v>
      </c>
      <c r="AN115" s="623" t="s">
        <v>5327</v>
      </c>
      <c r="AO115" s="624" t="s">
        <v>5328</v>
      </c>
      <c r="AP115" s="83" t="s">
        <v>5329</v>
      </c>
      <c r="AQ115" s="83" t="s">
        <v>5330</v>
      </c>
      <c r="AR115" s="644" t="s">
        <v>5331</v>
      </c>
      <c r="AS115" s="644" t="s">
        <v>5332</v>
      </c>
      <c r="AT115" s="644" t="s">
        <v>5333</v>
      </c>
      <c r="AU115" s="83" t="s">
        <v>5334</v>
      </c>
      <c r="AV115" s="83" t="s">
        <v>5335</v>
      </c>
      <c r="AW115" s="83" t="s">
        <v>5336</v>
      </c>
      <c r="AX115" s="83" t="s">
        <v>5337</v>
      </c>
      <c r="AY115" t="e">
        <f t="shared" si="130"/>
        <v>#VALUE!</v>
      </c>
      <c r="CX115" s="1723" t="e">
        <f t="shared" si="131"/>
        <v>#VALUE!</v>
      </c>
      <c r="CY115" s="1723" t="str">
        <f t="shared" si="132"/>
        <v xml:space="preserve"> * Las embarazadas no pueden ser mayor al Total Mujeres.</v>
      </c>
      <c r="CZ115" s="1723" t="str">
        <f t="shared" si="133"/>
        <v xml:space="preserve"> * Los beneficiarios no pueden ser mayor al Total Ambos Sexos.</v>
      </c>
      <c r="DA115" s="1723" t="e">
        <f t="shared" si="134"/>
        <v>#VALUE!</v>
      </c>
      <c r="DB115" s="1723" t="str">
        <f t="shared" si="135"/>
        <v xml:space="preserve"> * La variable Usuarios con discapacidad No puede ser mayor al Total Ambos Sexos.</v>
      </c>
      <c r="DC115" s="1723" t="str">
        <f t="shared" si="136"/>
        <v xml:space="preserve"> * La variable Niños, niñas, adolescentes y jóvenes SENAME No puede ser mayor al Total Ambos Sexos.</v>
      </c>
      <c r="DD115" s="1723" t="str">
        <f t="shared" si="137"/>
        <v xml:space="preserve"> * La variable Niños, niñas, adolescentes y jóvenes Mejor Niñez No puede ser mayor al Total Ambos Sexos.</v>
      </c>
      <c r="DE115" s="1723" t="str">
        <f t="shared" si="138"/>
        <v xml:space="preserve"> * La variable Migrantes No puede ser mayor al Total Ambos Sexos.</v>
      </c>
      <c r="DF115"/>
      <c r="DH115" s="1725" t="e">
        <f t="shared" si="148"/>
        <v>#VALUE!</v>
      </c>
      <c r="DI115" s="1725">
        <f t="shared" si="140"/>
        <v>1</v>
      </c>
      <c r="DJ115" s="1725">
        <f t="shared" si="141"/>
        <v>1</v>
      </c>
      <c r="DK115" s="1725" t="e">
        <f t="shared" si="142"/>
        <v>#VALUE!</v>
      </c>
      <c r="DL115" s="1725">
        <f t="shared" si="143"/>
        <v>1</v>
      </c>
      <c r="DM115" s="1725">
        <f t="shared" si="144"/>
        <v>1</v>
      </c>
      <c r="DN115" s="1725">
        <f t="shared" si="145"/>
        <v>1</v>
      </c>
      <c r="DO115" s="1725">
        <f t="shared" si="146"/>
        <v>1</v>
      </c>
    </row>
    <row r="116" spans="1:119" ht="15" customHeight="1" x14ac:dyDescent="0.3">
      <c r="A116" s="6269" t="s">
        <v>4998</v>
      </c>
      <c r="B116" s="7381" t="s">
        <v>799</v>
      </c>
      <c r="C116" s="7382"/>
      <c r="D116" s="7383"/>
      <c r="E116" s="635" t="s">
        <v>5292</v>
      </c>
      <c r="F116" s="785" t="s">
        <v>5293</v>
      </c>
      <c r="G116" s="786" t="s">
        <v>5294</v>
      </c>
      <c r="H116" s="840" t="s">
        <v>5295</v>
      </c>
      <c r="I116" s="841" t="s">
        <v>5296</v>
      </c>
      <c r="J116" s="840" t="s">
        <v>5297</v>
      </c>
      <c r="K116" s="842" t="s">
        <v>5298</v>
      </c>
      <c r="L116" s="840" t="s">
        <v>5299</v>
      </c>
      <c r="M116" s="841" t="s">
        <v>5300</v>
      </c>
      <c r="N116" s="840" t="s">
        <v>5301</v>
      </c>
      <c r="O116" s="841" t="s">
        <v>5302</v>
      </c>
      <c r="P116" s="627" t="s">
        <v>5303</v>
      </c>
      <c r="Q116" s="841" t="s">
        <v>5304</v>
      </c>
      <c r="R116" s="627" t="s">
        <v>5305</v>
      </c>
      <c r="S116" s="841" t="s">
        <v>5306</v>
      </c>
      <c r="T116" s="627" t="s">
        <v>5307</v>
      </c>
      <c r="U116" s="841" t="s">
        <v>5308</v>
      </c>
      <c r="V116" s="623" t="s">
        <v>5309</v>
      </c>
      <c r="W116" s="626" t="s">
        <v>5310</v>
      </c>
      <c r="X116" s="623" t="s">
        <v>5311</v>
      </c>
      <c r="Y116" s="626" t="s">
        <v>5312</v>
      </c>
      <c r="Z116" s="623" t="s">
        <v>5313</v>
      </c>
      <c r="AA116" s="626" t="s">
        <v>5314</v>
      </c>
      <c r="AB116" s="623" t="s">
        <v>5315</v>
      </c>
      <c r="AC116" s="626" t="s">
        <v>5316</v>
      </c>
      <c r="AD116" s="623" t="s">
        <v>5317</v>
      </c>
      <c r="AE116" s="626" t="s">
        <v>5318</v>
      </c>
      <c r="AF116" s="623" t="s">
        <v>5319</v>
      </c>
      <c r="AG116" s="626" t="s">
        <v>5320</v>
      </c>
      <c r="AH116" s="623" t="s">
        <v>5321</v>
      </c>
      <c r="AI116" s="626" t="s">
        <v>5322</v>
      </c>
      <c r="AJ116" s="623" t="s">
        <v>5323</v>
      </c>
      <c r="AK116" s="626" t="s">
        <v>5324</v>
      </c>
      <c r="AL116" s="623" t="s">
        <v>5325</v>
      </c>
      <c r="AM116" s="626" t="s">
        <v>5326</v>
      </c>
      <c r="AN116" s="623" t="s">
        <v>5327</v>
      </c>
      <c r="AO116" s="624" t="s">
        <v>5328</v>
      </c>
      <c r="AP116" s="83" t="s">
        <v>5329</v>
      </c>
      <c r="AQ116" s="83" t="s">
        <v>5330</v>
      </c>
      <c r="AR116" s="644" t="s">
        <v>5331</v>
      </c>
      <c r="AS116" s="644" t="s">
        <v>5332</v>
      </c>
      <c r="AT116" s="644" t="s">
        <v>5333</v>
      </c>
      <c r="AU116" s="83" t="s">
        <v>5334</v>
      </c>
      <c r="AV116" s="83" t="s">
        <v>5335</v>
      </c>
      <c r="AW116" s="83" t="s">
        <v>5336</v>
      </c>
      <c r="AX116" s="83" t="s">
        <v>5337</v>
      </c>
      <c r="AY116" t="e">
        <f t="shared" si="130"/>
        <v>#VALUE!</v>
      </c>
      <c r="CX116" s="1723" t="e">
        <f t="shared" si="131"/>
        <v>#VALUE!</v>
      </c>
      <c r="CY116" s="1723" t="str">
        <f t="shared" si="132"/>
        <v xml:space="preserve"> * Las embarazadas no pueden ser mayor al Total Mujeres.</v>
      </c>
      <c r="CZ116" s="1723" t="str">
        <f t="shared" si="133"/>
        <v xml:space="preserve"> * Los beneficiarios no pueden ser mayor al Total Ambos Sexos.</v>
      </c>
      <c r="DA116" s="1723" t="e">
        <f t="shared" si="134"/>
        <v>#VALUE!</v>
      </c>
      <c r="DB116" s="1723" t="str">
        <f t="shared" si="135"/>
        <v xml:space="preserve"> * La variable Usuarios con discapacidad No puede ser mayor al Total Ambos Sexos.</v>
      </c>
      <c r="DC116" s="1723" t="str">
        <f t="shared" si="136"/>
        <v xml:space="preserve"> * La variable Niños, niñas, adolescentes y jóvenes SENAME No puede ser mayor al Total Ambos Sexos.</v>
      </c>
      <c r="DD116" s="1723" t="str">
        <f t="shared" si="137"/>
        <v xml:space="preserve"> * La variable Niños, niñas, adolescentes y jóvenes Mejor Niñez No puede ser mayor al Total Ambos Sexos.</v>
      </c>
      <c r="DE116" s="1723" t="str">
        <f t="shared" si="138"/>
        <v xml:space="preserve"> * La variable Migrantes No puede ser mayor al Total Ambos Sexos.</v>
      </c>
      <c r="DF116"/>
      <c r="DH116" s="1725" t="e">
        <f t="shared" si="148"/>
        <v>#VALUE!</v>
      </c>
      <c r="DI116" s="1725">
        <f t="shared" si="140"/>
        <v>1</v>
      </c>
      <c r="DJ116" s="1725">
        <f t="shared" si="141"/>
        <v>1</v>
      </c>
      <c r="DK116" s="1725" t="e">
        <f t="shared" si="142"/>
        <v>#VALUE!</v>
      </c>
      <c r="DL116" s="1725">
        <f t="shared" si="143"/>
        <v>1</v>
      </c>
      <c r="DM116" s="1725">
        <f t="shared" si="144"/>
        <v>1</v>
      </c>
      <c r="DN116" s="1725">
        <f t="shared" si="145"/>
        <v>1</v>
      </c>
      <c r="DO116" s="1725">
        <f t="shared" si="146"/>
        <v>1</v>
      </c>
    </row>
    <row r="117" spans="1:119" ht="15" customHeight="1" x14ac:dyDescent="0.3">
      <c r="A117" s="6269" t="s">
        <v>4999</v>
      </c>
      <c r="B117" s="7381" t="s">
        <v>800</v>
      </c>
      <c r="C117" s="7382"/>
      <c r="D117" s="7383"/>
      <c r="E117" s="635" t="s">
        <v>5292</v>
      </c>
      <c r="F117" s="785" t="s">
        <v>5293</v>
      </c>
      <c r="G117" s="786" t="s">
        <v>5294</v>
      </c>
      <c r="H117" s="840" t="s">
        <v>5295</v>
      </c>
      <c r="I117" s="841" t="s">
        <v>5296</v>
      </c>
      <c r="J117" s="840" t="s">
        <v>5297</v>
      </c>
      <c r="K117" s="842" t="s">
        <v>5298</v>
      </c>
      <c r="L117" s="840" t="s">
        <v>5299</v>
      </c>
      <c r="M117" s="841" t="s">
        <v>5300</v>
      </c>
      <c r="N117" s="840" t="s">
        <v>5301</v>
      </c>
      <c r="O117" s="841" t="s">
        <v>5302</v>
      </c>
      <c r="P117" s="627" t="s">
        <v>5303</v>
      </c>
      <c r="Q117" s="841" t="s">
        <v>5304</v>
      </c>
      <c r="R117" s="627" t="s">
        <v>5305</v>
      </c>
      <c r="S117" s="841" t="s">
        <v>5306</v>
      </c>
      <c r="T117" s="627" t="s">
        <v>5307</v>
      </c>
      <c r="U117" s="841" t="s">
        <v>5308</v>
      </c>
      <c r="V117" s="627" t="s">
        <v>5309</v>
      </c>
      <c r="W117" s="841" t="s">
        <v>5310</v>
      </c>
      <c r="X117" s="627" t="s">
        <v>5311</v>
      </c>
      <c r="Y117" s="841" t="s">
        <v>5312</v>
      </c>
      <c r="Z117" s="623" t="s">
        <v>5313</v>
      </c>
      <c r="AA117" s="626" t="s">
        <v>5314</v>
      </c>
      <c r="AB117" s="623" t="s">
        <v>5315</v>
      </c>
      <c r="AC117" s="626" t="s">
        <v>5316</v>
      </c>
      <c r="AD117" s="623" t="s">
        <v>5317</v>
      </c>
      <c r="AE117" s="626" t="s">
        <v>5318</v>
      </c>
      <c r="AF117" s="623" t="s">
        <v>5319</v>
      </c>
      <c r="AG117" s="626" t="s">
        <v>5320</v>
      </c>
      <c r="AH117" s="623" t="s">
        <v>5321</v>
      </c>
      <c r="AI117" s="626" t="s">
        <v>5322</v>
      </c>
      <c r="AJ117" s="623" t="s">
        <v>5323</v>
      </c>
      <c r="AK117" s="626" t="s">
        <v>5324</v>
      </c>
      <c r="AL117" s="623" t="s">
        <v>5325</v>
      </c>
      <c r="AM117" s="626" t="s">
        <v>5326</v>
      </c>
      <c r="AN117" s="623" t="s">
        <v>5327</v>
      </c>
      <c r="AO117" s="624" t="s">
        <v>5328</v>
      </c>
      <c r="AP117" s="843" t="s">
        <v>5329</v>
      </c>
      <c r="AQ117" s="83" t="s">
        <v>5330</v>
      </c>
      <c r="AR117" s="644" t="s">
        <v>5331</v>
      </c>
      <c r="AS117" s="644" t="s">
        <v>5332</v>
      </c>
      <c r="AT117" s="644" t="s">
        <v>5333</v>
      </c>
      <c r="AU117" s="83" t="s">
        <v>5334</v>
      </c>
      <c r="AV117" s="83" t="s">
        <v>5335</v>
      </c>
      <c r="AW117" s="83" t="s">
        <v>5336</v>
      </c>
      <c r="AX117" s="83" t="s">
        <v>5337</v>
      </c>
      <c r="AY117" t="e">
        <f t="shared" si="130"/>
        <v>#VALUE!</v>
      </c>
      <c r="CX117" s="4788"/>
      <c r="CY117" s="1723" t="str">
        <f t="shared" si="132"/>
        <v xml:space="preserve"> * Las embarazadas no pueden ser mayor al Total Mujeres.</v>
      </c>
      <c r="CZ117" s="1723" t="str">
        <f t="shared" si="133"/>
        <v xml:space="preserve"> * Los beneficiarios no pueden ser mayor al Total Ambos Sexos.</v>
      </c>
      <c r="DA117" s="1723" t="e">
        <f t="shared" si="134"/>
        <v>#VALUE!</v>
      </c>
      <c r="DB117" s="1723" t="str">
        <f t="shared" si="135"/>
        <v xml:space="preserve"> * La variable Usuarios con discapacidad No puede ser mayor al Total Ambos Sexos.</v>
      </c>
      <c r="DC117" s="1723" t="str">
        <f t="shared" si="136"/>
        <v xml:space="preserve"> * La variable Niños, niñas, adolescentes y jóvenes SENAME No puede ser mayor al Total Ambos Sexos.</v>
      </c>
      <c r="DD117" s="1723" t="str">
        <f t="shared" si="137"/>
        <v xml:space="preserve"> * La variable Niños, niñas, adolescentes y jóvenes Mejor Niñez No puede ser mayor al Total Ambos Sexos.</v>
      </c>
      <c r="DE117" s="1723" t="str">
        <f t="shared" si="138"/>
        <v xml:space="preserve"> * La variable Migrantes No puede ser mayor al Total Ambos Sexos.</v>
      </c>
      <c r="DF117"/>
      <c r="DH117" s="4788"/>
      <c r="DI117" s="1725">
        <f t="shared" si="140"/>
        <v>1</v>
      </c>
      <c r="DJ117" s="1725">
        <f t="shared" si="141"/>
        <v>1</v>
      </c>
      <c r="DK117" s="1725" t="e">
        <f t="shared" si="142"/>
        <v>#VALUE!</v>
      </c>
      <c r="DL117" s="1725">
        <f t="shared" si="143"/>
        <v>1</v>
      </c>
      <c r="DM117" s="1725">
        <f t="shared" si="144"/>
        <v>1</v>
      </c>
      <c r="DN117" s="1725">
        <f t="shared" si="145"/>
        <v>1</v>
      </c>
      <c r="DO117" s="1725">
        <f t="shared" si="146"/>
        <v>1</v>
      </c>
    </row>
    <row r="118" spans="1:119" ht="15" customHeight="1" x14ac:dyDescent="0.3">
      <c r="A118" s="6269" t="s">
        <v>5000</v>
      </c>
      <c r="B118" s="7389" t="s">
        <v>801</v>
      </c>
      <c r="C118" s="7389"/>
      <c r="D118" s="7389"/>
      <c r="E118" s="635" t="s">
        <v>5292</v>
      </c>
      <c r="F118" s="785" t="s">
        <v>5293</v>
      </c>
      <c r="G118" s="786" t="s">
        <v>5294</v>
      </c>
      <c r="H118" s="616" t="s">
        <v>5295</v>
      </c>
      <c r="I118" s="626" t="s">
        <v>5296</v>
      </c>
      <c r="J118" s="616" t="s">
        <v>5297</v>
      </c>
      <c r="K118" s="791" t="s">
        <v>5298</v>
      </c>
      <c r="L118" s="616" t="s">
        <v>5299</v>
      </c>
      <c r="M118" s="626" t="s">
        <v>5300</v>
      </c>
      <c r="N118" s="616" t="s">
        <v>5301</v>
      </c>
      <c r="O118" s="626" t="s">
        <v>5302</v>
      </c>
      <c r="P118" s="623" t="s">
        <v>5303</v>
      </c>
      <c r="Q118" s="626" t="s">
        <v>5304</v>
      </c>
      <c r="R118" s="623" t="s">
        <v>5305</v>
      </c>
      <c r="S118" s="626" t="s">
        <v>5306</v>
      </c>
      <c r="T118" s="623" t="s">
        <v>5307</v>
      </c>
      <c r="U118" s="626" t="s">
        <v>5308</v>
      </c>
      <c r="V118" s="623" t="s">
        <v>5309</v>
      </c>
      <c r="W118" s="626" t="s">
        <v>5310</v>
      </c>
      <c r="X118" s="623" t="s">
        <v>5311</v>
      </c>
      <c r="Y118" s="626" t="s">
        <v>5312</v>
      </c>
      <c r="Z118" s="623" t="s">
        <v>5313</v>
      </c>
      <c r="AA118" s="626" t="s">
        <v>5314</v>
      </c>
      <c r="AB118" s="623" t="s">
        <v>5315</v>
      </c>
      <c r="AC118" s="626" t="s">
        <v>5316</v>
      </c>
      <c r="AD118" s="623" t="s">
        <v>5317</v>
      </c>
      <c r="AE118" s="626" t="s">
        <v>5318</v>
      </c>
      <c r="AF118" s="623" t="s">
        <v>5319</v>
      </c>
      <c r="AG118" s="626" t="s">
        <v>5320</v>
      </c>
      <c r="AH118" s="623" t="s">
        <v>5321</v>
      </c>
      <c r="AI118" s="626" t="s">
        <v>5322</v>
      </c>
      <c r="AJ118" s="623" t="s">
        <v>5323</v>
      </c>
      <c r="AK118" s="626" t="s">
        <v>5324</v>
      </c>
      <c r="AL118" s="623" t="s">
        <v>5325</v>
      </c>
      <c r="AM118" s="626" t="s">
        <v>5326</v>
      </c>
      <c r="AN118" s="623" t="s">
        <v>5327</v>
      </c>
      <c r="AO118" s="624" t="s">
        <v>5328</v>
      </c>
      <c r="AP118" s="83" t="s">
        <v>5329</v>
      </c>
      <c r="AQ118" s="83" t="s">
        <v>5330</v>
      </c>
      <c r="AR118" s="644" t="s">
        <v>5331</v>
      </c>
      <c r="AS118" s="644" t="s">
        <v>5332</v>
      </c>
      <c r="AT118" s="644" t="s">
        <v>5333</v>
      </c>
      <c r="AU118" s="83" t="s">
        <v>5334</v>
      </c>
      <c r="AV118" s="83" t="s">
        <v>5335</v>
      </c>
      <c r="AW118" s="83" t="s">
        <v>5336</v>
      </c>
      <c r="AX118" s="83" t="s">
        <v>5337</v>
      </c>
      <c r="AY118" t="e">
        <f t="shared" si="130"/>
        <v>#VALUE!</v>
      </c>
      <c r="CX118" s="1723" t="e">
        <f t="shared" si="131"/>
        <v>#VALUE!</v>
      </c>
      <c r="CY118" s="1723" t="str">
        <f t="shared" si="132"/>
        <v xml:space="preserve"> * Las embarazadas no pueden ser mayor al Total Mujeres.</v>
      </c>
      <c r="CZ118" s="1723" t="str">
        <f t="shared" si="133"/>
        <v xml:space="preserve"> * Los beneficiarios no pueden ser mayor al Total Ambos Sexos.</v>
      </c>
      <c r="DA118" s="1723" t="e">
        <f t="shared" si="134"/>
        <v>#VALUE!</v>
      </c>
      <c r="DB118" s="1723" t="str">
        <f t="shared" si="135"/>
        <v xml:space="preserve"> * La variable Usuarios con discapacidad No puede ser mayor al Total Ambos Sexos.</v>
      </c>
      <c r="DC118" s="1723" t="str">
        <f t="shared" si="136"/>
        <v xml:space="preserve"> * La variable Niños, niñas, adolescentes y jóvenes SENAME No puede ser mayor al Total Ambos Sexos.</v>
      </c>
      <c r="DD118" s="1723" t="str">
        <f t="shared" si="137"/>
        <v xml:space="preserve"> * La variable Niños, niñas, adolescentes y jóvenes Mejor Niñez No puede ser mayor al Total Ambos Sexos.</v>
      </c>
      <c r="DE118" s="1723" t="str">
        <f t="shared" si="138"/>
        <v xml:space="preserve"> * La variable Migrantes No puede ser mayor al Total Ambos Sexos.</v>
      </c>
      <c r="DF118"/>
      <c r="DH118" s="1725" t="e">
        <f>IF(AND((X118+Y118)&gt;0,AP118=""),1,IF(AP118&gt;(X118+Y118),1,0))</f>
        <v>#VALUE!</v>
      </c>
      <c r="DI118" s="1725">
        <f t="shared" si="140"/>
        <v>1</v>
      </c>
      <c r="DJ118" s="1725">
        <f t="shared" si="141"/>
        <v>1</v>
      </c>
      <c r="DK118" s="1725" t="e">
        <f t="shared" si="142"/>
        <v>#VALUE!</v>
      </c>
      <c r="DL118" s="1725">
        <f t="shared" si="143"/>
        <v>1</v>
      </c>
      <c r="DM118" s="1725">
        <f t="shared" si="144"/>
        <v>1</v>
      </c>
      <c r="DN118" s="1725">
        <f t="shared" si="145"/>
        <v>1</v>
      </c>
      <c r="DO118" s="1725">
        <f t="shared" si="146"/>
        <v>1</v>
      </c>
    </row>
    <row r="119" spans="1:119" ht="15" customHeight="1" x14ac:dyDescent="0.3">
      <c r="A119" s="6269" t="s">
        <v>5001</v>
      </c>
      <c r="B119" s="7390" t="s">
        <v>802</v>
      </c>
      <c r="C119" s="7391"/>
      <c r="D119" s="7392"/>
      <c r="E119" s="635" t="s">
        <v>5292</v>
      </c>
      <c r="F119" s="785" t="s">
        <v>5293</v>
      </c>
      <c r="G119" s="786" t="s">
        <v>5294</v>
      </c>
      <c r="H119" s="840" t="s">
        <v>5295</v>
      </c>
      <c r="I119" s="841" t="s">
        <v>5296</v>
      </c>
      <c r="J119" s="840" t="s">
        <v>5297</v>
      </c>
      <c r="K119" s="842" t="s">
        <v>5298</v>
      </c>
      <c r="L119" s="840" t="s">
        <v>5299</v>
      </c>
      <c r="M119" s="841" t="s">
        <v>5300</v>
      </c>
      <c r="N119" s="840" t="s">
        <v>5301</v>
      </c>
      <c r="O119" s="841" t="s">
        <v>5302</v>
      </c>
      <c r="P119" s="627" t="s">
        <v>5303</v>
      </c>
      <c r="Q119" s="841" t="s">
        <v>5304</v>
      </c>
      <c r="R119" s="627" t="s">
        <v>5305</v>
      </c>
      <c r="S119" s="841" t="s">
        <v>5306</v>
      </c>
      <c r="T119" s="627" t="s">
        <v>5307</v>
      </c>
      <c r="U119" s="841" t="s">
        <v>5308</v>
      </c>
      <c r="V119" s="627" t="s">
        <v>5309</v>
      </c>
      <c r="W119" s="841" t="s">
        <v>5310</v>
      </c>
      <c r="X119" s="627" t="s">
        <v>5311</v>
      </c>
      <c r="Y119" s="841" t="s">
        <v>5312</v>
      </c>
      <c r="Z119" s="623" t="s">
        <v>5313</v>
      </c>
      <c r="AA119" s="626" t="s">
        <v>5314</v>
      </c>
      <c r="AB119" s="623" t="s">
        <v>5315</v>
      </c>
      <c r="AC119" s="626" t="s">
        <v>5316</v>
      </c>
      <c r="AD119" s="623" t="s">
        <v>5317</v>
      </c>
      <c r="AE119" s="626" t="s">
        <v>5318</v>
      </c>
      <c r="AF119" s="623" t="s">
        <v>5319</v>
      </c>
      <c r="AG119" s="626" t="s">
        <v>5320</v>
      </c>
      <c r="AH119" s="623" t="s">
        <v>5321</v>
      </c>
      <c r="AI119" s="626" t="s">
        <v>5322</v>
      </c>
      <c r="AJ119" s="623" t="s">
        <v>5323</v>
      </c>
      <c r="AK119" s="626" t="s">
        <v>5324</v>
      </c>
      <c r="AL119" s="623" t="s">
        <v>5325</v>
      </c>
      <c r="AM119" s="626" t="s">
        <v>5326</v>
      </c>
      <c r="AN119" s="623" t="s">
        <v>5327</v>
      </c>
      <c r="AO119" s="624" t="s">
        <v>5328</v>
      </c>
      <c r="AP119" s="843" t="s">
        <v>5329</v>
      </c>
      <c r="AQ119" s="83" t="s">
        <v>5330</v>
      </c>
      <c r="AR119" s="644" t="s">
        <v>5331</v>
      </c>
      <c r="AS119" s="849" t="s">
        <v>5332</v>
      </c>
      <c r="AT119" s="644" t="s">
        <v>5333</v>
      </c>
      <c r="AU119" s="83" t="s">
        <v>5334</v>
      </c>
      <c r="AV119" s="83" t="s">
        <v>5335</v>
      </c>
      <c r="AW119" s="83" t="s">
        <v>5336</v>
      </c>
      <c r="AX119" s="83" t="s">
        <v>5337</v>
      </c>
      <c r="AY119" t="e">
        <f t="shared" si="130"/>
        <v>#VALUE!</v>
      </c>
      <c r="CX119" s="4788"/>
      <c r="CY119" s="1723" t="str">
        <f t="shared" si="132"/>
        <v xml:space="preserve"> * Las embarazadas no pueden ser mayor al Total Mujeres.</v>
      </c>
      <c r="CZ119" s="1723" t="str">
        <f t="shared" si="133"/>
        <v xml:space="preserve"> * Los beneficiarios no pueden ser mayor al Total Ambos Sexos.</v>
      </c>
      <c r="DA119" s="1723" t="e">
        <f t="shared" si="134"/>
        <v>#VALUE!</v>
      </c>
      <c r="DB119" s="1723" t="str">
        <f t="shared" si="135"/>
        <v xml:space="preserve"> * La variable Usuarios con discapacidad No puede ser mayor al Total Ambos Sexos.</v>
      </c>
      <c r="DC119" s="1723" t="str">
        <f t="shared" si="136"/>
        <v xml:space="preserve"> * La variable Niños, niñas, adolescentes y jóvenes SENAME No puede ser mayor al Total Ambos Sexos.</v>
      </c>
      <c r="DD119" s="1723" t="str">
        <f t="shared" si="137"/>
        <v xml:space="preserve"> * La variable Niños, niñas, adolescentes y jóvenes Mejor Niñez No puede ser mayor al Total Ambos Sexos.</v>
      </c>
      <c r="DE119" s="1723" t="str">
        <f t="shared" si="138"/>
        <v xml:space="preserve"> * La variable Migrantes No puede ser mayor al Total Ambos Sexos.</v>
      </c>
      <c r="DF119"/>
      <c r="DH119" s="4788"/>
      <c r="DI119" s="1725">
        <f t="shared" si="140"/>
        <v>1</v>
      </c>
      <c r="DJ119" s="1725">
        <f t="shared" si="141"/>
        <v>1</v>
      </c>
      <c r="DK119" s="1725" t="e">
        <f t="shared" si="142"/>
        <v>#VALUE!</v>
      </c>
      <c r="DL119" s="1725">
        <f t="shared" si="143"/>
        <v>1</v>
      </c>
      <c r="DM119" s="1725">
        <f t="shared" si="144"/>
        <v>1</v>
      </c>
      <c r="DN119" s="1725">
        <f t="shared" si="145"/>
        <v>1</v>
      </c>
      <c r="DO119" s="1725">
        <f t="shared" si="146"/>
        <v>1</v>
      </c>
    </row>
    <row r="120" spans="1:119" ht="15" customHeight="1" x14ac:dyDescent="0.3">
      <c r="A120" s="6269" t="s">
        <v>5002</v>
      </c>
      <c r="B120" s="7390" t="s">
        <v>803</v>
      </c>
      <c r="C120" s="7391"/>
      <c r="D120" s="7392"/>
      <c r="E120" s="635" t="s">
        <v>5292</v>
      </c>
      <c r="F120" s="785" t="s">
        <v>5293</v>
      </c>
      <c r="G120" s="786" t="s">
        <v>5294</v>
      </c>
      <c r="H120" s="840" t="s">
        <v>5295</v>
      </c>
      <c r="I120" s="841" t="s">
        <v>5296</v>
      </c>
      <c r="J120" s="840" t="s">
        <v>5297</v>
      </c>
      <c r="K120" s="842" t="s">
        <v>5298</v>
      </c>
      <c r="L120" s="840" t="s">
        <v>5299</v>
      </c>
      <c r="M120" s="841" t="s">
        <v>5300</v>
      </c>
      <c r="N120" s="840" t="s">
        <v>5301</v>
      </c>
      <c r="O120" s="841" t="s">
        <v>5302</v>
      </c>
      <c r="P120" s="627" t="s">
        <v>5303</v>
      </c>
      <c r="Q120" s="841" t="s">
        <v>5304</v>
      </c>
      <c r="R120" s="627" t="s">
        <v>5305</v>
      </c>
      <c r="S120" s="841" t="s">
        <v>5306</v>
      </c>
      <c r="T120" s="627" t="s">
        <v>5307</v>
      </c>
      <c r="U120" s="841" t="s">
        <v>5308</v>
      </c>
      <c r="V120" s="627" t="s">
        <v>5309</v>
      </c>
      <c r="W120" s="841" t="s">
        <v>5310</v>
      </c>
      <c r="X120" s="627" t="s">
        <v>5311</v>
      </c>
      <c r="Y120" s="841" t="s">
        <v>5312</v>
      </c>
      <c r="Z120" s="623" t="s">
        <v>5313</v>
      </c>
      <c r="AA120" s="626" t="s">
        <v>5314</v>
      </c>
      <c r="AB120" s="623" t="s">
        <v>5315</v>
      </c>
      <c r="AC120" s="626" t="s">
        <v>5316</v>
      </c>
      <c r="AD120" s="623" t="s">
        <v>5317</v>
      </c>
      <c r="AE120" s="626" t="s">
        <v>5318</v>
      </c>
      <c r="AF120" s="623" t="s">
        <v>5319</v>
      </c>
      <c r="AG120" s="626" t="s">
        <v>5320</v>
      </c>
      <c r="AH120" s="623" t="s">
        <v>5321</v>
      </c>
      <c r="AI120" s="626" t="s">
        <v>5322</v>
      </c>
      <c r="AJ120" s="623" t="s">
        <v>5323</v>
      </c>
      <c r="AK120" s="626" t="s">
        <v>5324</v>
      </c>
      <c r="AL120" s="623" t="s">
        <v>5325</v>
      </c>
      <c r="AM120" s="626" t="s">
        <v>5326</v>
      </c>
      <c r="AN120" s="623" t="s">
        <v>5327</v>
      </c>
      <c r="AO120" s="624" t="s">
        <v>5328</v>
      </c>
      <c r="AP120" s="843" t="s">
        <v>5329</v>
      </c>
      <c r="AQ120" s="83" t="s">
        <v>5330</v>
      </c>
      <c r="AR120" s="644" t="s">
        <v>5331</v>
      </c>
      <c r="AS120" s="849" t="s">
        <v>5332</v>
      </c>
      <c r="AT120" s="644" t="s">
        <v>5333</v>
      </c>
      <c r="AU120" s="83" t="s">
        <v>5334</v>
      </c>
      <c r="AV120" s="83" t="s">
        <v>5335</v>
      </c>
      <c r="AW120" s="83" t="s">
        <v>5336</v>
      </c>
      <c r="AX120" s="83" t="s">
        <v>5337</v>
      </c>
      <c r="AY120" t="e">
        <f t="shared" si="130"/>
        <v>#VALUE!</v>
      </c>
      <c r="CX120" s="4788"/>
      <c r="CY120" s="1723" t="str">
        <f t="shared" si="132"/>
        <v xml:space="preserve"> * Las embarazadas no pueden ser mayor al Total Mujeres.</v>
      </c>
      <c r="CZ120" s="1723" t="str">
        <f t="shared" si="133"/>
        <v xml:space="preserve"> * Los beneficiarios no pueden ser mayor al Total Ambos Sexos.</v>
      </c>
      <c r="DA120" s="1723" t="e">
        <f t="shared" si="134"/>
        <v>#VALUE!</v>
      </c>
      <c r="DB120" s="1723" t="str">
        <f t="shared" si="135"/>
        <v xml:space="preserve"> * La variable Usuarios con discapacidad No puede ser mayor al Total Ambos Sexos.</v>
      </c>
      <c r="DC120" s="1723" t="str">
        <f t="shared" si="136"/>
        <v xml:space="preserve"> * La variable Niños, niñas, adolescentes y jóvenes SENAME No puede ser mayor al Total Ambos Sexos.</v>
      </c>
      <c r="DD120" s="1723" t="str">
        <f t="shared" si="137"/>
        <v xml:space="preserve"> * La variable Niños, niñas, adolescentes y jóvenes Mejor Niñez No puede ser mayor al Total Ambos Sexos.</v>
      </c>
      <c r="DE120" s="1723" t="str">
        <f t="shared" si="138"/>
        <v xml:space="preserve"> * La variable Migrantes No puede ser mayor al Total Ambos Sexos.</v>
      </c>
      <c r="DF120"/>
      <c r="DH120" s="4788"/>
      <c r="DI120" s="1725">
        <f t="shared" si="140"/>
        <v>1</v>
      </c>
      <c r="DJ120" s="1725">
        <f t="shared" si="141"/>
        <v>1</v>
      </c>
      <c r="DK120" s="1725" t="e">
        <f t="shared" si="142"/>
        <v>#VALUE!</v>
      </c>
      <c r="DL120" s="1725">
        <f t="shared" si="143"/>
        <v>1</v>
      </c>
      <c r="DM120" s="1725">
        <f t="shared" si="144"/>
        <v>1</v>
      </c>
      <c r="DN120" s="1725">
        <f t="shared" si="145"/>
        <v>1</v>
      </c>
      <c r="DO120" s="1725">
        <f t="shared" si="146"/>
        <v>1</v>
      </c>
    </row>
    <row r="121" spans="1:119" ht="15" customHeight="1" x14ac:dyDescent="0.3">
      <c r="A121" s="6269" t="s">
        <v>5003</v>
      </c>
      <c r="B121" s="7389" t="s">
        <v>804</v>
      </c>
      <c r="C121" s="7389"/>
      <c r="D121" s="7389"/>
      <c r="E121" s="635" t="s">
        <v>5292</v>
      </c>
      <c r="F121" s="785" t="s">
        <v>5293</v>
      </c>
      <c r="G121" s="786" t="s">
        <v>5294</v>
      </c>
      <c r="H121" s="840" t="s">
        <v>5295</v>
      </c>
      <c r="I121" s="841" t="s">
        <v>5296</v>
      </c>
      <c r="J121" s="840" t="s">
        <v>5297</v>
      </c>
      <c r="K121" s="842" t="s">
        <v>5298</v>
      </c>
      <c r="L121" s="840" t="s">
        <v>5299</v>
      </c>
      <c r="M121" s="841" t="s">
        <v>5300</v>
      </c>
      <c r="N121" s="840" t="s">
        <v>5301</v>
      </c>
      <c r="O121" s="841" t="s">
        <v>5302</v>
      </c>
      <c r="P121" s="627" t="s">
        <v>5303</v>
      </c>
      <c r="Q121" s="841" t="s">
        <v>5304</v>
      </c>
      <c r="R121" s="627" t="s">
        <v>5305</v>
      </c>
      <c r="S121" s="841" t="s">
        <v>5306</v>
      </c>
      <c r="T121" s="627" t="s">
        <v>5307</v>
      </c>
      <c r="U121" s="841" t="s">
        <v>5308</v>
      </c>
      <c r="V121" s="627" t="s">
        <v>5309</v>
      </c>
      <c r="W121" s="841" t="s">
        <v>5310</v>
      </c>
      <c r="X121" s="627" t="s">
        <v>5311</v>
      </c>
      <c r="Y121" s="841" t="s">
        <v>5312</v>
      </c>
      <c r="Z121" s="623" t="s">
        <v>5313</v>
      </c>
      <c r="AA121" s="626" t="s">
        <v>5314</v>
      </c>
      <c r="AB121" s="623" t="s">
        <v>5315</v>
      </c>
      <c r="AC121" s="626" t="s">
        <v>5316</v>
      </c>
      <c r="AD121" s="623" t="s">
        <v>5317</v>
      </c>
      <c r="AE121" s="626" t="s">
        <v>5318</v>
      </c>
      <c r="AF121" s="623" t="s">
        <v>5319</v>
      </c>
      <c r="AG121" s="626" t="s">
        <v>5320</v>
      </c>
      <c r="AH121" s="623" t="s">
        <v>5321</v>
      </c>
      <c r="AI121" s="626" t="s">
        <v>5322</v>
      </c>
      <c r="AJ121" s="623" t="s">
        <v>5323</v>
      </c>
      <c r="AK121" s="626" t="s">
        <v>5324</v>
      </c>
      <c r="AL121" s="623" t="s">
        <v>5325</v>
      </c>
      <c r="AM121" s="626" t="s">
        <v>5326</v>
      </c>
      <c r="AN121" s="623" t="s">
        <v>5327</v>
      </c>
      <c r="AO121" s="624" t="s">
        <v>5328</v>
      </c>
      <c r="AP121" s="843" t="s">
        <v>5329</v>
      </c>
      <c r="AQ121" s="83" t="s">
        <v>5330</v>
      </c>
      <c r="AR121" s="644" t="s">
        <v>5331</v>
      </c>
      <c r="AS121" s="644" t="s">
        <v>5332</v>
      </c>
      <c r="AT121" s="644" t="s">
        <v>5333</v>
      </c>
      <c r="AU121" s="83" t="s">
        <v>5334</v>
      </c>
      <c r="AV121" s="83" t="s">
        <v>5335</v>
      </c>
      <c r="AW121" s="83" t="s">
        <v>5336</v>
      </c>
      <c r="AX121" s="83" t="s">
        <v>5337</v>
      </c>
      <c r="AY121" t="e">
        <f t="shared" si="130"/>
        <v>#VALUE!</v>
      </c>
      <c r="CX121" s="4788"/>
      <c r="CY121" s="1723" t="str">
        <f t="shared" si="132"/>
        <v xml:space="preserve"> * Las embarazadas no pueden ser mayor al Total Mujeres.</v>
      </c>
      <c r="CZ121" s="1723" t="str">
        <f t="shared" si="133"/>
        <v xml:space="preserve"> * Los beneficiarios no pueden ser mayor al Total Ambos Sexos.</v>
      </c>
      <c r="DA121" s="1723" t="e">
        <f t="shared" si="134"/>
        <v>#VALUE!</v>
      </c>
      <c r="DB121" s="1723" t="str">
        <f t="shared" si="135"/>
        <v xml:space="preserve"> * La variable Usuarios con discapacidad No puede ser mayor al Total Ambos Sexos.</v>
      </c>
      <c r="DC121" s="1723" t="str">
        <f t="shared" si="136"/>
        <v xml:space="preserve"> * La variable Niños, niñas, adolescentes y jóvenes SENAME No puede ser mayor al Total Ambos Sexos.</v>
      </c>
      <c r="DD121" s="1723" t="str">
        <f t="shared" si="137"/>
        <v xml:space="preserve"> * La variable Niños, niñas, adolescentes y jóvenes Mejor Niñez No puede ser mayor al Total Ambos Sexos.</v>
      </c>
      <c r="DE121" s="1723" t="str">
        <f t="shared" si="138"/>
        <v xml:space="preserve"> * La variable Migrantes No puede ser mayor al Total Ambos Sexos.</v>
      </c>
      <c r="DF121"/>
      <c r="DH121" s="4788"/>
      <c r="DI121" s="1725">
        <f t="shared" si="140"/>
        <v>1</v>
      </c>
      <c r="DJ121" s="1725">
        <f t="shared" si="141"/>
        <v>1</v>
      </c>
      <c r="DK121" s="1725" t="e">
        <f t="shared" si="142"/>
        <v>#VALUE!</v>
      </c>
      <c r="DL121" s="1725">
        <f t="shared" si="143"/>
        <v>1</v>
      </c>
      <c r="DM121" s="1725">
        <f t="shared" si="144"/>
        <v>1</v>
      </c>
      <c r="DN121" s="1725">
        <f t="shared" si="145"/>
        <v>1</v>
      </c>
      <c r="DO121" s="1725">
        <f t="shared" si="146"/>
        <v>1</v>
      </c>
    </row>
    <row r="122" spans="1:119" ht="15" customHeight="1" x14ac:dyDescent="0.3">
      <c r="A122" s="6269" t="s">
        <v>5004</v>
      </c>
      <c r="B122" s="7387" t="s">
        <v>805</v>
      </c>
      <c r="C122" s="7387"/>
      <c r="D122" s="7387"/>
      <c r="E122" s="635" t="s">
        <v>5292</v>
      </c>
      <c r="F122" s="785" t="s">
        <v>5293</v>
      </c>
      <c r="G122" s="786" t="s">
        <v>5294</v>
      </c>
      <c r="H122" s="840" t="s">
        <v>5295</v>
      </c>
      <c r="I122" s="841" t="s">
        <v>5296</v>
      </c>
      <c r="J122" s="840" t="s">
        <v>5297</v>
      </c>
      <c r="K122" s="842" t="s">
        <v>5298</v>
      </c>
      <c r="L122" s="840" t="s">
        <v>5299</v>
      </c>
      <c r="M122" s="841" t="s">
        <v>5300</v>
      </c>
      <c r="N122" s="840" t="s">
        <v>5301</v>
      </c>
      <c r="O122" s="841" t="s">
        <v>5302</v>
      </c>
      <c r="P122" s="627" t="s">
        <v>5303</v>
      </c>
      <c r="Q122" s="841" t="s">
        <v>5304</v>
      </c>
      <c r="R122" s="627" t="s">
        <v>5305</v>
      </c>
      <c r="S122" s="841" t="s">
        <v>5306</v>
      </c>
      <c r="T122" s="627" t="s">
        <v>5307</v>
      </c>
      <c r="U122" s="841" t="s">
        <v>5308</v>
      </c>
      <c r="V122" s="627" t="s">
        <v>5309</v>
      </c>
      <c r="W122" s="841" t="s">
        <v>5310</v>
      </c>
      <c r="X122" s="627" t="s">
        <v>5311</v>
      </c>
      <c r="Y122" s="841" t="s">
        <v>5312</v>
      </c>
      <c r="Z122" s="623" t="s">
        <v>5313</v>
      </c>
      <c r="AA122" s="626" t="s">
        <v>5314</v>
      </c>
      <c r="AB122" s="623" t="s">
        <v>5315</v>
      </c>
      <c r="AC122" s="626" t="s">
        <v>5316</v>
      </c>
      <c r="AD122" s="623" t="s">
        <v>5317</v>
      </c>
      <c r="AE122" s="626" t="s">
        <v>5318</v>
      </c>
      <c r="AF122" s="623" t="s">
        <v>5319</v>
      </c>
      <c r="AG122" s="626" t="s">
        <v>5320</v>
      </c>
      <c r="AH122" s="623" t="s">
        <v>5321</v>
      </c>
      <c r="AI122" s="626" t="s">
        <v>5322</v>
      </c>
      <c r="AJ122" s="623" t="s">
        <v>5323</v>
      </c>
      <c r="AK122" s="626" t="s">
        <v>5324</v>
      </c>
      <c r="AL122" s="623" t="s">
        <v>5325</v>
      </c>
      <c r="AM122" s="626" t="s">
        <v>5326</v>
      </c>
      <c r="AN122" s="623" t="s">
        <v>5327</v>
      </c>
      <c r="AO122" s="624" t="s">
        <v>5328</v>
      </c>
      <c r="AP122" s="843" t="s">
        <v>5329</v>
      </c>
      <c r="AQ122" s="83" t="s">
        <v>5330</v>
      </c>
      <c r="AR122" s="644" t="s">
        <v>5331</v>
      </c>
      <c r="AS122" s="644" t="s">
        <v>5332</v>
      </c>
      <c r="AT122" s="644" t="s">
        <v>5333</v>
      </c>
      <c r="AU122" s="83" t="s">
        <v>5334</v>
      </c>
      <c r="AV122" s="83" t="s">
        <v>5335</v>
      </c>
      <c r="AW122" s="83" t="s">
        <v>5336</v>
      </c>
      <c r="AX122" s="83" t="s">
        <v>5337</v>
      </c>
      <c r="AY122" t="e">
        <f t="shared" si="130"/>
        <v>#VALUE!</v>
      </c>
      <c r="CX122" s="4788"/>
      <c r="CY122" s="1723" t="str">
        <f t="shared" si="132"/>
        <v xml:space="preserve"> * Las embarazadas no pueden ser mayor al Total Mujeres.</v>
      </c>
      <c r="CZ122" s="1723" t="str">
        <f t="shared" si="133"/>
        <v xml:space="preserve"> * Los beneficiarios no pueden ser mayor al Total Ambos Sexos.</v>
      </c>
      <c r="DA122" s="1723" t="e">
        <f t="shared" si="134"/>
        <v>#VALUE!</v>
      </c>
      <c r="DB122" s="1723" t="str">
        <f t="shared" si="135"/>
        <v xml:space="preserve"> * La variable Usuarios con discapacidad No puede ser mayor al Total Ambos Sexos.</v>
      </c>
      <c r="DC122" s="1723" t="str">
        <f t="shared" si="136"/>
        <v xml:space="preserve"> * La variable Niños, niñas, adolescentes y jóvenes SENAME No puede ser mayor al Total Ambos Sexos.</v>
      </c>
      <c r="DD122" s="1723" t="str">
        <f t="shared" si="137"/>
        <v xml:space="preserve"> * La variable Niños, niñas, adolescentes y jóvenes Mejor Niñez No puede ser mayor al Total Ambos Sexos.</v>
      </c>
      <c r="DE122" s="1723" t="str">
        <f t="shared" si="138"/>
        <v xml:space="preserve"> * La variable Migrantes No puede ser mayor al Total Ambos Sexos.</v>
      </c>
      <c r="DF122"/>
      <c r="DH122" s="4788"/>
      <c r="DI122" s="1725">
        <f t="shared" si="140"/>
        <v>1</v>
      </c>
      <c r="DJ122" s="1725">
        <f t="shared" si="141"/>
        <v>1</v>
      </c>
      <c r="DK122" s="1725" t="e">
        <f t="shared" si="142"/>
        <v>#VALUE!</v>
      </c>
      <c r="DL122" s="1725">
        <f t="shared" si="143"/>
        <v>1</v>
      </c>
      <c r="DM122" s="1725">
        <f t="shared" si="144"/>
        <v>1</v>
      </c>
      <c r="DN122" s="1725">
        <f t="shared" si="145"/>
        <v>1</v>
      </c>
      <c r="DO122" s="1725">
        <f t="shared" si="146"/>
        <v>1</v>
      </c>
    </row>
    <row r="123" spans="1:119" ht="15" customHeight="1" x14ac:dyDescent="0.3">
      <c r="A123" s="6269" t="s">
        <v>5005</v>
      </c>
      <c r="B123" s="7387" t="s">
        <v>806</v>
      </c>
      <c r="C123" s="7387"/>
      <c r="D123" s="7387"/>
      <c r="E123" s="635" t="s">
        <v>5292</v>
      </c>
      <c r="F123" s="785" t="s">
        <v>5293</v>
      </c>
      <c r="G123" s="786" t="s">
        <v>5294</v>
      </c>
      <c r="H123" s="840" t="s">
        <v>5295</v>
      </c>
      <c r="I123" s="841" t="s">
        <v>5296</v>
      </c>
      <c r="J123" s="840" t="s">
        <v>5297</v>
      </c>
      <c r="K123" s="842" t="s">
        <v>5298</v>
      </c>
      <c r="L123" s="840" t="s">
        <v>5299</v>
      </c>
      <c r="M123" s="841" t="s">
        <v>5300</v>
      </c>
      <c r="N123" s="840" t="s">
        <v>5301</v>
      </c>
      <c r="O123" s="841" t="s">
        <v>5302</v>
      </c>
      <c r="P123" s="627" t="s">
        <v>5303</v>
      </c>
      <c r="Q123" s="841" t="s">
        <v>5304</v>
      </c>
      <c r="R123" s="627" t="s">
        <v>5305</v>
      </c>
      <c r="S123" s="841" t="s">
        <v>5306</v>
      </c>
      <c r="T123" s="627" t="s">
        <v>5307</v>
      </c>
      <c r="U123" s="841" t="s">
        <v>5308</v>
      </c>
      <c r="V123" s="627" t="s">
        <v>5309</v>
      </c>
      <c r="W123" s="841" t="s">
        <v>5310</v>
      </c>
      <c r="X123" s="627" t="s">
        <v>5311</v>
      </c>
      <c r="Y123" s="841" t="s">
        <v>5312</v>
      </c>
      <c r="Z123" s="623" t="s">
        <v>5313</v>
      </c>
      <c r="AA123" s="626" t="s">
        <v>5314</v>
      </c>
      <c r="AB123" s="623" t="s">
        <v>5315</v>
      </c>
      <c r="AC123" s="626" t="s">
        <v>5316</v>
      </c>
      <c r="AD123" s="623" t="s">
        <v>5317</v>
      </c>
      <c r="AE123" s="626" t="s">
        <v>5318</v>
      </c>
      <c r="AF123" s="623" t="s">
        <v>5319</v>
      </c>
      <c r="AG123" s="626" t="s">
        <v>5320</v>
      </c>
      <c r="AH123" s="623" t="s">
        <v>5321</v>
      </c>
      <c r="AI123" s="626" t="s">
        <v>5322</v>
      </c>
      <c r="AJ123" s="623" t="s">
        <v>5323</v>
      </c>
      <c r="AK123" s="626" t="s">
        <v>5324</v>
      </c>
      <c r="AL123" s="623" t="s">
        <v>5325</v>
      </c>
      <c r="AM123" s="626" t="s">
        <v>5326</v>
      </c>
      <c r="AN123" s="623" t="s">
        <v>5327</v>
      </c>
      <c r="AO123" s="624" t="s">
        <v>5328</v>
      </c>
      <c r="AP123" s="843" t="s">
        <v>5329</v>
      </c>
      <c r="AQ123" s="83" t="s">
        <v>5330</v>
      </c>
      <c r="AR123" s="644" t="s">
        <v>5331</v>
      </c>
      <c r="AS123" s="644" t="s">
        <v>5332</v>
      </c>
      <c r="AT123" s="644" t="s">
        <v>5333</v>
      </c>
      <c r="AU123" s="83" t="s">
        <v>5334</v>
      </c>
      <c r="AV123" s="83" t="s">
        <v>5335</v>
      </c>
      <c r="AW123" s="83" t="s">
        <v>5336</v>
      </c>
      <c r="AX123" s="83" t="s">
        <v>5337</v>
      </c>
      <c r="AY123" t="e">
        <f t="shared" si="130"/>
        <v>#VALUE!</v>
      </c>
      <c r="CX123" s="4788"/>
      <c r="CY123" s="1723" t="str">
        <f t="shared" si="132"/>
        <v xml:space="preserve"> * Las embarazadas no pueden ser mayor al Total Mujeres.</v>
      </c>
      <c r="CZ123" s="1723" t="str">
        <f t="shared" si="133"/>
        <v xml:space="preserve"> * Los beneficiarios no pueden ser mayor al Total Ambos Sexos.</v>
      </c>
      <c r="DA123" s="1723" t="e">
        <f t="shared" si="134"/>
        <v>#VALUE!</v>
      </c>
      <c r="DB123" s="1723" t="str">
        <f t="shared" si="135"/>
        <v xml:space="preserve"> * La variable Usuarios con discapacidad No puede ser mayor al Total Ambos Sexos.</v>
      </c>
      <c r="DC123" s="1723" t="str">
        <f t="shared" si="136"/>
        <v xml:space="preserve"> * La variable Niños, niñas, adolescentes y jóvenes SENAME No puede ser mayor al Total Ambos Sexos.</v>
      </c>
      <c r="DD123" s="1723" t="str">
        <f t="shared" si="137"/>
        <v xml:space="preserve"> * La variable Niños, niñas, adolescentes y jóvenes Mejor Niñez No puede ser mayor al Total Ambos Sexos.</v>
      </c>
      <c r="DE123" s="1723" t="str">
        <f t="shared" si="138"/>
        <v xml:space="preserve"> * La variable Migrantes No puede ser mayor al Total Ambos Sexos.</v>
      </c>
      <c r="DF123"/>
      <c r="DH123" s="4788"/>
      <c r="DI123" s="1725">
        <f t="shared" si="140"/>
        <v>1</v>
      </c>
      <c r="DJ123" s="1725">
        <f t="shared" si="141"/>
        <v>1</v>
      </c>
      <c r="DK123" s="1725" t="e">
        <f t="shared" si="142"/>
        <v>#VALUE!</v>
      </c>
      <c r="DL123" s="1725">
        <f t="shared" si="143"/>
        <v>1</v>
      </c>
      <c r="DM123" s="1725">
        <f t="shared" si="144"/>
        <v>1</v>
      </c>
      <c r="DN123" s="1725">
        <f t="shared" si="145"/>
        <v>1</v>
      </c>
      <c r="DO123" s="1725">
        <f t="shared" si="146"/>
        <v>1</v>
      </c>
    </row>
    <row r="124" spans="1:119" ht="15" customHeight="1" x14ac:dyDescent="0.3">
      <c r="A124" s="6269" t="s">
        <v>5006</v>
      </c>
      <c r="B124" s="7384" t="s">
        <v>807</v>
      </c>
      <c r="C124" s="7385"/>
      <c r="D124" s="7386"/>
      <c r="E124" s="635" t="s">
        <v>5292</v>
      </c>
      <c r="F124" s="785" t="s">
        <v>5293</v>
      </c>
      <c r="G124" s="786" t="s">
        <v>5294</v>
      </c>
      <c r="H124" s="840" t="s">
        <v>5295</v>
      </c>
      <c r="I124" s="841" t="s">
        <v>5296</v>
      </c>
      <c r="J124" s="840" t="s">
        <v>5297</v>
      </c>
      <c r="K124" s="842" t="s">
        <v>5298</v>
      </c>
      <c r="L124" s="840" t="s">
        <v>5299</v>
      </c>
      <c r="M124" s="841" t="s">
        <v>5300</v>
      </c>
      <c r="N124" s="840" t="s">
        <v>5301</v>
      </c>
      <c r="O124" s="841" t="s">
        <v>5302</v>
      </c>
      <c r="P124" s="627" t="s">
        <v>5303</v>
      </c>
      <c r="Q124" s="841" t="s">
        <v>5304</v>
      </c>
      <c r="R124" s="627" t="s">
        <v>5305</v>
      </c>
      <c r="S124" s="841" t="s">
        <v>5306</v>
      </c>
      <c r="T124" s="627" t="s">
        <v>5307</v>
      </c>
      <c r="U124" s="841" t="s">
        <v>5308</v>
      </c>
      <c r="V124" s="627" t="s">
        <v>5309</v>
      </c>
      <c r="W124" s="841" t="s">
        <v>5310</v>
      </c>
      <c r="X124" s="627" t="s">
        <v>5311</v>
      </c>
      <c r="Y124" s="841" t="s">
        <v>5312</v>
      </c>
      <c r="Z124" s="623" t="s">
        <v>5313</v>
      </c>
      <c r="AA124" s="626" t="s">
        <v>5314</v>
      </c>
      <c r="AB124" s="623" t="s">
        <v>5315</v>
      </c>
      <c r="AC124" s="626" t="s">
        <v>5316</v>
      </c>
      <c r="AD124" s="623" t="s">
        <v>5317</v>
      </c>
      <c r="AE124" s="626" t="s">
        <v>5318</v>
      </c>
      <c r="AF124" s="623" t="s">
        <v>5319</v>
      </c>
      <c r="AG124" s="626" t="s">
        <v>5320</v>
      </c>
      <c r="AH124" s="623" t="s">
        <v>5321</v>
      </c>
      <c r="AI124" s="626" t="s">
        <v>5322</v>
      </c>
      <c r="AJ124" s="623" t="s">
        <v>5323</v>
      </c>
      <c r="AK124" s="626" t="s">
        <v>5324</v>
      </c>
      <c r="AL124" s="623" t="s">
        <v>5325</v>
      </c>
      <c r="AM124" s="626" t="s">
        <v>5326</v>
      </c>
      <c r="AN124" s="623" t="s">
        <v>5327</v>
      </c>
      <c r="AO124" s="624" t="s">
        <v>5328</v>
      </c>
      <c r="AP124" s="843" t="s">
        <v>5329</v>
      </c>
      <c r="AQ124" s="83" t="s">
        <v>5330</v>
      </c>
      <c r="AR124" s="644" t="s">
        <v>5331</v>
      </c>
      <c r="AS124" s="849" t="s">
        <v>5332</v>
      </c>
      <c r="AT124" s="644" t="s">
        <v>5333</v>
      </c>
      <c r="AU124" s="83" t="s">
        <v>5334</v>
      </c>
      <c r="AV124" s="83" t="s">
        <v>5335</v>
      </c>
      <c r="AW124" s="83" t="s">
        <v>5336</v>
      </c>
      <c r="AX124" s="83" t="s">
        <v>5337</v>
      </c>
      <c r="AY124" t="e">
        <f t="shared" si="130"/>
        <v>#VALUE!</v>
      </c>
      <c r="CX124" s="4788"/>
      <c r="CY124" s="1723" t="str">
        <f t="shared" si="132"/>
        <v xml:space="preserve"> * Las embarazadas no pueden ser mayor al Total Mujeres.</v>
      </c>
      <c r="CZ124" s="1723" t="str">
        <f t="shared" si="133"/>
        <v xml:space="preserve"> * Los beneficiarios no pueden ser mayor al Total Ambos Sexos.</v>
      </c>
      <c r="DA124" s="1723" t="e">
        <f t="shared" si="134"/>
        <v>#VALUE!</v>
      </c>
      <c r="DB124" s="1723" t="str">
        <f t="shared" si="135"/>
        <v xml:space="preserve"> * La variable Usuarios con discapacidad No puede ser mayor al Total Ambos Sexos.</v>
      </c>
      <c r="DC124" s="1723" t="str">
        <f t="shared" si="136"/>
        <v xml:space="preserve"> * La variable Niños, niñas, adolescentes y jóvenes SENAME No puede ser mayor al Total Ambos Sexos.</v>
      </c>
      <c r="DD124" s="1723" t="str">
        <f t="shared" si="137"/>
        <v xml:space="preserve"> * La variable Niños, niñas, adolescentes y jóvenes Mejor Niñez No puede ser mayor al Total Ambos Sexos.</v>
      </c>
      <c r="DE124" s="1723" t="str">
        <f t="shared" si="138"/>
        <v xml:space="preserve"> * La variable Migrantes No puede ser mayor al Total Ambos Sexos.</v>
      </c>
      <c r="DF124"/>
      <c r="DH124" s="4788"/>
      <c r="DI124" s="1725">
        <f t="shared" si="140"/>
        <v>1</v>
      </c>
      <c r="DJ124" s="1725">
        <f t="shared" si="141"/>
        <v>1</v>
      </c>
      <c r="DK124" s="1725" t="e">
        <f t="shared" si="142"/>
        <v>#VALUE!</v>
      </c>
      <c r="DL124" s="1725">
        <f t="shared" si="143"/>
        <v>1</v>
      </c>
      <c r="DM124" s="1725">
        <f t="shared" si="144"/>
        <v>1</v>
      </c>
      <c r="DN124" s="1725">
        <f t="shared" si="145"/>
        <v>1</v>
      </c>
      <c r="DO124" s="1725">
        <f t="shared" si="146"/>
        <v>1</v>
      </c>
    </row>
    <row r="125" spans="1:119" ht="15" customHeight="1" x14ac:dyDescent="0.3">
      <c r="A125" s="6269" t="s">
        <v>5007</v>
      </c>
      <c r="B125" s="7381" t="s">
        <v>808</v>
      </c>
      <c r="C125" s="7382"/>
      <c r="D125" s="7383"/>
      <c r="E125" s="635" t="s">
        <v>5292</v>
      </c>
      <c r="F125" s="785" t="s">
        <v>5293</v>
      </c>
      <c r="G125" s="786" t="s">
        <v>5294</v>
      </c>
      <c r="H125" s="840" t="s">
        <v>5295</v>
      </c>
      <c r="I125" s="841" t="s">
        <v>5296</v>
      </c>
      <c r="J125" s="840" t="s">
        <v>5297</v>
      </c>
      <c r="K125" s="842" t="s">
        <v>5298</v>
      </c>
      <c r="L125" s="840" t="s">
        <v>5299</v>
      </c>
      <c r="M125" s="841" t="s">
        <v>5300</v>
      </c>
      <c r="N125" s="840" t="s">
        <v>5301</v>
      </c>
      <c r="O125" s="841" t="s">
        <v>5302</v>
      </c>
      <c r="P125" s="627" t="s">
        <v>5303</v>
      </c>
      <c r="Q125" s="841" t="s">
        <v>5304</v>
      </c>
      <c r="R125" s="627" t="s">
        <v>5305</v>
      </c>
      <c r="S125" s="841" t="s">
        <v>5306</v>
      </c>
      <c r="T125" s="627" t="s">
        <v>5307</v>
      </c>
      <c r="U125" s="841" t="s">
        <v>5308</v>
      </c>
      <c r="V125" s="627" t="s">
        <v>5309</v>
      </c>
      <c r="W125" s="841" t="s">
        <v>5310</v>
      </c>
      <c r="X125" s="627" t="s">
        <v>5311</v>
      </c>
      <c r="Y125" s="841" t="s">
        <v>5312</v>
      </c>
      <c r="Z125" s="623" t="s">
        <v>5313</v>
      </c>
      <c r="AA125" s="626" t="s">
        <v>5314</v>
      </c>
      <c r="AB125" s="623" t="s">
        <v>5315</v>
      </c>
      <c r="AC125" s="626" t="s">
        <v>5316</v>
      </c>
      <c r="AD125" s="623" t="s">
        <v>5317</v>
      </c>
      <c r="AE125" s="626" t="s">
        <v>5318</v>
      </c>
      <c r="AF125" s="623" t="s">
        <v>5319</v>
      </c>
      <c r="AG125" s="626" t="s">
        <v>5320</v>
      </c>
      <c r="AH125" s="623" t="s">
        <v>5321</v>
      </c>
      <c r="AI125" s="626" t="s">
        <v>5322</v>
      </c>
      <c r="AJ125" s="623" t="s">
        <v>5323</v>
      </c>
      <c r="AK125" s="626" t="s">
        <v>5324</v>
      </c>
      <c r="AL125" s="623" t="s">
        <v>5325</v>
      </c>
      <c r="AM125" s="626" t="s">
        <v>5326</v>
      </c>
      <c r="AN125" s="623" t="s">
        <v>5327</v>
      </c>
      <c r="AO125" s="624" t="s">
        <v>5328</v>
      </c>
      <c r="AP125" s="843" t="s">
        <v>5329</v>
      </c>
      <c r="AQ125" s="83" t="s">
        <v>5330</v>
      </c>
      <c r="AR125" s="644" t="s">
        <v>5331</v>
      </c>
      <c r="AS125" s="849" t="s">
        <v>5332</v>
      </c>
      <c r="AT125" s="644" t="s">
        <v>5333</v>
      </c>
      <c r="AU125" s="83" t="s">
        <v>5334</v>
      </c>
      <c r="AV125" s="83" t="s">
        <v>5335</v>
      </c>
      <c r="AW125" s="83" t="s">
        <v>5336</v>
      </c>
      <c r="AX125" s="83" t="s">
        <v>5337</v>
      </c>
      <c r="AY125" t="e">
        <f t="shared" si="130"/>
        <v>#VALUE!</v>
      </c>
      <c r="CX125" s="4788"/>
      <c r="CY125" s="1723" t="str">
        <f t="shared" si="132"/>
        <v xml:space="preserve"> * Las embarazadas no pueden ser mayor al Total Mujeres.</v>
      </c>
      <c r="CZ125" s="1723" t="str">
        <f t="shared" si="133"/>
        <v xml:space="preserve"> * Los beneficiarios no pueden ser mayor al Total Ambos Sexos.</v>
      </c>
      <c r="DA125" s="1723" t="e">
        <f t="shared" si="134"/>
        <v>#VALUE!</v>
      </c>
      <c r="DB125" s="1723" t="str">
        <f t="shared" si="135"/>
        <v xml:space="preserve"> * La variable Usuarios con discapacidad No puede ser mayor al Total Ambos Sexos.</v>
      </c>
      <c r="DC125" s="1723" t="str">
        <f t="shared" si="136"/>
        <v xml:space="preserve"> * La variable Niños, niñas, adolescentes y jóvenes SENAME No puede ser mayor al Total Ambos Sexos.</v>
      </c>
      <c r="DD125" s="1723" t="str">
        <f t="shared" si="137"/>
        <v xml:space="preserve"> * La variable Niños, niñas, adolescentes y jóvenes Mejor Niñez No puede ser mayor al Total Ambos Sexos.</v>
      </c>
      <c r="DE125" s="1723" t="str">
        <f t="shared" si="138"/>
        <v xml:space="preserve"> * La variable Migrantes No puede ser mayor al Total Ambos Sexos.</v>
      </c>
      <c r="DF125"/>
      <c r="DH125" s="4788"/>
      <c r="DI125" s="1725">
        <f t="shared" si="140"/>
        <v>1</v>
      </c>
      <c r="DJ125" s="1725">
        <f t="shared" si="141"/>
        <v>1</v>
      </c>
      <c r="DK125" s="1725" t="e">
        <f t="shared" si="142"/>
        <v>#VALUE!</v>
      </c>
      <c r="DL125" s="1725">
        <f t="shared" si="143"/>
        <v>1</v>
      </c>
      <c r="DM125" s="1725">
        <f t="shared" si="144"/>
        <v>1</v>
      </c>
      <c r="DN125" s="1725">
        <f t="shared" si="145"/>
        <v>1</v>
      </c>
      <c r="DO125" s="1725">
        <f t="shared" si="146"/>
        <v>1</v>
      </c>
    </row>
    <row r="126" spans="1:119" ht="15" customHeight="1" x14ac:dyDescent="0.3">
      <c r="A126" s="6269" t="s">
        <v>5008</v>
      </c>
      <c r="B126" s="7381" t="s">
        <v>809</v>
      </c>
      <c r="C126" s="7382"/>
      <c r="D126" s="7383"/>
      <c r="E126" s="635" t="s">
        <v>5292</v>
      </c>
      <c r="F126" s="785" t="s">
        <v>5293</v>
      </c>
      <c r="G126" s="786" t="s">
        <v>5294</v>
      </c>
      <c r="H126" s="846" t="s">
        <v>5295</v>
      </c>
      <c r="I126" s="848" t="s">
        <v>5296</v>
      </c>
      <c r="J126" s="846" t="s">
        <v>5297</v>
      </c>
      <c r="K126" s="850" t="s">
        <v>5298</v>
      </c>
      <c r="L126" s="846" t="s">
        <v>5299</v>
      </c>
      <c r="M126" s="848" t="s">
        <v>5300</v>
      </c>
      <c r="N126" s="846" t="s">
        <v>5301</v>
      </c>
      <c r="O126" s="848" t="s">
        <v>5302</v>
      </c>
      <c r="P126" s="851" t="s">
        <v>5303</v>
      </c>
      <c r="Q126" s="626" t="s">
        <v>5304</v>
      </c>
      <c r="R126" s="623" t="s">
        <v>5305</v>
      </c>
      <c r="S126" s="626" t="s">
        <v>5306</v>
      </c>
      <c r="T126" s="623" t="s">
        <v>5307</v>
      </c>
      <c r="U126" s="848" t="s">
        <v>5308</v>
      </c>
      <c r="V126" s="851" t="s">
        <v>5309</v>
      </c>
      <c r="W126" s="626" t="s">
        <v>5310</v>
      </c>
      <c r="X126" s="623" t="s">
        <v>5311</v>
      </c>
      <c r="Y126" s="626" t="s">
        <v>5312</v>
      </c>
      <c r="Z126" s="623" t="s">
        <v>5313</v>
      </c>
      <c r="AA126" s="626" t="s">
        <v>5314</v>
      </c>
      <c r="AB126" s="623" t="s">
        <v>5315</v>
      </c>
      <c r="AC126" s="626" t="s">
        <v>5316</v>
      </c>
      <c r="AD126" s="623" t="s">
        <v>5317</v>
      </c>
      <c r="AE126" s="626" t="s">
        <v>5318</v>
      </c>
      <c r="AF126" s="623" t="s">
        <v>5319</v>
      </c>
      <c r="AG126" s="626" t="s">
        <v>5320</v>
      </c>
      <c r="AH126" s="623" t="s">
        <v>5321</v>
      </c>
      <c r="AI126" s="626" t="s">
        <v>5322</v>
      </c>
      <c r="AJ126" s="623" t="s">
        <v>5323</v>
      </c>
      <c r="AK126" s="626" t="s">
        <v>5324</v>
      </c>
      <c r="AL126" s="623" t="s">
        <v>5325</v>
      </c>
      <c r="AM126" s="626" t="s">
        <v>5326</v>
      </c>
      <c r="AN126" s="623" t="s">
        <v>5327</v>
      </c>
      <c r="AO126" s="624" t="s">
        <v>5328</v>
      </c>
      <c r="AP126" s="83" t="s">
        <v>5329</v>
      </c>
      <c r="AQ126" s="852" t="s">
        <v>5330</v>
      </c>
      <c r="AR126" s="849" t="s">
        <v>5331</v>
      </c>
      <c r="AS126" s="849" t="s">
        <v>5332</v>
      </c>
      <c r="AT126" s="644" t="s">
        <v>5333</v>
      </c>
      <c r="AU126" s="83" t="s">
        <v>5334</v>
      </c>
      <c r="AV126" s="83" t="s">
        <v>5335</v>
      </c>
      <c r="AW126" s="83" t="s">
        <v>5336</v>
      </c>
      <c r="AX126" s="83" t="s">
        <v>5337</v>
      </c>
      <c r="AY126" t="e">
        <f t="shared" si="130"/>
        <v>#VALUE!</v>
      </c>
      <c r="CX126" s="1723" t="e">
        <f t="shared" ref="CX126:CX140" si="149">IF(AND((X126+Y126)&gt;0,AP126="")," * No olvide digitar la variable 12 años. Si no tiene digite Cero.",IF(AP126&gt;(X126+Y126),"* Las Consultas de 12 años NO DEBEN ser mayor que el total de Consultas entre 10-14 años",""))</f>
        <v>#VALUE!</v>
      </c>
      <c r="CY126" s="1723" t="str">
        <f t="shared" si="132"/>
        <v xml:space="preserve"> * Las embarazadas no pueden ser mayor al Total Mujeres.</v>
      </c>
      <c r="CZ126" s="1723" t="str">
        <f t="shared" si="133"/>
        <v xml:space="preserve"> * Los beneficiarios no pueden ser mayor al Total Ambos Sexos.</v>
      </c>
      <c r="DA126" s="1723" t="e">
        <f t="shared" si="134"/>
        <v>#VALUE!</v>
      </c>
      <c r="DB126" s="1723" t="str">
        <f t="shared" si="135"/>
        <v xml:space="preserve"> * La variable Usuarios con discapacidad No puede ser mayor al Total Ambos Sexos.</v>
      </c>
      <c r="DC126" s="1723" t="str">
        <f t="shared" si="136"/>
        <v xml:space="preserve"> * La variable Niños, niñas, adolescentes y jóvenes SENAME No puede ser mayor al Total Ambos Sexos.</v>
      </c>
      <c r="DD126" s="1723" t="str">
        <f t="shared" si="137"/>
        <v xml:space="preserve"> * La variable Niños, niñas, adolescentes y jóvenes Mejor Niñez No puede ser mayor al Total Ambos Sexos.</v>
      </c>
      <c r="DE126" s="1723" t="str">
        <f t="shared" si="138"/>
        <v xml:space="preserve"> * La variable Migrantes No puede ser mayor al Total Ambos Sexos.</v>
      </c>
      <c r="DF126"/>
      <c r="DH126" s="1725" t="e">
        <f t="shared" ref="DH126:DH140" si="150">IF(AND((X126+Y126)&gt;0,AP126=""),1,IF(AP126&gt;(X126+Y126),1,0))</f>
        <v>#VALUE!</v>
      </c>
      <c r="DI126" s="1725">
        <f t="shared" si="140"/>
        <v>1</v>
      </c>
      <c r="DJ126" s="1725">
        <f t="shared" si="141"/>
        <v>1</v>
      </c>
      <c r="DK126" s="1725" t="e">
        <f t="shared" si="142"/>
        <v>#VALUE!</v>
      </c>
      <c r="DL126" s="1725">
        <f t="shared" si="143"/>
        <v>1</v>
      </c>
      <c r="DM126" s="1725">
        <f t="shared" si="144"/>
        <v>1</v>
      </c>
      <c r="DN126" s="1725">
        <f t="shared" si="145"/>
        <v>1</v>
      </c>
      <c r="DO126" s="1725">
        <f t="shared" si="146"/>
        <v>1</v>
      </c>
    </row>
    <row r="127" spans="1:119" ht="15" customHeight="1" x14ac:dyDescent="0.3">
      <c r="A127" s="6269" t="s">
        <v>5009</v>
      </c>
      <c r="B127" s="7381" t="s">
        <v>810</v>
      </c>
      <c r="C127" s="7382"/>
      <c r="D127" s="7383"/>
      <c r="E127" s="635" t="s">
        <v>5292</v>
      </c>
      <c r="F127" s="785" t="s">
        <v>5293</v>
      </c>
      <c r="G127" s="786" t="s">
        <v>5294</v>
      </c>
      <c r="H127" s="846" t="s">
        <v>5295</v>
      </c>
      <c r="I127" s="848" t="s">
        <v>5296</v>
      </c>
      <c r="J127" s="846" t="s">
        <v>5297</v>
      </c>
      <c r="K127" s="850" t="s">
        <v>5298</v>
      </c>
      <c r="L127" s="846" t="s">
        <v>5299</v>
      </c>
      <c r="M127" s="848" t="s">
        <v>5300</v>
      </c>
      <c r="N127" s="846" t="s">
        <v>5301</v>
      </c>
      <c r="O127" s="848" t="s">
        <v>5302</v>
      </c>
      <c r="P127" s="851" t="s">
        <v>5303</v>
      </c>
      <c r="Q127" s="626" t="s">
        <v>5304</v>
      </c>
      <c r="R127" s="623" t="s">
        <v>5305</v>
      </c>
      <c r="S127" s="626" t="s">
        <v>5306</v>
      </c>
      <c r="T127" s="623" t="s">
        <v>5307</v>
      </c>
      <c r="U127" s="848" t="s">
        <v>5308</v>
      </c>
      <c r="V127" s="851" t="s">
        <v>5309</v>
      </c>
      <c r="W127" s="626" t="s">
        <v>5310</v>
      </c>
      <c r="X127" s="623" t="s">
        <v>5311</v>
      </c>
      <c r="Y127" s="626" t="s">
        <v>5312</v>
      </c>
      <c r="Z127" s="623" t="s">
        <v>5313</v>
      </c>
      <c r="AA127" s="626" t="s">
        <v>5314</v>
      </c>
      <c r="AB127" s="623" t="s">
        <v>5315</v>
      </c>
      <c r="AC127" s="626" t="s">
        <v>5316</v>
      </c>
      <c r="AD127" s="623" t="s">
        <v>5317</v>
      </c>
      <c r="AE127" s="626" t="s">
        <v>5318</v>
      </c>
      <c r="AF127" s="623" t="s">
        <v>5319</v>
      </c>
      <c r="AG127" s="626" t="s">
        <v>5320</v>
      </c>
      <c r="AH127" s="623" t="s">
        <v>5321</v>
      </c>
      <c r="AI127" s="626" t="s">
        <v>5322</v>
      </c>
      <c r="AJ127" s="623" t="s">
        <v>5323</v>
      </c>
      <c r="AK127" s="626" t="s">
        <v>5324</v>
      </c>
      <c r="AL127" s="623" t="s">
        <v>5325</v>
      </c>
      <c r="AM127" s="626" t="s">
        <v>5326</v>
      </c>
      <c r="AN127" s="623" t="s">
        <v>5327</v>
      </c>
      <c r="AO127" s="624" t="s">
        <v>5328</v>
      </c>
      <c r="AP127" s="83" t="s">
        <v>5329</v>
      </c>
      <c r="AQ127" s="852" t="s">
        <v>5330</v>
      </c>
      <c r="AR127" s="849" t="s">
        <v>5331</v>
      </c>
      <c r="AS127" s="849" t="s">
        <v>5332</v>
      </c>
      <c r="AT127" s="644" t="s">
        <v>5333</v>
      </c>
      <c r="AU127" s="83" t="s">
        <v>5334</v>
      </c>
      <c r="AV127" s="83" t="s">
        <v>5335</v>
      </c>
      <c r="AW127" s="83" t="s">
        <v>5336</v>
      </c>
      <c r="AX127" s="83" t="s">
        <v>5337</v>
      </c>
      <c r="AY127" t="e">
        <f t="shared" si="130"/>
        <v>#VALUE!</v>
      </c>
      <c r="CX127" s="1723" t="e">
        <f t="shared" si="149"/>
        <v>#VALUE!</v>
      </c>
      <c r="CY127" s="1723" t="str">
        <f t="shared" si="132"/>
        <v xml:space="preserve"> * Las embarazadas no pueden ser mayor al Total Mujeres.</v>
      </c>
      <c r="CZ127" s="1723" t="str">
        <f t="shared" si="133"/>
        <v xml:space="preserve"> * Los beneficiarios no pueden ser mayor al Total Ambos Sexos.</v>
      </c>
      <c r="DA127" s="1723" t="e">
        <f t="shared" si="134"/>
        <v>#VALUE!</v>
      </c>
      <c r="DB127" s="1723" t="str">
        <f t="shared" si="135"/>
        <v xml:space="preserve"> * La variable Usuarios con discapacidad No puede ser mayor al Total Ambos Sexos.</v>
      </c>
      <c r="DC127" s="1723" t="str">
        <f t="shared" si="136"/>
        <v xml:space="preserve"> * La variable Niños, niñas, adolescentes y jóvenes SENAME No puede ser mayor al Total Ambos Sexos.</v>
      </c>
      <c r="DD127" s="1723" t="str">
        <f t="shared" si="137"/>
        <v xml:space="preserve"> * La variable Niños, niñas, adolescentes y jóvenes Mejor Niñez No puede ser mayor al Total Ambos Sexos.</v>
      </c>
      <c r="DE127" s="1723" t="str">
        <f t="shared" si="138"/>
        <v xml:space="preserve"> * La variable Migrantes No puede ser mayor al Total Ambos Sexos.</v>
      </c>
      <c r="DF127"/>
      <c r="DH127" s="1725" t="e">
        <f t="shared" si="150"/>
        <v>#VALUE!</v>
      </c>
      <c r="DI127" s="1725">
        <f t="shared" si="140"/>
        <v>1</v>
      </c>
      <c r="DJ127" s="1725">
        <f t="shared" si="141"/>
        <v>1</v>
      </c>
      <c r="DK127" s="1725" t="e">
        <f t="shared" si="142"/>
        <v>#VALUE!</v>
      </c>
      <c r="DL127" s="1725">
        <f t="shared" si="143"/>
        <v>1</v>
      </c>
      <c r="DM127" s="1725">
        <f t="shared" si="144"/>
        <v>1</v>
      </c>
      <c r="DN127" s="1725">
        <f t="shared" si="145"/>
        <v>1</v>
      </c>
      <c r="DO127" s="1725">
        <f t="shared" si="146"/>
        <v>1</v>
      </c>
    </row>
    <row r="128" spans="1:119" ht="15" customHeight="1" x14ac:dyDescent="0.3">
      <c r="A128" s="6269" t="s">
        <v>5010</v>
      </c>
      <c r="B128" s="7381" t="s">
        <v>811</v>
      </c>
      <c r="C128" s="7382"/>
      <c r="D128" s="7383"/>
      <c r="E128" s="635" t="s">
        <v>5292</v>
      </c>
      <c r="F128" s="785" t="s">
        <v>5293</v>
      </c>
      <c r="G128" s="786" t="s">
        <v>5294</v>
      </c>
      <c r="H128" s="846" t="s">
        <v>5295</v>
      </c>
      <c r="I128" s="848" t="s">
        <v>5296</v>
      </c>
      <c r="J128" s="846" t="s">
        <v>5297</v>
      </c>
      <c r="K128" s="850" t="s">
        <v>5298</v>
      </c>
      <c r="L128" s="846" t="s">
        <v>5299</v>
      </c>
      <c r="M128" s="848" t="s">
        <v>5300</v>
      </c>
      <c r="N128" s="846" t="s">
        <v>5301</v>
      </c>
      <c r="O128" s="848" t="s">
        <v>5302</v>
      </c>
      <c r="P128" s="851" t="s">
        <v>5303</v>
      </c>
      <c r="Q128" s="626" t="s">
        <v>5304</v>
      </c>
      <c r="R128" s="623" t="s">
        <v>5305</v>
      </c>
      <c r="S128" s="626" t="s">
        <v>5306</v>
      </c>
      <c r="T128" s="623" t="s">
        <v>5307</v>
      </c>
      <c r="U128" s="848" t="s">
        <v>5308</v>
      </c>
      <c r="V128" s="851" t="s">
        <v>5309</v>
      </c>
      <c r="W128" s="626" t="s">
        <v>5310</v>
      </c>
      <c r="X128" s="623" t="s">
        <v>5311</v>
      </c>
      <c r="Y128" s="626" t="s">
        <v>5312</v>
      </c>
      <c r="Z128" s="623" t="s">
        <v>5313</v>
      </c>
      <c r="AA128" s="626" t="s">
        <v>5314</v>
      </c>
      <c r="AB128" s="623" t="s">
        <v>5315</v>
      </c>
      <c r="AC128" s="626" t="s">
        <v>5316</v>
      </c>
      <c r="AD128" s="623" t="s">
        <v>5317</v>
      </c>
      <c r="AE128" s="626" t="s">
        <v>5318</v>
      </c>
      <c r="AF128" s="623" t="s">
        <v>5319</v>
      </c>
      <c r="AG128" s="626" t="s">
        <v>5320</v>
      </c>
      <c r="AH128" s="623" t="s">
        <v>5321</v>
      </c>
      <c r="AI128" s="626" t="s">
        <v>5322</v>
      </c>
      <c r="AJ128" s="623" t="s">
        <v>5323</v>
      </c>
      <c r="AK128" s="626" t="s">
        <v>5324</v>
      </c>
      <c r="AL128" s="623" t="s">
        <v>5325</v>
      </c>
      <c r="AM128" s="626" t="s">
        <v>5326</v>
      </c>
      <c r="AN128" s="623" t="s">
        <v>5327</v>
      </c>
      <c r="AO128" s="624" t="s">
        <v>5328</v>
      </c>
      <c r="AP128" s="83" t="s">
        <v>5329</v>
      </c>
      <c r="AQ128" s="852" t="s">
        <v>5330</v>
      </c>
      <c r="AR128" s="849" t="s">
        <v>5331</v>
      </c>
      <c r="AS128" s="849" t="s">
        <v>5332</v>
      </c>
      <c r="AT128" s="644" t="s">
        <v>5333</v>
      </c>
      <c r="AU128" s="83" t="s">
        <v>5334</v>
      </c>
      <c r="AV128" s="83" t="s">
        <v>5335</v>
      </c>
      <c r="AW128" s="83" t="s">
        <v>5336</v>
      </c>
      <c r="AX128" s="83" t="s">
        <v>5337</v>
      </c>
      <c r="AY128" t="e">
        <f t="shared" si="130"/>
        <v>#VALUE!</v>
      </c>
      <c r="CX128" s="1723" t="e">
        <f t="shared" si="149"/>
        <v>#VALUE!</v>
      </c>
      <c r="CY128" s="1723" t="str">
        <f t="shared" si="132"/>
        <v xml:space="preserve"> * Las embarazadas no pueden ser mayor al Total Mujeres.</v>
      </c>
      <c r="CZ128" s="1723" t="str">
        <f t="shared" si="133"/>
        <v xml:space="preserve"> * Los beneficiarios no pueden ser mayor al Total Ambos Sexos.</v>
      </c>
      <c r="DA128" s="1723" t="e">
        <f t="shared" si="134"/>
        <v>#VALUE!</v>
      </c>
      <c r="DB128" s="1723" t="str">
        <f t="shared" si="135"/>
        <v xml:space="preserve"> * La variable Usuarios con discapacidad No puede ser mayor al Total Ambos Sexos.</v>
      </c>
      <c r="DC128" s="1723" t="str">
        <f t="shared" si="136"/>
        <v xml:space="preserve"> * La variable Niños, niñas, adolescentes y jóvenes SENAME No puede ser mayor al Total Ambos Sexos.</v>
      </c>
      <c r="DD128" s="1723" t="str">
        <f t="shared" si="137"/>
        <v xml:space="preserve"> * La variable Niños, niñas, adolescentes y jóvenes Mejor Niñez No puede ser mayor al Total Ambos Sexos.</v>
      </c>
      <c r="DE128" s="1723" t="str">
        <f t="shared" si="138"/>
        <v xml:space="preserve"> * La variable Migrantes No puede ser mayor al Total Ambos Sexos.</v>
      </c>
      <c r="DF128"/>
      <c r="DH128" s="1725" t="e">
        <f t="shared" si="150"/>
        <v>#VALUE!</v>
      </c>
      <c r="DI128" s="1725">
        <f t="shared" si="140"/>
        <v>1</v>
      </c>
      <c r="DJ128" s="1725">
        <f t="shared" si="141"/>
        <v>1</v>
      </c>
      <c r="DK128" s="1725" t="e">
        <f t="shared" si="142"/>
        <v>#VALUE!</v>
      </c>
      <c r="DL128" s="1725">
        <f t="shared" si="143"/>
        <v>1</v>
      </c>
      <c r="DM128" s="1725">
        <f t="shared" si="144"/>
        <v>1</v>
      </c>
      <c r="DN128" s="1725">
        <f t="shared" si="145"/>
        <v>1</v>
      </c>
      <c r="DO128" s="1725">
        <f t="shared" si="146"/>
        <v>1</v>
      </c>
    </row>
    <row r="129" spans="1:119" ht="15" customHeight="1" x14ac:dyDescent="0.3">
      <c r="A129" s="6269" t="s">
        <v>5011</v>
      </c>
      <c r="B129" s="7381" t="s">
        <v>812</v>
      </c>
      <c r="C129" s="7382"/>
      <c r="D129" s="7383"/>
      <c r="E129" s="635" t="s">
        <v>5292</v>
      </c>
      <c r="F129" s="785" t="s">
        <v>5293</v>
      </c>
      <c r="G129" s="786" t="s">
        <v>5294</v>
      </c>
      <c r="H129" s="846" t="s">
        <v>5295</v>
      </c>
      <c r="I129" s="848" t="s">
        <v>5296</v>
      </c>
      <c r="J129" s="846" t="s">
        <v>5297</v>
      </c>
      <c r="K129" s="850" t="s">
        <v>5298</v>
      </c>
      <c r="L129" s="846" t="s">
        <v>5299</v>
      </c>
      <c r="M129" s="848" t="s">
        <v>5300</v>
      </c>
      <c r="N129" s="846" t="s">
        <v>5301</v>
      </c>
      <c r="O129" s="848" t="s">
        <v>5302</v>
      </c>
      <c r="P129" s="851" t="s">
        <v>5303</v>
      </c>
      <c r="Q129" s="626" t="s">
        <v>5304</v>
      </c>
      <c r="R129" s="623" t="s">
        <v>5305</v>
      </c>
      <c r="S129" s="626" t="s">
        <v>5306</v>
      </c>
      <c r="T129" s="623" t="s">
        <v>5307</v>
      </c>
      <c r="U129" s="848" t="s">
        <v>5308</v>
      </c>
      <c r="V129" s="851" t="s">
        <v>5309</v>
      </c>
      <c r="W129" s="626" t="s">
        <v>5310</v>
      </c>
      <c r="X129" s="623" t="s">
        <v>5311</v>
      </c>
      <c r="Y129" s="626" t="s">
        <v>5312</v>
      </c>
      <c r="Z129" s="623" t="s">
        <v>5313</v>
      </c>
      <c r="AA129" s="626" t="s">
        <v>5314</v>
      </c>
      <c r="AB129" s="623" t="s">
        <v>5315</v>
      </c>
      <c r="AC129" s="626" t="s">
        <v>5316</v>
      </c>
      <c r="AD129" s="623" t="s">
        <v>5317</v>
      </c>
      <c r="AE129" s="626" t="s">
        <v>5318</v>
      </c>
      <c r="AF129" s="623" t="s">
        <v>5319</v>
      </c>
      <c r="AG129" s="626" t="s">
        <v>5320</v>
      </c>
      <c r="AH129" s="623" t="s">
        <v>5321</v>
      </c>
      <c r="AI129" s="626" t="s">
        <v>5322</v>
      </c>
      <c r="AJ129" s="623" t="s">
        <v>5323</v>
      </c>
      <c r="AK129" s="626" t="s">
        <v>5324</v>
      </c>
      <c r="AL129" s="623" t="s">
        <v>5325</v>
      </c>
      <c r="AM129" s="626" t="s">
        <v>5326</v>
      </c>
      <c r="AN129" s="623" t="s">
        <v>5327</v>
      </c>
      <c r="AO129" s="624" t="s">
        <v>5328</v>
      </c>
      <c r="AP129" s="83" t="s">
        <v>5329</v>
      </c>
      <c r="AQ129" s="852" t="s">
        <v>5330</v>
      </c>
      <c r="AR129" s="849" t="s">
        <v>5331</v>
      </c>
      <c r="AS129" s="849" t="s">
        <v>5332</v>
      </c>
      <c r="AT129" s="644" t="s">
        <v>5333</v>
      </c>
      <c r="AU129" s="83" t="s">
        <v>5334</v>
      </c>
      <c r="AV129" s="83" t="s">
        <v>5335</v>
      </c>
      <c r="AW129" s="83" t="s">
        <v>5336</v>
      </c>
      <c r="AX129" s="83" t="s">
        <v>5337</v>
      </c>
      <c r="AY129" t="e">
        <f t="shared" si="130"/>
        <v>#VALUE!</v>
      </c>
      <c r="CX129" s="1723" t="e">
        <f t="shared" si="149"/>
        <v>#VALUE!</v>
      </c>
      <c r="CY129" s="1723" t="str">
        <f t="shared" si="132"/>
        <v xml:space="preserve"> * Las embarazadas no pueden ser mayor al Total Mujeres.</v>
      </c>
      <c r="CZ129" s="1723" t="str">
        <f t="shared" si="133"/>
        <v xml:space="preserve"> * Los beneficiarios no pueden ser mayor al Total Ambos Sexos.</v>
      </c>
      <c r="DA129" s="1723" t="e">
        <f t="shared" si="134"/>
        <v>#VALUE!</v>
      </c>
      <c r="DB129" s="1723" t="str">
        <f t="shared" si="135"/>
        <v xml:space="preserve"> * La variable Usuarios con discapacidad No puede ser mayor al Total Ambos Sexos.</v>
      </c>
      <c r="DC129" s="1723" t="str">
        <f t="shared" si="136"/>
        <v xml:space="preserve"> * La variable Niños, niñas, adolescentes y jóvenes SENAME No puede ser mayor al Total Ambos Sexos.</v>
      </c>
      <c r="DD129" s="1723" t="str">
        <f t="shared" si="137"/>
        <v xml:space="preserve"> * La variable Niños, niñas, adolescentes y jóvenes Mejor Niñez No puede ser mayor al Total Ambos Sexos.</v>
      </c>
      <c r="DE129" s="1723" t="str">
        <f t="shared" si="138"/>
        <v xml:space="preserve"> * La variable Migrantes No puede ser mayor al Total Ambos Sexos.</v>
      </c>
      <c r="DF129"/>
      <c r="DH129" s="1725" t="e">
        <f t="shared" si="150"/>
        <v>#VALUE!</v>
      </c>
      <c r="DI129" s="1725">
        <f t="shared" si="140"/>
        <v>1</v>
      </c>
      <c r="DJ129" s="1725">
        <f t="shared" si="141"/>
        <v>1</v>
      </c>
      <c r="DK129" s="1725" t="e">
        <f t="shared" si="142"/>
        <v>#VALUE!</v>
      </c>
      <c r="DL129" s="1725">
        <f t="shared" si="143"/>
        <v>1</v>
      </c>
      <c r="DM129" s="1725">
        <f t="shared" si="144"/>
        <v>1</v>
      </c>
      <c r="DN129" s="1725">
        <f t="shared" si="145"/>
        <v>1</v>
      </c>
      <c r="DO129" s="1725">
        <f t="shared" si="146"/>
        <v>1</v>
      </c>
    </row>
    <row r="130" spans="1:119" ht="15" customHeight="1" x14ac:dyDescent="0.3">
      <c r="A130" s="6269" t="s">
        <v>5012</v>
      </c>
      <c r="B130" s="7381" t="s">
        <v>813</v>
      </c>
      <c r="C130" s="7382"/>
      <c r="D130" s="7383"/>
      <c r="E130" s="635" t="s">
        <v>5292</v>
      </c>
      <c r="F130" s="785" t="s">
        <v>5293</v>
      </c>
      <c r="G130" s="786" t="s">
        <v>5294</v>
      </c>
      <c r="H130" s="846" t="s">
        <v>5295</v>
      </c>
      <c r="I130" s="848" t="s">
        <v>5296</v>
      </c>
      <c r="J130" s="846" t="s">
        <v>5297</v>
      </c>
      <c r="K130" s="850" t="s">
        <v>5298</v>
      </c>
      <c r="L130" s="846" t="s">
        <v>5299</v>
      </c>
      <c r="M130" s="848" t="s">
        <v>5300</v>
      </c>
      <c r="N130" s="846" t="s">
        <v>5301</v>
      </c>
      <c r="O130" s="848" t="s">
        <v>5302</v>
      </c>
      <c r="P130" s="851" t="s">
        <v>5303</v>
      </c>
      <c r="Q130" s="626" t="s">
        <v>5304</v>
      </c>
      <c r="R130" s="623" t="s">
        <v>5305</v>
      </c>
      <c r="S130" s="626" t="s">
        <v>5306</v>
      </c>
      <c r="T130" s="623" t="s">
        <v>5307</v>
      </c>
      <c r="U130" s="848" t="s">
        <v>5308</v>
      </c>
      <c r="V130" s="851" t="s">
        <v>5309</v>
      </c>
      <c r="W130" s="626" t="s">
        <v>5310</v>
      </c>
      <c r="X130" s="623" t="s">
        <v>5311</v>
      </c>
      <c r="Y130" s="626" t="s">
        <v>5312</v>
      </c>
      <c r="Z130" s="623" t="s">
        <v>5313</v>
      </c>
      <c r="AA130" s="626" t="s">
        <v>5314</v>
      </c>
      <c r="AB130" s="623" t="s">
        <v>5315</v>
      </c>
      <c r="AC130" s="626" t="s">
        <v>5316</v>
      </c>
      <c r="AD130" s="623" t="s">
        <v>5317</v>
      </c>
      <c r="AE130" s="626" t="s">
        <v>5318</v>
      </c>
      <c r="AF130" s="623" t="s">
        <v>5319</v>
      </c>
      <c r="AG130" s="626" t="s">
        <v>5320</v>
      </c>
      <c r="AH130" s="623" t="s">
        <v>5321</v>
      </c>
      <c r="AI130" s="626" t="s">
        <v>5322</v>
      </c>
      <c r="AJ130" s="623" t="s">
        <v>5323</v>
      </c>
      <c r="AK130" s="626" t="s">
        <v>5324</v>
      </c>
      <c r="AL130" s="623" t="s">
        <v>5325</v>
      </c>
      <c r="AM130" s="626" t="s">
        <v>5326</v>
      </c>
      <c r="AN130" s="623" t="s">
        <v>5327</v>
      </c>
      <c r="AO130" s="624" t="s">
        <v>5328</v>
      </c>
      <c r="AP130" s="83" t="s">
        <v>5329</v>
      </c>
      <c r="AQ130" s="852" t="s">
        <v>5330</v>
      </c>
      <c r="AR130" s="849" t="s">
        <v>5331</v>
      </c>
      <c r="AS130" s="849" t="s">
        <v>5332</v>
      </c>
      <c r="AT130" s="644" t="s">
        <v>5333</v>
      </c>
      <c r="AU130" s="83" t="s">
        <v>5334</v>
      </c>
      <c r="AV130" s="83" t="s">
        <v>5335</v>
      </c>
      <c r="AW130" s="83" t="s">
        <v>5336</v>
      </c>
      <c r="AX130" s="83" t="s">
        <v>5337</v>
      </c>
      <c r="AY130" t="e">
        <f t="shared" si="130"/>
        <v>#VALUE!</v>
      </c>
      <c r="CX130" s="1723" t="e">
        <f t="shared" si="149"/>
        <v>#VALUE!</v>
      </c>
      <c r="CY130" s="1723" t="str">
        <f t="shared" si="132"/>
        <v xml:space="preserve"> * Las embarazadas no pueden ser mayor al Total Mujeres.</v>
      </c>
      <c r="CZ130" s="1723" t="str">
        <f t="shared" si="133"/>
        <v xml:space="preserve"> * Los beneficiarios no pueden ser mayor al Total Ambos Sexos.</v>
      </c>
      <c r="DA130" s="1723" t="e">
        <f t="shared" si="134"/>
        <v>#VALUE!</v>
      </c>
      <c r="DB130" s="1723" t="str">
        <f t="shared" si="135"/>
        <v xml:space="preserve"> * La variable Usuarios con discapacidad No puede ser mayor al Total Ambos Sexos.</v>
      </c>
      <c r="DC130" s="1723" t="str">
        <f t="shared" si="136"/>
        <v xml:space="preserve"> * La variable Niños, niñas, adolescentes y jóvenes SENAME No puede ser mayor al Total Ambos Sexos.</v>
      </c>
      <c r="DD130" s="1723" t="str">
        <f t="shared" si="137"/>
        <v xml:space="preserve"> * La variable Niños, niñas, adolescentes y jóvenes Mejor Niñez No puede ser mayor al Total Ambos Sexos.</v>
      </c>
      <c r="DE130" s="1723" t="str">
        <f t="shared" si="138"/>
        <v xml:space="preserve"> * La variable Migrantes No puede ser mayor al Total Ambos Sexos.</v>
      </c>
      <c r="DF130"/>
      <c r="DH130" s="1725" t="e">
        <f t="shared" si="150"/>
        <v>#VALUE!</v>
      </c>
      <c r="DI130" s="1725">
        <f t="shared" si="140"/>
        <v>1</v>
      </c>
      <c r="DJ130" s="1725">
        <f t="shared" si="141"/>
        <v>1</v>
      </c>
      <c r="DK130" s="1725" t="e">
        <f t="shared" si="142"/>
        <v>#VALUE!</v>
      </c>
      <c r="DL130" s="1725">
        <f t="shared" si="143"/>
        <v>1</v>
      </c>
      <c r="DM130" s="1725">
        <f t="shared" si="144"/>
        <v>1</v>
      </c>
      <c r="DN130" s="1725">
        <f t="shared" si="145"/>
        <v>1</v>
      </c>
      <c r="DO130" s="1725">
        <f t="shared" si="146"/>
        <v>1</v>
      </c>
    </row>
    <row r="131" spans="1:119" ht="15" customHeight="1" x14ac:dyDescent="0.3">
      <c r="A131" s="6269" t="s">
        <v>5013</v>
      </c>
      <c r="B131" s="7381" t="s">
        <v>814</v>
      </c>
      <c r="C131" s="7382"/>
      <c r="D131" s="7383"/>
      <c r="E131" s="635" t="s">
        <v>5292</v>
      </c>
      <c r="F131" s="785" t="s">
        <v>5293</v>
      </c>
      <c r="G131" s="786" t="s">
        <v>5294</v>
      </c>
      <c r="H131" s="846" t="s">
        <v>5295</v>
      </c>
      <c r="I131" s="848" t="s">
        <v>5296</v>
      </c>
      <c r="J131" s="846" t="s">
        <v>5297</v>
      </c>
      <c r="K131" s="850" t="s">
        <v>5298</v>
      </c>
      <c r="L131" s="846" t="s">
        <v>5299</v>
      </c>
      <c r="M131" s="848" t="s">
        <v>5300</v>
      </c>
      <c r="N131" s="846" t="s">
        <v>5301</v>
      </c>
      <c r="O131" s="848" t="s">
        <v>5302</v>
      </c>
      <c r="P131" s="851" t="s">
        <v>5303</v>
      </c>
      <c r="Q131" s="626" t="s">
        <v>5304</v>
      </c>
      <c r="R131" s="623" t="s">
        <v>5305</v>
      </c>
      <c r="S131" s="626" t="s">
        <v>5306</v>
      </c>
      <c r="T131" s="623" t="s">
        <v>5307</v>
      </c>
      <c r="U131" s="848" t="s">
        <v>5308</v>
      </c>
      <c r="V131" s="851" t="s">
        <v>5309</v>
      </c>
      <c r="W131" s="626" t="s">
        <v>5310</v>
      </c>
      <c r="X131" s="623" t="s">
        <v>5311</v>
      </c>
      <c r="Y131" s="626" t="s">
        <v>5312</v>
      </c>
      <c r="Z131" s="623" t="s">
        <v>5313</v>
      </c>
      <c r="AA131" s="626" t="s">
        <v>5314</v>
      </c>
      <c r="AB131" s="623" t="s">
        <v>5315</v>
      </c>
      <c r="AC131" s="626" t="s">
        <v>5316</v>
      </c>
      <c r="AD131" s="623" t="s">
        <v>5317</v>
      </c>
      <c r="AE131" s="626" t="s">
        <v>5318</v>
      </c>
      <c r="AF131" s="623" t="s">
        <v>5319</v>
      </c>
      <c r="AG131" s="626" t="s">
        <v>5320</v>
      </c>
      <c r="AH131" s="623" t="s">
        <v>5321</v>
      </c>
      <c r="AI131" s="626" t="s">
        <v>5322</v>
      </c>
      <c r="AJ131" s="623" t="s">
        <v>5323</v>
      </c>
      <c r="AK131" s="626" t="s">
        <v>5324</v>
      </c>
      <c r="AL131" s="623" t="s">
        <v>5325</v>
      </c>
      <c r="AM131" s="626" t="s">
        <v>5326</v>
      </c>
      <c r="AN131" s="623" t="s">
        <v>5327</v>
      </c>
      <c r="AO131" s="624" t="s">
        <v>5328</v>
      </c>
      <c r="AP131" s="83" t="s">
        <v>5329</v>
      </c>
      <c r="AQ131" s="852" t="s">
        <v>5330</v>
      </c>
      <c r="AR131" s="849" t="s">
        <v>5331</v>
      </c>
      <c r="AS131" s="849" t="s">
        <v>5332</v>
      </c>
      <c r="AT131" s="644" t="s">
        <v>5333</v>
      </c>
      <c r="AU131" s="83" t="s">
        <v>5334</v>
      </c>
      <c r="AV131" s="83" t="s">
        <v>5335</v>
      </c>
      <c r="AW131" s="83" t="s">
        <v>5336</v>
      </c>
      <c r="AX131" s="83" t="s">
        <v>5337</v>
      </c>
      <c r="AY131" t="e">
        <f t="shared" si="130"/>
        <v>#VALUE!</v>
      </c>
      <c r="CX131" s="1723" t="e">
        <f t="shared" si="149"/>
        <v>#VALUE!</v>
      </c>
      <c r="CY131" s="1723" t="str">
        <f t="shared" si="132"/>
        <v xml:space="preserve"> * Las embarazadas no pueden ser mayor al Total Mujeres.</v>
      </c>
      <c r="CZ131" s="1723" t="str">
        <f t="shared" si="133"/>
        <v xml:space="preserve"> * Los beneficiarios no pueden ser mayor al Total Ambos Sexos.</v>
      </c>
      <c r="DA131" s="1723" t="e">
        <f t="shared" si="134"/>
        <v>#VALUE!</v>
      </c>
      <c r="DB131" s="1723" t="str">
        <f t="shared" si="135"/>
        <v xml:space="preserve"> * La variable Usuarios con discapacidad No puede ser mayor al Total Ambos Sexos.</v>
      </c>
      <c r="DC131" s="1723" t="str">
        <f t="shared" si="136"/>
        <v xml:space="preserve"> * La variable Niños, niñas, adolescentes y jóvenes SENAME No puede ser mayor al Total Ambos Sexos.</v>
      </c>
      <c r="DD131" s="1723" t="str">
        <f t="shared" si="137"/>
        <v xml:space="preserve"> * La variable Niños, niñas, adolescentes y jóvenes Mejor Niñez No puede ser mayor al Total Ambos Sexos.</v>
      </c>
      <c r="DE131" s="1723" t="str">
        <f t="shared" si="138"/>
        <v xml:space="preserve"> * La variable Migrantes No puede ser mayor al Total Ambos Sexos.</v>
      </c>
      <c r="DF131"/>
      <c r="DH131" s="1725" t="e">
        <f t="shared" si="150"/>
        <v>#VALUE!</v>
      </c>
      <c r="DI131" s="1725">
        <f t="shared" si="140"/>
        <v>1</v>
      </c>
      <c r="DJ131" s="1725">
        <f t="shared" si="141"/>
        <v>1</v>
      </c>
      <c r="DK131" s="1725" t="e">
        <f t="shared" si="142"/>
        <v>#VALUE!</v>
      </c>
      <c r="DL131" s="1725">
        <f t="shared" si="143"/>
        <v>1</v>
      </c>
      <c r="DM131" s="1725">
        <f t="shared" si="144"/>
        <v>1</v>
      </c>
      <c r="DN131" s="1725">
        <f t="shared" si="145"/>
        <v>1</v>
      </c>
      <c r="DO131" s="1725">
        <f t="shared" si="146"/>
        <v>1</v>
      </c>
    </row>
    <row r="132" spans="1:119" ht="15" customHeight="1" x14ac:dyDescent="0.3">
      <c r="A132" s="6269" t="s">
        <v>5014</v>
      </c>
      <c r="B132" s="7387" t="s">
        <v>815</v>
      </c>
      <c r="C132" s="7387"/>
      <c r="D132" s="7387"/>
      <c r="E132" s="635" t="s">
        <v>5292</v>
      </c>
      <c r="F132" s="785" t="s">
        <v>5293</v>
      </c>
      <c r="G132" s="786" t="s">
        <v>5294</v>
      </c>
      <c r="H132" s="616" t="s">
        <v>5295</v>
      </c>
      <c r="I132" s="626" t="s">
        <v>5296</v>
      </c>
      <c r="J132" s="616" t="s">
        <v>5297</v>
      </c>
      <c r="K132" s="791" t="s">
        <v>5298</v>
      </c>
      <c r="L132" s="616" t="s">
        <v>5299</v>
      </c>
      <c r="M132" s="626" t="s">
        <v>5300</v>
      </c>
      <c r="N132" s="616" t="s">
        <v>5301</v>
      </c>
      <c r="O132" s="626" t="s">
        <v>5302</v>
      </c>
      <c r="P132" s="623" t="s">
        <v>5303</v>
      </c>
      <c r="Q132" s="626" t="s">
        <v>5304</v>
      </c>
      <c r="R132" s="623" t="s">
        <v>5305</v>
      </c>
      <c r="S132" s="626" t="s">
        <v>5306</v>
      </c>
      <c r="T132" s="623" t="s">
        <v>5307</v>
      </c>
      <c r="U132" s="626" t="s">
        <v>5308</v>
      </c>
      <c r="V132" s="623" t="s">
        <v>5309</v>
      </c>
      <c r="W132" s="626" t="s">
        <v>5310</v>
      </c>
      <c r="X132" s="623" t="s">
        <v>5311</v>
      </c>
      <c r="Y132" s="626" t="s">
        <v>5312</v>
      </c>
      <c r="Z132" s="623" t="s">
        <v>5313</v>
      </c>
      <c r="AA132" s="626" t="s">
        <v>5314</v>
      </c>
      <c r="AB132" s="623" t="s">
        <v>5315</v>
      </c>
      <c r="AC132" s="626" t="s">
        <v>5316</v>
      </c>
      <c r="AD132" s="623" t="s">
        <v>5317</v>
      </c>
      <c r="AE132" s="626" t="s">
        <v>5318</v>
      </c>
      <c r="AF132" s="623" t="s">
        <v>5319</v>
      </c>
      <c r="AG132" s="626" t="s">
        <v>5320</v>
      </c>
      <c r="AH132" s="623" t="s">
        <v>5321</v>
      </c>
      <c r="AI132" s="626" t="s">
        <v>5322</v>
      </c>
      <c r="AJ132" s="623" t="s">
        <v>5323</v>
      </c>
      <c r="AK132" s="626" t="s">
        <v>5324</v>
      </c>
      <c r="AL132" s="623" t="s">
        <v>5325</v>
      </c>
      <c r="AM132" s="626" t="s">
        <v>5326</v>
      </c>
      <c r="AN132" s="623" t="s">
        <v>5327</v>
      </c>
      <c r="AO132" s="624" t="s">
        <v>5328</v>
      </c>
      <c r="AP132" s="83" t="s">
        <v>5329</v>
      </c>
      <c r="AQ132" s="83" t="s">
        <v>5330</v>
      </c>
      <c r="AR132" s="644" t="s">
        <v>5331</v>
      </c>
      <c r="AS132" s="644" t="s">
        <v>5332</v>
      </c>
      <c r="AT132" s="644" t="s">
        <v>5333</v>
      </c>
      <c r="AU132" s="83" t="s">
        <v>5334</v>
      </c>
      <c r="AV132" s="83" t="s">
        <v>5335</v>
      </c>
      <c r="AW132" s="83" t="s">
        <v>5336</v>
      </c>
      <c r="AX132" s="83" t="s">
        <v>5337</v>
      </c>
      <c r="AY132" t="e">
        <f t="shared" si="130"/>
        <v>#VALUE!</v>
      </c>
      <c r="CX132" s="1723" t="e">
        <f t="shared" si="149"/>
        <v>#VALUE!</v>
      </c>
      <c r="CY132" s="1723" t="str">
        <f t="shared" si="132"/>
        <v xml:space="preserve"> * Las embarazadas no pueden ser mayor al Total Mujeres.</v>
      </c>
      <c r="CZ132" s="1723" t="str">
        <f t="shared" si="133"/>
        <v xml:space="preserve"> * Los beneficiarios no pueden ser mayor al Total Ambos Sexos.</v>
      </c>
      <c r="DA132" s="1723" t="e">
        <f t="shared" si="134"/>
        <v>#VALUE!</v>
      </c>
      <c r="DB132" s="1723" t="str">
        <f t="shared" si="135"/>
        <v xml:space="preserve"> * La variable Usuarios con discapacidad No puede ser mayor al Total Ambos Sexos.</v>
      </c>
      <c r="DC132" s="1723" t="str">
        <f t="shared" si="136"/>
        <v xml:space="preserve"> * La variable Niños, niñas, adolescentes y jóvenes SENAME No puede ser mayor al Total Ambos Sexos.</v>
      </c>
      <c r="DD132" s="1723" t="str">
        <f t="shared" si="137"/>
        <v xml:space="preserve"> * La variable Niños, niñas, adolescentes y jóvenes Mejor Niñez No puede ser mayor al Total Ambos Sexos.</v>
      </c>
      <c r="DE132" s="1723" t="str">
        <f t="shared" si="138"/>
        <v xml:space="preserve"> * La variable Migrantes No puede ser mayor al Total Ambos Sexos.</v>
      </c>
      <c r="DF132"/>
      <c r="DH132" s="1725" t="e">
        <f t="shared" si="150"/>
        <v>#VALUE!</v>
      </c>
      <c r="DI132" s="1725">
        <f t="shared" si="140"/>
        <v>1</v>
      </c>
      <c r="DJ132" s="1725">
        <f t="shared" si="141"/>
        <v>1</v>
      </c>
      <c r="DK132" s="1725" t="e">
        <f t="shared" si="142"/>
        <v>#VALUE!</v>
      </c>
      <c r="DL132" s="1725">
        <f t="shared" si="143"/>
        <v>1</v>
      </c>
      <c r="DM132" s="1725">
        <f t="shared" si="144"/>
        <v>1</v>
      </c>
      <c r="DN132" s="1725">
        <f t="shared" si="145"/>
        <v>1</v>
      </c>
      <c r="DO132" s="1725">
        <f t="shared" si="146"/>
        <v>1</v>
      </c>
    </row>
    <row r="133" spans="1:119" ht="15" customHeight="1" x14ac:dyDescent="0.3">
      <c r="A133" s="6269" t="s">
        <v>5015</v>
      </c>
      <c r="B133" s="7381" t="s">
        <v>816</v>
      </c>
      <c r="C133" s="7382"/>
      <c r="D133" s="7383"/>
      <c r="E133" s="635" t="s">
        <v>5292</v>
      </c>
      <c r="F133" s="785" t="s">
        <v>5293</v>
      </c>
      <c r="G133" s="786" t="s">
        <v>5294</v>
      </c>
      <c r="H133" s="616" t="s">
        <v>5295</v>
      </c>
      <c r="I133" s="626" t="s">
        <v>5296</v>
      </c>
      <c r="J133" s="616" t="s">
        <v>5297</v>
      </c>
      <c r="K133" s="791" t="s">
        <v>5298</v>
      </c>
      <c r="L133" s="616" t="s">
        <v>5299</v>
      </c>
      <c r="M133" s="626" t="s">
        <v>5300</v>
      </c>
      <c r="N133" s="616" t="s">
        <v>5301</v>
      </c>
      <c r="O133" s="626" t="s">
        <v>5302</v>
      </c>
      <c r="P133" s="623" t="s">
        <v>5303</v>
      </c>
      <c r="Q133" s="626" t="s">
        <v>5304</v>
      </c>
      <c r="R133" s="623" t="s">
        <v>5305</v>
      </c>
      <c r="S133" s="626" t="s">
        <v>5306</v>
      </c>
      <c r="T133" s="623" t="s">
        <v>5307</v>
      </c>
      <c r="U133" s="626" t="s">
        <v>5308</v>
      </c>
      <c r="V133" s="623" t="s">
        <v>5309</v>
      </c>
      <c r="W133" s="626" t="s">
        <v>5310</v>
      </c>
      <c r="X133" s="623" t="s">
        <v>5311</v>
      </c>
      <c r="Y133" s="626" t="s">
        <v>5312</v>
      </c>
      <c r="Z133" s="623" t="s">
        <v>5313</v>
      </c>
      <c r="AA133" s="626" t="s">
        <v>5314</v>
      </c>
      <c r="AB133" s="623" t="s">
        <v>5315</v>
      </c>
      <c r="AC133" s="626" t="s">
        <v>5316</v>
      </c>
      <c r="AD133" s="623" t="s">
        <v>5317</v>
      </c>
      <c r="AE133" s="626" t="s">
        <v>5318</v>
      </c>
      <c r="AF133" s="623" t="s">
        <v>5319</v>
      </c>
      <c r="AG133" s="626" t="s">
        <v>5320</v>
      </c>
      <c r="AH133" s="623" t="s">
        <v>5321</v>
      </c>
      <c r="AI133" s="626" t="s">
        <v>5322</v>
      </c>
      <c r="AJ133" s="623" t="s">
        <v>5323</v>
      </c>
      <c r="AK133" s="626" t="s">
        <v>5324</v>
      </c>
      <c r="AL133" s="623" t="s">
        <v>5325</v>
      </c>
      <c r="AM133" s="626" t="s">
        <v>5326</v>
      </c>
      <c r="AN133" s="623" t="s">
        <v>5327</v>
      </c>
      <c r="AO133" s="624" t="s">
        <v>5328</v>
      </c>
      <c r="AP133" s="83" t="s">
        <v>5329</v>
      </c>
      <c r="AQ133" s="83" t="s">
        <v>5330</v>
      </c>
      <c r="AR133" s="644" t="s">
        <v>5331</v>
      </c>
      <c r="AS133" s="644" t="s">
        <v>5332</v>
      </c>
      <c r="AT133" s="644" t="s">
        <v>5333</v>
      </c>
      <c r="AU133" s="83" t="s">
        <v>5334</v>
      </c>
      <c r="AV133" s="83" t="s">
        <v>5335</v>
      </c>
      <c r="AW133" s="83" t="s">
        <v>5336</v>
      </c>
      <c r="AX133" s="83" t="s">
        <v>5337</v>
      </c>
      <c r="AY133" t="e">
        <f t="shared" si="130"/>
        <v>#VALUE!</v>
      </c>
      <c r="CX133" s="1723" t="e">
        <f t="shared" si="149"/>
        <v>#VALUE!</v>
      </c>
      <c r="CY133" s="1723" t="str">
        <f t="shared" si="132"/>
        <v xml:space="preserve"> * Las embarazadas no pueden ser mayor al Total Mujeres.</v>
      </c>
      <c r="CZ133" s="1723" t="str">
        <f t="shared" si="133"/>
        <v xml:space="preserve"> * Los beneficiarios no pueden ser mayor al Total Ambos Sexos.</v>
      </c>
      <c r="DA133" s="1723" t="e">
        <f t="shared" si="134"/>
        <v>#VALUE!</v>
      </c>
      <c r="DB133" s="1723" t="str">
        <f t="shared" si="135"/>
        <v xml:space="preserve"> * La variable Usuarios con discapacidad No puede ser mayor al Total Ambos Sexos.</v>
      </c>
      <c r="DC133" s="1723" t="str">
        <f t="shared" si="136"/>
        <v xml:space="preserve"> * La variable Niños, niñas, adolescentes y jóvenes SENAME No puede ser mayor al Total Ambos Sexos.</v>
      </c>
      <c r="DD133" s="1723" t="str">
        <f t="shared" si="137"/>
        <v xml:space="preserve"> * La variable Niños, niñas, adolescentes y jóvenes Mejor Niñez No puede ser mayor al Total Ambos Sexos.</v>
      </c>
      <c r="DE133" s="1723" t="str">
        <f t="shared" si="138"/>
        <v xml:space="preserve"> * La variable Migrantes No puede ser mayor al Total Ambos Sexos.</v>
      </c>
      <c r="DF133"/>
      <c r="DH133" s="1725" t="e">
        <f t="shared" si="150"/>
        <v>#VALUE!</v>
      </c>
      <c r="DI133" s="1725">
        <f t="shared" si="140"/>
        <v>1</v>
      </c>
      <c r="DJ133" s="1725">
        <f t="shared" si="141"/>
        <v>1</v>
      </c>
      <c r="DK133" s="1725" t="e">
        <f t="shared" si="142"/>
        <v>#VALUE!</v>
      </c>
      <c r="DL133" s="1725">
        <f t="shared" si="143"/>
        <v>1</v>
      </c>
      <c r="DM133" s="1725">
        <f t="shared" si="144"/>
        <v>1</v>
      </c>
      <c r="DN133" s="1725">
        <f t="shared" si="145"/>
        <v>1</v>
      </c>
      <c r="DO133" s="1725">
        <f t="shared" si="146"/>
        <v>1</v>
      </c>
    </row>
    <row r="134" spans="1:119" ht="15" customHeight="1" x14ac:dyDescent="0.3">
      <c r="A134" s="6269" t="s">
        <v>5016</v>
      </c>
      <c r="B134" s="7381" t="s">
        <v>817</v>
      </c>
      <c r="C134" s="7382"/>
      <c r="D134" s="7383"/>
      <c r="E134" s="635" t="s">
        <v>5292</v>
      </c>
      <c r="F134" s="785" t="s">
        <v>5293</v>
      </c>
      <c r="G134" s="786" t="s">
        <v>5294</v>
      </c>
      <c r="H134" s="90" t="s">
        <v>5295</v>
      </c>
      <c r="I134" s="92" t="s">
        <v>5296</v>
      </c>
      <c r="J134" s="90" t="s">
        <v>5297</v>
      </c>
      <c r="K134" s="128" t="s">
        <v>5298</v>
      </c>
      <c r="L134" s="90" t="s">
        <v>5299</v>
      </c>
      <c r="M134" s="626" t="s">
        <v>5300</v>
      </c>
      <c r="N134" s="616" t="s">
        <v>5301</v>
      </c>
      <c r="O134" s="626" t="s">
        <v>5302</v>
      </c>
      <c r="P134" s="623" t="s">
        <v>5303</v>
      </c>
      <c r="Q134" s="626" t="s">
        <v>5304</v>
      </c>
      <c r="R134" s="623" t="s">
        <v>5305</v>
      </c>
      <c r="S134" s="626" t="s">
        <v>5306</v>
      </c>
      <c r="T134" s="623" t="s">
        <v>5307</v>
      </c>
      <c r="U134" s="626" t="s">
        <v>5308</v>
      </c>
      <c r="V134" s="623" t="s">
        <v>5309</v>
      </c>
      <c r="W134" s="626" t="s">
        <v>5310</v>
      </c>
      <c r="X134" s="623" t="s">
        <v>5311</v>
      </c>
      <c r="Y134" s="626" t="s">
        <v>5312</v>
      </c>
      <c r="Z134" s="623" t="s">
        <v>5313</v>
      </c>
      <c r="AA134" s="626" t="s">
        <v>5314</v>
      </c>
      <c r="AB134" s="623" t="s">
        <v>5315</v>
      </c>
      <c r="AC134" s="626" t="s">
        <v>5316</v>
      </c>
      <c r="AD134" s="623" t="s">
        <v>5317</v>
      </c>
      <c r="AE134" s="626" t="s">
        <v>5318</v>
      </c>
      <c r="AF134" s="623" t="s">
        <v>5319</v>
      </c>
      <c r="AG134" s="626" t="s">
        <v>5320</v>
      </c>
      <c r="AH134" s="623" t="s">
        <v>5321</v>
      </c>
      <c r="AI134" s="626" t="s">
        <v>5322</v>
      </c>
      <c r="AJ134" s="623" t="s">
        <v>5323</v>
      </c>
      <c r="AK134" s="626" t="s">
        <v>5324</v>
      </c>
      <c r="AL134" s="623" t="s">
        <v>5325</v>
      </c>
      <c r="AM134" s="626" t="s">
        <v>5326</v>
      </c>
      <c r="AN134" s="623" t="s">
        <v>5327</v>
      </c>
      <c r="AO134" s="624" t="s">
        <v>5328</v>
      </c>
      <c r="AP134" s="83" t="s">
        <v>5329</v>
      </c>
      <c r="AQ134" s="91" t="s">
        <v>5330</v>
      </c>
      <c r="AR134" s="644" t="s">
        <v>5331</v>
      </c>
      <c r="AS134" s="644" t="s">
        <v>5332</v>
      </c>
      <c r="AT134" s="158" t="s">
        <v>5333</v>
      </c>
      <c r="AU134" s="83" t="s">
        <v>5334</v>
      </c>
      <c r="AV134" s="83" t="s">
        <v>5335</v>
      </c>
      <c r="AW134" s="83" t="s">
        <v>5336</v>
      </c>
      <c r="AX134" s="83" t="s">
        <v>5337</v>
      </c>
      <c r="AY134" t="e">
        <f t="shared" si="130"/>
        <v>#VALUE!</v>
      </c>
      <c r="CX134" s="1723" t="e">
        <f t="shared" si="149"/>
        <v>#VALUE!</v>
      </c>
      <c r="CY134" s="1723" t="str">
        <f t="shared" si="132"/>
        <v xml:space="preserve"> * Las embarazadas no pueden ser mayor al Total Mujeres.</v>
      </c>
      <c r="CZ134" s="1723" t="str">
        <f t="shared" si="133"/>
        <v xml:space="preserve"> * Los beneficiarios no pueden ser mayor al Total Ambos Sexos.</v>
      </c>
      <c r="DA134" s="1723" t="e">
        <f t="shared" si="134"/>
        <v>#VALUE!</v>
      </c>
      <c r="DB134" s="1723" t="str">
        <f t="shared" si="135"/>
        <v xml:space="preserve"> * La variable Usuarios con discapacidad No puede ser mayor al Total Ambos Sexos.</v>
      </c>
      <c r="DC134" s="1723" t="str">
        <f t="shared" si="136"/>
        <v xml:space="preserve"> * La variable Niños, niñas, adolescentes y jóvenes SENAME No puede ser mayor al Total Ambos Sexos.</v>
      </c>
      <c r="DD134" s="1723" t="str">
        <f t="shared" si="137"/>
        <v xml:space="preserve"> * La variable Niños, niñas, adolescentes y jóvenes Mejor Niñez No puede ser mayor al Total Ambos Sexos.</v>
      </c>
      <c r="DE134" s="1723" t="str">
        <f t="shared" si="138"/>
        <v xml:space="preserve"> * La variable Migrantes No puede ser mayor al Total Ambos Sexos.</v>
      </c>
      <c r="DF134"/>
      <c r="DH134" s="1725" t="e">
        <f t="shared" si="150"/>
        <v>#VALUE!</v>
      </c>
      <c r="DI134" s="1725">
        <f t="shared" si="140"/>
        <v>1</v>
      </c>
      <c r="DJ134" s="1725">
        <f t="shared" si="141"/>
        <v>1</v>
      </c>
      <c r="DK134" s="1725" t="e">
        <f t="shared" si="142"/>
        <v>#VALUE!</v>
      </c>
      <c r="DL134" s="1725">
        <f t="shared" si="143"/>
        <v>1</v>
      </c>
      <c r="DM134" s="1725">
        <f t="shared" si="144"/>
        <v>1</v>
      </c>
      <c r="DN134" s="1725">
        <f t="shared" si="145"/>
        <v>1</v>
      </c>
      <c r="DO134" s="1725">
        <f t="shared" si="146"/>
        <v>1</v>
      </c>
    </row>
    <row r="135" spans="1:119" ht="15" customHeight="1" x14ac:dyDescent="0.3">
      <c r="A135" s="6269" t="s">
        <v>5017</v>
      </c>
      <c r="B135" s="7381" t="s">
        <v>818</v>
      </c>
      <c r="C135" s="7382"/>
      <c r="D135" s="7383"/>
      <c r="E135" s="635" t="s">
        <v>5292</v>
      </c>
      <c r="F135" s="785" t="s">
        <v>5293</v>
      </c>
      <c r="G135" s="786" t="s">
        <v>5294</v>
      </c>
      <c r="H135" s="90" t="s">
        <v>5295</v>
      </c>
      <c r="I135" s="92" t="s">
        <v>5296</v>
      </c>
      <c r="J135" s="90" t="s">
        <v>5297</v>
      </c>
      <c r="K135" s="128" t="s">
        <v>5298</v>
      </c>
      <c r="L135" s="90" t="s">
        <v>5299</v>
      </c>
      <c r="M135" s="626" t="s">
        <v>5300</v>
      </c>
      <c r="N135" s="616" t="s">
        <v>5301</v>
      </c>
      <c r="O135" s="626" t="s">
        <v>5302</v>
      </c>
      <c r="P135" s="623" t="s">
        <v>5303</v>
      </c>
      <c r="Q135" s="626" t="s">
        <v>5304</v>
      </c>
      <c r="R135" s="623" t="s">
        <v>5305</v>
      </c>
      <c r="S135" s="626" t="s">
        <v>5306</v>
      </c>
      <c r="T135" s="623" t="s">
        <v>5307</v>
      </c>
      <c r="U135" s="626" t="s">
        <v>5308</v>
      </c>
      <c r="V135" s="623" t="s">
        <v>5309</v>
      </c>
      <c r="W135" s="626" t="s">
        <v>5310</v>
      </c>
      <c r="X135" s="623" t="s">
        <v>5311</v>
      </c>
      <c r="Y135" s="626" t="s">
        <v>5312</v>
      </c>
      <c r="Z135" s="623" t="s">
        <v>5313</v>
      </c>
      <c r="AA135" s="626" t="s">
        <v>5314</v>
      </c>
      <c r="AB135" s="623" t="s">
        <v>5315</v>
      </c>
      <c r="AC135" s="626" t="s">
        <v>5316</v>
      </c>
      <c r="AD135" s="623" t="s">
        <v>5317</v>
      </c>
      <c r="AE135" s="626" t="s">
        <v>5318</v>
      </c>
      <c r="AF135" s="623" t="s">
        <v>5319</v>
      </c>
      <c r="AG135" s="626" t="s">
        <v>5320</v>
      </c>
      <c r="AH135" s="623" t="s">
        <v>5321</v>
      </c>
      <c r="AI135" s="626" t="s">
        <v>5322</v>
      </c>
      <c r="AJ135" s="623" t="s">
        <v>5323</v>
      </c>
      <c r="AK135" s="626" t="s">
        <v>5324</v>
      </c>
      <c r="AL135" s="623" t="s">
        <v>5325</v>
      </c>
      <c r="AM135" s="626" t="s">
        <v>5326</v>
      </c>
      <c r="AN135" s="623" t="s">
        <v>5327</v>
      </c>
      <c r="AO135" s="624" t="s">
        <v>5328</v>
      </c>
      <c r="AP135" s="83" t="s">
        <v>5329</v>
      </c>
      <c r="AQ135" s="91" t="s">
        <v>5330</v>
      </c>
      <c r="AR135" s="644" t="s">
        <v>5331</v>
      </c>
      <c r="AS135" s="644" t="s">
        <v>5332</v>
      </c>
      <c r="AT135" s="158" t="s">
        <v>5333</v>
      </c>
      <c r="AU135" s="83" t="s">
        <v>5334</v>
      </c>
      <c r="AV135" s="83" t="s">
        <v>5335</v>
      </c>
      <c r="AW135" s="83" t="s">
        <v>5336</v>
      </c>
      <c r="AX135" s="83" t="s">
        <v>5337</v>
      </c>
      <c r="AY135" t="e">
        <f t="shared" si="130"/>
        <v>#VALUE!</v>
      </c>
      <c r="CX135" s="1723" t="e">
        <f t="shared" si="149"/>
        <v>#VALUE!</v>
      </c>
      <c r="CY135" s="1723" t="str">
        <f t="shared" si="132"/>
        <v xml:space="preserve"> * Las embarazadas no pueden ser mayor al Total Mujeres.</v>
      </c>
      <c r="CZ135" s="1723" t="str">
        <f t="shared" si="133"/>
        <v xml:space="preserve"> * Los beneficiarios no pueden ser mayor al Total Ambos Sexos.</v>
      </c>
      <c r="DA135" s="1723" t="e">
        <f t="shared" si="134"/>
        <v>#VALUE!</v>
      </c>
      <c r="DB135" s="1723" t="str">
        <f t="shared" si="135"/>
        <v xml:space="preserve"> * La variable Usuarios con discapacidad No puede ser mayor al Total Ambos Sexos.</v>
      </c>
      <c r="DC135" s="1723" t="str">
        <f t="shared" si="136"/>
        <v xml:space="preserve"> * La variable Niños, niñas, adolescentes y jóvenes SENAME No puede ser mayor al Total Ambos Sexos.</v>
      </c>
      <c r="DD135" s="1723" t="str">
        <f t="shared" si="137"/>
        <v xml:space="preserve"> * La variable Niños, niñas, adolescentes y jóvenes Mejor Niñez No puede ser mayor al Total Ambos Sexos.</v>
      </c>
      <c r="DE135" s="1723" t="str">
        <f t="shared" si="138"/>
        <v xml:space="preserve"> * La variable Migrantes No puede ser mayor al Total Ambos Sexos.</v>
      </c>
      <c r="DF135"/>
      <c r="DH135" s="1725" t="e">
        <f t="shared" si="150"/>
        <v>#VALUE!</v>
      </c>
      <c r="DI135" s="1725">
        <f t="shared" si="140"/>
        <v>1</v>
      </c>
      <c r="DJ135" s="1725">
        <f t="shared" si="141"/>
        <v>1</v>
      </c>
      <c r="DK135" s="1725" t="e">
        <f t="shared" si="142"/>
        <v>#VALUE!</v>
      </c>
      <c r="DL135" s="1725">
        <f t="shared" si="143"/>
        <v>1</v>
      </c>
      <c r="DM135" s="1725">
        <f t="shared" si="144"/>
        <v>1</v>
      </c>
      <c r="DN135" s="1725">
        <f t="shared" si="145"/>
        <v>1</v>
      </c>
      <c r="DO135" s="1725">
        <f t="shared" si="146"/>
        <v>1</v>
      </c>
    </row>
    <row r="136" spans="1:119" ht="15" customHeight="1" x14ac:dyDescent="0.3">
      <c r="A136" s="6269" t="s">
        <v>5018</v>
      </c>
      <c r="B136" s="7381" t="s">
        <v>819</v>
      </c>
      <c r="C136" s="7382"/>
      <c r="D136" s="7383"/>
      <c r="E136" s="635" t="s">
        <v>5292</v>
      </c>
      <c r="F136" s="785" t="s">
        <v>5293</v>
      </c>
      <c r="G136" s="786" t="s">
        <v>5294</v>
      </c>
      <c r="H136" s="90" t="s">
        <v>5295</v>
      </c>
      <c r="I136" s="92" t="s">
        <v>5296</v>
      </c>
      <c r="J136" s="90" t="s">
        <v>5297</v>
      </c>
      <c r="K136" s="128" t="s">
        <v>5298</v>
      </c>
      <c r="L136" s="90" t="s">
        <v>5299</v>
      </c>
      <c r="M136" s="626" t="s">
        <v>5300</v>
      </c>
      <c r="N136" s="616" t="s">
        <v>5301</v>
      </c>
      <c r="O136" s="626" t="s">
        <v>5302</v>
      </c>
      <c r="P136" s="623" t="s">
        <v>5303</v>
      </c>
      <c r="Q136" s="626" t="s">
        <v>5304</v>
      </c>
      <c r="R136" s="623" t="s">
        <v>5305</v>
      </c>
      <c r="S136" s="626" t="s">
        <v>5306</v>
      </c>
      <c r="T136" s="623" t="s">
        <v>5307</v>
      </c>
      <c r="U136" s="626" t="s">
        <v>5308</v>
      </c>
      <c r="V136" s="623" t="s">
        <v>5309</v>
      </c>
      <c r="W136" s="626" t="s">
        <v>5310</v>
      </c>
      <c r="X136" s="623" t="s">
        <v>5311</v>
      </c>
      <c r="Y136" s="626" t="s">
        <v>5312</v>
      </c>
      <c r="Z136" s="623" t="s">
        <v>5313</v>
      </c>
      <c r="AA136" s="626" t="s">
        <v>5314</v>
      </c>
      <c r="AB136" s="623" t="s">
        <v>5315</v>
      </c>
      <c r="AC136" s="626" t="s">
        <v>5316</v>
      </c>
      <c r="AD136" s="623" t="s">
        <v>5317</v>
      </c>
      <c r="AE136" s="626" t="s">
        <v>5318</v>
      </c>
      <c r="AF136" s="623" t="s">
        <v>5319</v>
      </c>
      <c r="AG136" s="626" t="s">
        <v>5320</v>
      </c>
      <c r="AH136" s="623" t="s">
        <v>5321</v>
      </c>
      <c r="AI136" s="626" t="s">
        <v>5322</v>
      </c>
      <c r="AJ136" s="623" t="s">
        <v>5323</v>
      </c>
      <c r="AK136" s="626" t="s">
        <v>5324</v>
      </c>
      <c r="AL136" s="623" t="s">
        <v>5325</v>
      </c>
      <c r="AM136" s="626" t="s">
        <v>5326</v>
      </c>
      <c r="AN136" s="623" t="s">
        <v>5327</v>
      </c>
      <c r="AO136" s="624" t="s">
        <v>5328</v>
      </c>
      <c r="AP136" s="83" t="s">
        <v>5329</v>
      </c>
      <c r="AQ136" s="91" t="s">
        <v>5330</v>
      </c>
      <c r="AR136" s="644" t="s">
        <v>5331</v>
      </c>
      <c r="AS136" s="644" t="s">
        <v>5332</v>
      </c>
      <c r="AT136" s="158" t="s">
        <v>5333</v>
      </c>
      <c r="AU136" s="83" t="s">
        <v>5334</v>
      </c>
      <c r="AV136" s="83" t="s">
        <v>5335</v>
      </c>
      <c r="AW136" s="83" t="s">
        <v>5336</v>
      </c>
      <c r="AX136" s="83" t="s">
        <v>5337</v>
      </c>
      <c r="AY136" t="e">
        <f t="shared" si="130"/>
        <v>#VALUE!</v>
      </c>
      <c r="CX136" s="1723" t="e">
        <f t="shared" si="149"/>
        <v>#VALUE!</v>
      </c>
      <c r="CY136" s="1723" t="str">
        <f t="shared" si="132"/>
        <v xml:space="preserve"> * Las embarazadas no pueden ser mayor al Total Mujeres.</v>
      </c>
      <c r="CZ136" s="1723" t="str">
        <f t="shared" si="133"/>
        <v xml:space="preserve"> * Los beneficiarios no pueden ser mayor al Total Ambos Sexos.</v>
      </c>
      <c r="DA136" s="1723" t="e">
        <f t="shared" si="134"/>
        <v>#VALUE!</v>
      </c>
      <c r="DB136" s="1723" t="str">
        <f t="shared" si="135"/>
        <v xml:space="preserve"> * La variable Usuarios con discapacidad No puede ser mayor al Total Ambos Sexos.</v>
      </c>
      <c r="DC136" s="1723" t="str">
        <f t="shared" si="136"/>
        <v xml:space="preserve"> * La variable Niños, niñas, adolescentes y jóvenes SENAME No puede ser mayor al Total Ambos Sexos.</v>
      </c>
      <c r="DD136" s="1723" t="str">
        <f t="shared" si="137"/>
        <v xml:space="preserve"> * La variable Niños, niñas, adolescentes y jóvenes Mejor Niñez No puede ser mayor al Total Ambos Sexos.</v>
      </c>
      <c r="DE136" s="1723" t="str">
        <f t="shared" si="138"/>
        <v xml:space="preserve"> * La variable Migrantes No puede ser mayor al Total Ambos Sexos.</v>
      </c>
      <c r="DF136"/>
      <c r="DH136" s="1725" t="e">
        <f t="shared" si="150"/>
        <v>#VALUE!</v>
      </c>
      <c r="DI136" s="1725">
        <f t="shared" si="140"/>
        <v>1</v>
      </c>
      <c r="DJ136" s="1725">
        <f t="shared" si="141"/>
        <v>1</v>
      </c>
      <c r="DK136" s="1725" t="e">
        <f t="shared" si="142"/>
        <v>#VALUE!</v>
      </c>
      <c r="DL136" s="1725">
        <f t="shared" si="143"/>
        <v>1</v>
      </c>
      <c r="DM136" s="1725">
        <f t="shared" si="144"/>
        <v>1</v>
      </c>
      <c r="DN136" s="1725">
        <f t="shared" si="145"/>
        <v>1</v>
      </c>
      <c r="DO136" s="1725">
        <f t="shared" si="146"/>
        <v>1</v>
      </c>
    </row>
    <row r="137" spans="1:119" ht="15" customHeight="1" x14ac:dyDescent="0.3">
      <c r="A137" s="6269" t="s">
        <v>5019</v>
      </c>
      <c r="B137" s="7381" t="s">
        <v>820</v>
      </c>
      <c r="C137" s="7382"/>
      <c r="D137" s="7383"/>
      <c r="E137" s="635" t="s">
        <v>5292</v>
      </c>
      <c r="F137" s="785" t="s">
        <v>5293</v>
      </c>
      <c r="G137" s="786" t="s">
        <v>5294</v>
      </c>
      <c r="H137" s="90" t="s">
        <v>5295</v>
      </c>
      <c r="I137" s="92" t="s">
        <v>5296</v>
      </c>
      <c r="J137" s="90" t="s">
        <v>5297</v>
      </c>
      <c r="K137" s="128" t="s">
        <v>5298</v>
      </c>
      <c r="L137" s="90" t="s">
        <v>5299</v>
      </c>
      <c r="M137" s="626" t="s">
        <v>5300</v>
      </c>
      <c r="N137" s="616" t="s">
        <v>5301</v>
      </c>
      <c r="O137" s="626" t="s">
        <v>5302</v>
      </c>
      <c r="P137" s="623" t="s">
        <v>5303</v>
      </c>
      <c r="Q137" s="626" t="s">
        <v>5304</v>
      </c>
      <c r="R137" s="623" t="s">
        <v>5305</v>
      </c>
      <c r="S137" s="626" t="s">
        <v>5306</v>
      </c>
      <c r="T137" s="623" t="s">
        <v>5307</v>
      </c>
      <c r="U137" s="626" t="s">
        <v>5308</v>
      </c>
      <c r="V137" s="623" t="s">
        <v>5309</v>
      </c>
      <c r="W137" s="626" t="s">
        <v>5310</v>
      </c>
      <c r="X137" s="623" t="s">
        <v>5311</v>
      </c>
      <c r="Y137" s="626" t="s">
        <v>5312</v>
      </c>
      <c r="Z137" s="623" t="s">
        <v>5313</v>
      </c>
      <c r="AA137" s="626" t="s">
        <v>5314</v>
      </c>
      <c r="AB137" s="623" t="s">
        <v>5315</v>
      </c>
      <c r="AC137" s="626" t="s">
        <v>5316</v>
      </c>
      <c r="AD137" s="623" t="s">
        <v>5317</v>
      </c>
      <c r="AE137" s="626" t="s">
        <v>5318</v>
      </c>
      <c r="AF137" s="623" t="s">
        <v>5319</v>
      </c>
      <c r="AG137" s="626" t="s">
        <v>5320</v>
      </c>
      <c r="AH137" s="623" t="s">
        <v>5321</v>
      </c>
      <c r="AI137" s="626" t="s">
        <v>5322</v>
      </c>
      <c r="AJ137" s="623" t="s">
        <v>5323</v>
      </c>
      <c r="AK137" s="626" t="s">
        <v>5324</v>
      </c>
      <c r="AL137" s="623" t="s">
        <v>5325</v>
      </c>
      <c r="AM137" s="626" t="s">
        <v>5326</v>
      </c>
      <c r="AN137" s="623" t="s">
        <v>5327</v>
      </c>
      <c r="AO137" s="624" t="s">
        <v>5328</v>
      </c>
      <c r="AP137" s="83" t="s">
        <v>5329</v>
      </c>
      <c r="AQ137" s="91" t="s">
        <v>5330</v>
      </c>
      <c r="AR137" s="644" t="s">
        <v>5331</v>
      </c>
      <c r="AS137" s="644" t="s">
        <v>5332</v>
      </c>
      <c r="AT137" s="158" t="s">
        <v>5333</v>
      </c>
      <c r="AU137" s="83" t="s">
        <v>5334</v>
      </c>
      <c r="AV137" s="83" t="s">
        <v>5335</v>
      </c>
      <c r="AW137" s="83" t="s">
        <v>5336</v>
      </c>
      <c r="AX137" s="83" t="s">
        <v>5337</v>
      </c>
      <c r="AY137" t="e">
        <f t="shared" si="130"/>
        <v>#VALUE!</v>
      </c>
      <c r="CX137" s="1723" t="e">
        <f t="shared" si="149"/>
        <v>#VALUE!</v>
      </c>
      <c r="CY137" s="1723" t="str">
        <f t="shared" si="132"/>
        <v xml:space="preserve"> * Las embarazadas no pueden ser mayor al Total Mujeres.</v>
      </c>
      <c r="CZ137" s="1723" t="str">
        <f t="shared" si="133"/>
        <v xml:space="preserve"> * Los beneficiarios no pueden ser mayor al Total Ambos Sexos.</v>
      </c>
      <c r="DA137" s="1723" t="e">
        <f t="shared" si="134"/>
        <v>#VALUE!</v>
      </c>
      <c r="DB137" s="1723" t="str">
        <f t="shared" si="135"/>
        <v xml:space="preserve"> * La variable Usuarios con discapacidad No puede ser mayor al Total Ambos Sexos.</v>
      </c>
      <c r="DC137" s="1723" t="str">
        <f t="shared" si="136"/>
        <v xml:space="preserve"> * La variable Niños, niñas, adolescentes y jóvenes SENAME No puede ser mayor al Total Ambos Sexos.</v>
      </c>
      <c r="DD137" s="1723" t="str">
        <f t="shared" si="137"/>
        <v xml:space="preserve"> * La variable Niños, niñas, adolescentes y jóvenes Mejor Niñez No puede ser mayor al Total Ambos Sexos.</v>
      </c>
      <c r="DE137" s="1723" t="str">
        <f t="shared" si="138"/>
        <v xml:space="preserve"> * La variable Migrantes No puede ser mayor al Total Ambos Sexos.</v>
      </c>
      <c r="DF137"/>
      <c r="DH137" s="1725" t="e">
        <f t="shared" si="150"/>
        <v>#VALUE!</v>
      </c>
      <c r="DI137" s="1725">
        <f t="shared" si="140"/>
        <v>1</v>
      </c>
      <c r="DJ137" s="1725">
        <f t="shared" si="141"/>
        <v>1</v>
      </c>
      <c r="DK137" s="1725" t="e">
        <f t="shared" si="142"/>
        <v>#VALUE!</v>
      </c>
      <c r="DL137" s="1725">
        <f t="shared" si="143"/>
        <v>1</v>
      </c>
      <c r="DM137" s="1725">
        <f t="shared" si="144"/>
        <v>1</v>
      </c>
      <c r="DN137" s="1725">
        <f t="shared" si="145"/>
        <v>1</v>
      </c>
      <c r="DO137" s="1725">
        <f t="shared" si="146"/>
        <v>1</v>
      </c>
    </row>
    <row r="138" spans="1:119" ht="15" customHeight="1" x14ac:dyDescent="0.3">
      <c r="A138" s="6269" t="s">
        <v>5020</v>
      </c>
      <c r="B138" s="7381" t="s">
        <v>821</v>
      </c>
      <c r="C138" s="7382"/>
      <c r="D138" s="7383"/>
      <c r="E138" s="635" t="s">
        <v>5292</v>
      </c>
      <c r="F138" s="785" t="s">
        <v>5293</v>
      </c>
      <c r="G138" s="786" t="s">
        <v>5294</v>
      </c>
      <c r="H138" s="90" t="s">
        <v>5295</v>
      </c>
      <c r="I138" s="92" t="s">
        <v>5296</v>
      </c>
      <c r="J138" s="90" t="s">
        <v>5297</v>
      </c>
      <c r="K138" s="128" t="s">
        <v>5298</v>
      </c>
      <c r="L138" s="90" t="s">
        <v>5299</v>
      </c>
      <c r="M138" s="626" t="s">
        <v>5300</v>
      </c>
      <c r="N138" s="616" t="s">
        <v>5301</v>
      </c>
      <c r="O138" s="626" t="s">
        <v>5302</v>
      </c>
      <c r="P138" s="623" t="s">
        <v>5303</v>
      </c>
      <c r="Q138" s="626" t="s">
        <v>5304</v>
      </c>
      <c r="R138" s="623" t="s">
        <v>5305</v>
      </c>
      <c r="S138" s="626" t="s">
        <v>5306</v>
      </c>
      <c r="T138" s="623" t="s">
        <v>5307</v>
      </c>
      <c r="U138" s="626" t="s">
        <v>5308</v>
      </c>
      <c r="V138" s="623" t="s">
        <v>5309</v>
      </c>
      <c r="W138" s="626" t="s">
        <v>5310</v>
      </c>
      <c r="X138" s="623" t="s">
        <v>5311</v>
      </c>
      <c r="Y138" s="626" t="s">
        <v>5312</v>
      </c>
      <c r="Z138" s="623" t="s">
        <v>5313</v>
      </c>
      <c r="AA138" s="626" t="s">
        <v>5314</v>
      </c>
      <c r="AB138" s="623" t="s">
        <v>5315</v>
      </c>
      <c r="AC138" s="626" t="s">
        <v>5316</v>
      </c>
      <c r="AD138" s="623" t="s">
        <v>5317</v>
      </c>
      <c r="AE138" s="626" t="s">
        <v>5318</v>
      </c>
      <c r="AF138" s="623" t="s">
        <v>5319</v>
      </c>
      <c r="AG138" s="626" t="s">
        <v>5320</v>
      </c>
      <c r="AH138" s="623" t="s">
        <v>5321</v>
      </c>
      <c r="AI138" s="626" t="s">
        <v>5322</v>
      </c>
      <c r="AJ138" s="623" t="s">
        <v>5323</v>
      </c>
      <c r="AK138" s="626" t="s">
        <v>5324</v>
      </c>
      <c r="AL138" s="623" t="s">
        <v>5325</v>
      </c>
      <c r="AM138" s="626" t="s">
        <v>5326</v>
      </c>
      <c r="AN138" s="623" t="s">
        <v>5327</v>
      </c>
      <c r="AO138" s="624" t="s">
        <v>5328</v>
      </c>
      <c r="AP138" s="83" t="s">
        <v>5329</v>
      </c>
      <c r="AQ138" s="91" t="s">
        <v>5330</v>
      </c>
      <c r="AR138" s="644" t="s">
        <v>5331</v>
      </c>
      <c r="AS138" s="644" t="s">
        <v>5332</v>
      </c>
      <c r="AT138" s="158" t="s">
        <v>5333</v>
      </c>
      <c r="AU138" s="83" t="s">
        <v>5334</v>
      </c>
      <c r="AV138" s="83" t="s">
        <v>5335</v>
      </c>
      <c r="AW138" s="83" t="s">
        <v>5336</v>
      </c>
      <c r="AX138" s="83" t="s">
        <v>5337</v>
      </c>
      <c r="AY138" t="e">
        <f t="shared" si="130"/>
        <v>#VALUE!</v>
      </c>
      <c r="CX138" s="1723" t="e">
        <f t="shared" si="149"/>
        <v>#VALUE!</v>
      </c>
      <c r="CY138" s="1723" t="str">
        <f t="shared" si="132"/>
        <v xml:space="preserve"> * Las embarazadas no pueden ser mayor al Total Mujeres.</v>
      </c>
      <c r="CZ138" s="1723" t="str">
        <f t="shared" si="133"/>
        <v xml:space="preserve"> * Los beneficiarios no pueden ser mayor al Total Ambos Sexos.</v>
      </c>
      <c r="DA138" s="1723" t="e">
        <f t="shared" si="134"/>
        <v>#VALUE!</v>
      </c>
      <c r="DB138" s="1723" t="str">
        <f t="shared" si="135"/>
        <v xml:space="preserve"> * La variable Usuarios con discapacidad No puede ser mayor al Total Ambos Sexos.</v>
      </c>
      <c r="DC138" s="1723" t="str">
        <f t="shared" si="136"/>
        <v xml:space="preserve"> * La variable Niños, niñas, adolescentes y jóvenes SENAME No puede ser mayor al Total Ambos Sexos.</v>
      </c>
      <c r="DD138" s="1723" t="str">
        <f t="shared" si="137"/>
        <v xml:space="preserve"> * La variable Niños, niñas, adolescentes y jóvenes Mejor Niñez No puede ser mayor al Total Ambos Sexos.</v>
      </c>
      <c r="DE138" s="1723" t="str">
        <f t="shared" si="138"/>
        <v xml:space="preserve"> * La variable Migrantes No puede ser mayor al Total Ambos Sexos.</v>
      </c>
      <c r="DF138"/>
      <c r="DH138" s="1725" t="e">
        <f t="shared" si="150"/>
        <v>#VALUE!</v>
      </c>
      <c r="DI138" s="1725">
        <f t="shared" si="140"/>
        <v>1</v>
      </c>
      <c r="DJ138" s="1725">
        <f t="shared" si="141"/>
        <v>1</v>
      </c>
      <c r="DK138" s="1725" t="e">
        <f t="shared" si="142"/>
        <v>#VALUE!</v>
      </c>
      <c r="DL138" s="1725">
        <f t="shared" si="143"/>
        <v>1</v>
      </c>
      <c r="DM138" s="1725">
        <f t="shared" si="144"/>
        <v>1</v>
      </c>
      <c r="DN138" s="1725">
        <f t="shared" si="145"/>
        <v>1</v>
      </c>
      <c r="DO138" s="1725">
        <f t="shared" si="146"/>
        <v>1</v>
      </c>
    </row>
    <row r="139" spans="1:119" ht="15" customHeight="1" x14ac:dyDescent="0.3">
      <c r="A139" s="6269" t="s">
        <v>5021</v>
      </c>
      <c r="B139" s="7381" t="s">
        <v>822</v>
      </c>
      <c r="C139" s="7382"/>
      <c r="D139" s="7383"/>
      <c r="E139" s="635" t="s">
        <v>5292</v>
      </c>
      <c r="F139" s="785" t="s">
        <v>5293</v>
      </c>
      <c r="G139" s="786" t="s">
        <v>5294</v>
      </c>
      <c r="H139" s="846" t="s">
        <v>5295</v>
      </c>
      <c r="I139" s="848" t="s">
        <v>5296</v>
      </c>
      <c r="J139" s="846" t="s">
        <v>5297</v>
      </c>
      <c r="K139" s="791" t="s">
        <v>5298</v>
      </c>
      <c r="L139" s="616" t="s">
        <v>5299</v>
      </c>
      <c r="M139" s="626" t="s">
        <v>5300</v>
      </c>
      <c r="N139" s="616" t="s">
        <v>5301</v>
      </c>
      <c r="O139" s="626" t="s">
        <v>5302</v>
      </c>
      <c r="P139" s="623" t="s">
        <v>5303</v>
      </c>
      <c r="Q139" s="626" t="s">
        <v>5304</v>
      </c>
      <c r="R139" s="623" t="s">
        <v>5305</v>
      </c>
      <c r="S139" s="626" t="s">
        <v>5306</v>
      </c>
      <c r="T139" s="623" t="s">
        <v>5307</v>
      </c>
      <c r="U139" s="626" t="s">
        <v>5308</v>
      </c>
      <c r="V139" s="623" t="s">
        <v>5309</v>
      </c>
      <c r="W139" s="626" t="s">
        <v>5310</v>
      </c>
      <c r="X139" s="623" t="s">
        <v>5311</v>
      </c>
      <c r="Y139" s="626" t="s">
        <v>5312</v>
      </c>
      <c r="Z139" s="623" t="s">
        <v>5313</v>
      </c>
      <c r="AA139" s="626" t="s">
        <v>5314</v>
      </c>
      <c r="AB139" s="623" t="s">
        <v>5315</v>
      </c>
      <c r="AC139" s="626" t="s">
        <v>5316</v>
      </c>
      <c r="AD139" s="623" t="s">
        <v>5317</v>
      </c>
      <c r="AE139" s="626" t="s">
        <v>5318</v>
      </c>
      <c r="AF139" s="623" t="s">
        <v>5319</v>
      </c>
      <c r="AG139" s="626" t="s">
        <v>5320</v>
      </c>
      <c r="AH139" s="623" t="s">
        <v>5321</v>
      </c>
      <c r="AI139" s="626" t="s">
        <v>5322</v>
      </c>
      <c r="AJ139" s="623" t="s">
        <v>5323</v>
      </c>
      <c r="AK139" s="626" t="s">
        <v>5324</v>
      </c>
      <c r="AL139" s="623" t="s">
        <v>5325</v>
      </c>
      <c r="AM139" s="626" t="s">
        <v>5326</v>
      </c>
      <c r="AN139" s="623" t="s">
        <v>5327</v>
      </c>
      <c r="AO139" s="624" t="s">
        <v>5328</v>
      </c>
      <c r="AP139" s="83" t="s">
        <v>5329</v>
      </c>
      <c r="AQ139" s="83" t="s">
        <v>5330</v>
      </c>
      <c r="AR139" s="644" t="s">
        <v>5331</v>
      </c>
      <c r="AS139" s="644" t="s">
        <v>5332</v>
      </c>
      <c r="AT139" s="644" t="s">
        <v>5333</v>
      </c>
      <c r="AU139" s="83" t="s">
        <v>5334</v>
      </c>
      <c r="AV139" s="83" t="s">
        <v>5335</v>
      </c>
      <c r="AW139" s="83" t="s">
        <v>5336</v>
      </c>
      <c r="AX139" s="83" t="s">
        <v>5337</v>
      </c>
      <c r="AY139" t="e">
        <f t="shared" si="130"/>
        <v>#VALUE!</v>
      </c>
      <c r="CX139" s="1723" t="e">
        <f t="shared" si="149"/>
        <v>#VALUE!</v>
      </c>
      <c r="CY139" s="1723" t="str">
        <f t="shared" si="132"/>
        <v xml:space="preserve"> * Las embarazadas no pueden ser mayor al Total Mujeres.</v>
      </c>
      <c r="CZ139" s="1723" t="str">
        <f t="shared" si="133"/>
        <v xml:space="preserve"> * Los beneficiarios no pueden ser mayor al Total Ambos Sexos.</v>
      </c>
      <c r="DA139" s="1723" t="e">
        <f t="shared" si="134"/>
        <v>#VALUE!</v>
      </c>
      <c r="DB139" s="1723" t="str">
        <f t="shared" si="135"/>
        <v xml:space="preserve"> * La variable Usuarios con discapacidad No puede ser mayor al Total Ambos Sexos.</v>
      </c>
      <c r="DC139" s="1723" t="str">
        <f t="shared" si="136"/>
        <v xml:space="preserve"> * La variable Niños, niñas, adolescentes y jóvenes SENAME No puede ser mayor al Total Ambos Sexos.</v>
      </c>
      <c r="DD139" s="1723" t="str">
        <f t="shared" si="137"/>
        <v xml:space="preserve"> * La variable Niños, niñas, adolescentes y jóvenes Mejor Niñez No puede ser mayor al Total Ambos Sexos.</v>
      </c>
      <c r="DE139" s="1723" t="str">
        <f t="shared" si="138"/>
        <v xml:space="preserve"> * La variable Migrantes No puede ser mayor al Total Ambos Sexos.</v>
      </c>
      <c r="DF139"/>
      <c r="DH139" s="1725" t="e">
        <f t="shared" si="150"/>
        <v>#VALUE!</v>
      </c>
      <c r="DI139" s="1725">
        <f t="shared" si="140"/>
        <v>1</v>
      </c>
      <c r="DJ139" s="1725">
        <f t="shared" si="141"/>
        <v>1</v>
      </c>
      <c r="DK139" s="1725" t="e">
        <f t="shared" si="142"/>
        <v>#VALUE!</v>
      </c>
      <c r="DL139" s="1725">
        <f t="shared" si="143"/>
        <v>1</v>
      </c>
      <c r="DM139" s="1725">
        <f t="shared" si="144"/>
        <v>1</v>
      </c>
      <c r="DN139" s="1725">
        <f t="shared" si="145"/>
        <v>1</v>
      </c>
      <c r="DO139" s="1725">
        <f t="shared" si="146"/>
        <v>1</v>
      </c>
    </row>
    <row r="140" spans="1:119" ht="15" customHeight="1" x14ac:dyDescent="0.3">
      <c r="A140" s="6269" t="s">
        <v>5022</v>
      </c>
      <c r="B140" s="7393" t="s">
        <v>823</v>
      </c>
      <c r="C140" s="7394"/>
      <c r="D140" s="7395"/>
      <c r="E140" s="217" t="s">
        <v>5292</v>
      </c>
      <c r="F140" s="583" t="s">
        <v>5293</v>
      </c>
      <c r="G140" s="380" t="s">
        <v>5294</v>
      </c>
      <c r="H140" s="853" t="s">
        <v>5295</v>
      </c>
      <c r="I140" s="854" t="s">
        <v>5296</v>
      </c>
      <c r="J140" s="853" t="s">
        <v>5297</v>
      </c>
      <c r="K140" s="133" t="s">
        <v>5298</v>
      </c>
      <c r="L140" s="131" t="s">
        <v>5299</v>
      </c>
      <c r="M140" s="116" t="s">
        <v>5300</v>
      </c>
      <c r="N140" s="114" t="s">
        <v>5301</v>
      </c>
      <c r="O140" s="116" t="s">
        <v>5302</v>
      </c>
      <c r="P140" s="121" t="s">
        <v>5303</v>
      </c>
      <c r="Q140" s="116" t="s">
        <v>5304</v>
      </c>
      <c r="R140" s="121" t="s">
        <v>5305</v>
      </c>
      <c r="S140" s="116" t="s">
        <v>5306</v>
      </c>
      <c r="T140" s="121" t="s">
        <v>5307</v>
      </c>
      <c r="U140" s="116" t="s">
        <v>5308</v>
      </c>
      <c r="V140" s="121" t="s">
        <v>5309</v>
      </c>
      <c r="W140" s="116" t="s">
        <v>5310</v>
      </c>
      <c r="X140" s="121" t="s">
        <v>5311</v>
      </c>
      <c r="Y140" s="116" t="s">
        <v>5312</v>
      </c>
      <c r="Z140" s="121" t="s">
        <v>5313</v>
      </c>
      <c r="AA140" s="116" t="s">
        <v>5314</v>
      </c>
      <c r="AB140" s="121" t="s">
        <v>5315</v>
      </c>
      <c r="AC140" s="116" t="s">
        <v>5316</v>
      </c>
      <c r="AD140" s="121" t="s">
        <v>5317</v>
      </c>
      <c r="AE140" s="116" t="s">
        <v>5318</v>
      </c>
      <c r="AF140" s="121" t="s">
        <v>5319</v>
      </c>
      <c r="AG140" s="116" t="s">
        <v>5320</v>
      </c>
      <c r="AH140" s="121" t="s">
        <v>5321</v>
      </c>
      <c r="AI140" s="116" t="s">
        <v>5322</v>
      </c>
      <c r="AJ140" s="121" t="s">
        <v>5323</v>
      </c>
      <c r="AK140" s="116" t="s">
        <v>5324</v>
      </c>
      <c r="AL140" s="121" t="s">
        <v>5325</v>
      </c>
      <c r="AM140" s="116" t="s">
        <v>5326</v>
      </c>
      <c r="AN140" s="121" t="s">
        <v>5327</v>
      </c>
      <c r="AO140" s="162" t="s">
        <v>5328</v>
      </c>
      <c r="AP140" s="117" t="s">
        <v>5329</v>
      </c>
      <c r="AQ140" s="83" t="s">
        <v>5330</v>
      </c>
      <c r="AR140" s="644" t="s">
        <v>5331</v>
      </c>
      <c r="AS140" s="644" t="s">
        <v>5332</v>
      </c>
      <c r="AT140" s="644" t="s">
        <v>5333</v>
      </c>
      <c r="AU140" s="83" t="s">
        <v>5334</v>
      </c>
      <c r="AV140" s="792" t="s">
        <v>5335</v>
      </c>
      <c r="AW140" s="792" t="s">
        <v>5336</v>
      </c>
      <c r="AX140" s="792" t="s">
        <v>5337</v>
      </c>
      <c r="AY140" t="e">
        <f t="shared" si="130"/>
        <v>#VALUE!</v>
      </c>
      <c r="CX140" s="1723" t="e">
        <f t="shared" si="149"/>
        <v>#VALUE!</v>
      </c>
      <c r="CY140" s="1723" t="str">
        <f t="shared" si="132"/>
        <v xml:space="preserve"> * Las embarazadas no pueden ser mayor al Total Mujeres.</v>
      </c>
      <c r="CZ140" s="1723" t="str">
        <f t="shared" si="133"/>
        <v xml:space="preserve"> * Los beneficiarios no pueden ser mayor al Total Ambos Sexos.</v>
      </c>
      <c r="DA140" s="1723" t="e">
        <f t="shared" si="134"/>
        <v>#VALUE!</v>
      </c>
      <c r="DB140" s="1723" t="str">
        <f t="shared" si="135"/>
        <v xml:space="preserve"> * La variable Usuarios con discapacidad No puede ser mayor al Total Ambos Sexos.</v>
      </c>
      <c r="DC140" s="1723" t="str">
        <f t="shared" si="136"/>
        <v xml:space="preserve"> * La variable Niños, niñas, adolescentes y jóvenes SENAME No puede ser mayor al Total Ambos Sexos.</v>
      </c>
      <c r="DD140" s="1723" t="str">
        <f t="shared" si="137"/>
        <v xml:space="preserve"> * La variable Niños, niñas, adolescentes y jóvenes Mejor Niñez No puede ser mayor al Total Ambos Sexos.</v>
      </c>
      <c r="DE140" s="1723" t="str">
        <f t="shared" si="138"/>
        <v xml:space="preserve"> * La variable Migrantes No puede ser mayor al Total Ambos Sexos.</v>
      </c>
      <c r="DF140"/>
      <c r="DH140" s="1725" t="e">
        <f t="shared" si="150"/>
        <v>#VALUE!</v>
      </c>
      <c r="DI140" s="1725">
        <f t="shared" si="140"/>
        <v>1</v>
      </c>
      <c r="DJ140" s="1725">
        <f t="shared" si="141"/>
        <v>1</v>
      </c>
      <c r="DK140" s="1725" t="e">
        <f t="shared" si="142"/>
        <v>#VALUE!</v>
      </c>
      <c r="DL140" s="1725">
        <f t="shared" si="143"/>
        <v>1</v>
      </c>
      <c r="DM140" s="1725">
        <f t="shared" si="144"/>
        <v>1</v>
      </c>
      <c r="DN140" s="1725">
        <f t="shared" si="145"/>
        <v>1</v>
      </c>
      <c r="DO140" s="1725">
        <f t="shared" si="146"/>
        <v>1</v>
      </c>
    </row>
    <row r="141" spans="1:119" ht="15" customHeight="1" x14ac:dyDescent="0.3">
      <c r="A141" s="6238"/>
      <c r="B141" s="7296" t="s">
        <v>24</v>
      </c>
      <c r="C141" s="7297"/>
      <c r="D141" s="7306"/>
      <c r="E141" s="855">
        <f t="shared" ref="E89:E141" si="151">SUM(F141:G141)</f>
        <v>0</v>
      </c>
      <c r="F141" s="576">
        <f t="shared" ref="F89:G141" si="152">SUM(H141+J141+L141+N141+P141+R141+T141+V141+X141+Z141+AB141+AD141+AF141+AH141+AJ141+AL141+AN141)</f>
        <v>0</v>
      </c>
      <c r="G141" s="577">
        <f t="shared" si="152"/>
        <v>0</v>
      </c>
      <c r="H141" s="855">
        <f t="shared" ref="H141:AX141" si="153">SUM(H88:H140)</f>
        <v>0</v>
      </c>
      <c r="I141" s="856">
        <f t="shared" si="153"/>
        <v>0</v>
      </c>
      <c r="J141" s="855">
        <f t="shared" si="153"/>
        <v>0</v>
      </c>
      <c r="K141" s="857">
        <f t="shared" si="153"/>
        <v>0</v>
      </c>
      <c r="L141" s="855">
        <f t="shared" si="153"/>
        <v>0</v>
      </c>
      <c r="M141" s="856">
        <f t="shared" si="153"/>
        <v>0</v>
      </c>
      <c r="N141" s="858">
        <f t="shared" si="153"/>
        <v>0</v>
      </c>
      <c r="O141" s="660">
        <f t="shared" si="153"/>
        <v>0</v>
      </c>
      <c r="P141" s="640">
        <f t="shared" si="153"/>
        <v>0</v>
      </c>
      <c r="Q141" s="660">
        <f t="shared" si="153"/>
        <v>0</v>
      </c>
      <c r="R141" s="640">
        <f t="shared" si="153"/>
        <v>0</v>
      </c>
      <c r="S141" s="660">
        <f t="shared" si="153"/>
        <v>0</v>
      </c>
      <c r="T141" s="640">
        <f t="shared" si="153"/>
        <v>0</v>
      </c>
      <c r="U141" s="660">
        <f t="shared" si="153"/>
        <v>0</v>
      </c>
      <c r="V141" s="640">
        <f t="shared" si="153"/>
        <v>0</v>
      </c>
      <c r="W141" s="660">
        <f t="shared" si="153"/>
        <v>0</v>
      </c>
      <c r="X141" s="640">
        <f t="shared" si="153"/>
        <v>0</v>
      </c>
      <c r="Y141" s="660">
        <f t="shared" si="153"/>
        <v>0</v>
      </c>
      <c r="Z141" s="640">
        <f t="shared" si="153"/>
        <v>0</v>
      </c>
      <c r="AA141" s="660">
        <f t="shared" si="153"/>
        <v>0</v>
      </c>
      <c r="AB141" s="640">
        <f t="shared" si="153"/>
        <v>0</v>
      </c>
      <c r="AC141" s="660">
        <f t="shared" si="153"/>
        <v>0</v>
      </c>
      <c r="AD141" s="640">
        <f t="shared" si="153"/>
        <v>0</v>
      </c>
      <c r="AE141" s="660">
        <f t="shared" si="153"/>
        <v>0</v>
      </c>
      <c r="AF141" s="640">
        <f t="shared" si="153"/>
        <v>0</v>
      </c>
      <c r="AG141" s="660">
        <f t="shared" si="153"/>
        <v>0</v>
      </c>
      <c r="AH141" s="640">
        <f t="shared" si="153"/>
        <v>0</v>
      </c>
      <c r="AI141" s="660">
        <f t="shared" si="153"/>
        <v>0</v>
      </c>
      <c r="AJ141" s="640">
        <f t="shared" si="153"/>
        <v>0</v>
      </c>
      <c r="AK141" s="660">
        <f t="shared" si="153"/>
        <v>0</v>
      </c>
      <c r="AL141" s="640">
        <f t="shared" si="153"/>
        <v>0</v>
      </c>
      <c r="AM141" s="660">
        <f t="shared" si="153"/>
        <v>0</v>
      </c>
      <c r="AN141" s="640">
        <f t="shared" si="153"/>
        <v>0</v>
      </c>
      <c r="AO141" s="859">
        <f t="shared" si="153"/>
        <v>0</v>
      </c>
      <c r="AP141" s="860">
        <f t="shared" si="153"/>
        <v>0</v>
      </c>
      <c r="AQ141" s="659">
        <f t="shared" si="153"/>
        <v>0</v>
      </c>
      <c r="AR141" s="659">
        <f t="shared" si="153"/>
        <v>0</v>
      </c>
      <c r="AS141" s="659">
        <f t="shared" si="153"/>
        <v>0</v>
      </c>
      <c r="AT141" s="659">
        <f t="shared" si="153"/>
        <v>0</v>
      </c>
      <c r="AU141" s="659">
        <f t="shared" si="153"/>
        <v>0</v>
      </c>
      <c r="AV141" s="659">
        <f t="shared" si="153"/>
        <v>0</v>
      </c>
      <c r="AW141" s="659">
        <f t="shared" si="153"/>
        <v>0</v>
      </c>
      <c r="AX141" s="659">
        <f t="shared" si="153"/>
        <v>0</v>
      </c>
      <c r="CX141"/>
      <c r="CY141" t="str">
        <f t="shared" ref="CY141" si="154">IF(AND(G141&gt;0,AQ141="")," * Recuerde que las Embarazadas deben ser incluidas en el ingreso por rango etario. Digite Cero si no tiene","")</f>
        <v/>
      </c>
      <c r="CZ141"/>
      <c r="DA141"/>
      <c r="DB141"/>
      <c r="DC141"/>
      <c r="DD141"/>
      <c r="DE141"/>
      <c r="DF141"/>
      <c r="DH141"/>
      <c r="DI141"/>
      <c r="DJ141"/>
      <c r="DK141"/>
      <c r="DL141"/>
      <c r="DM141"/>
      <c r="DN141"/>
    </row>
    <row r="142" spans="1:119" ht="18" customHeight="1" x14ac:dyDescent="0.3">
      <c r="B142" s="122" t="s">
        <v>824</v>
      </c>
      <c r="C142" s="140"/>
      <c r="D142" s="140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AY142" s="103"/>
      <c r="CX142"/>
      <c r="CY142"/>
      <c r="CZ142"/>
      <c r="DA142"/>
      <c r="DB142"/>
      <c r="DC142"/>
      <c r="DD142"/>
      <c r="DE142"/>
      <c r="DF142"/>
      <c r="DH142"/>
      <c r="DI142"/>
      <c r="DJ142"/>
      <c r="DK142"/>
      <c r="DL142"/>
      <c r="DM142"/>
      <c r="DN142"/>
    </row>
    <row r="143" spans="1:119" x14ac:dyDescent="0.3">
      <c r="B143" s="7396" t="s">
        <v>825</v>
      </c>
      <c r="C143" s="7396"/>
      <c r="D143" s="7396"/>
      <c r="E143" s="7201" t="s">
        <v>24</v>
      </c>
      <c r="F143" s="6341"/>
      <c r="G143" s="7202"/>
      <c r="H143" s="7296" t="s">
        <v>826</v>
      </c>
      <c r="I143" s="7297"/>
      <c r="J143" s="7297"/>
      <c r="K143" s="7297"/>
      <c r="L143" s="7297"/>
      <c r="M143" s="7297"/>
      <c r="N143" s="7297"/>
      <c r="O143" s="7297"/>
      <c r="P143" s="7297"/>
      <c r="Q143" s="7297"/>
      <c r="R143" s="7297"/>
      <c r="S143" s="7297"/>
      <c r="T143" s="7297"/>
      <c r="U143" s="7297"/>
      <c r="V143" s="7297"/>
      <c r="W143" s="7297"/>
      <c r="X143" s="7297"/>
      <c r="Y143" s="7297"/>
      <c r="Z143" s="7297"/>
      <c r="AA143" s="7297"/>
      <c r="AB143" s="7297"/>
      <c r="AC143" s="7297"/>
      <c r="AD143" s="7297"/>
      <c r="AE143" s="7297"/>
      <c r="AF143" s="7297"/>
      <c r="AG143" s="7297"/>
      <c r="AH143" s="7297"/>
      <c r="AI143" s="7297"/>
      <c r="AJ143" s="7297"/>
      <c r="AK143" s="7297"/>
      <c r="AL143" s="7297"/>
      <c r="AM143" s="7297"/>
      <c r="AN143" s="7297"/>
      <c r="AO143" s="7297"/>
      <c r="AP143" s="7297"/>
      <c r="AQ143" s="7298"/>
      <c r="AR143" s="7306" t="s">
        <v>768</v>
      </c>
      <c r="AS143" s="7323" t="s">
        <v>327</v>
      </c>
      <c r="AT143" s="7323" t="s">
        <v>677</v>
      </c>
      <c r="AU143" s="7323" t="s">
        <v>702</v>
      </c>
      <c r="AV143" s="7374" t="s">
        <v>771</v>
      </c>
      <c r="AW143" s="7374" t="s">
        <v>680</v>
      </c>
      <c r="AX143" s="7374" t="s">
        <v>681</v>
      </c>
      <c r="AY143" s="7374" t="s">
        <v>3</v>
      </c>
      <c r="CX143"/>
      <c r="CY143"/>
      <c r="CZ143"/>
      <c r="DA143"/>
      <c r="DB143"/>
      <c r="DC143"/>
      <c r="DD143"/>
      <c r="DE143"/>
      <c r="DF143"/>
      <c r="DH143"/>
      <c r="DI143"/>
      <c r="DJ143"/>
      <c r="DK143"/>
      <c r="DL143"/>
      <c r="DM143"/>
      <c r="DN143"/>
    </row>
    <row r="144" spans="1:119" x14ac:dyDescent="0.3">
      <c r="B144" s="7396"/>
      <c r="C144" s="7396"/>
      <c r="D144" s="7396"/>
      <c r="E144" s="7397"/>
      <c r="F144" s="7294"/>
      <c r="G144" s="7295"/>
      <c r="H144" s="7304" t="s">
        <v>682</v>
      </c>
      <c r="I144" s="7305"/>
      <c r="J144" s="7296" t="s">
        <v>683</v>
      </c>
      <c r="K144" s="7306"/>
      <c r="L144" s="7297" t="s">
        <v>684</v>
      </c>
      <c r="M144" s="7306"/>
      <c r="N144" s="7296" t="s">
        <v>685</v>
      </c>
      <c r="O144" s="7306"/>
      <c r="P144" s="7296" t="s">
        <v>686</v>
      </c>
      <c r="Q144" s="7306"/>
      <c r="R144" s="7296" t="s">
        <v>687</v>
      </c>
      <c r="S144" s="7306"/>
      <c r="T144" s="7296" t="s">
        <v>688</v>
      </c>
      <c r="U144" s="7306"/>
      <c r="V144" s="7296" t="s">
        <v>689</v>
      </c>
      <c r="W144" s="7306"/>
      <c r="X144" s="7296" t="s">
        <v>690</v>
      </c>
      <c r="Y144" s="7306"/>
      <c r="Z144" s="7296" t="s">
        <v>554</v>
      </c>
      <c r="AA144" s="7308"/>
      <c r="AB144" s="7296" t="s">
        <v>568</v>
      </c>
      <c r="AC144" s="7308"/>
      <c r="AD144" s="7296" t="s">
        <v>691</v>
      </c>
      <c r="AE144" s="7308"/>
      <c r="AF144" s="7296" t="s">
        <v>692</v>
      </c>
      <c r="AG144" s="7308"/>
      <c r="AH144" s="7296" t="s">
        <v>693</v>
      </c>
      <c r="AI144" s="7308"/>
      <c r="AJ144" s="7296" t="s">
        <v>694</v>
      </c>
      <c r="AK144" s="7308"/>
      <c r="AL144" s="7296" t="s">
        <v>556</v>
      </c>
      <c r="AM144" s="7308"/>
      <c r="AN144" s="7296" t="s">
        <v>695</v>
      </c>
      <c r="AO144" s="7308"/>
      <c r="AP144" s="7296" t="s">
        <v>57</v>
      </c>
      <c r="AQ144" s="7307"/>
      <c r="AR144" s="7306"/>
      <c r="AS144" s="7323"/>
      <c r="AT144" s="7323"/>
      <c r="AU144" s="7323"/>
      <c r="AV144" s="7374"/>
      <c r="AW144" s="7374"/>
      <c r="AX144" s="7374"/>
      <c r="AY144" s="7374"/>
      <c r="CX144"/>
      <c r="CY144"/>
      <c r="CZ144"/>
      <c r="DA144"/>
      <c r="DB144"/>
      <c r="DC144"/>
      <c r="DD144"/>
      <c r="DE144"/>
      <c r="DF144"/>
      <c r="DH144"/>
      <c r="DI144"/>
      <c r="DJ144"/>
      <c r="DK144"/>
      <c r="DL144"/>
      <c r="DM144"/>
      <c r="DN144"/>
    </row>
    <row r="145" spans="1:119" x14ac:dyDescent="0.3">
      <c r="B145" s="7396"/>
      <c r="C145" s="7396"/>
      <c r="D145" s="7396"/>
      <c r="E145" s="4642" t="s">
        <v>827</v>
      </c>
      <c r="F145" s="4686" t="s">
        <v>22</v>
      </c>
      <c r="G145" s="597" t="s">
        <v>27</v>
      </c>
      <c r="H145" s="603" t="s">
        <v>22</v>
      </c>
      <c r="I145" s="597" t="s">
        <v>27</v>
      </c>
      <c r="J145" s="603" t="s">
        <v>22</v>
      </c>
      <c r="K145" s="597" t="s">
        <v>27</v>
      </c>
      <c r="L145" s="603" t="s">
        <v>22</v>
      </c>
      <c r="M145" s="597" t="s">
        <v>27</v>
      </c>
      <c r="N145" s="603" t="s">
        <v>22</v>
      </c>
      <c r="O145" s="597" t="s">
        <v>27</v>
      </c>
      <c r="P145" s="603" t="s">
        <v>22</v>
      </c>
      <c r="Q145" s="597" t="s">
        <v>27</v>
      </c>
      <c r="R145" s="603" t="s">
        <v>22</v>
      </c>
      <c r="S145" s="597" t="s">
        <v>27</v>
      </c>
      <c r="T145" s="603" t="s">
        <v>22</v>
      </c>
      <c r="U145" s="597" t="s">
        <v>27</v>
      </c>
      <c r="V145" s="603" t="s">
        <v>22</v>
      </c>
      <c r="W145" s="597" t="s">
        <v>27</v>
      </c>
      <c r="X145" s="603" t="s">
        <v>22</v>
      </c>
      <c r="Y145" s="597" t="s">
        <v>27</v>
      </c>
      <c r="Z145" s="603" t="s">
        <v>22</v>
      </c>
      <c r="AA145" s="597" t="s">
        <v>27</v>
      </c>
      <c r="AB145" s="603" t="s">
        <v>22</v>
      </c>
      <c r="AC145" s="597" t="s">
        <v>27</v>
      </c>
      <c r="AD145" s="603" t="s">
        <v>22</v>
      </c>
      <c r="AE145" s="597" t="s">
        <v>27</v>
      </c>
      <c r="AF145" s="603" t="s">
        <v>22</v>
      </c>
      <c r="AG145" s="597" t="s">
        <v>27</v>
      </c>
      <c r="AH145" s="603" t="s">
        <v>22</v>
      </c>
      <c r="AI145" s="597" t="s">
        <v>27</v>
      </c>
      <c r="AJ145" s="603" t="s">
        <v>22</v>
      </c>
      <c r="AK145" s="597" t="s">
        <v>27</v>
      </c>
      <c r="AL145" s="603" t="s">
        <v>22</v>
      </c>
      <c r="AM145" s="597" t="s">
        <v>27</v>
      </c>
      <c r="AN145" s="603" t="s">
        <v>22</v>
      </c>
      <c r="AO145" s="597" t="s">
        <v>27</v>
      </c>
      <c r="AP145" s="603" t="s">
        <v>22</v>
      </c>
      <c r="AQ145" s="601" t="s">
        <v>27</v>
      </c>
      <c r="AR145" s="7306"/>
      <c r="AS145" s="7323"/>
      <c r="AT145" s="7323"/>
      <c r="AU145" s="7323"/>
      <c r="AV145" s="7374"/>
      <c r="AW145" s="7374"/>
      <c r="AX145" s="7374"/>
      <c r="AY145" s="7374"/>
      <c r="CX145"/>
      <c r="CY145"/>
      <c r="CZ145"/>
      <c r="DA145"/>
      <c r="DB145"/>
      <c r="DC145"/>
      <c r="DD145"/>
      <c r="DE145"/>
      <c r="DF145"/>
      <c r="DH145"/>
      <c r="DI145"/>
      <c r="DJ145"/>
      <c r="DK145"/>
      <c r="DL145"/>
      <c r="DM145"/>
      <c r="DN145"/>
    </row>
    <row r="146" spans="1:119" ht="15" customHeight="1" x14ac:dyDescent="0.3">
      <c r="A146" s="6269" t="s">
        <v>5023</v>
      </c>
      <c r="B146" s="7403" t="s">
        <v>828</v>
      </c>
      <c r="C146" s="7404"/>
      <c r="D146" s="7405"/>
      <c r="E146" s="4634" t="s">
        <v>5292</v>
      </c>
      <c r="F146" s="4634" t="s">
        <v>5293</v>
      </c>
      <c r="G146" s="783" t="s">
        <v>5294</v>
      </c>
      <c r="H146" s="482" t="s">
        <v>5295</v>
      </c>
      <c r="I146" s="185" t="s">
        <v>5296</v>
      </c>
      <c r="J146" s="483" t="s">
        <v>5297</v>
      </c>
      <c r="K146" s="185" t="s">
        <v>5298</v>
      </c>
      <c r="L146" s="483" t="s">
        <v>5299</v>
      </c>
      <c r="M146" s="185" t="s">
        <v>5300</v>
      </c>
      <c r="N146" s="483" t="s">
        <v>5301</v>
      </c>
      <c r="O146" s="185" t="s">
        <v>5302</v>
      </c>
      <c r="P146" s="320" t="s">
        <v>5303</v>
      </c>
      <c r="Q146" s="185" t="s">
        <v>5304</v>
      </c>
      <c r="R146" s="320" t="s">
        <v>5305</v>
      </c>
      <c r="S146" s="185" t="s">
        <v>5306</v>
      </c>
      <c r="T146" s="320" t="s">
        <v>5307</v>
      </c>
      <c r="U146" s="185" t="s">
        <v>5308</v>
      </c>
      <c r="V146" s="483" t="s">
        <v>5309</v>
      </c>
      <c r="W146" s="185" t="s">
        <v>5310</v>
      </c>
      <c r="X146" s="483" t="s">
        <v>5311</v>
      </c>
      <c r="Y146" s="185" t="s">
        <v>5312</v>
      </c>
      <c r="Z146" s="483" t="s">
        <v>5313</v>
      </c>
      <c r="AA146" s="185" t="s">
        <v>5314</v>
      </c>
      <c r="AB146" s="483" t="s">
        <v>5315</v>
      </c>
      <c r="AC146" s="185" t="s">
        <v>5316</v>
      </c>
      <c r="AD146" s="483" t="s">
        <v>5317</v>
      </c>
      <c r="AE146" s="185" t="s">
        <v>5318</v>
      </c>
      <c r="AF146" s="483" t="s">
        <v>5319</v>
      </c>
      <c r="AG146" s="185" t="s">
        <v>5320</v>
      </c>
      <c r="AH146" s="483" t="s">
        <v>5321</v>
      </c>
      <c r="AI146" s="185" t="s">
        <v>5322</v>
      </c>
      <c r="AJ146" s="483" t="s">
        <v>5323</v>
      </c>
      <c r="AK146" s="185" t="s">
        <v>5324</v>
      </c>
      <c r="AL146" s="483" t="s">
        <v>5325</v>
      </c>
      <c r="AM146" s="185" t="s">
        <v>5326</v>
      </c>
      <c r="AN146" s="483" t="s">
        <v>5327</v>
      </c>
      <c r="AO146" s="185" t="s">
        <v>5328</v>
      </c>
      <c r="AP146" s="483" t="s">
        <v>5329</v>
      </c>
      <c r="AQ146" s="321" t="s">
        <v>5330</v>
      </c>
      <c r="AR146" s="499" t="s">
        <v>5331</v>
      </c>
      <c r="AS146" s="105" t="s">
        <v>5332</v>
      </c>
      <c r="AT146" s="784" t="s">
        <v>5333</v>
      </c>
      <c r="AU146" s="784" t="s">
        <v>5334</v>
      </c>
      <c r="AV146" s="784" t="s">
        <v>5335</v>
      </c>
      <c r="AW146" s="784" t="s">
        <v>5336</v>
      </c>
      <c r="AX146" s="784" t="s">
        <v>5337</v>
      </c>
      <c r="AY146" s="784" t="s">
        <v>5338</v>
      </c>
      <c r="AZ146" t="e">
        <f>CX146&amp;CY146&amp;CZ146&amp;DA146&amp;DB146&amp;DC146&amp;DD146&amp;DE146</f>
        <v>#VALUE!</v>
      </c>
      <c r="CX146" s="1723" t="e">
        <f>IF(AND((Z146+AA146)&gt;0,AR146="")," * No olvide digitar la variable 12 años. Si no tiene digite Cero.",IF(AR146&gt;(Z146+AA146),"* Las Consultas de 12 años NO DEBEN ser mayor que el total de Consultas entre 10-14 años",""))</f>
        <v>#VALUE!</v>
      </c>
      <c r="CY146" s="1723" t="str">
        <f>IF(AND(G146&gt;0,AS146="")," * No olvide digitar la variable Embarazadas. Digite cero si no tiene.","")</f>
        <v/>
      </c>
      <c r="CZ146" s="1723" t="str">
        <f>IF(AS146&gt;G146," * Las Embarazadas NO DEBEN ser mayor al Total Mujeres. ","")</f>
        <v xml:space="preserve"> * Las Embarazadas NO DEBEN ser mayor al Total Mujeres. </v>
      </c>
      <c r="DA146" s="1723" t="e">
        <f>IF(AND((AL146+AM146)&gt;0,AT146=""),"* No olvide digitar la variable 60 años. Si no tiene digite Cero.",IF(AT146&gt;(AL146+AM146)," * Las consultas de 60 años NO DEBEN ser mayor que el Total de consultas de entre 60-64 años",""))</f>
        <v>#VALUE!</v>
      </c>
      <c r="DB146" s="1723" t="str">
        <f>IF(AND(E146&gt;0,AV146="")," * No olvide digitar la variable Usuarios con Discapacidad. Digite Cero si no tiene.",IF(AV146&gt;E146," * La variable Usuarios con Discapacidad No puede ser mayor al Total.",""))</f>
        <v xml:space="preserve"> * La variable Usuarios con Discapacidad No puede ser mayor al Total.</v>
      </c>
      <c r="DC146" s="1723" t="str">
        <f>IF(AND(E146&gt;0,AW146="")," * No olvide digitar la variable Niños, niñas adolescentes y Jóvenes SENAME. Digite Cero si no tiene.",IF(AW146&gt;E146," * La variable Niños, niñas adolescentes y Jóvenes SENAME No puede ser mayor al Total.",""))</f>
        <v xml:space="preserve"> * La variable Niños, niñas adolescentes y Jóvenes SENAME No puede ser mayor al Total.</v>
      </c>
      <c r="DD146" s="1723" t="str">
        <f>IF(AND(E146&gt;0,AX146="")," * No olvide digitar la variable Niños, niñas adolescentes y Jóvenes Mejor Niñez. Digite Cero si no tiene.",IF(AX146&gt;E146," * La variable Niños, niñas adolescentes y Jóvenes mejor Niñez No puede ser mayor al Total.",""))</f>
        <v xml:space="preserve"> * La variable Niños, niñas adolescentes y Jóvenes mejor Niñez No puede ser mayor al Total.</v>
      </c>
      <c r="DE146" s="1723" t="str">
        <f>IF(AND(E146&gt;0,AY146="")," * No olvide digitar la variable Migrantes. Digite Cero si no tiene.",IF(AY146&gt;E146," * La variable Migrantes No puede ser mayor al Total.",""))</f>
        <v xml:space="preserve"> * La variable Migrantes No puede ser mayor al Total.</v>
      </c>
      <c r="DF146"/>
      <c r="DH146" s="1725" t="e">
        <f>IF(AND((Z146+AA146)&gt;0,AR146=""),1,IF(AR146&gt;(Z146+AA146),1,0))</f>
        <v>#VALUE!</v>
      </c>
      <c r="DI146" s="1725">
        <f>IF(AND(G146&gt;0,AS146=""),1,0)</f>
        <v>0</v>
      </c>
      <c r="DJ146" s="1725">
        <f>IF(AS146&gt;G146,1,0)</f>
        <v>1</v>
      </c>
      <c r="DK146" s="1725" t="e">
        <f>IF(AND((AL146+AM146)&gt;0,AT146=""),1,IF(AT146&gt;(AL146+AM146),1,0))</f>
        <v>#VALUE!</v>
      </c>
      <c r="DL146" s="1725">
        <f>IF(AND(E146&gt;0,AV146=""),1,IF(AV146&gt;E146,1,0))</f>
        <v>1</v>
      </c>
      <c r="DM146" s="1725">
        <f>IF(AND(E146&gt;0,AW146=""),1,IF(AW146&gt;E146,1,0))</f>
        <v>1</v>
      </c>
      <c r="DN146" s="1725">
        <f>IF(AND(E146&gt;0,AX146=""),1,IF(AX146&gt;E146,1,0))</f>
        <v>1</v>
      </c>
      <c r="DO146" s="1725">
        <f>IF(AND(E146&gt;0,AY146=""),1,IF(AY146&gt;E146,1,0))</f>
        <v>1</v>
      </c>
    </row>
    <row r="147" spans="1:119" ht="15" customHeight="1" x14ac:dyDescent="0.3">
      <c r="A147" s="6269" t="s">
        <v>5024</v>
      </c>
      <c r="B147" s="7381" t="s">
        <v>829</v>
      </c>
      <c r="C147" s="7382"/>
      <c r="D147" s="7383"/>
      <c r="E147" s="4161" t="s">
        <v>5292</v>
      </c>
      <c r="F147" s="4161" t="s">
        <v>5293</v>
      </c>
      <c r="G147" s="786" t="s">
        <v>5294</v>
      </c>
      <c r="H147" s="616" t="s">
        <v>5295</v>
      </c>
      <c r="I147" s="626" t="s">
        <v>5296</v>
      </c>
      <c r="J147" s="623" t="s">
        <v>5297</v>
      </c>
      <c r="K147" s="626" t="s">
        <v>5298</v>
      </c>
      <c r="L147" s="623" t="s">
        <v>5299</v>
      </c>
      <c r="M147" s="626" t="s">
        <v>5300</v>
      </c>
      <c r="N147" s="623" t="s">
        <v>5301</v>
      </c>
      <c r="O147" s="626" t="s">
        <v>5302</v>
      </c>
      <c r="P147" s="617" t="s">
        <v>5303</v>
      </c>
      <c r="Q147" s="626" t="s">
        <v>5304</v>
      </c>
      <c r="R147" s="617" t="s">
        <v>5305</v>
      </c>
      <c r="S147" s="626" t="s">
        <v>5306</v>
      </c>
      <c r="T147" s="617" t="s">
        <v>5307</v>
      </c>
      <c r="U147" s="626" t="s">
        <v>5308</v>
      </c>
      <c r="V147" s="623" t="s">
        <v>5309</v>
      </c>
      <c r="W147" s="626" t="s">
        <v>5310</v>
      </c>
      <c r="X147" s="623" t="s">
        <v>5311</v>
      </c>
      <c r="Y147" s="626" t="s">
        <v>5312</v>
      </c>
      <c r="Z147" s="623" t="s">
        <v>5313</v>
      </c>
      <c r="AA147" s="626" t="s">
        <v>5314</v>
      </c>
      <c r="AB147" s="623" t="s">
        <v>5315</v>
      </c>
      <c r="AC147" s="626" t="s">
        <v>5316</v>
      </c>
      <c r="AD147" s="623" t="s">
        <v>5317</v>
      </c>
      <c r="AE147" s="626" t="s">
        <v>5318</v>
      </c>
      <c r="AF147" s="623" t="s">
        <v>5319</v>
      </c>
      <c r="AG147" s="626" t="s">
        <v>5320</v>
      </c>
      <c r="AH147" s="623" t="s">
        <v>5321</v>
      </c>
      <c r="AI147" s="626" t="s">
        <v>5322</v>
      </c>
      <c r="AJ147" s="623" t="s">
        <v>5323</v>
      </c>
      <c r="AK147" s="626" t="s">
        <v>5324</v>
      </c>
      <c r="AL147" s="623" t="s">
        <v>5325</v>
      </c>
      <c r="AM147" s="626" t="s">
        <v>5326</v>
      </c>
      <c r="AN147" s="623" t="s">
        <v>5327</v>
      </c>
      <c r="AO147" s="626" t="s">
        <v>5328</v>
      </c>
      <c r="AP147" s="623" t="s">
        <v>5329</v>
      </c>
      <c r="AQ147" s="624" t="s">
        <v>5330</v>
      </c>
      <c r="AR147" s="83" t="s">
        <v>5331</v>
      </c>
      <c r="AS147" s="105" t="s">
        <v>5332</v>
      </c>
      <c r="AT147" s="784" t="s">
        <v>5333</v>
      </c>
      <c r="AU147" s="784" t="s">
        <v>5334</v>
      </c>
      <c r="AV147" s="784" t="s">
        <v>5335</v>
      </c>
      <c r="AW147" s="784" t="s">
        <v>5336</v>
      </c>
      <c r="AX147" s="784" t="s">
        <v>5337</v>
      </c>
      <c r="AY147" s="784" t="s">
        <v>5338</v>
      </c>
      <c r="AZ147" t="e">
        <f t="shared" ref="AZ147:AZ154" si="155">CX147&amp;CY147&amp;CZ147&amp;DA147&amp;DB147&amp;DC147&amp;DD147&amp;DE147&amp;DF147</f>
        <v>#VALUE!</v>
      </c>
      <c r="CX147" s="1723" t="e">
        <f t="shared" ref="CX147:CX154" si="156">IF(AND((Z147+AA147)&gt;0,AR147="")," * No olvide digitar la variable 12 años. Si no tiene digite Cero.",IF(AR147&gt;(Z147+AA147),"* Las Consultas de 12 años NO DEBEN ser mayor que el total de Consultas entre 10-14 años",""))</f>
        <v>#VALUE!</v>
      </c>
      <c r="CY147" s="1723" t="str">
        <f t="shared" ref="CY147:CY154" si="157">IF(AND(G147&gt;0,AS147="")," * No olvide digitar la variable Embarazadas. Digite cero si no tiene.","")</f>
        <v/>
      </c>
      <c r="CZ147" s="1723" t="str">
        <f t="shared" ref="CZ147:CZ154" si="158">IF(AS147&gt;G147," * Las Embarazadas NO DEBEN ser mayor al Total Mujeres. ","")</f>
        <v xml:space="preserve"> * Las Embarazadas NO DEBEN ser mayor al Total Mujeres. </v>
      </c>
      <c r="DA147" s="1723" t="e">
        <f t="shared" ref="DA147:DA154" si="159">IF(AND((AL147+AM147)&gt;0,AT147=""),"* No olvide digitar la variable 60 años. Si no tiene digite Cero.",IF(AT147&gt;(AL147+AM147)," * Las consultas de 60 años NO DEBEN ser mayor que el Total de consultas de entre 60-64 años",""))</f>
        <v>#VALUE!</v>
      </c>
      <c r="DB147" s="1723" t="str">
        <f t="shared" ref="DB147:DB154" si="160">IF(AND(E147&gt;0,AV147="")," * No olvide digitar la variable Usuarios con Discapacidad. Digite Cero si no tiene.",IF(AV147&gt;E147," * La variable Usuarios con Discapacidad No puede ser mayor al Total.",""))</f>
        <v xml:space="preserve"> * La variable Usuarios con Discapacidad No puede ser mayor al Total.</v>
      </c>
      <c r="DC147" s="1723" t="str">
        <f t="shared" ref="DC147:DC154" si="161">IF(AND(E147&gt;0,AW147="")," * No olvide digitar la variable Niños, niñas adolescentes y Jóvenes SENAME. Digite Cero si no tiene.",IF(AW147&gt;E147," * La variable Niños, niñas adolescentes y Jóvenes SENAME No puede ser mayor al Total.",""))</f>
        <v xml:space="preserve"> * La variable Niños, niñas adolescentes y Jóvenes SENAME No puede ser mayor al Total.</v>
      </c>
      <c r="DD147" s="1723" t="str">
        <f t="shared" ref="DD147:DD154" si="162">IF(AND(E147&gt;0,AX147="")," * No olvide digitar la variable Niños, niñas adolescentes y Jóvenes Mejor Niñez. Digite Cero si no tiene.",IF(AX147&gt;E147," * La variable Niños, niñas adolescentes y Jóvenes mejor Niñez No puede ser mayor al Total.",""))</f>
        <v xml:space="preserve"> * La variable Niños, niñas adolescentes y Jóvenes mejor Niñez No puede ser mayor al Total.</v>
      </c>
      <c r="DE147" s="1723" t="str">
        <f t="shared" ref="DE147:DE154" si="163">IF(AND(E147&gt;0,AY147="")," * No olvide digitar la variable Migrantes. Digite Cero si no tiene.",IF(AY147&gt;E147," * La variable Migrantes No puede ser mayor al Total.",""))</f>
        <v xml:space="preserve"> * La variable Migrantes No puede ser mayor al Total.</v>
      </c>
      <c r="DF147"/>
      <c r="DH147" s="1725" t="e">
        <f t="shared" ref="DH147:DH154" si="164">IF(AND((Z147+AA147)&gt;0,AR147=""),1,IF(AR147&gt;(Z147+AA147),1,0))</f>
        <v>#VALUE!</v>
      </c>
      <c r="DI147" s="1725">
        <f t="shared" ref="DI147:DI154" si="165">IF(AND(G147&gt;0,AS147=""),1,0)</f>
        <v>0</v>
      </c>
      <c r="DJ147" s="1725">
        <f t="shared" ref="DJ147:DJ154" si="166">IF(AS147&gt;G147,1,0)</f>
        <v>1</v>
      </c>
      <c r="DK147" s="1725" t="e">
        <f t="shared" ref="DK147:DK154" si="167">IF(AND((AL147+AM147)&gt;0,AT147=""),1,IF(AT147&gt;(AL147+AM147),1,0))</f>
        <v>#VALUE!</v>
      </c>
      <c r="DL147" s="1725">
        <f t="shared" ref="DL147:DL154" si="168">IF(AND(E147&gt;0,AV147=""),1,IF(AV147&gt;E147,1,0))</f>
        <v>1</v>
      </c>
      <c r="DM147" s="1725">
        <f t="shared" ref="DM147:DM154" si="169">IF(AND(E147&gt;0,AW147=""),1,IF(AW147&gt;E147,1,0))</f>
        <v>1</v>
      </c>
      <c r="DN147" s="1725">
        <f t="shared" ref="DN147:DN154" si="170">IF(AND(E147&gt;0,AX147=""),1,IF(AX147&gt;E147,1,0))</f>
        <v>1</v>
      </c>
      <c r="DO147" s="1725">
        <f t="shared" ref="DO147:DO154" si="171">IF(AND(E147&gt;0,AY147=""),1,IF(AY147&gt;E147,1,0))</f>
        <v>1</v>
      </c>
    </row>
    <row r="148" spans="1:119" ht="15" customHeight="1" x14ac:dyDescent="0.3">
      <c r="A148" s="6269" t="s">
        <v>5025</v>
      </c>
      <c r="B148" s="7327" t="s">
        <v>830</v>
      </c>
      <c r="C148" s="7328"/>
      <c r="D148" s="7254"/>
      <c r="E148" s="4161" t="s">
        <v>5292</v>
      </c>
      <c r="F148" s="4161" t="s">
        <v>5293</v>
      </c>
      <c r="G148" s="786" t="s">
        <v>5294</v>
      </c>
      <c r="H148" s="616" t="s">
        <v>5295</v>
      </c>
      <c r="I148" s="626" t="s">
        <v>5296</v>
      </c>
      <c r="J148" s="623" t="s">
        <v>5297</v>
      </c>
      <c r="K148" s="626" t="s">
        <v>5298</v>
      </c>
      <c r="L148" s="623" t="s">
        <v>5299</v>
      </c>
      <c r="M148" s="626" t="s">
        <v>5300</v>
      </c>
      <c r="N148" s="623" t="s">
        <v>5301</v>
      </c>
      <c r="O148" s="626" t="s">
        <v>5302</v>
      </c>
      <c r="P148" s="617" t="s">
        <v>5303</v>
      </c>
      <c r="Q148" s="626" t="s">
        <v>5304</v>
      </c>
      <c r="R148" s="617" t="s">
        <v>5305</v>
      </c>
      <c r="S148" s="626" t="s">
        <v>5306</v>
      </c>
      <c r="T148" s="617" t="s">
        <v>5307</v>
      </c>
      <c r="U148" s="626" t="s">
        <v>5308</v>
      </c>
      <c r="V148" s="623" t="s">
        <v>5309</v>
      </c>
      <c r="W148" s="626" t="s">
        <v>5310</v>
      </c>
      <c r="X148" s="623" t="s">
        <v>5311</v>
      </c>
      <c r="Y148" s="626" t="s">
        <v>5312</v>
      </c>
      <c r="Z148" s="623" t="s">
        <v>5313</v>
      </c>
      <c r="AA148" s="626" t="s">
        <v>5314</v>
      </c>
      <c r="AB148" s="623" t="s">
        <v>5315</v>
      </c>
      <c r="AC148" s="626" t="s">
        <v>5316</v>
      </c>
      <c r="AD148" s="623" t="s">
        <v>5317</v>
      </c>
      <c r="AE148" s="626" t="s">
        <v>5318</v>
      </c>
      <c r="AF148" s="623" t="s">
        <v>5319</v>
      </c>
      <c r="AG148" s="626" t="s">
        <v>5320</v>
      </c>
      <c r="AH148" s="623" t="s">
        <v>5321</v>
      </c>
      <c r="AI148" s="626" t="s">
        <v>5322</v>
      </c>
      <c r="AJ148" s="623" t="s">
        <v>5323</v>
      </c>
      <c r="AK148" s="626" t="s">
        <v>5324</v>
      </c>
      <c r="AL148" s="623" t="s">
        <v>5325</v>
      </c>
      <c r="AM148" s="626" t="s">
        <v>5326</v>
      </c>
      <c r="AN148" s="623" t="s">
        <v>5327</v>
      </c>
      <c r="AO148" s="626" t="s">
        <v>5328</v>
      </c>
      <c r="AP148" s="623" t="s">
        <v>5329</v>
      </c>
      <c r="AQ148" s="624" t="s">
        <v>5330</v>
      </c>
      <c r="AR148" s="83" t="s">
        <v>5331</v>
      </c>
      <c r="AS148" s="105" t="s">
        <v>5332</v>
      </c>
      <c r="AT148" s="784" t="s">
        <v>5333</v>
      </c>
      <c r="AU148" s="784" t="s">
        <v>5334</v>
      </c>
      <c r="AV148" s="784" t="s">
        <v>5335</v>
      </c>
      <c r="AW148" s="784" t="s">
        <v>5336</v>
      </c>
      <c r="AX148" s="784" t="s">
        <v>5337</v>
      </c>
      <c r="AY148" s="784" t="s">
        <v>5338</v>
      </c>
      <c r="AZ148" t="e">
        <f t="shared" si="155"/>
        <v>#VALUE!</v>
      </c>
      <c r="CX148" s="1723" t="e">
        <f t="shared" si="156"/>
        <v>#VALUE!</v>
      </c>
      <c r="CY148" s="1723" t="str">
        <f t="shared" si="157"/>
        <v/>
      </c>
      <c r="CZ148" s="1723" t="str">
        <f t="shared" si="158"/>
        <v xml:space="preserve"> * Las Embarazadas NO DEBEN ser mayor al Total Mujeres. </v>
      </c>
      <c r="DA148" s="1723" t="e">
        <f t="shared" si="159"/>
        <v>#VALUE!</v>
      </c>
      <c r="DB148" s="1723" t="str">
        <f t="shared" si="160"/>
        <v xml:space="preserve"> * La variable Usuarios con Discapacidad No puede ser mayor al Total.</v>
      </c>
      <c r="DC148" s="1723" t="str">
        <f t="shared" si="161"/>
        <v xml:space="preserve"> * La variable Niños, niñas adolescentes y Jóvenes SENAME No puede ser mayor al Total.</v>
      </c>
      <c r="DD148" s="1723" t="str">
        <f t="shared" si="162"/>
        <v xml:space="preserve"> * La variable Niños, niñas adolescentes y Jóvenes mejor Niñez No puede ser mayor al Total.</v>
      </c>
      <c r="DE148" s="1723" t="str">
        <f t="shared" si="163"/>
        <v xml:space="preserve"> * La variable Migrantes No puede ser mayor al Total.</v>
      </c>
      <c r="DF148"/>
      <c r="DH148" s="1725" t="e">
        <f t="shared" si="164"/>
        <v>#VALUE!</v>
      </c>
      <c r="DI148" s="1725">
        <f t="shared" si="165"/>
        <v>0</v>
      </c>
      <c r="DJ148" s="1725">
        <f t="shared" si="166"/>
        <v>1</v>
      </c>
      <c r="DK148" s="1725" t="e">
        <f t="shared" si="167"/>
        <v>#VALUE!</v>
      </c>
      <c r="DL148" s="1725">
        <f t="shared" si="168"/>
        <v>1</v>
      </c>
      <c r="DM148" s="1725">
        <f t="shared" si="169"/>
        <v>1</v>
      </c>
      <c r="DN148" s="1725">
        <f t="shared" si="170"/>
        <v>1</v>
      </c>
      <c r="DO148" s="1725">
        <f t="shared" si="171"/>
        <v>1</v>
      </c>
    </row>
    <row r="149" spans="1:119" ht="15" customHeight="1" x14ac:dyDescent="0.3">
      <c r="A149" s="6269" t="s">
        <v>5026</v>
      </c>
      <c r="B149" s="7327" t="s">
        <v>831</v>
      </c>
      <c r="C149" s="7328"/>
      <c r="D149" s="7254"/>
      <c r="E149" s="4161" t="s">
        <v>5292</v>
      </c>
      <c r="F149" s="4161" t="s">
        <v>5293</v>
      </c>
      <c r="G149" s="786" t="s">
        <v>5294</v>
      </c>
      <c r="H149" s="616" t="s">
        <v>5295</v>
      </c>
      <c r="I149" s="626" t="s">
        <v>5296</v>
      </c>
      <c r="J149" s="623" t="s">
        <v>5297</v>
      </c>
      <c r="K149" s="626" t="s">
        <v>5298</v>
      </c>
      <c r="L149" s="623" t="s">
        <v>5299</v>
      </c>
      <c r="M149" s="626" t="s">
        <v>5300</v>
      </c>
      <c r="N149" s="623" t="s">
        <v>5301</v>
      </c>
      <c r="O149" s="626" t="s">
        <v>5302</v>
      </c>
      <c r="P149" s="617" t="s">
        <v>5303</v>
      </c>
      <c r="Q149" s="626" t="s">
        <v>5304</v>
      </c>
      <c r="R149" s="617" t="s">
        <v>5305</v>
      </c>
      <c r="S149" s="626" t="s">
        <v>5306</v>
      </c>
      <c r="T149" s="617" t="s">
        <v>5307</v>
      </c>
      <c r="U149" s="626" t="s">
        <v>5308</v>
      </c>
      <c r="V149" s="623" t="s">
        <v>5309</v>
      </c>
      <c r="W149" s="626" t="s">
        <v>5310</v>
      </c>
      <c r="X149" s="623" t="s">
        <v>5311</v>
      </c>
      <c r="Y149" s="626" t="s">
        <v>5312</v>
      </c>
      <c r="Z149" s="623" t="s">
        <v>5313</v>
      </c>
      <c r="AA149" s="626" t="s">
        <v>5314</v>
      </c>
      <c r="AB149" s="623" t="s">
        <v>5315</v>
      </c>
      <c r="AC149" s="626" t="s">
        <v>5316</v>
      </c>
      <c r="AD149" s="623" t="s">
        <v>5317</v>
      </c>
      <c r="AE149" s="626" t="s">
        <v>5318</v>
      </c>
      <c r="AF149" s="623" t="s">
        <v>5319</v>
      </c>
      <c r="AG149" s="626" t="s">
        <v>5320</v>
      </c>
      <c r="AH149" s="623" t="s">
        <v>5321</v>
      </c>
      <c r="AI149" s="626" t="s">
        <v>5322</v>
      </c>
      <c r="AJ149" s="623" t="s">
        <v>5323</v>
      </c>
      <c r="AK149" s="626" t="s">
        <v>5324</v>
      </c>
      <c r="AL149" s="623" t="s">
        <v>5325</v>
      </c>
      <c r="AM149" s="626" t="s">
        <v>5326</v>
      </c>
      <c r="AN149" s="623" t="s">
        <v>5327</v>
      </c>
      <c r="AO149" s="626" t="s">
        <v>5328</v>
      </c>
      <c r="AP149" s="623" t="s">
        <v>5329</v>
      </c>
      <c r="AQ149" s="624" t="s">
        <v>5330</v>
      </c>
      <c r="AR149" s="83" t="s">
        <v>5331</v>
      </c>
      <c r="AS149" s="105" t="s">
        <v>5332</v>
      </c>
      <c r="AT149" s="784" t="s">
        <v>5333</v>
      </c>
      <c r="AU149" s="784" t="s">
        <v>5334</v>
      </c>
      <c r="AV149" s="784" t="s">
        <v>5335</v>
      </c>
      <c r="AW149" s="784" t="s">
        <v>5336</v>
      </c>
      <c r="AX149" s="784" t="s">
        <v>5337</v>
      </c>
      <c r="AY149" s="784" t="s">
        <v>5338</v>
      </c>
      <c r="AZ149" t="e">
        <f t="shared" si="155"/>
        <v>#VALUE!</v>
      </c>
      <c r="CX149" s="1723" t="e">
        <f t="shared" si="156"/>
        <v>#VALUE!</v>
      </c>
      <c r="CY149" s="1723" t="str">
        <f t="shared" si="157"/>
        <v/>
      </c>
      <c r="CZ149" s="1723" t="str">
        <f t="shared" si="158"/>
        <v xml:space="preserve"> * Las Embarazadas NO DEBEN ser mayor al Total Mujeres. </v>
      </c>
      <c r="DA149" s="1723" t="e">
        <f t="shared" si="159"/>
        <v>#VALUE!</v>
      </c>
      <c r="DB149" s="1723" t="str">
        <f t="shared" si="160"/>
        <v xml:space="preserve"> * La variable Usuarios con Discapacidad No puede ser mayor al Total.</v>
      </c>
      <c r="DC149" s="1723" t="str">
        <f t="shared" si="161"/>
        <v xml:space="preserve"> * La variable Niños, niñas adolescentes y Jóvenes SENAME No puede ser mayor al Total.</v>
      </c>
      <c r="DD149" s="1723" t="str">
        <f t="shared" si="162"/>
        <v xml:space="preserve"> * La variable Niños, niñas adolescentes y Jóvenes mejor Niñez No puede ser mayor al Total.</v>
      </c>
      <c r="DE149" s="1723" t="str">
        <f t="shared" si="163"/>
        <v xml:space="preserve"> * La variable Migrantes No puede ser mayor al Total.</v>
      </c>
      <c r="DF149"/>
      <c r="DH149" s="1725" t="e">
        <f t="shared" si="164"/>
        <v>#VALUE!</v>
      </c>
      <c r="DI149" s="1725">
        <f t="shared" si="165"/>
        <v>0</v>
      </c>
      <c r="DJ149" s="1725">
        <f t="shared" si="166"/>
        <v>1</v>
      </c>
      <c r="DK149" s="1725" t="e">
        <f t="shared" si="167"/>
        <v>#VALUE!</v>
      </c>
      <c r="DL149" s="1725">
        <f t="shared" si="168"/>
        <v>1</v>
      </c>
      <c r="DM149" s="1725">
        <f t="shared" si="169"/>
        <v>1</v>
      </c>
      <c r="DN149" s="1725">
        <f t="shared" si="170"/>
        <v>1</v>
      </c>
      <c r="DO149" s="1725">
        <f t="shared" si="171"/>
        <v>1</v>
      </c>
    </row>
    <row r="150" spans="1:119" ht="15" customHeight="1" x14ac:dyDescent="0.3">
      <c r="A150" s="6269" t="s">
        <v>5027</v>
      </c>
      <c r="B150" s="7398" t="s">
        <v>832</v>
      </c>
      <c r="C150" s="7399"/>
      <c r="D150" s="7400"/>
      <c r="E150" s="4161" t="s">
        <v>5292</v>
      </c>
      <c r="F150" s="4161" t="s">
        <v>5293</v>
      </c>
      <c r="G150" s="786" t="s">
        <v>5294</v>
      </c>
      <c r="H150" s="616" t="s">
        <v>5295</v>
      </c>
      <c r="I150" s="626" t="s">
        <v>5296</v>
      </c>
      <c r="J150" s="623" t="s">
        <v>5297</v>
      </c>
      <c r="K150" s="626" t="s">
        <v>5298</v>
      </c>
      <c r="L150" s="623" t="s">
        <v>5299</v>
      </c>
      <c r="M150" s="626" t="s">
        <v>5300</v>
      </c>
      <c r="N150" s="623" t="s">
        <v>5301</v>
      </c>
      <c r="O150" s="626" t="s">
        <v>5302</v>
      </c>
      <c r="P150" s="617" t="s">
        <v>5303</v>
      </c>
      <c r="Q150" s="626" t="s">
        <v>5304</v>
      </c>
      <c r="R150" s="617" t="s">
        <v>5305</v>
      </c>
      <c r="S150" s="626" t="s">
        <v>5306</v>
      </c>
      <c r="T150" s="617" t="s">
        <v>5307</v>
      </c>
      <c r="U150" s="626" t="s">
        <v>5308</v>
      </c>
      <c r="V150" s="623" t="s">
        <v>5309</v>
      </c>
      <c r="W150" s="626" t="s">
        <v>5310</v>
      </c>
      <c r="X150" s="623" t="s">
        <v>5311</v>
      </c>
      <c r="Y150" s="626" t="s">
        <v>5312</v>
      </c>
      <c r="Z150" s="623" t="s">
        <v>5313</v>
      </c>
      <c r="AA150" s="626" t="s">
        <v>5314</v>
      </c>
      <c r="AB150" s="623" t="s">
        <v>5315</v>
      </c>
      <c r="AC150" s="626" t="s">
        <v>5316</v>
      </c>
      <c r="AD150" s="623" t="s">
        <v>5317</v>
      </c>
      <c r="AE150" s="626" t="s">
        <v>5318</v>
      </c>
      <c r="AF150" s="623" t="s">
        <v>5319</v>
      </c>
      <c r="AG150" s="626" t="s">
        <v>5320</v>
      </c>
      <c r="AH150" s="623" t="s">
        <v>5321</v>
      </c>
      <c r="AI150" s="626" t="s">
        <v>5322</v>
      </c>
      <c r="AJ150" s="623" t="s">
        <v>5323</v>
      </c>
      <c r="AK150" s="626" t="s">
        <v>5324</v>
      </c>
      <c r="AL150" s="623" t="s">
        <v>5325</v>
      </c>
      <c r="AM150" s="626" t="s">
        <v>5326</v>
      </c>
      <c r="AN150" s="623" t="s">
        <v>5327</v>
      </c>
      <c r="AO150" s="626" t="s">
        <v>5328</v>
      </c>
      <c r="AP150" s="623" t="s">
        <v>5329</v>
      </c>
      <c r="AQ150" s="624" t="s">
        <v>5330</v>
      </c>
      <c r="AR150" s="83" t="s">
        <v>5331</v>
      </c>
      <c r="AS150" s="105" t="s">
        <v>5332</v>
      </c>
      <c r="AT150" s="784" t="s">
        <v>5333</v>
      </c>
      <c r="AU150" s="784" t="s">
        <v>5334</v>
      </c>
      <c r="AV150" s="784" t="s">
        <v>5335</v>
      </c>
      <c r="AW150" s="784" t="s">
        <v>5336</v>
      </c>
      <c r="AX150" s="784" t="s">
        <v>5337</v>
      </c>
      <c r="AY150" s="784" t="s">
        <v>5338</v>
      </c>
      <c r="AZ150" t="e">
        <f t="shared" si="155"/>
        <v>#VALUE!</v>
      </c>
      <c r="CX150" s="1723" t="e">
        <f t="shared" si="156"/>
        <v>#VALUE!</v>
      </c>
      <c r="CY150" s="1723" t="str">
        <f t="shared" si="157"/>
        <v/>
      </c>
      <c r="CZ150" s="1723" t="str">
        <f t="shared" si="158"/>
        <v xml:space="preserve"> * Las Embarazadas NO DEBEN ser mayor al Total Mujeres. </v>
      </c>
      <c r="DA150" s="1723" t="e">
        <f t="shared" si="159"/>
        <v>#VALUE!</v>
      </c>
      <c r="DB150" s="1723" t="str">
        <f t="shared" si="160"/>
        <v xml:space="preserve"> * La variable Usuarios con Discapacidad No puede ser mayor al Total.</v>
      </c>
      <c r="DC150" s="1723" t="str">
        <f t="shared" si="161"/>
        <v xml:space="preserve"> * La variable Niños, niñas adolescentes y Jóvenes SENAME No puede ser mayor al Total.</v>
      </c>
      <c r="DD150" s="1723" t="str">
        <f t="shared" si="162"/>
        <v xml:space="preserve"> * La variable Niños, niñas adolescentes y Jóvenes mejor Niñez No puede ser mayor al Total.</v>
      </c>
      <c r="DE150" s="1723" t="str">
        <f t="shared" si="163"/>
        <v xml:space="preserve"> * La variable Migrantes No puede ser mayor al Total.</v>
      </c>
      <c r="DF150"/>
      <c r="DH150" s="1725" t="e">
        <f t="shared" si="164"/>
        <v>#VALUE!</v>
      </c>
      <c r="DI150" s="1725">
        <f t="shared" si="165"/>
        <v>0</v>
      </c>
      <c r="DJ150" s="1725">
        <f t="shared" si="166"/>
        <v>1</v>
      </c>
      <c r="DK150" s="1725" t="e">
        <f t="shared" si="167"/>
        <v>#VALUE!</v>
      </c>
      <c r="DL150" s="1725">
        <f t="shared" si="168"/>
        <v>1</v>
      </c>
      <c r="DM150" s="1725">
        <f t="shared" si="169"/>
        <v>1</v>
      </c>
      <c r="DN150" s="1725">
        <f t="shared" si="170"/>
        <v>1</v>
      </c>
      <c r="DO150" s="1725">
        <f t="shared" si="171"/>
        <v>1</v>
      </c>
    </row>
    <row r="151" spans="1:119" ht="15" customHeight="1" x14ac:dyDescent="0.3">
      <c r="A151" s="6269" t="s">
        <v>5028</v>
      </c>
      <c r="B151" s="7398" t="s">
        <v>833</v>
      </c>
      <c r="C151" s="7399"/>
      <c r="D151" s="7400"/>
      <c r="E151" s="4161" t="s">
        <v>5292</v>
      </c>
      <c r="F151" s="4161" t="s">
        <v>5293</v>
      </c>
      <c r="G151" s="786" t="s">
        <v>5294</v>
      </c>
      <c r="H151" s="616" t="s">
        <v>5295</v>
      </c>
      <c r="I151" s="626" t="s">
        <v>5296</v>
      </c>
      <c r="J151" s="623" t="s">
        <v>5297</v>
      </c>
      <c r="K151" s="626" t="s">
        <v>5298</v>
      </c>
      <c r="L151" s="623" t="s">
        <v>5299</v>
      </c>
      <c r="M151" s="626" t="s">
        <v>5300</v>
      </c>
      <c r="N151" s="623" t="s">
        <v>5301</v>
      </c>
      <c r="O151" s="626" t="s">
        <v>5302</v>
      </c>
      <c r="P151" s="617" t="s">
        <v>5303</v>
      </c>
      <c r="Q151" s="626" t="s">
        <v>5304</v>
      </c>
      <c r="R151" s="617" t="s">
        <v>5305</v>
      </c>
      <c r="S151" s="626" t="s">
        <v>5306</v>
      </c>
      <c r="T151" s="617" t="s">
        <v>5307</v>
      </c>
      <c r="U151" s="626" t="s">
        <v>5308</v>
      </c>
      <c r="V151" s="623" t="s">
        <v>5309</v>
      </c>
      <c r="W151" s="626" t="s">
        <v>5310</v>
      </c>
      <c r="X151" s="623" t="s">
        <v>5311</v>
      </c>
      <c r="Y151" s="626" t="s">
        <v>5312</v>
      </c>
      <c r="Z151" s="623" t="s">
        <v>5313</v>
      </c>
      <c r="AA151" s="626" t="s">
        <v>5314</v>
      </c>
      <c r="AB151" s="623" t="s">
        <v>5315</v>
      </c>
      <c r="AC151" s="626" t="s">
        <v>5316</v>
      </c>
      <c r="AD151" s="623" t="s">
        <v>5317</v>
      </c>
      <c r="AE151" s="626" t="s">
        <v>5318</v>
      </c>
      <c r="AF151" s="623" t="s">
        <v>5319</v>
      </c>
      <c r="AG151" s="626" t="s">
        <v>5320</v>
      </c>
      <c r="AH151" s="623" t="s">
        <v>5321</v>
      </c>
      <c r="AI151" s="626" t="s">
        <v>5322</v>
      </c>
      <c r="AJ151" s="623" t="s">
        <v>5323</v>
      </c>
      <c r="AK151" s="626" t="s">
        <v>5324</v>
      </c>
      <c r="AL151" s="623" t="s">
        <v>5325</v>
      </c>
      <c r="AM151" s="626" t="s">
        <v>5326</v>
      </c>
      <c r="AN151" s="623" t="s">
        <v>5327</v>
      </c>
      <c r="AO151" s="626" t="s">
        <v>5328</v>
      </c>
      <c r="AP151" s="623" t="s">
        <v>5329</v>
      </c>
      <c r="AQ151" s="624" t="s">
        <v>5330</v>
      </c>
      <c r="AR151" s="83" t="s">
        <v>5331</v>
      </c>
      <c r="AS151" s="105" t="s">
        <v>5332</v>
      </c>
      <c r="AT151" s="784" t="s">
        <v>5333</v>
      </c>
      <c r="AU151" s="784" t="s">
        <v>5334</v>
      </c>
      <c r="AV151" s="784" t="s">
        <v>5335</v>
      </c>
      <c r="AW151" s="784" t="s">
        <v>5336</v>
      </c>
      <c r="AX151" s="784" t="s">
        <v>5337</v>
      </c>
      <c r="AY151" s="784" t="s">
        <v>5338</v>
      </c>
      <c r="AZ151" t="e">
        <f t="shared" si="155"/>
        <v>#VALUE!</v>
      </c>
      <c r="CX151" s="1723" t="e">
        <f t="shared" si="156"/>
        <v>#VALUE!</v>
      </c>
      <c r="CY151" s="1723" t="str">
        <f t="shared" si="157"/>
        <v/>
      </c>
      <c r="CZ151" s="1723" t="str">
        <f t="shared" si="158"/>
        <v xml:space="preserve"> * Las Embarazadas NO DEBEN ser mayor al Total Mujeres. </v>
      </c>
      <c r="DA151" s="1723" t="e">
        <f t="shared" si="159"/>
        <v>#VALUE!</v>
      </c>
      <c r="DB151" s="1723" t="str">
        <f t="shared" si="160"/>
        <v xml:space="preserve"> * La variable Usuarios con Discapacidad No puede ser mayor al Total.</v>
      </c>
      <c r="DC151" s="1723" t="str">
        <f t="shared" si="161"/>
        <v xml:space="preserve"> * La variable Niños, niñas adolescentes y Jóvenes SENAME No puede ser mayor al Total.</v>
      </c>
      <c r="DD151" s="1723" t="str">
        <f t="shared" si="162"/>
        <v xml:space="preserve"> * La variable Niños, niñas adolescentes y Jóvenes mejor Niñez No puede ser mayor al Total.</v>
      </c>
      <c r="DE151" s="1723" t="str">
        <f t="shared" si="163"/>
        <v xml:space="preserve"> * La variable Migrantes No puede ser mayor al Total.</v>
      </c>
      <c r="DF151"/>
      <c r="DH151" s="1725" t="e">
        <f t="shared" si="164"/>
        <v>#VALUE!</v>
      </c>
      <c r="DI151" s="1725">
        <f t="shared" si="165"/>
        <v>0</v>
      </c>
      <c r="DJ151" s="1725">
        <f t="shared" si="166"/>
        <v>1</v>
      </c>
      <c r="DK151" s="1725" t="e">
        <f t="shared" si="167"/>
        <v>#VALUE!</v>
      </c>
      <c r="DL151" s="1725">
        <f t="shared" si="168"/>
        <v>1</v>
      </c>
      <c r="DM151" s="1725">
        <f t="shared" si="169"/>
        <v>1</v>
      </c>
      <c r="DN151" s="1725">
        <f t="shared" si="170"/>
        <v>1</v>
      </c>
      <c r="DO151" s="1725">
        <f t="shared" si="171"/>
        <v>1</v>
      </c>
    </row>
    <row r="152" spans="1:119" ht="15" customHeight="1" x14ac:dyDescent="0.3">
      <c r="A152" s="6269" t="s">
        <v>5029</v>
      </c>
      <c r="B152" s="7398" t="s">
        <v>834</v>
      </c>
      <c r="C152" s="7399"/>
      <c r="D152" s="7400"/>
      <c r="E152" s="4161" t="s">
        <v>5292</v>
      </c>
      <c r="F152" s="4161" t="s">
        <v>5293</v>
      </c>
      <c r="G152" s="786" t="s">
        <v>5294</v>
      </c>
      <c r="H152" s="616" t="s">
        <v>5295</v>
      </c>
      <c r="I152" s="626" t="s">
        <v>5296</v>
      </c>
      <c r="J152" s="623" t="s">
        <v>5297</v>
      </c>
      <c r="K152" s="626" t="s">
        <v>5298</v>
      </c>
      <c r="L152" s="623" t="s">
        <v>5299</v>
      </c>
      <c r="M152" s="626" t="s">
        <v>5300</v>
      </c>
      <c r="N152" s="623" t="s">
        <v>5301</v>
      </c>
      <c r="O152" s="626" t="s">
        <v>5302</v>
      </c>
      <c r="P152" s="617" t="s">
        <v>5303</v>
      </c>
      <c r="Q152" s="626" t="s">
        <v>5304</v>
      </c>
      <c r="R152" s="617" t="s">
        <v>5305</v>
      </c>
      <c r="S152" s="626" t="s">
        <v>5306</v>
      </c>
      <c r="T152" s="617" t="s">
        <v>5307</v>
      </c>
      <c r="U152" s="626" t="s">
        <v>5308</v>
      </c>
      <c r="V152" s="623" t="s">
        <v>5309</v>
      </c>
      <c r="W152" s="626" t="s">
        <v>5310</v>
      </c>
      <c r="X152" s="623" t="s">
        <v>5311</v>
      </c>
      <c r="Y152" s="626" t="s">
        <v>5312</v>
      </c>
      <c r="Z152" s="623" t="s">
        <v>5313</v>
      </c>
      <c r="AA152" s="626" t="s">
        <v>5314</v>
      </c>
      <c r="AB152" s="623" t="s">
        <v>5315</v>
      </c>
      <c r="AC152" s="626" t="s">
        <v>5316</v>
      </c>
      <c r="AD152" s="623" t="s">
        <v>5317</v>
      </c>
      <c r="AE152" s="626" t="s">
        <v>5318</v>
      </c>
      <c r="AF152" s="623" t="s">
        <v>5319</v>
      </c>
      <c r="AG152" s="626" t="s">
        <v>5320</v>
      </c>
      <c r="AH152" s="623" t="s">
        <v>5321</v>
      </c>
      <c r="AI152" s="626" t="s">
        <v>5322</v>
      </c>
      <c r="AJ152" s="623" t="s">
        <v>5323</v>
      </c>
      <c r="AK152" s="626" t="s">
        <v>5324</v>
      </c>
      <c r="AL152" s="623" t="s">
        <v>5325</v>
      </c>
      <c r="AM152" s="626" t="s">
        <v>5326</v>
      </c>
      <c r="AN152" s="623" t="s">
        <v>5327</v>
      </c>
      <c r="AO152" s="626" t="s">
        <v>5328</v>
      </c>
      <c r="AP152" s="623" t="s">
        <v>5329</v>
      </c>
      <c r="AQ152" s="624" t="s">
        <v>5330</v>
      </c>
      <c r="AR152" s="83" t="s">
        <v>5331</v>
      </c>
      <c r="AS152" s="105" t="s">
        <v>5332</v>
      </c>
      <c r="AT152" s="784" t="s">
        <v>5333</v>
      </c>
      <c r="AU152" s="784" t="s">
        <v>5334</v>
      </c>
      <c r="AV152" s="784" t="s">
        <v>5335</v>
      </c>
      <c r="AW152" s="784" t="s">
        <v>5336</v>
      </c>
      <c r="AX152" s="784" t="s">
        <v>5337</v>
      </c>
      <c r="AY152" s="784" t="s">
        <v>5338</v>
      </c>
      <c r="AZ152" t="e">
        <f t="shared" si="155"/>
        <v>#VALUE!</v>
      </c>
      <c r="CX152" s="1723" t="e">
        <f t="shared" si="156"/>
        <v>#VALUE!</v>
      </c>
      <c r="CY152" s="1723" t="str">
        <f t="shared" si="157"/>
        <v/>
      </c>
      <c r="CZ152" s="1723" t="str">
        <f t="shared" si="158"/>
        <v xml:space="preserve"> * Las Embarazadas NO DEBEN ser mayor al Total Mujeres. </v>
      </c>
      <c r="DA152" s="1723" t="e">
        <f t="shared" si="159"/>
        <v>#VALUE!</v>
      </c>
      <c r="DB152" s="1723" t="str">
        <f t="shared" si="160"/>
        <v xml:space="preserve"> * La variable Usuarios con Discapacidad No puede ser mayor al Total.</v>
      </c>
      <c r="DC152" s="1723" t="str">
        <f t="shared" si="161"/>
        <v xml:space="preserve"> * La variable Niños, niñas adolescentes y Jóvenes SENAME No puede ser mayor al Total.</v>
      </c>
      <c r="DD152" s="1723" t="str">
        <f t="shared" si="162"/>
        <v xml:space="preserve"> * La variable Niños, niñas adolescentes y Jóvenes mejor Niñez No puede ser mayor al Total.</v>
      </c>
      <c r="DE152" s="1723" t="str">
        <f t="shared" si="163"/>
        <v xml:space="preserve"> * La variable Migrantes No puede ser mayor al Total.</v>
      </c>
      <c r="DF152"/>
      <c r="DH152" s="1725" t="e">
        <f t="shared" si="164"/>
        <v>#VALUE!</v>
      </c>
      <c r="DI152" s="1725">
        <f t="shared" si="165"/>
        <v>0</v>
      </c>
      <c r="DJ152" s="1725">
        <f t="shared" si="166"/>
        <v>1</v>
      </c>
      <c r="DK152" s="1725" t="e">
        <f t="shared" si="167"/>
        <v>#VALUE!</v>
      </c>
      <c r="DL152" s="1725">
        <f t="shared" si="168"/>
        <v>1</v>
      </c>
      <c r="DM152" s="1725">
        <f t="shared" si="169"/>
        <v>1</v>
      </c>
      <c r="DN152" s="1725">
        <f t="shared" si="170"/>
        <v>1</v>
      </c>
      <c r="DO152" s="1725">
        <f t="shared" si="171"/>
        <v>1</v>
      </c>
    </row>
    <row r="153" spans="1:119" ht="15" customHeight="1" x14ac:dyDescent="0.3">
      <c r="A153" s="6269" t="s">
        <v>5030</v>
      </c>
      <c r="B153" s="7327" t="s">
        <v>835</v>
      </c>
      <c r="C153" s="7328"/>
      <c r="D153" s="7254"/>
      <c r="E153" s="4161" t="s">
        <v>5292</v>
      </c>
      <c r="F153" s="4161" t="s">
        <v>5293</v>
      </c>
      <c r="G153" s="786" t="s">
        <v>5294</v>
      </c>
      <c r="H153" s="616" t="s">
        <v>5295</v>
      </c>
      <c r="I153" s="626" t="s">
        <v>5296</v>
      </c>
      <c r="J153" s="623" t="s">
        <v>5297</v>
      </c>
      <c r="K153" s="626" t="s">
        <v>5298</v>
      </c>
      <c r="L153" s="623" t="s">
        <v>5299</v>
      </c>
      <c r="M153" s="626" t="s">
        <v>5300</v>
      </c>
      <c r="N153" s="623" t="s">
        <v>5301</v>
      </c>
      <c r="O153" s="626" t="s">
        <v>5302</v>
      </c>
      <c r="P153" s="617" t="s">
        <v>5303</v>
      </c>
      <c r="Q153" s="626" t="s">
        <v>5304</v>
      </c>
      <c r="R153" s="617" t="s">
        <v>5305</v>
      </c>
      <c r="S153" s="626" t="s">
        <v>5306</v>
      </c>
      <c r="T153" s="617" t="s">
        <v>5307</v>
      </c>
      <c r="U153" s="626" t="s">
        <v>5308</v>
      </c>
      <c r="V153" s="623" t="s">
        <v>5309</v>
      </c>
      <c r="W153" s="626" t="s">
        <v>5310</v>
      </c>
      <c r="X153" s="623" t="s">
        <v>5311</v>
      </c>
      <c r="Y153" s="626" t="s">
        <v>5312</v>
      </c>
      <c r="Z153" s="623" t="s">
        <v>5313</v>
      </c>
      <c r="AA153" s="626" t="s">
        <v>5314</v>
      </c>
      <c r="AB153" s="623" t="s">
        <v>5315</v>
      </c>
      <c r="AC153" s="626" t="s">
        <v>5316</v>
      </c>
      <c r="AD153" s="623" t="s">
        <v>5317</v>
      </c>
      <c r="AE153" s="626" t="s">
        <v>5318</v>
      </c>
      <c r="AF153" s="623" t="s">
        <v>5319</v>
      </c>
      <c r="AG153" s="626" t="s">
        <v>5320</v>
      </c>
      <c r="AH153" s="623" t="s">
        <v>5321</v>
      </c>
      <c r="AI153" s="626" t="s">
        <v>5322</v>
      </c>
      <c r="AJ153" s="623" t="s">
        <v>5323</v>
      </c>
      <c r="AK153" s="626" t="s">
        <v>5324</v>
      </c>
      <c r="AL153" s="623" t="s">
        <v>5325</v>
      </c>
      <c r="AM153" s="626" t="s">
        <v>5326</v>
      </c>
      <c r="AN153" s="623" t="s">
        <v>5327</v>
      </c>
      <c r="AO153" s="626" t="s">
        <v>5328</v>
      </c>
      <c r="AP153" s="623" t="s">
        <v>5329</v>
      </c>
      <c r="AQ153" s="624" t="s">
        <v>5330</v>
      </c>
      <c r="AR153" s="83" t="s">
        <v>5331</v>
      </c>
      <c r="AS153" s="105" t="s">
        <v>5332</v>
      </c>
      <c r="AT153" s="784" t="s">
        <v>5333</v>
      </c>
      <c r="AU153" s="784" t="s">
        <v>5334</v>
      </c>
      <c r="AV153" s="784" t="s">
        <v>5335</v>
      </c>
      <c r="AW153" s="784" t="s">
        <v>5336</v>
      </c>
      <c r="AX153" s="784" t="s">
        <v>5337</v>
      </c>
      <c r="AY153" s="784" t="s">
        <v>5338</v>
      </c>
      <c r="AZ153" t="e">
        <f t="shared" si="155"/>
        <v>#VALUE!</v>
      </c>
      <c r="CX153" s="1723" t="e">
        <f t="shared" si="156"/>
        <v>#VALUE!</v>
      </c>
      <c r="CY153" s="1723" t="str">
        <f t="shared" si="157"/>
        <v/>
      </c>
      <c r="CZ153" s="1723" t="str">
        <f t="shared" si="158"/>
        <v xml:space="preserve"> * Las Embarazadas NO DEBEN ser mayor al Total Mujeres. </v>
      </c>
      <c r="DA153" s="1723" t="e">
        <f t="shared" si="159"/>
        <v>#VALUE!</v>
      </c>
      <c r="DB153" s="1723" t="str">
        <f t="shared" si="160"/>
        <v xml:space="preserve"> * La variable Usuarios con Discapacidad No puede ser mayor al Total.</v>
      </c>
      <c r="DC153" s="1723" t="str">
        <f t="shared" si="161"/>
        <v xml:space="preserve"> * La variable Niños, niñas adolescentes y Jóvenes SENAME No puede ser mayor al Total.</v>
      </c>
      <c r="DD153" s="1723" t="str">
        <f t="shared" si="162"/>
        <v xml:space="preserve"> * La variable Niños, niñas adolescentes y Jóvenes mejor Niñez No puede ser mayor al Total.</v>
      </c>
      <c r="DE153" s="1723" t="str">
        <f t="shared" si="163"/>
        <v xml:space="preserve"> * La variable Migrantes No puede ser mayor al Total.</v>
      </c>
      <c r="DF153"/>
      <c r="DH153" s="1725" t="e">
        <f t="shared" si="164"/>
        <v>#VALUE!</v>
      </c>
      <c r="DI153" s="1725">
        <f t="shared" si="165"/>
        <v>0</v>
      </c>
      <c r="DJ153" s="1725">
        <f t="shared" si="166"/>
        <v>1</v>
      </c>
      <c r="DK153" s="1725" t="e">
        <f t="shared" si="167"/>
        <v>#VALUE!</v>
      </c>
      <c r="DL153" s="1725">
        <f t="shared" si="168"/>
        <v>1</v>
      </c>
      <c r="DM153" s="1725">
        <f t="shared" si="169"/>
        <v>1</v>
      </c>
      <c r="DN153" s="1725">
        <f t="shared" si="170"/>
        <v>1</v>
      </c>
      <c r="DO153" s="1725">
        <f t="shared" si="171"/>
        <v>1</v>
      </c>
    </row>
    <row r="154" spans="1:119" ht="15" customHeight="1" x14ac:dyDescent="0.3">
      <c r="A154" s="6268" t="s">
        <v>5031</v>
      </c>
      <c r="B154" s="7401" t="s">
        <v>836</v>
      </c>
      <c r="C154" s="7401"/>
      <c r="D154" s="7402"/>
      <c r="E154" s="4161" t="s">
        <v>5292</v>
      </c>
      <c r="F154" s="4161" t="s">
        <v>5293</v>
      </c>
      <c r="G154" s="786" t="s">
        <v>5294</v>
      </c>
      <c r="H154" s="114" t="s">
        <v>5295</v>
      </c>
      <c r="I154" s="116" t="s">
        <v>5296</v>
      </c>
      <c r="J154" s="121" t="s">
        <v>5297</v>
      </c>
      <c r="K154" s="116" t="s">
        <v>5298</v>
      </c>
      <c r="L154" s="121" t="s">
        <v>5299</v>
      </c>
      <c r="M154" s="116" t="s">
        <v>5300</v>
      </c>
      <c r="N154" s="121" t="s">
        <v>5301</v>
      </c>
      <c r="O154" s="116" t="s">
        <v>5302</v>
      </c>
      <c r="P154" s="115" t="s">
        <v>5303</v>
      </c>
      <c r="Q154" s="116" t="s">
        <v>5304</v>
      </c>
      <c r="R154" s="115" t="s">
        <v>5305</v>
      </c>
      <c r="S154" s="116" t="s">
        <v>5306</v>
      </c>
      <c r="T154" s="115" t="s">
        <v>5307</v>
      </c>
      <c r="U154" s="116" t="s">
        <v>5308</v>
      </c>
      <c r="V154" s="121" t="s">
        <v>5309</v>
      </c>
      <c r="W154" s="116" t="s">
        <v>5310</v>
      </c>
      <c r="X154" s="121" t="s">
        <v>5311</v>
      </c>
      <c r="Y154" s="116" t="s">
        <v>5312</v>
      </c>
      <c r="Z154" s="121" t="s">
        <v>5313</v>
      </c>
      <c r="AA154" s="116" t="s">
        <v>5314</v>
      </c>
      <c r="AB154" s="121" t="s">
        <v>5315</v>
      </c>
      <c r="AC154" s="116" t="s">
        <v>5316</v>
      </c>
      <c r="AD154" s="121" t="s">
        <v>5317</v>
      </c>
      <c r="AE154" s="116" t="s">
        <v>5318</v>
      </c>
      <c r="AF154" s="121" t="s">
        <v>5319</v>
      </c>
      <c r="AG154" s="116" t="s">
        <v>5320</v>
      </c>
      <c r="AH154" s="121" t="s">
        <v>5321</v>
      </c>
      <c r="AI154" s="116" t="s">
        <v>5322</v>
      </c>
      <c r="AJ154" s="121" t="s">
        <v>5323</v>
      </c>
      <c r="AK154" s="116" t="s">
        <v>5324</v>
      </c>
      <c r="AL154" s="121" t="s">
        <v>5325</v>
      </c>
      <c r="AM154" s="116" t="s">
        <v>5326</v>
      </c>
      <c r="AN154" s="121" t="s">
        <v>5327</v>
      </c>
      <c r="AO154" s="116" t="s">
        <v>5328</v>
      </c>
      <c r="AP154" s="121" t="s">
        <v>5329</v>
      </c>
      <c r="AQ154" s="162" t="s">
        <v>5330</v>
      </c>
      <c r="AR154" s="91" t="s">
        <v>5331</v>
      </c>
      <c r="AS154" s="83" t="s">
        <v>5332</v>
      </c>
      <c r="AT154" s="644" t="s">
        <v>5333</v>
      </c>
      <c r="AU154" s="158" t="s">
        <v>5334</v>
      </c>
      <c r="AV154" s="158" t="s">
        <v>5335</v>
      </c>
      <c r="AW154" s="158" t="s">
        <v>5336</v>
      </c>
      <c r="AX154" s="158" t="s">
        <v>5337</v>
      </c>
      <c r="AY154" s="158" t="s">
        <v>5338</v>
      </c>
      <c r="AZ154" t="e">
        <f t="shared" si="155"/>
        <v>#VALUE!</v>
      </c>
      <c r="CX154" s="1723" t="e">
        <f t="shared" si="156"/>
        <v>#VALUE!</v>
      </c>
      <c r="CY154" s="1723" t="str">
        <f t="shared" si="157"/>
        <v/>
      </c>
      <c r="CZ154" s="1723" t="str">
        <f t="shared" si="158"/>
        <v xml:space="preserve"> * Las Embarazadas NO DEBEN ser mayor al Total Mujeres. </v>
      </c>
      <c r="DA154" s="1723" t="e">
        <f t="shared" si="159"/>
        <v>#VALUE!</v>
      </c>
      <c r="DB154" s="1723" t="str">
        <f t="shared" si="160"/>
        <v xml:space="preserve"> * La variable Usuarios con Discapacidad No puede ser mayor al Total.</v>
      </c>
      <c r="DC154" s="1723" t="str">
        <f t="shared" si="161"/>
        <v xml:space="preserve"> * La variable Niños, niñas adolescentes y Jóvenes SENAME No puede ser mayor al Total.</v>
      </c>
      <c r="DD154" s="1723" t="str">
        <f t="shared" si="162"/>
        <v xml:space="preserve"> * La variable Niños, niñas adolescentes y Jóvenes mejor Niñez No puede ser mayor al Total.</v>
      </c>
      <c r="DE154" s="1723" t="str">
        <f t="shared" si="163"/>
        <v xml:space="preserve"> * La variable Migrantes No puede ser mayor al Total.</v>
      </c>
      <c r="DF154"/>
      <c r="DH154" s="1725" t="e">
        <f t="shared" si="164"/>
        <v>#VALUE!</v>
      </c>
      <c r="DI154" s="1725">
        <f t="shared" si="165"/>
        <v>0</v>
      </c>
      <c r="DJ154" s="1725">
        <f t="shared" si="166"/>
        <v>1</v>
      </c>
      <c r="DK154" s="1725" t="e">
        <f t="shared" si="167"/>
        <v>#VALUE!</v>
      </c>
      <c r="DL154" s="1725">
        <f t="shared" si="168"/>
        <v>1</v>
      </c>
      <c r="DM154" s="1725">
        <f t="shared" si="169"/>
        <v>1</v>
      </c>
      <c r="DN154" s="1725">
        <f t="shared" si="170"/>
        <v>1</v>
      </c>
      <c r="DO154" s="1725">
        <f t="shared" si="171"/>
        <v>1</v>
      </c>
    </row>
    <row r="155" spans="1:119" x14ac:dyDescent="0.3">
      <c r="A155" s="6235"/>
      <c r="B155" s="7296" t="s">
        <v>24</v>
      </c>
      <c r="C155" s="7297"/>
      <c r="D155" s="7306"/>
      <c r="E155" s="4641">
        <f>SUM(E146:E154)</f>
        <v>0</v>
      </c>
      <c r="F155" s="4688">
        <f>SUM(F146:F154)</f>
        <v>0</v>
      </c>
      <c r="G155" s="660">
        <f>SUM(G146:G154)</f>
        <v>0</v>
      </c>
      <c r="H155" s="639">
        <f t="shared" ref="H155:AU155" si="172">SUM(H146:H154)</f>
        <v>0</v>
      </c>
      <c r="I155" s="660">
        <f t="shared" si="172"/>
        <v>0</v>
      </c>
      <c r="J155" s="639">
        <f t="shared" si="172"/>
        <v>0</v>
      </c>
      <c r="K155" s="658">
        <f t="shared" si="172"/>
        <v>0</v>
      </c>
      <c r="L155" s="639">
        <f t="shared" si="172"/>
        <v>0</v>
      </c>
      <c r="M155" s="658">
        <f t="shared" si="172"/>
        <v>0</v>
      </c>
      <c r="N155" s="639">
        <f t="shared" si="172"/>
        <v>0</v>
      </c>
      <c r="O155" s="660">
        <f t="shared" si="172"/>
        <v>0</v>
      </c>
      <c r="P155" s="639">
        <f t="shared" si="172"/>
        <v>0</v>
      </c>
      <c r="Q155" s="660">
        <f t="shared" si="172"/>
        <v>0</v>
      </c>
      <c r="R155" s="639">
        <f t="shared" si="172"/>
        <v>0</v>
      </c>
      <c r="S155" s="660">
        <f t="shared" si="172"/>
        <v>0</v>
      </c>
      <c r="T155" s="639">
        <f t="shared" si="172"/>
        <v>0</v>
      </c>
      <c r="U155" s="660">
        <f t="shared" si="172"/>
        <v>0</v>
      </c>
      <c r="V155" s="639">
        <f t="shared" si="172"/>
        <v>0</v>
      </c>
      <c r="W155" s="660">
        <f t="shared" si="172"/>
        <v>0</v>
      </c>
      <c r="X155" s="639">
        <f t="shared" si="172"/>
        <v>0</v>
      </c>
      <c r="Y155" s="660">
        <f t="shared" si="172"/>
        <v>0</v>
      </c>
      <c r="Z155" s="639">
        <f t="shared" si="172"/>
        <v>0</v>
      </c>
      <c r="AA155" s="660">
        <f t="shared" si="172"/>
        <v>0</v>
      </c>
      <c r="AB155" s="639">
        <f t="shared" si="172"/>
        <v>0</v>
      </c>
      <c r="AC155" s="660">
        <f t="shared" si="172"/>
        <v>0</v>
      </c>
      <c r="AD155" s="639">
        <f t="shared" si="172"/>
        <v>0</v>
      </c>
      <c r="AE155" s="660">
        <f t="shared" si="172"/>
        <v>0</v>
      </c>
      <c r="AF155" s="639">
        <f t="shared" si="172"/>
        <v>0</v>
      </c>
      <c r="AG155" s="660">
        <f t="shared" si="172"/>
        <v>0</v>
      </c>
      <c r="AH155" s="639">
        <f t="shared" si="172"/>
        <v>0</v>
      </c>
      <c r="AI155" s="660">
        <f t="shared" si="172"/>
        <v>0</v>
      </c>
      <c r="AJ155" s="639">
        <f t="shared" si="172"/>
        <v>0</v>
      </c>
      <c r="AK155" s="660">
        <f t="shared" si="172"/>
        <v>0</v>
      </c>
      <c r="AL155" s="639">
        <f t="shared" si="172"/>
        <v>0</v>
      </c>
      <c r="AM155" s="660">
        <f t="shared" si="172"/>
        <v>0</v>
      </c>
      <c r="AN155" s="639">
        <f t="shared" si="172"/>
        <v>0</v>
      </c>
      <c r="AO155" s="660">
        <f t="shared" si="172"/>
        <v>0</v>
      </c>
      <c r="AP155" s="639">
        <f t="shared" si="172"/>
        <v>0</v>
      </c>
      <c r="AQ155" s="859">
        <f t="shared" si="172"/>
        <v>0</v>
      </c>
      <c r="AR155" s="660">
        <f t="shared" si="172"/>
        <v>0</v>
      </c>
      <c r="AS155" s="640">
        <f t="shared" si="172"/>
        <v>0</v>
      </c>
      <c r="AT155" s="660">
        <f t="shared" si="172"/>
        <v>0</v>
      </c>
      <c r="AU155" s="861">
        <f t="shared" si="172"/>
        <v>0</v>
      </c>
      <c r="AV155" s="861">
        <f>SUM(AV146:AV154)</f>
        <v>0</v>
      </c>
      <c r="AW155" s="861">
        <f>SUM(AW146:AW154)</f>
        <v>0</v>
      </c>
      <c r="AX155" s="861">
        <f>SUM(AX146:AX154)</f>
        <v>0</v>
      </c>
      <c r="AY155" s="861">
        <f>SUM(AY146:AY154)</f>
        <v>0</v>
      </c>
      <c r="CX155"/>
      <c r="CY155"/>
      <c r="CZ155"/>
      <c r="DA155"/>
      <c r="DB155"/>
      <c r="DC155"/>
      <c r="DD155"/>
      <c r="DE155"/>
      <c r="DF155"/>
      <c r="DH155"/>
      <c r="DI155"/>
      <c r="DJ155"/>
      <c r="DK155"/>
      <c r="DL155"/>
      <c r="DM155"/>
      <c r="DN155"/>
    </row>
    <row r="156" spans="1:119" ht="18" customHeight="1" x14ac:dyDescent="0.3">
      <c r="B156" s="122" t="s">
        <v>837</v>
      </c>
      <c r="C156" s="793"/>
      <c r="D156" s="793"/>
      <c r="E156" s="793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794"/>
      <c r="S156" s="163"/>
      <c r="T156" s="775"/>
      <c r="U156" s="775"/>
      <c r="V156" s="775"/>
      <c r="W156" s="775"/>
      <c r="X156" s="775"/>
      <c r="Y156" s="140"/>
      <c r="Z156" s="775"/>
      <c r="AA156" s="775"/>
      <c r="AB156" s="775"/>
      <c r="AC156" s="775"/>
      <c r="AD156" s="775"/>
      <c r="AE156" s="775"/>
      <c r="AF156" s="775"/>
      <c r="AG156" s="775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AX156" s="103"/>
      <c r="CX156"/>
      <c r="CY156"/>
      <c r="CZ156"/>
      <c r="DA156"/>
      <c r="DB156"/>
      <c r="DC156"/>
      <c r="DD156"/>
      <c r="DE156"/>
      <c r="DF156"/>
      <c r="DH156"/>
      <c r="DI156"/>
      <c r="DJ156"/>
      <c r="DK156"/>
      <c r="DL156"/>
      <c r="DM156"/>
      <c r="DN156"/>
    </row>
    <row r="157" spans="1:119" x14ac:dyDescent="0.3">
      <c r="B157" s="7223" t="s">
        <v>838</v>
      </c>
      <c r="C157" s="6611"/>
      <c r="D157" s="7226"/>
      <c r="E157" s="7201" t="s">
        <v>24</v>
      </c>
      <c r="F157" s="6341"/>
      <c r="G157" s="7202"/>
      <c r="H157" s="7296" t="s">
        <v>30</v>
      </c>
      <c r="I157" s="7297"/>
      <c r="J157" s="7297"/>
      <c r="K157" s="7297"/>
      <c r="L157" s="7297"/>
      <c r="M157" s="7297"/>
      <c r="N157" s="7297"/>
      <c r="O157" s="7297"/>
      <c r="P157" s="7297"/>
      <c r="Q157" s="7297"/>
      <c r="R157" s="7297"/>
      <c r="S157" s="7297"/>
      <c r="T157" s="7297"/>
      <c r="U157" s="7297"/>
      <c r="V157" s="7297"/>
      <c r="W157" s="7297"/>
      <c r="X157" s="7297"/>
      <c r="Y157" s="7297"/>
      <c r="Z157" s="7297"/>
      <c r="AA157" s="7297"/>
      <c r="AB157" s="7297"/>
      <c r="AC157" s="7297"/>
      <c r="AD157" s="7297"/>
      <c r="AE157" s="7297"/>
      <c r="AF157" s="7297"/>
      <c r="AG157" s="7297"/>
      <c r="AH157" s="7297"/>
      <c r="AI157" s="7297"/>
      <c r="AJ157" s="7297"/>
      <c r="AK157" s="7297"/>
      <c r="AL157" s="7297"/>
      <c r="AM157" s="7297"/>
      <c r="AN157" s="7297"/>
      <c r="AO157" s="7297"/>
      <c r="AP157" s="7297"/>
      <c r="AQ157" s="7306"/>
      <c r="AR157" s="7339" t="s">
        <v>702</v>
      </c>
      <c r="AS157" s="7354" t="s">
        <v>678</v>
      </c>
      <c r="AT157" s="7374" t="s">
        <v>680</v>
      </c>
      <c r="AU157" s="7374" t="s">
        <v>681</v>
      </c>
      <c r="AV157" s="7508" t="s">
        <v>3</v>
      </c>
      <c r="AW157" s="7375" t="s">
        <v>839</v>
      </c>
      <c r="AX157" s="7301" t="s">
        <v>840</v>
      </c>
      <c r="CX157"/>
      <c r="CY157"/>
      <c r="CZ157"/>
      <c r="DA157"/>
      <c r="DB157"/>
      <c r="DC157"/>
      <c r="DD157"/>
      <c r="DE157"/>
      <c r="DF157"/>
      <c r="DH157"/>
      <c r="DI157"/>
      <c r="DJ157"/>
      <c r="DK157"/>
      <c r="DL157"/>
      <c r="DM157"/>
      <c r="DN157"/>
    </row>
    <row r="158" spans="1:119" x14ac:dyDescent="0.3">
      <c r="B158" s="7224"/>
      <c r="C158" s="7283"/>
      <c r="D158" s="7247"/>
      <c r="E158" s="7238"/>
      <c r="F158" s="6344"/>
      <c r="G158" s="7218"/>
      <c r="H158" s="7304" t="s">
        <v>682</v>
      </c>
      <c r="I158" s="7305"/>
      <c r="J158" s="7296" t="s">
        <v>683</v>
      </c>
      <c r="K158" s="7306"/>
      <c r="L158" s="7297" t="s">
        <v>684</v>
      </c>
      <c r="M158" s="7306"/>
      <c r="N158" s="7296" t="s">
        <v>685</v>
      </c>
      <c r="O158" s="7306"/>
      <c r="P158" s="7296" t="s">
        <v>686</v>
      </c>
      <c r="Q158" s="7306"/>
      <c r="R158" s="7296" t="s">
        <v>687</v>
      </c>
      <c r="S158" s="7306"/>
      <c r="T158" s="7296" t="s">
        <v>688</v>
      </c>
      <c r="U158" s="7306"/>
      <c r="V158" s="7296" t="s">
        <v>689</v>
      </c>
      <c r="W158" s="7306"/>
      <c r="X158" s="7296" t="s">
        <v>690</v>
      </c>
      <c r="Y158" s="7306"/>
      <c r="Z158" s="7296" t="s">
        <v>554</v>
      </c>
      <c r="AA158" s="7308"/>
      <c r="AB158" s="7296" t="s">
        <v>568</v>
      </c>
      <c r="AC158" s="7308"/>
      <c r="AD158" s="7409" t="s">
        <v>691</v>
      </c>
      <c r="AE158" s="7410"/>
      <c r="AF158" s="7409" t="s">
        <v>692</v>
      </c>
      <c r="AG158" s="7410"/>
      <c r="AH158" s="7409" t="s">
        <v>693</v>
      </c>
      <c r="AI158" s="7410"/>
      <c r="AJ158" s="7409" t="s">
        <v>694</v>
      </c>
      <c r="AK158" s="7410"/>
      <c r="AL158" s="7296" t="s">
        <v>556</v>
      </c>
      <c r="AM158" s="7308"/>
      <c r="AN158" s="7296" t="s">
        <v>695</v>
      </c>
      <c r="AO158" s="7308"/>
      <c r="AP158" s="7296" t="s">
        <v>57</v>
      </c>
      <c r="AQ158" s="7308"/>
      <c r="AR158" s="6668"/>
      <c r="AS158" s="7407"/>
      <c r="AT158" s="7374"/>
      <c r="AU158" s="7374"/>
      <c r="AV158" s="7509"/>
      <c r="AW158" s="7376"/>
      <c r="AX158" s="7406"/>
      <c r="CX158"/>
      <c r="CY158"/>
      <c r="CZ158"/>
      <c r="DA158"/>
      <c r="DB158"/>
      <c r="DC158"/>
      <c r="DD158"/>
      <c r="DE158"/>
      <c r="DF158"/>
      <c r="DH158"/>
      <c r="DI158"/>
      <c r="DJ158"/>
      <c r="DK158"/>
      <c r="DL158"/>
      <c r="DM158"/>
      <c r="DN158"/>
    </row>
    <row r="159" spans="1:119" ht="35.25" customHeight="1" x14ac:dyDescent="0.3">
      <c r="B159" s="7320"/>
      <c r="C159" s="7292"/>
      <c r="D159" s="7293"/>
      <c r="E159" s="4636" t="s">
        <v>26</v>
      </c>
      <c r="F159" s="4724" t="s">
        <v>22</v>
      </c>
      <c r="G159" s="4704" t="s">
        <v>27</v>
      </c>
      <c r="H159" s="4686" t="s">
        <v>22</v>
      </c>
      <c r="I159" s="597" t="s">
        <v>27</v>
      </c>
      <c r="J159" s="603" t="s">
        <v>22</v>
      </c>
      <c r="K159" s="597" t="s">
        <v>27</v>
      </c>
      <c r="L159" s="603" t="s">
        <v>22</v>
      </c>
      <c r="M159" s="597" t="s">
        <v>27</v>
      </c>
      <c r="N159" s="603" t="s">
        <v>22</v>
      </c>
      <c r="O159" s="597" t="s">
        <v>27</v>
      </c>
      <c r="P159" s="603" t="s">
        <v>22</v>
      </c>
      <c r="Q159" s="597" t="s">
        <v>27</v>
      </c>
      <c r="R159" s="603" t="s">
        <v>22</v>
      </c>
      <c r="S159" s="597" t="s">
        <v>27</v>
      </c>
      <c r="T159" s="603" t="s">
        <v>22</v>
      </c>
      <c r="U159" s="597" t="s">
        <v>27</v>
      </c>
      <c r="V159" s="603" t="s">
        <v>22</v>
      </c>
      <c r="W159" s="597" t="s">
        <v>27</v>
      </c>
      <c r="X159" s="603" t="s">
        <v>22</v>
      </c>
      <c r="Y159" s="597" t="s">
        <v>27</v>
      </c>
      <c r="Z159" s="603" t="s">
        <v>22</v>
      </c>
      <c r="AA159" s="597" t="s">
        <v>27</v>
      </c>
      <c r="AB159" s="603" t="s">
        <v>22</v>
      </c>
      <c r="AC159" s="597" t="s">
        <v>27</v>
      </c>
      <c r="AD159" s="603" t="s">
        <v>22</v>
      </c>
      <c r="AE159" s="597" t="s">
        <v>27</v>
      </c>
      <c r="AF159" s="603" t="s">
        <v>22</v>
      </c>
      <c r="AG159" s="597" t="s">
        <v>27</v>
      </c>
      <c r="AH159" s="603" t="s">
        <v>22</v>
      </c>
      <c r="AI159" s="597" t="s">
        <v>27</v>
      </c>
      <c r="AJ159" s="603" t="s">
        <v>22</v>
      </c>
      <c r="AK159" s="597" t="s">
        <v>27</v>
      </c>
      <c r="AL159" s="603" t="s">
        <v>22</v>
      </c>
      <c r="AM159" s="597" t="s">
        <v>27</v>
      </c>
      <c r="AN159" s="603" t="s">
        <v>22</v>
      </c>
      <c r="AO159" s="597" t="s">
        <v>27</v>
      </c>
      <c r="AP159" s="603" t="s">
        <v>22</v>
      </c>
      <c r="AQ159" s="597" t="s">
        <v>27</v>
      </c>
      <c r="AR159" s="7340"/>
      <c r="AS159" s="7408"/>
      <c r="AT159" s="7374"/>
      <c r="AU159" s="7374"/>
      <c r="AV159" s="7510"/>
      <c r="AW159" s="7377"/>
      <c r="AX159" s="7303"/>
      <c r="CX159"/>
      <c r="CY159"/>
      <c r="CZ159"/>
      <c r="DA159"/>
      <c r="DB159"/>
      <c r="DC159"/>
      <c r="DD159"/>
      <c r="DE159"/>
      <c r="DF159"/>
      <c r="DH159"/>
      <c r="DI159"/>
      <c r="DJ159"/>
      <c r="DK159"/>
      <c r="DL159"/>
      <c r="DM159"/>
      <c r="DN159"/>
    </row>
    <row r="160" spans="1:119" ht="15" customHeight="1" x14ac:dyDescent="0.3">
      <c r="A160" s="6269" t="s">
        <v>5032</v>
      </c>
      <c r="B160" s="7362" t="s">
        <v>841</v>
      </c>
      <c r="C160" s="7411" t="s">
        <v>842</v>
      </c>
      <c r="D160" s="7412"/>
      <c r="E160" s="4699" t="s">
        <v>5292</v>
      </c>
      <c r="F160" s="4725" t="s">
        <v>5293</v>
      </c>
      <c r="G160" s="4718" t="s">
        <v>5294</v>
      </c>
      <c r="H160" s="4717" t="s">
        <v>5295</v>
      </c>
      <c r="I160" s="2820" t="s">
        <v>5296</v>
      </c>
      <c r="J160" s="2820" t="s">
        <v>5297</v>
      </c>
      <c r="K160" s="2820" t="s">
        <v>5298</v>
      </c>
      <c r="L160" s="2820" t="s">
        <v>5299</v>
      </c>
      <c r="M160" s="2820" t="s">
        <v>5300</v>
      </c>
      <c r="N160" s="2820" t="s">
        <v>5301</v>
      </c>
      <c r="O160" s="2820" t="s">
        <v>5302</v>
      </c>
      <c r="P160" s="2820" t="s">
        <v>5303</v>
      </c>
      <c r="Q160" s="2820" t="s">
        <v>5304</v>
      </c>
      <c r="R160" s="2820" t="s">
        <v>5305</v>
      </c>
      <c r="S160" s="2820" t="s">
        <v>5306</v>
      </c>
      <c r="T160" s="2820" t="s">
        <v>5307</v>
      </c>
      <c r="U160" s="2820" t="s">
        <v>5308</v>
      </c>
      <c r="V160" s="2820" t="s">
        <v>5309</v>
      </c>
      <c r="W160" s="2820" t="s">
        <v>5310</v>
      </c>
      <c r="X160" s="2820" t="s">
        <v>5311</v>
      </c>
      <c r="Y160" s="2820" t="s">
        <v>5312</v>
      </c>
      <c r="Z160" s="2820" t="s">
        <v>5313</v>
      </c>
      <c r="AA160" s="2820" t="s">
        <v>5314</v>
      </c>
      <c r="AB160" s="2820" t="s">
        <v>5315</v>
      </c>
      <c r="AC160" s="2820" t="s">
        <v>5316</v>
      </c>
      <c r="AD160" s="1394" t="s">
        <v>5317</v>
      </c>
      <c r="AE160" s="185" t="s">
        <v>5318</v>
      </c>
      <c r="AF160" s="4711" t="s">
        <v>5319</v>
      </c>
      <c r="AG160" s="185" t="s">
        <v>5320</v>
      </c>
      <c r="AH160" s="4711" t="s">
        <v>5321</v>
      </c>
      <c r="AI160" s="185" t="s">
        <v>5322</v>
      </c>
      <c r="AJ160" s="4711" t="s">
        <v>5323</v>
      </c>
      <c r="AK160" s="185" t="s">
        <v>5324</v>
      </c>
      <c r="AL160" s="4711" t="s">
        <v>5325</v>
      </c>
      <c r="AM160" s="185" t="s">
        <v>5326</v>
      </c>
      <c r="AN160" s="4711" t="s">
        <v>5327</v>
      </c>
      <c r="AO160" s="185" t="s">
        <v>5328</v>
      </c>
      <c r="AP160" s="4711" t="s">
        <v>5329</v>
      </c>
      <c r="AQ160" s="185" t="s">
        <v>5330</v>
      </c>
      <c r="AR160" s="615" t="s">
        <v>5331</v>
      </c>
      <c r="AS160" s="185" t="s">
        <v>5332</v>
      </c>
      <c r="AT160" s="499" t="s">
        <v>5333</v>
      </c>
      <c r="AU160" s="499" t="s">
        <v>5334</v>
      </c>
      <c r="AV160" s="498" t="s">
        <v>5335</v>
      </c>
      <c r="AW160" s="863" t="s">
        <v>5336</v>
      </c>
      <c r="AX160" s="863" t="s">
        <v>5337</v>
      </c>
      <c r="AY160" t="str">
        <f>CX160&amp;CX160&amp;CY160&amp;CZ160&amp;DA160&amp;DB160&amp;DC160&amp;DD160</f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</v>
      </c>
      <c r="CX160"/>
      <c r="CY160" s="1723" t="str">
        <f>IF(AND(E160&gt;0,AS160=""),"  * No olvide digitar la variable  Usuarios con Discapacidad. Digite Cero si no tiene.",IF(AS160&gt;E160," * La variable Usuarios con Discapacidad no pueden superar el Total Ambos Sexos.",""))</f>
        <v xml:space="preserve"> * La variable Usuarios con Discapacidad no pueden superar el Total Ambos Sexos.</v>
      </c>
      <c r="CZ160" s="1723" t="str">
        <f>IF(AND(E160&gt;0,AT160=""),"  * No olvide digitar la variable Niños, niñas, adolescentes y jóvenes SENAME. Digite Cero si no tiene.",IF(AT160&gt;E160," * La variable Niños, niñas, adolescentes y jóvenes SENAME no pueden superar el Total Ambos Sexos.",""))</f>
        <v xml:space="preserve"> * La variable Niños, niñas, adolescentes y jóvenes SENAME no pueden superar el Total Ambos Sexos.</v>
      </c>
      <c r="DA160" s="1723" t="str">
        <f>IF(AND(E160&gt;0,AU160=""),"  * No olvide digitar la variable Niños, niñas, adolescentes y jóvenes Mejor Niñez. Digite Cero si no tiene.",IF(AU160&gt;E160," * La variable Niños, niñas, adolescentes y jóvenes Mejor Niñez  no pueden superar el Total Ambos Sexos.",""))</f>
        <v xml:space="preserve"> * La variable Niños, niñas, adolescentes y jóvenes Mejor Niñez  no pueden superar el Total Ambos Sexos.</v>
      </c>
      <c r="DB160" s="1723" t="str">
        <f>IF(AND(E160&gt;0,AV160=""),"  * No olvide digitar la variable Migrantes. Digite Cero si no tiene.",IF(AV160&gt;E160," * La variable Migrantes no pueden superar el Total Ambos Sexos.",""))</f>
        <v xml:space="preserve"> * La variable Migrantes no pueden superar el Total Ambos Sexos.</v>
      </c>
      <c r="DC160" s="5834"/>
      <c r="DD160" s="5834"/>
      <c r="DE160"/>
      <c r="DF160"/>
      <c r="DH160"/>
      <c r="DI160" s="1725">
        <f>IF(AND(E160&gt;0,AS160=""),1,IF(AS160&gt;E160,1,0))</f>
        <v>1</v>
      </c>
      <c r="DJ160" s="1725">
        <f>IF(AND(E160&gt;0,AT160=""),1,IF(AT160&gt;E160,1,0))</f>
        <v>1</v>
      </c>
      <c r="DK160" s="1725">
        <f>IF(AND(E160&gt;0,AU160=""),1,IF(AU160&gt;E160,1,0))</f>
        <v>1</v>
      </c>
      <c r="DL160" s="1725">
        <f>IF(AND(E160&gt;0,AV160=""),1,IF(AV160&gt;E160,1,0))</f>
        <v>1</v>
      </c>
      <c r="DM160" s="5834"/>
      <c r="DN160" s="5834"/>
    </row>
    <row r="161" spans="1:118" ht="15" customHeight="1" x14ac:dyDescent="0.3">
      <c r="A161" s="6269" t="s">
        <v>5033</v>
      </c>
      <c r="B161" s="7267"/>
      <c r="C161" s="7398" t="s">
        <v>751</v>
      </c>
      <c r="D161" s="7400"/>
      <c r="E161" s="954" t="s">
        <v>5292</v>
      </c>
      <c r="F161" s="4726" t="s">
        <v>5293</v>
      </c>
      <c r="G161" s="4719" t="s">
        <v>5294</v>
      </c>
      <c r="H161" s="4191" t="s">
        <v>5295</v>
      </c>
      <c r="I161" s="3052" t="s">
        <v>5296</v>
      </c>
      <c r="J161" s="3052" t="s">
        <v>5297</v>
      </c>
      <c r="K161" s="3052" t="s">
        <v>5298</v>
      </c>
      <c r="L161" s="3052" t="s">
        <v>5299</v>
      </c>
      <c r="M161" s="3052" t="s">
        <v>5300</v>
      </c>
      <c r="N161" s="3052" t="s">
        <v>5301</v>
      </c>
      <c r="O161" s="3052" t="s">
        <v>5302</v>
      </c>
      <c r="P161" s="3052" t="s">
        <v>5303</v>
      </c>
      <c r="Q161" s="3052" t="s">
        <v>5304</v>
      </c>
      <c r="R161" s="3052" t="s">
        <v>5305</v>
      </c>
      <c r="S161" s="3052" t="s">
        <v>5306</v>
      </c>
      <c r="T161" s="3052" t="s">
        <v>5307</v>
      </c>
      <c r="U161" s="3052" t="s">
        <v>5308</v>
      </c>
      <c r="V161" s="3052" t="s">
        <v>5309</v>
      </c>
      <c r="W161" s="3052" t="s">
        <v>5310</v>
      </c>
      <c r="X161" s="3052" t="s">
        <v>5311</v>
      </c>
      <c r="Y161" s="3052" t="s">
        <v>5312</v>
      </c>
      <c r="Z161" s="3052" t="s">
        <v>5313</v>
      </c>
      <c r="AA161" s="3052" t="s">
        <v>5314</v>
      </c>
      <c r="AB161" s="3052" t="s">
        <v>5315</v>
      </c>
      <c r="AC161" s="3052" t="s">
        <v>5316</v>
      </c>
      <c r="AD161" s="4705" t="s">
        <v>5317</v>
      </c>
      <c r="AE161" s="587" t="s">
        <v>5318</v>
      </c>
      <c r="AF161" s="1964" t="s">
        <v>5319</v>
      </c>
      <c r="AG161" s="587" t="s">
        <v>5320</v>
      </c>
      <c r="AH161" s="1964" t="s">
        <v>5321</v>
      </c>
      <c r="AI161" s="587" t="s">
        <v>5322</v>
      </c>
      <c r="AJ161" s="1964" t="s">
        <v>5323</v>
      </c>
      <c r="AK161" s="587" t="s">
        <v>5324</v>
      </c>
      <c r="AL161" s="1964" t="s">
        <v>5325</v>
      </c>
      <c r="AM161" s="587" t="s">
        <v>5326</v>
      </c>
      <c r="AN161" s="1964" t="s">
        <v>5327</v>
      </c>
      <c r="AO161" s="587" t="s">
        <v>5328</v>
      </c>
      <c r="AP161" s="1964" t="s">
        <v>5329</v>
      </c>
      <c r="AQ161" s="587" t="s">
        <v>5330</v>
      </c>
      <c r="AR161" s="768" t="s">
        <v>5331</v>
      </c>
      <c r="AS161" s="587" t="s">
        <v>5332</v>
      </c>
      <c r="AT161" s="105" t="s">
        <v>5333</v>
      </c>
      <c r="AU161" s="105" t="s">
        <v>5334</v>
      </c>
      <c r="AV161" s="644" t="s">
        <v>5335</v>
      </c>
      <c r="AW161" s="864" t="s">
        <v>5336</v>
      </c>
      <c r="AX161" s="784" t="s">
        <v>5337</v>
      </c>
      <c r="AY161" t="str">
        <f t="shared" ref="AY161:AY163" si="173">CX161&amp;CX161&amp;CY161&amp;CZ161&amp;DA161&amp;DB161&amp;DC161&amp;DD161</f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61"/>
      <c r="CY161" s="1723" t="str">
        <f t="shared" ref="CY161:CY163" si="174">IF(AND(E161&gt;0,AS161=""),"  * No olvide digitar la variable  Usuarios con Discapacidad. Digite Cero si no tiene.",IF(AS161&gt;E161," * La variable Usuarios con Discapacidad no pueden superar el Total Ambos Sexos.",""))</f>
        <v xml:space="preserve"> * La variable Usuarios con Discapacidad no pueden superar el Total Ambos Sexos.</v>
      </c>
      <c r="CZ161" s="1723" t="str">
        <f t="shared" ref="CZ161:CZ163" si="175">IF(AND(E161&gt;0,AT161=""),"  * No olvide digitar la variable Niños, niñas, adolescentes y jóvenes SENAME. Digite Cero si no tiene.",IF(AT161&gt;E161," * La variable Niños, niñas, adolescentes y jóvenes SENAME no pueden superar el Total Ambos Sexos.",""))</f>
        <v xml:space="preserve"> * La variable Niños, niñas, adolescentes y jóvenes SENAME no pueden superar el Total Ambos Sexos.</v>
      </c>
      <c r="DA161" s="1723" t="str">
        <f t="shared" ref="DA161:DA163" si="176">IF(AND(E161&gt;0,AU161=""),"  * No olvide digitar la variable Niños, niñas, adolescentes y jóvenes Mejor Niñez. Digite Cero si no tiene.",IF(AU161&gt;E161," * La variable Niños, niñas, adolescentes y jóvenes Mejor Niñez  no pueden superar el Total Ambos Sexos.",""))</f>
        <v xml:space="preserve"> * La variable Niños, niñas, adolescentes y jóvenes Mejor Niñez  no pueden superar el Total Ambos Sexos.</v>
      </c>
      <c r="DB161" s="1723" t="str">
        <f t="shared" ref="DB161:DB163" si="177">IF(AND(E161&gt;0,AV161=""),"  * No olvide digitar la variable Migrantes. Digite Cero si no tiene.",IF(AV161&gt;E161," * La variable Migrantes no pueden superar el Total Ambos Sexos.",""))</f>
        <v xml:space="preserve"> * La variable Migrantes no pueden superar el Total Ambos Sexos.</v>
      </c>
      <c r="DC161" s="5834"/>
      <c r="DD161" s="1723" t="str">
        <f>IF(AND(E161&gt;0,AX161=""),"  * No olvide digitar la variable Paciente Diabético en control PSCV. Digite Cero si no tiene.",IF(AX161&gt;E161," * La variable Paciente Diabético en control PSCV no pueden superar el Total Ambos Sexos.",""))</f>
        <v xml:space="preserve"> * La variable Paciente Diabético en control PSCV no pueden superar el Total Ambos Sexos.</v>
      </c>
      <c r="DE161"/>
      <c r="DF161"/>
      <c r="DH161"/>
      <c r="DI161" s="1725">
        <f t="shared" ref="DI161:DI163" si="178">IF(AND(E161&gt;0,AS161=""),1,IF(AS161&gt;E161,1,0))</f>
        <v>1</v>
      </c>
      <c r="DJ161" s="1725">
        <f t="shared" ref="DJ161:DJ163" si="179">IF(AND(E161&gt;0,AT161=""),1,IF(AT161&gt;E161,1,0))</f>
        <v>1</v>
      </c>
      <c r="DK161" s="1725">
        <f t="shared" ref="DK161:DK163" si="180">IF(AND(E161&gt;0,AU161=""),1,IF(AU161&gt;E161,1,0))</f>
        <v>1</v>
      </c>
      <c r="DL161" s="1725">
        <f t="shared" ref="DL161:DL163" si="181">IF(AND(E161&gt;0,AV161=""),1,IF(AV161&gt;E161,1,0))</f>
        <v>1</v>
      </c>
      <c r="DM161" s="5834"/>
      <c r="DN161" s="1725">
        <f>IF(AND(E161&gt;0,AX161=""),1,IF(AX161&gt;E161,1,0))</f>
        <v>1</v>
      </c>
    </row>
    <row r="162" spans="1:118" ht="15" customHeight="1" x14ac:dyDescent="0.3">
      <c r="A162" s="6269" t="s">
        <v>5034</v>
      </c>
      <c r="B162" s="7267"/>
      <c r="C162" s="7413" t="s">
        <v>749</v>
      </c>
      <c r="D162" s="7237"/>
      <c r="E162" s="954" t="s">
        <v>5292</v>
      </c>
      <c r="F162" s="4726" t="s">
        <v>5293</v>
      </c>
      <c r="G162" s="4719" t="s">
        <v>5294</v>
      </c>
      <c r="H162" s="4191" t="s">
        <v>5295</v>
      </c>
      <c r="I162" s="3052" t="s">
        <v>5296</v>
      </c>
      <c r="J162" s="3052" t="s">
        <v>5297</v>
      </c>
      <c r="K162" s="3052" t="s">
        <v>5298</v>
      </c>
      <c r="L162" s="3052" t="s">
        <v>5299</v>
      </c>
      <c r="M162" s="3052" t="s">
        <v>5300</v>
      </c>
      <c r="N162" s="3052" t="s">
        <v>5301</v>
      </c>
      <c r="O162" s="3052" t="s">
        <v>5302</v>
      </c>
      <c r="P162" s="3052" t="s">
        <v>5303</v>
      </c>
      <c r="Q162" s="3052" t="s">
        <v>5304</v>
      </c>
      <c r="R162" s="3052" t="s">
        <v>5305</v>
      </c>
      <c r="S162" s="3052" t="s">
        <v>5306</v>
      </c>
      <c r="T162" s="3052" t="s">
        <v>5307</v>
      </c>
      <c r="U162" s="3052" t="s">
        <v>5308</v>
      </c>
      <c r="V162" s="3052" t="s">
        <v>5309</v>
      </c>
      <c r="W162" s="3052" t="s">
        <v>5310</v>
      </c>
      <c r="X162" s="3052" t="s">
        <v>5311</v>
      </c>
      <c r="Y162" s="3052" t="s">
        <v>5312</v>
      </c>
      <c r="Z162" s="3052" t="s">
        <v>5313</v>
      </c>
      <c r="AA162" s="3052" t="s">
        <v>5314</v>
      </c>
      <c r="AB162" s="3052" t="s">
        <v>5315</v>
      </c>
      <c r="AC162" s="3052" t="s">
        <v>5316</v>
      </c>
      <c r="AD162" s="4705" t="s">
        <v>5317</v>
      </c>
      <c r="AE162" s="566" t="s">
        <v>5318</v>
      </c>
      <c r="AF162" s="1964" t="s">
        <v>5319</v>
      </c>
      <c r="AG162" s="566" t="s">
        <v>5320</v>
      </c>
      <c r="AH162" s="1964" t="s">
        <v>5321</v>
      </c>
      <c r="AI162" s="566" t="s">
        <v>5322</v>
      </c>
      <c r="AJ162" s="1964" t="s">
        <v>5323</v>
      </c>
      <c r="AK162" s="566" t="s">
        <v>5324</v>
      </c>
      <c r="AL162" s="1964" t="s">
        <v>5325</v>
      </c>
      <c r="AM162" s="566" t="s">
        <v>5326</v>
      </c>
      <c r="AN162" s="1964" t="s">
        <v>5327</v>
      </c>
      <c r="AO162" s="566" t="s">
        <v>5328</v>
      </c>
      <c r="AP162" s="1964" t="s">
        <v>5329</v>
      </c>
      <c r="AQ162" s="566" t="s">
        <v>5330</v>
      </c>
      <c r="AR162" s="618" t="s">
        <v>5331</v>
      </c>
      <c r="AS162" s="626" t="s">
        <v>5332</v>
      </c>
      <c r="AT162" s="83" t="s">
        <v>5333</v>
      </c>
      <c r="AU162" s="83" t="s">
        <v>5334</v>
      </c>
      <c r="AV162" s="644" t="s">
        <v>5335</v>
      </c>
      <c r="AW162" s="865" t="s">
        <v>5336</v>
      </c>
      <c r="AX162" s="333" t="s">
        <v>5337</v>
      </c>
      <c r="AY162" t="str">
        <f t="shared" si="173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62"/>
      <c r="CY162" s="1723" t="str">
        <f t="shared" si="174"/>
        <v xml:space="preserve"> * La variable Usuarios con Discapacidad no pueden superar el Total Ambos Sexos.</v>
      </c>
      <c r="CZ162" s="1723" t="str">
        <f t="shared" si="175"/>
        <v xml:space="preserve"> * La variable Niños, niñas, adolescentes y jóvenes SENAME no pueden superar el Total Ambos Sexos.</v>
      </c>
      <c r="DA162" s="1723" t="str">
        <f t="shared" si="176"/>
        <v xml:space="preserve"> * La variable Niños, niñas, adolescentes y jóvenes Mejor Niñez  no pueden superar el Total Ambos Sexos.</v>
      </c>
      <c r="DB162" s="1723" t="str">
        <f t="shared" si="177"/>
        <v xml:space="preserve"> * La variable Migrantes no pueden superar el Total Ambos Sexos.</v>
      </c>
      <c r="DC162" s="5834"/>
      <c r="DD162" s="1723" t="str">
        <f>IF(AND(E162&gt;0,AX162=""),"  * No olvide digitar la variable Paciente Diabético en control PSCV. Digite Cero si no tiene.",IF(AX162&gt;E162," * La variable Paciente Diabético en control PSCV no pueden superar el Total Ambos Sexos.",""))</f>
        <v xml:space="preserve"> * La variable Paciente Diabético en control PSCV no pueden superar el Total Ambos Sexos.</v>
      </c>
      <c r="DE162"/>
      <c r="DF162"/>
      <c r="DH162"/>
      <c r="DI162" s="1725">
        <f t="shared" si="178"/>
        <v>1</v>
      </c>
      <c r="DJ162" s="1725">
        <f t="shared" si="179"/>
        <v>1</v>
      </c>
      <c r="DK162" s="1725">
        <f t="shared" si="180"/>
        <v>1</v>
      </c>
      <c r="DL162" s="1725">
        <f t="shared" si="181"/>
        <v>1</v>
      </c>
      <c r="DM162" s="5834"/>
      <c r="DN162" s="1725">
        <f>IF(AND(E162&gt;0,AX162=""),1,IF(AX162&gt;E162,1,0))</f>
        <v>1</v>
      </c>
    </row>
    <row r="163" spans="1:118" ht="15" customHeight="1" x14ac:dyDescent="0.3">
      <c r="A163" s="6269" t="s">
        <v>5035</v>
      </c>
      <c r="B163" s="7267"/>
      <c r="C163" s="7334" t="s">
        <v>807</v>
      </c>
      <c r="D163" s="7336"/>
      <c r="E163" s="4700" t="s">
        <v>5292</v>
      </c>
      <c r="F163" s="4726" t="s">
        <v>5293</v>
      </c>
      <c r="G163" s="1949" t="s">
        <v>5294</v>
      </c>
      <c r="H163" s="4191" t="s">
        <v>5295</v>
      </c>
      <c r="I163" s="3052" t="s">
        <v>5296</v>
      </c>
      <c r="J163" s="3052" t="s">
        <v>5297</v>
      </c>
      <c r="K163" s="3052" t="s">
        <v>5298</v>
      </c>
      <c r="L163" s="3052" t="s">
        <v>5299</v>
      </c>
      <c r="M163" s="3052" t="s">
        <v>5300</v>
      </c>
      <c r="N163" s="3052" t="s">
        <v>5301</v>
      </c>
      <c r="O163" s="3052" t="s">
        <v>5302</v>
      </c>
      <c r="P163" s="3052" t="s">
        <v>5303</v>
      </c>
      <c r="Q163" s="3052" t="s">
        <v>5304</v>
      </c>
      <c r="R163" s="3052" t="s">
        <v>5305</v>
      </c>
      <c r="S163" s="3052" t="s">
        <v>5306</v>
      </c>
      <c r="T163" s="3052" t="s">
        <v>5307</v>
      </c>
      <c r="U163" s="3052" t="s">
        <v>5308</v>
      </c>
      <c r="V163" s="3052" t="s">
        <v>5309</v>
      </c>
      <c r="W163" s="3052" t="s">
        <v>5310</v>
      </c>
      <c r="X163" s="3052" t="s">
        <v>5311</v>
      </c>
      <c r="Y163" s="3052" t="s">
        <v>5312</v>
      </c>
      <c r="Z163" s="3052" t="s">
        <v>5313</v>
      </c>
      <c r="AA163" s="3052" t="s">
        <v>5314</v>
      </c>
      <c r="AB163" s="3052" t="s">
        <v>5315</v>
      </c>
      <c r="AC163" s="3052" t="s">
        <v>5316</v>
      </c>
      <c r="AD163" s="4705" t="s">
        <v>5317</v>
      </c>
      <c r="AE163" s="116" t="s">
        <v>5318</v>
      </c>
      <c r="AF163" s="1964" t="s">
        <v>5319</v>
      </c>
      <c r="AG163" s="116" t="s">
        <v>5320</v>
      </c>
      <c r="AH163" s="1964" t="s">
        <v>5321</v>
      </c>
      <c r="AI163" s="116" t="s">
        <v>5322</v>
      </c>
      <c r="AJ163" s="1964" t="s">
        <v>5323</v>
      </c>
      <c r="AK163" s="116" t="s">
        <v>5324</v>
      </c>
      <c r="AL163" s="1964" t="s">
        <v>5325</v>
      </c>
      <c r="AM163" s="116" t="s">
        <v>5326</v>
      </c>
      <c r="AN163" s="1964" t="s">
        <v>5327</v>
      </c>
      <c r="AO163" s="116" t="s">
        <v>5328</v>
      </c>
      <c r="AP163" s="1964" t="s">
        <v>5329</v>
      </c>
      <c r="AQ163" s="116" t="s">
        <v>5330</v>
      </c>
      <c r="AR163" s="771" t="s">
        <v>5331</v>
      </c>
      <c r="AS163" s="116" t="s">
        <v>5332</v>
      </c>
      <c r="AT163" s="117" t="s">
        <v>5333</v>
      </c>
      <c r="AU163" s="117" t="s">
        <v>5334</v>
      </c>
      <c r="AV163" s="153" t="s">
        <v>5335</v>
      </c>
      <c r="AW163" s="867" t="s">
        <v>5336</v>
      </c>
      <c r="AX163" s="867" t="s">
        <v>5337</v>
      </c>
      <c r="AY163" t="str">
        <f t="shared" si="173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</v>
      </c>
      <c r="CX163"/>
      <c r="CY163" s="1723" t="str">
        <f t="shared" si="174"/>
        <v xml:space="preserve"> * La variable Usuarios con Discapacidad no pueden superar el Total Ambos Sexos.</v>
      </c>
      <c r="CZ163" s="1723" t="str">
        <f t="shared" si="175"/>
        <v xml:space="preserve"> * La variable Niños, niñas, adolescentes y jóvenes SENAME no pueden superar el Total Ambos Sexos.</v>
      </c>
      <c r="DA163" s="1723" t="str">
        <f t="shared" si="176"/>
        <v xml:space="preserve"> * La variable Niños, niñas, adolescentes y jóvenes Mejor Niñez  no pueden superar el Total Ambos Sexos.</v>
      </c>
      <c r="DB163" s="1723" t="str">
        <f t="shared" si="177"/>
        <v xml:space="preserve"> * La variable Migrantes no pueden superar el Total Ambos Sexos.</v>
      </c>
      <c r="DC163" s="5834"/>
      <c r="DD163" s="5834"/>
      <c r="DE163"/>
      <c r="DF163"/>
      <c r="DH163"/>
      <c r="DI163" s="1725">
        <f t="shared" si="178"/>
        <v>1</v>
      </c>
      <c r="DJ163" s="1725">
        <f t="shared" si="179"/>
        <v>1</v>
      </c>
      <c r="DK163" s="1725">
        <f t="shared" si="180"/>
        <v>1</v>
      </c>
      <c r="DL163" s="1725">
        <f t="shared" si="181"/>
        <v>1</v>
      </c>
      <c r="DM163" s="5834"/>
      <c r="DN163" s="5834"/>
    </row>
    <row r="164" spans="1:118" ht="15" customHeight="1" x14ac:dyDescent="0.3">
      <c r="A164" s="6238"/>
      <c r="B164" s="7267"/>
      <c r="C164" s="7362" t="s">
        <v>843</v>
      </c>
      <c r="D164" s="572" t="s">
        <v>24</v>
      </c>
      <c r="E164" s="4701">
        <v>0</v>
      </c>
      <c r="F164" s="4726"/>
      <c r="G164" s="4720">
        <v>0</v>
      </c>
      <c r="H164" s="4191"/>
      <c r="I164" s="3052"/>
      <c r="J164" s="3052"/>
      <c r="K164" s="3052"/>
      <c r="L164" s="3052"/>
      <c r="M164" s="3052"/>
      <c r="N164" s="3052"/>
      <c r="O164" s="3052"/>
      <c r="P164" s="3052"/>
      <c r="Q164" s="3052"/>
      <c r="R164" s="3052"/>
      <c r="S164" s="3052"/>
      <c r="T164" s="3052"/>
      <c r="U164" s="3052"/>
      <c r="V164" s="3052"/>
      <c r="W164" s="3052"/>
      <c r="X164" s="3052"/>
      <c r="Y164" s="3052"/>
      <c r="Z164" s="3052"/>
      <c r="AA164" s="3052"/>
      <c r="AB164" s="3052"/>
      <c r="AC164" s="3052"/>
      <c r="AD164" s="4705"/>
      <c r="AE164" s="577">
        <v>0</v>
      </c>
      <c r="AF164" s="1964"/>
      <c r="AG164" s="577">
        <v>0</v>
      </c>
      <c r="AH164" s="1964"/>
      <c r="AI164" s="577">
        <v>0</v>
      </c>
      <c r="AJ164" s="1964"/>
      <c r="AK164" s="577">
        <v>0</v>
      </c>
      <c r="AL164" s="1964"/>
      <c r="AM164" s="577">
        <v>0</v>
      </c>
      <c r="AN164" s="1964"/>
      <c r="AO164" s="577">
        <v>0</v>
      </c>
      <c r="AP164" s="1964"/>
      <c r="AQ164" s="577">
        <v>0</v>
      </c>
      <c r="AR164" s="765">
        <v>0</v>
      </c>
      <c r="AS164" s="577">
        <v>0</v>
      </c>
      <c r="AT164" s="575">
        <v>0</v>
      </c>
      <c r="AU164" s="575">
        <v>0</v>
      </c>
      <c r="AV164" s="575">
        <v>0</v>
      </c>
      <c r="AW164" s="585">
        <v>0</v>
      </c>
      <c r="AX164" s="575">
        <v>0</v>
      </c>
      <c r="CX164"/>
      <c r="CY164"/>
      <c r="CZ164"/>
      <c r="DA164"/>
      <c r="DB164" s="112"/>
      <c r="DC164"/>
      <c r="DD164"/>
      <c r="DE164"/>
      <c r="DF164"/>
      <c r="DH164"/>
      <c r="DI164"/>
      <c r="DJ164"/>
      <c r="DK164"/>
      <c r="DL164"/>
      <c r="DM164"/>
      <c r="DN164"/>
    </row>
    <row r="165" spans="1:118" ht="15" customHeight="1" x14ac:dyDescent="0.3">
      <c r="A165" s="6269" t="s">
        <v>5036</v>
      </c>
      <c r="B165" s="7267"/>
      <c r="C165" s="7267"/>
      <c r="D165" s="766" t="s">
        <v>844</v>
      </c>
      <c r="E165" s="907" t="s">
        <v>5292</v>
      </c>
      <c r="F165" s="4726" t="s">
        <v>5293</v>
      </c>
      <c r="G165" s="4721" t="s">
        <v>5294</v>
      </c>
      <c r="H165" s="4191" t="s">
        <v>5295</v>
      </c>
      <c r="I165" s="3052" t="s">
        <v>5296</v>
      </c>
      <c r="J165" s="3052" t="s">
        <v>5297</v>
      </c>
      <c r="K165" s="3052" t="s">
        <v>5298</v>
      </c>
      <c r="L165" s="3052" t="s">
        <v>5299</v>
      </c>
      <c r="M165" s="3052" t="s">
        <v>5300</v>
      </c>
      <c r="N165" s="3052" t="s">
        <v>5301</v>
      </c>
      <c r="O165" s="3052" t="s">
        <v>5302</v>
      </c>
      <c r="P165" s="3052" t="s">
        <v>5303</v>
      </c>
      <c r="Q165" s="3052" t="s">
        <v>5304</v>
      </c>
      <c r="R165" s="3052" t="s">
        <v>5305</v>
      </c>
      <c r="S165" s="3052" t="s">
        <v>5306</v>
      </c>
      <c r="T165" s="3052" t="s">
        <v>5307</v>
      </c>
      <c r="U165" s="3052" t="s">
        <v>5308</v>
      </c>
      <c r="V165" s="3052" t="s">
        <v>5309</v>
      </c>
      <c r="W165" s="3052" t="s">
        <v>5310</v>
      </c>
      <c r="X165" s="3052" t="s">
        <v>5311</v>
      </c>
      <c r="Y165" s="3052" t="s">
        <v>5312</v>
      </c>
      <c r="Z165" s="3052" t="s">
        <v>5313</v>
      </c>
      <c r="AA165" s="3052" t="s">
        <v>5314</v>
      </c>
      <c r="AB165" s="3052" t="s">
        <v>5315</v>
      </c>
      <c r="AC165" s="3052" t="s">
        <v>5316</v>
      </c>
      <c r="AD165" s="4705" t="s">
        <v>5317</v>
      </c>
      <c r="AE165" s="587" t="s">
        <v>5318</v>
      </c>
      <c r="AF165" s="1964" t="s">
        <v>5319</v>
      </c>
      <c r="AG165" s="587" t="s">
        <v>5320</v>
      </c>
      <c r="AH165" s="1964" t="s">
        <v>5321</v>
      </c>
      <c r="AI165" s="587" t="s">
        <v>5322</v>
      </c>
      <c r="AJ165" s="1964" t="s">
        <v>5323</v>
      </c>
      <c r="AK165" s="587" t="s">
        <v>5324</v>
      </c>
      <c r="AL165" s="1964" t="s">
        <v>5325</v>
      </c>
      <c r="AM165" s="587" t="s">
        <v>5326</v>
      </c>
      <c r="AN165" s="1964" t="s">
        <v>5327</v>
      </c>
      <c r="AO165" s="587" t="s">
        <v>5328</v>
      </c>
      <c r="AP165" s="1964" t="s">
        <v>5329</v>
      </c>
      <c r="AQ165" s="587" t="s">
        <v>5330</v>
      </c>
      <c r="AR165" s="768" t="s">
        <v>5331</v>
      </c>
      <c r="AS165" s="587" t="s">
        <v>5332</v>
      </c>
      <c r="AT165" s="105" t="s">
        <v>5333</v>
      </c>
      <c r="AU165" s="105" t="s">
        <v>5334</v>
      </c>
      <c r="AV165" s="105" t="s">
        <v>5335</v>
      </c>
      <c r="AW165" s="784" t="s">
        <v>5336</v>
      </c>
      <c r="AX165" s="105" t="s">
        <v>5337</v>
      </c>
      <c r="AY165" t="str">
        <f t="shared" ref="AY165:AY196" si="182">CX165&amp;CY165&amp;CZ165&amp;DA165&amp;DB165&amp;DC165&amp;DD165&amp;DE165&amp;DF165</f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65"/>
      <c r="CY165" s="1723" t="str">
        <f t="shared" ref="CY165:CY175" si="183">IF(AND(E165&gt;0,AS165=""),"  * No olvide digitar la variable  Usuarios con Discapacidad. Digite Cero si no tiene.",IF(AS165&gt;E165," * La variable Usuarios con Discapacidad no pueden superar el Total Ambos Sexos.",""))</f>
        <v xml:space="preserve"> * La variable Usuarios con Discapacidad no pueden superar el Total Ambos Sexos.</v>
      </c>
      <c r="CZ165" s="1723" t="str">
        <f t="shared" ref="CZ165:CZ175" si="184">IF(AND(E165&gt;0,AT165=""),"  * No olvide digitar la variable Niños, niñas, adolescentes y jóvenes SENAME. Digite Cero si no tiene.",IF(AT165&gt;E165," * La variable Niños, niñas, adolescentes y jóvenes SENAME no pueden superar el Total Ambos Sexos.",""))</f>
        <v xml:space="preserve"> * La variable Niños, niñas, adolescentes y jóvenes SENAME no pueden superar el Total Ambos Sexos.</v>
      </c>
      <c r="DA165" s="1723" t="str">
        <f t="shared" ref="DA165:DA175" si="185">IF(AND(E165&gt;0,AU165=""),"  * No olvide digitar la variable Niños, niñas, adolescentes y jóvenes Mejor Niñez. Digite Cero si no tiene.",IF(AU165&gt;E165," * La variable Niños, niñas, adolescentes y jóvenes Mejor Niñez  no pueden superar el Total Ambos Sexos.",""))</f>
        <v xml:space="preserve"> * La variable Niños, niñas, adolescentes y jóvenes Mejor Niñez  no pueden superar el Total Ambos Sexos.</v>
      </c>
      <c r="DB165" s="1723" t="str">
        <f t="shared" ref="DB165:DB175" si="186">IF(AND(E165&gt;0,AV165=""),"  * No olvide digitar la variable Migrantes. Digite Cero si no tiene.",IF(AV165&gt;E165," * La variable Migrantes no pueden superar el Total Ambos Sexos.",""))</f>
        <v xml:space="preserve"> * La variable Migrantes no pueden superar el Total Ambos Sexos.</v>
      </c>
      <c r="DC165" s="1723" t="str">
        <f>IF(AND($E165&gt;0,AW165=""),"  * No olvide digitar la variable Egreso por Abandono. Digite Cero si no tiene.",IF(AW165&gt;$E165," * La variable Egreso por Abandono no pueden superar el Total Ambos Sexos.",""))</f>
        <v xml:space="preserve"> * La variable Egreso por Abandono no pueden superar el Total Ambos Sexos.</v>
      </c>
      <c r="DD165" s="1723" t="str">
        <f t="shared" ref="DD165:DD175" si="187">IF(AND(E165&gt;0,AX165=""),"  * No olvide digitar la variable Paciente Diabético en control PSCV. Digite Cero si no tiene.",IF(AX165&gt;E165," * La variable Paciente Diabético en control PSCV no pueden superar el Total Ambos Sexos.",""))</f>
        <v xml:space="preserve"> * La variable Paciente Diabético en control PSCV no pueden superar el Total Ambos Sexos.</v>
      </c>
      <c r="DE165"/>
      <c r="DF165"/>
      <c r="DH165"/>
      <c r="DI165" s="1725">
        <f>IF(AND(E165&gt;0,AS165=""),1,IF(AS165&gt;E165,1,0))</f>
        <v>1</v>
      </c>
      <c r="DJ165" s="1725">
        <f>IF(AND(E165&gt;0,AT165=""),1,IF(AT165&gt;E165,1,0))</f>
        <v>1</v>
      </c>
      <c r="DK165" s="1725">
        <f>IF(AND(E165&gt;0,AU165=""),1,IF(AU165&gt;E165,1,0))</f>
        <v>1</v>
      </c>
      <c r="DL165" s="1725">
        <f>IF(AND(E165&gt;0,AV165=""),1,IF(AV165&gt;E165,1,0))</f>
        <v>1</v>
      </c>
      <c r="DM165" s="1725">
        <f>IF(AND(E165&gt;0,AW165=""),1,IF(AW165&gt;E165,1,0))</f>
        <v>1</v>
      </c>
      <c r="DN165" s="1725">
        <f>IF(AND(E165&gt;0,AX165=""),1,IF(AX165&gt;E165,1,0))</f>
        <v>1</v>
      </c>
    </row>
    <row r="166" spans="1:118" ht="15" customHeight="1" x14ac:dyDescent="0.3">
      <c r="A166" s="6269" t="s">
        <v>5037</v>
      </c>
      <c r="B166" s="7267"/>
      <c r="C166" s="7267"/>
      <c r="D166" s="606" t="s">
        <v>845</v>
      </c>
      <c r="E166" s="907" t="s">
        <v>5292</v>
      </c>
      <c r="F166" s="4726" t="s">
        <v>5293</v>
      </c>
      <c r="G166" s="4719" t="s">
        <v>5294</v>
      </c>
      <c r="H166" s="4191" t="s">
        <v>5295</v>
      </c>
      <c r="I166" s="3052" t="s">
        <v>5296</v>
      </c>
      <c r="J166" s="3052" t="s">
        <v>5297</v>
      </c>
      <c r="K166" s="3052" t="s">
        <v>5298</v>
      </c>
      <c r="L166" s="3052" t="s">
        <v>5299</v>
      </c>
      <c r="M166" s="3052" t="s">
        <v>5300</v>
      </c>
      <c r="N166" s="3052" t="s">
        <v>5301</v>
      </c>
      <c r="O166" s="3052" t="s">
        <v>5302</v>
      </c>
      <c r="P166" s="3052" t="s">
        <v>5303</v>
      </c>
      <c r="Q166" s="3052" t="s">
        <v>5304</v>
      </c>
      <c r="R166" s="3052" t="s">
        <v>5305</v>
      </c>
      <c r="S166" s="3052" t="s">
        <v>5306</v>
      </c>
      <c r="T166" s="3052" t="s">
        <v>5307</v>
      </c>
      <c r="U166" s="3052" t="s">
        <v>5308</v>
      </c>
      <c r="V166" s="3052" t="s">
        <v>5309</v>
      </c>
      <c r="W166" s="3052" t="s">
        <v>5310</v>
      </c>
      <c r="X166" s="3052" t="s">
        <v>5311</v>
      </c>
      <c r="Y166" s="3052" t="s">
        <v>5312</v>
      </c>
      <c r="Z166" s="3052" t="s">
        <v>5313</v>
      </c>
      <c r="AA166" s="3052" t="s">
        <v>5314</v>
      </c>
      <c r="AB166" s="3052" t="s">
        <v>5315</v>
      </c>
      <c r="AC166" s="3052" t="s">
        <v>5316</v>
      </c>
      <c r="AD166" s="4705" t="s">
        <v>5317</v>
      </c>
      <c r="AE166" s="587" t="s">
        <v>5318</v>
      </c>
      <c r="AF166" s="1964" t="s">
        <v>5319</v>
      </c>
      <c r="AG166" s="587" t="s">
        <v>5320</v>
      </c>
      <c r="AH166" s="1964" t="s">
        <v>5321</v>
      </c>
      <c r="AI166" s="587" t="s">
        <v>5322</v>
      </c>
      <c r="AJ166" s="1964" t="s">
        <v>5323</v>
      </c>
      <c r="AK166" s="587" t="s">
        <v>5324</v>
      </c>
      <c r="AL166" s="1964" t="s">
        <v>5325</v>
      </c>
      <c r="AM166" s="587" t="s">
        <v>5326</v>
      </c>
      <c r="AN166" s="1964" t="s">
        <v>5327</v>
      </c>
      <c r="AO166" s="587" t="s">
        <v>5328</v>
      </c>
      <c r="AP166" s="1964" t="s">
        <v>5329</v>
      </c>
      <c r="AQ166" s="587" t="s">
        <v>5330</v>
      </c>
      <c r="AR166" s="768" t="s">
        <v>5331</v>
      </c>
      <c r="AS166" s="587" t="s">
        <v>5332</v>
      </c>
      <c r="AT166" s="105" t="s">
        <v>5333</v>
      </c>
      <c r="AU166" s="105" t="s">
        <v>5334</v>
      </c>
      <c r="AV166" s="105" t="s">
        <v>5335</v>
      </c>
      <c r="AW166" s="784" t="s">
        <v>5336</v>
      </c>
      <c r="AX166" s="105" t="s">
        <v>5337</v>
      </c>
      <c r="AY166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66"/>
      <c r="CY166" s="1723" t="str">
        <f t="shared" si="183"/>
        <v xml:space="preserve"> * La variable Usuarios con Discapacidad no pueden superar el Total Ambos Sexos.</v>
      </c>
      <c r="CZ166" s="1723" t="str">
        <f t="shared" si="184"/>
        <v xml:space="preserve"> * La variable Niños, niñas, adolescentes y jóvenes SENAME no pueden superar el Total Ambos Sexos.</v>
      </c>
      <c r="DA166" s="1723" t="str">
        <f t="shared" si="185"/>
        <v xml:space="preserve"> * La variable Niños, niñas, adolescentes y jóvenes Mejor Niñez  no pueden superar el Total Ambos Sexos.</v>
      </c>
      <c r="DB166" s="1723" t="str">
        <f t="shared" si="186"/>
        <v xml:space="preserve"> * La variable Migrantes no pueden superar el Total Ambos Sexos.</v>
      </c>
      <c r="DC166" s="1723" t="str">
        <f t="shared" ref="DC166:DC170" si="188">IF(AND($E166&gt;0,AW166=""),"  * No olvide digitar la variable Egreso por Abandono. Digite Cero si no tiene.",IF(AW166&gt;$E166," * La variable Egreso por Abandono no pueden superar el Total Ambos Sexos.",""))</f>
        <v xml:space="preserve"> * La variable Egreso por Abandono no pueden superar el Total Ambos Sexos.</v>
      </c>
      <c r="DD166" s="1723" t="str">
        <f t="shared" si="187"/>
        <v xml:space="preserve"> * La variable Paciente Diabético en control PSCV no pueden superar el Total Ambos Sexos.</v>
      </c>
      <c r="DE166"/>
      <c r="DF166"/>
      <c r="DH166"/>
      <c r="DI166" s="1725">
        <f t="shared" ref="DI166:DI170" si="189">IF(AND(E166&gt;0,AS166=""),1,IF(AS166&gt;E166,1,0))</f>
        <v>1</v>
      </c>
      <c r="DJ166" s="1725">
        <f t="shared" ref="DJ166:DJ170" si="190">IF(AND(E166&gt;0,AT166=""),1,IF(AT166&gt;E166,1,0))</f>
        <v>1</v>
      </c>
      <c r="DK166" s="1725">
        <f t="shared" ref="DK166:DK170" si="191">IF(AND(E166&gt;0,AU166=""),1,IF(AU166&gt;E166,1,0))</f>
        <v>1</v>
      </c>
      <c r="DL166" s="1725">
        <f t="shared" ref="DL166:DL170" si="192">IF(AND(E166&gt;0,AV166=""),1,IF(AV166&gt;E166,1,0))</f>
        <v>1</v>
      </c>
      <c r="DM166" s="1725">
        <f t="shared" ref="DM166:DM170" si="193">IF(AND(E166&gt;0,AW166=""),1,IF(AW166&gt;E166,1,0))</f>
        <v>1</v>
      </c>
      <c r="DN166" s="1725">
        <f t="shared" ref="DN166:DN170" si="194">IF(AND(E166&gt;0,AX166=""),1,IF(AX166&gt;E166,1,0))</f>
        <v>1</v>
      </c>
    </row>
    <row r="167" spans="1:118" ht="15" customHeight="1" x14ac:dyDescent="0.3">
      <c r="A167" s="6269" t="s">
        <v>5038</v>
      </c>
      <c r="B167" s="7267"/>
      <c r="C167" s="7267"/>
      <c r="D167" s="766" t="s">
        <v>846</v>
      </c>
      <c r="E167" s="907" t="s">
        <v>5292</v>
      </c>
      <c r="F167" s="4726" t="s">
        <v>5293</v>
      </c>
      <c r="G167" s="4719" t="s">
        <v>5294</v>
      </c>
      <c r="H167" s="4191" t="s">
        <v>5295</v>
      </c>
      <c r="I167" s="3052" t="s">
        <v>5296</v>
      </c>
      <c r="J167" s="3052" t="s">
        <v>5297</v>
      </c>
      <c r="K167" s="3052" t="s">
        <v>5298</v>
      </c>
      <c r="L167" s="3052" t="s">
        <v>5299</v>
      </c>
      <c r="M167" s="3052" t="s">
        <v>5300</v>
      </c>
      <c r="N167" s="3052" t="s">
        <v>5301</v>
      </c>
      <c r="O167" s="3052" t="s">
        <v>5302</v>
      </c>
      <c r="P167" s="3052" t="s">
        <v>5303</v>
      </c>
      <c r="Q167" s="3052" t="s">
        <v>5304</v>
      </c>
      <c r="R167" s="3052" t="s">
        <v>5305</v>
      </c>
      <c r="S167" s="3052" t="s">
        <v>5306</v>
      </c>
      <c r="T167" s="3052" t="s">
        <v>5307</v>
      </c>
      <c r="U167" s="3052" t="s">
        <v>5308</v>
      </c>
      <c r="V167" s="3052" t="s">
        <v>5309</v>
      </c>
      <c r="W167" s="3052" t="s">
        <v>5310</v>
      </c>
      <c r="X167" s="3052" t="s">
        <v>5311</v>
      </c>
      <c r="Y167" s="3052" t="s">
        <v>5312</v>
      </c>
      <c r="Z167" s="3052" t="s">
        <v>5313</v>
      </c>
      <c r="AA167" s="3052" t="s">
        <v>5314</v>
      </c>
      <c r="AB167" s="3052" t="s">
        <v>5315</v>
      </c>
      <c r="AC167" s="3052" t="s">
        <v>5316</v>
      </c>
      <c r="AD167" s="4705" t="s">
        <v>5317</v>
      </c>
      <c r="AE167" s="587" t="s">
        <v>5318</v>
      </c>
      <c r="AF167" s="1964" t="s">
        <v>5319</v>
      </c>
      <c r="AG167" s="587" t="s">
        <v>5320</v>
      </c>
      <c r="AH167" s="1964" t="s">
        <v>5321</v>
      </c>
      <c r="AI167" s="587" t="s">
        <v>5322</v>
      </c>
      <c r="AJ167" s="1964" t="s">
        <v>5323</v>
      </c>
      <c r="AK167" s="587" t="s">
        <v>5324</v>
      </c>
      <c r="AL167" s="1964" t="s">
        <v>5325</v>
      </c>
      <c r="AM167" s="587" t="s">
        <v>5326</v>
      </c>
      <c r="AN167" s="1964" t="s">
        <v>5327</v>
      </c>
      <c r="AO167" s="587" t="s">
        <v>5328</v>
      </c>
      <c r="AP167" s="1964" t="s">
        <v>5329</v>
      </c>
      <c r="AQ167" s="587" t="s">
        <v>5330</v>
      </c>
      <c r="AR167" s="768" t="s">
        <v>5331</v>
      </c>
      <c r="AS167" s="587" t="s">
        <v>5332</v>
      </c>
      <c r="AT167" s="105" t="s">
        <v>5333</v>
      </c>
      <c r="AU167" s="105" t="s">
        <v>5334</v>
      </c>
      <c r="AV167" s="105" t="s">
        <v>5335</v>
      </c>
      <c r="AW167" s="784" t="s">
        <v>5336</v>
      </c>
      <c r="AX167" s="105" t="s">
        <v>5337</v>
      </c>
      <c r="AY167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67"/>
      <c r="CY167" s="1723" t="str">
        <f t="shared" si="183"/>
        <v xml:space="preserve"> * La variable Usuarios con Discapacidad no pueden superar el Total Ambos Sexos.</v>
      </c>
      <c r="CZ167" s="1723" t="str">
        <f t="shared" si="184"/>
        <v xml:space="preserve"> * La variable Niños, niñas, adolescentes y jóvenes SENAME no pueden superar el Total Ambos Sexos.</v>
      </c>
      <c r="DA167" s="1723" t="str">
        <f t="shared" si="185"/>
        <v xml:space="preserve"> * La variable Niños, niñas, adolescentes y jóvenes Mejor Niñez  no pueden superar el Total Ambos Sexos.</v>
      </c>
      <c r="DB167" s="1723" t="str">
        <f t="shared" si="186"/>
        <v xml:space="preserve"> * La variable Migrantes no pueden superar el Total Ambos Sexos.</v>
      </c>
      <c r="DC167" s="1723" t="str">
        <f t="shared" si="188"/>
        <v xml:space="preserve"> * La variable Egreso por Abandono no pueden superar el Total Ambos Sexos.</v>
      </c>
      <c r="DD167" s="1723" t="str">
        <f t="shared" si="187"/>
        <v xml:space="preserve"> * La variable Paciente Diabético en control PSCV no pueden superar el Total Ambos Sexos.</v>
      </c>
      <c r="DE167"/>
      <c r="DF167"/>
      <c r="DH167"/>
      <c r="DI167" s="1725">
        <f t="shared" si="189"/>
        <v>1</v>
      </c>
      <c r="DJ167" s="1725">
        <f t="shared" si="190"/>
        <v>1</v>
      </c>
      <c r="DK167" s="1725">
        <f t="shared" si="191"/>
        <v>1</v>
      </c>
      <c r="DL167" s="1725">
        <f t="shared" si="192"/>
        <v>1</v>
      </c>
      <c r="DM167" s="1725">
        <f t="shared" si="193"/>
        <v>1</v>
      </c>
      <c r="DN167" s="1725">
        <f t="shared" si="194"/>
        <v>1</v>
      </c>
    </row>
    <row r="168" spans="1:118" ht="15" customHeight="1" x14ac:dyDescent="0.3">
      <c r="A168" s="6269" t="s">
        <v>5039</v>
      </c>
      <c r="B168" s="7267"/>
      <c r="C168" s="7267"/>
      <c r="D168" s="766" t="s">
        <v>847</v>
      </c>
      <c r="E168" s="907" t="s">
        <v>5292</v>
      </c>
      <c r="F168" s="4726" t="s">
        <v>5293</v>
      </c>
      <c r="G168" s="4719" t="s">
        <v>5294</v>
      </c>
      <c r="H168" s="4191" t="s">
        <v>5295</v>
      </c>
      <c r="I168" s="3052" t="s">
        <v>5296</v>
      </c>
      <c r="J168" s="3052" t="s">
        <v>5297</v>
      </c>
      <c r="K168" s="3052" t="s">
        <v>5298</v>
      </c>
      <c r="L168" s="3052" t="s">
        <v>5299</v>
      </c>
      <c r="M168" s="3052" t="s">
        <v>5300</v>
      </c>
      <c r="N168" s="3052" t="s">
        <v>5301</v>
      </c>
      <c r="O168" s="3052" t="s">
        <v>5302</v>
      </c>
      <c r="P168" s="3052" t="s">
        <v>5303</v>
      </c>
      <c r="Q168" s="3052" t="s">
        <v>5304</v>
      </c>
      <c r="R168" s="3052" t="s">
        <v>5305</v>
      </c>
      <c r="S168" s="3052" t="s">
        <v>5306</v>
      </c>
      <c r="T168" s="3052" t="s">
        <v>5307</v>
      </c>
      <c r="U168" s="3052" t="s">
        <v>5308</v>
      </c>
      <c r="V168" s="3052" t="s">
        <v>5309</v>
      </c>
      <c r="W168" s="3052" t="s">
        <v>5310</v>
      </c>
      <c r="X168" s="3052" t="s">
        <v>5311</v>
      </c>
      <c r="Y168" s="3052" t="s">
        <v>5312</v>
      </c>
      <c r="Z168" s="3052" t="s">
        <v>5313</v>
      </c>
      <c r="AA168" s="3052" t="s">
        <v>5314</v>
      </c>
      <c r="AB168" s="3052" t="s">
        <v>5315</v>
      </c>
      <c r="AC168" s="3052" t="s">
        <v>5316</v>
      </c>
      <c r="AD168" s="4705" t="s">
        <v>5317</v>
      </c>
      <c r="AE168" s="587" t="s">
        <v>5318</v>
      </c>
      <c r="AF168" s="1964" t="s">
        <v>5319</v>
      </c>
      <c r="AG168" s="587" t="s">
        <v>5320</v>
      </c>
      <c r="AH168" s="1964" t="s">
        <v>5321</v>
      </c>
      <c r="AI168" s="587" t="s">
        <v>5322</v>
      </c>
      <c r="AJ168" s="1964" t="s">
        <v>5323</v>
      </c>
      <c r="AK168" s="587" t="s">
        <v>5324</v>
      </c>
      <c r="AL168" s="1964" t="s">
        <v>5325</v>
      </c>
      <c r="AM168" s="587" t="s">
        <v>5326</v>
      </c>
      <c r="AN168" s="1964" t="s">
        <v>5327</v>
      </c>
      <c r="AO168" s="587" t="s">
        <v>5328</v>
      </c>
      <c r="AP168" s="1964" t="s">
        <v>5329</v>
      </c>
      <c r="AQ168" s="587" t="s">
        <v>5330</v>
      </c>
      <c r="AR168" s="768" t="s">
        <v>5331</v>
      </c>
      <c r="AS168" s="644" t="s">
        <v>5332</v>
      </c>
      <c r="AT168" s="105" t="s">
        <v>5333</v>
      </c>
      <c r="AU168" s="105" t="s">
        <v>5334</v>
      </c>
      <c r="AV168" s="105" t="s">
        <v>5335</v>
      </c>
      <c r="AW168" s="784" t="s">
        <v>5336</v>
      </c>
      <c r="AX168" s="105" t="s">
        <v>5337</v>
      </c>
      <c r="AY168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68"/>
      <c r="CY168" s="1723" t="str">
        <f t="shared" si="183"/>
        <v xml:space="preserve"> * La variable Usuarios con Discapacidad no pueden superar el Total Ambos Sexos.</v>
      </c>
      <c r="CZ168" s="1723" t="str">
        <f t="shared" si="184"/>
        <v xml:space="preserve"> * La variable Niños, niñas, adolescentes y jóvenes SENAME no pueden superar el Total Ambos Sexos.</v>
      </c>
      <c r="DA168" s="1723" t="str">
        <f t="shared" si="185"/>
        <v xml:space="preserve"> * La variable Niños, niñas, adolescentes y jóvenes Mejor Niñez  no pueden superar el Total Ambos Sexos.</v>
      </c>
      <c r="DB168" s="1723" t="str">
        <f t="shared" si="186"/>
        <v xml:space="preserve"> * La variable Migrantes no pueden superar el Total Ambos Sexos.</v>
      </c>
      <c r="DC168" s="1723" t="str">
        <f t="shared" si="188"/>
        <v xml:space="preserve"> * La variable Egreso por Abandono no pueden superar el Total Ambos Sexos.</v>
      </c>
      <c r="DD168" s="1723" t="str">
        <f t="shared" si="187"/>
        <v xml:space="preserve"> * La variable Paciente Diabético en control PSCV no pueden superar el Total Ambos Sexos.</v>
      </c>
      <c r="DE168"/>
      <c r="DF168"/>
      <c r="DH168"/>
      <c r="DI168" s="1725">
        <f t="shared" si="189"/>
        <v>1</v>
      </c>
      <c r="DJ168" s="1725">
        <f t="shared" si="190"/>
        <v>1</v>
      </c>
      <c r="DK168" s="1725">
        <f t="shared" si="191"/>
        <v>1</v>
      </c>
      <c r="DL168" s="1725">
        <f t="shared" si="192"/>
        <v>1</v>
      </c>
      <c r="DM168" s="1725">
        <f t="shared" si="193"/>
        <v>1</v>
      </c>
      <c r="DN168" s="1725">
        <f t="shared" si="194"/>
        <v>1</v>
      </c>
    </row>
    <row r="169" spans="1:118" ht="15" customHeight="1" x14ac:dyDescent="0.3">
      <c r="A169" s="6269" t="s">
        <v>5040</v>
      </c>
      <c r="B169" s="7267"/>
      <c r="C169" s="7267"/>
      <c r="D169" s="606" t="s">
        <v>848</v>
      </c>
      <c r="E169" s="907" t="s">
        <v>5292</v>
      </c>
      <c r="F169" s="4726" t="s">
        <v>5293</v>
      </c>
      <c r="G169" s="4719" t="s">
        <v>5294</v>
      </c>
      <c r="H169" s="4191" t="s">
        <v>5295</v>
      </c>
      <c r="I169" s="3052" t="s">
        <v>5296</v>
      </c>
      <c r="J169" s="3052" t="s">
        <v>5297</v>
      </c>
      <c r="K169" s="3052" t="s">
        <v>5298</v>
      </c>
      <c r="L169" s="3052" t="s">
        <v>5299</v>
      </c>
      <c r="M169" s="3052" t="s">
        <v>5300</v>
      </c>
      <c r="N169" s="3052" t="s">
        <v>5301</v>
      </c>
      <c r="O169" s="3052" t="s">
        <v>5302</v>
      </c>
      <c r="P169" s="3052" t="s">
        <v>5303</v>
      </c>
      <c r="Q169" s="3052" t="s">
        <v>5304</v>
      </c>
      <c r="R169" s="3052" t="s">
        <v>5305</v>
      </c>
      <c r="S169" s="3052" t="s">
        <v>5306</v>
      </c>
      <c r="T169" s="3052" t="s">
        <v>5307</v>
      </c>
      <c r="U169" s="3052" t="s">
        <v>5308</v>
      </c>
      <c r="V169" s="3052" t="s">
        <v>5309</v>
      </c>
      <c r="W169" s="3052" t="s">
        <v>5310</v>
      </c>
      <c r="X169" s="3052" t="s">
        <v>5311</v>
      </c>
      <c r="Y169" s="3052" t="s">
        <v>5312</v>
      </c>
      <c r="Z169" s="3052" t="s">
        <v>5313</v>
      </c>
      <c r="AA169" s="3052" t="s">
        <v>5314</v>
      </c>
      <c r="AB169" s="3052" t="s">
        <v>5315</v>
      </c>
      <c r="AC169" s="3052" t="s">
        <v>5316</v>
      </c>
      <c r="AD169" s="4705" t="s">
        <v>5317</v>
      </c>
      <c r="AE169" s="587" t="s">
        <v>5318</v>
      </c>
      <c r="AF169" s="1964" t="s">
        <v>5319</v>
      </c>
      <c r="AG169" s="587" t="s">
        <v>5320</v>
      </c>
      <c r="AH169" s="1964" t="s">
        <v>5321</v>
      </c>
      <c r="AI169" s="587" t="s">
        <v>5322</v>
      </c>
      <c r="AJ169" s="1964" t="s">
        <v>5323</v>
      </c>
      <c r="AK169" s="587" t="s">
        <v>5324</v>
      </c>
      <c r="AL169" s="1964" t="s">
        <v>5325</v>
      </c>
      <c r="AM169" s="587" t="s">
        <v>5326</v>
      </c>
      <c r="AN169" s="1964" t="s">
        <v>5327</v>
      </c>
      <c r="AO169" s="587" t="s">
        <v>5328</v>
      </c>
      <c r="AP169" s="1964" t="s">
        <v>5329</v>
      </c>
      <c r="AQ169" s="587" t="s">
        <v>5330</v>
      </c>
      <c r="AR169" s="618" t="s">
        <v>5331</v>
      </c>
      <c r="AS169" s="784" t="s">
        <v>5332</v>
      </c>
      <c r="AT169" s="83" t="s">
        <v>5333</v>
      </c>
      <c r="AU169" s="83" t="s">
        <v>5334</v>
      </c>
      <c r="AV169" s="105" t="s">
        <v>5335</v>
      </c>
      <c r="AW169" s="784" t="s">
        <v>5336</v>
      </c>
      <c r="AX169" s="105" t="s">
        <v>5337</v>
      </c>
      <c r="AY169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69"/>
      <c r="CY169" s="1723" t="str">
        <f t="shared" si="183"/>
        <v xml:space="preserve"> * La variable Usuarios con Discapacidad no pueden superar el Total Ambos Sexos.</v>
      </c>
      <c r="CZ169" s="1723" t="str">
        <f t="shared" si="184"/>
        <v xml:space="preserve"> * La variable Niños, niñas, adolescentes y jóvenes SENAME no pueden superar el Total Ambos Sexos.</v>
      </c>
      <c r="DA169" s="1723" t="str">
        <f t="shared" si="185"/>
        <v xml:space="preserve"> * La variable Niños, niñas, adolescentes y jóvenes Mejor Niñez  no pueden superar el Total Ambos Sexos.</v>
      </c>
      <c r="DB169" s="1723" t="str">
        <f t="shared" si="186"/>
        <v xml:space="preserve"> * La variable Migrantes no pueden superar el Total Ambos Sexos.</v>
      </c>
      <c r="DC169" s="1723" t="str">
        <f t="shared" si="188"/>
        <v xml:space="preserve"> * La variable Egreso por Abandono no pueden superar el Total Ambos Sexos.</v>
      </c>
      <c r="DD169" s="1723" t="str">
        <f t="shared" si="187"/>
        <v xml:space="preserve"> * La variable Paciente Diabético en control PSCV no pueden superar el Total Ambos Sexos.</v>
      </c>
      <c r="DE169"/>
      <c r="DF169"/>
      <c r="DH169"/>
      <c r="DI169" s="1725">
        <f t="shared" si="189"/>
        <v>1</v>
      </c>
      <c r="DJ169" s="1725">
        <f t="shared" si="190"/>
        <v>1</v>
      </c>
      <c r="DK169" s="1725">
        <f t="shared" si="191"/>
        <v>1</v>
      </c>
      <c r="DL169" s="1725">
        <f t="shared" si="192"/>
        <v>1</v>
      </c>
      <c r="DM169" s="1725">
        <f t="shared" si="193"/>
        <v>1</v>
      </c>
      <c r="DN169" s="1725">
        <f t="shared" si="194"/>
        <v>1</v>
      </c>
    </row>
    <row r="170" spans="1:118" ht="15" customHeight="1" x14ac:dyDescent="0.3">
      <c r="A170" s="6269" t="s">
        <v>5041</v>
      </c>
      <c r="B170" s="7363"/>
      <c r="C170" s="7363"/>
      <c r="D170" s="766" t="s">
        <v>849</v>
      </c>
      <c r="E170" s="4700" t="s">
        <v>5292</v>
      </c>
      <c r="F170" s="4727" t="s">
        <v>5293</v>
      </c>
      <c r="G170" s="4722" t="s">
        <v>5294</v>
      </c>
      <c r="H170" s="4191" t="s">
        <v>5295</v>
      </c>
      <c r="I170" s="3052" t="s">
        <v>5296</v>
      </c>
      <c r="J170" s="3052" t="s">
        <v>5297</v>
      </c>
      <c r="K170" s="3052" t="s">
        <v>5298</v>
      </c>
      <c r="L170" s="3052" t="s">
        <v>5299</v>
      </c>
      <c r="M170" s="3052" t="s">
        <v>5300</v>
      </c>
      <c r="N170" s="3052" t="s">
        <v>5301</v>
      </c>
      <c r="O170" s="3052" t="s">
        <v>5302</v>
      </c>
      <c r="P170" s="3052" t="s">
        <v>5303</v>
      </c>
      <c r="Q170" s="3052" t="s">
        <v>5304</v>
      </c>
      <c r="R170" s="3052" t="s">
        <v>5305</v>
      </c>
      <c r="S170" s="3052" t="s">
        <v>5306</v>
      </c>
      <c r="T170" s="3052" t="s">
        <v>5307</v>
      </c>
      <c r="U170" s="3052" t="s">
        <v>5308</v>
      </c>
      <c r="V170" s="3052" t="s">
        <v>5309</v>
      </c>
      <c r="W170" s="3052" t="s">
        <v>5310</v>
      </c>
      <c r="X170" s="3052" t="s">
        <v>5311</v>
      </c>
      <c r="Y170" s="3052" t="s">
        <v>5312</v>
      </c>
      <c r="Z170" s="3052" t="s">
        <v>5313</v>
      </c>
      <c r="AA170" s="3052" t="s">
        <v>5314</v>
      </c>
      <c r="AB170" s="3052" t="s">
        <v>5315</v>
      </c>
      <c r="AC170" s="3052" t="s">
        <v>5316</v>
      </c>
      <c r="AD170" s="4706" t="s">
        <v>5317</v>
      </c>
      <c r="AE170" s="566" t="s">
        <v>5318</v>
      </c>
      <c r="AF170" s="3796" t="s">
        <v>5319</v>
      </c>
      <c r="AG170" s="566" t="s">
        <v>5320</v>
      </c>
      <c r="AH170" s="3796" t="s">
        <v>5321</v>
      </c>
      <c r="AI170" s="566" t="s">
        <v>5322</v>
      </c>
      <c r="AJ170" s="3796" t="s">
        <v>5323</v>
      </c>
      <c r="AK170" s="566" t="s">
        <v>5324</v>
      </c>
      <c r="AL170" s="3796" t="s">
        <v>5325</v>
      </c>
      <c r="AM170" s="566" t="s">
        <v>5326</v>
      </c>
      <c r="AN170" s="3796" t="s">
        <v>5327</v>
      </c>
      <c r="AO170" s="566" t="s">
        <v>5328</v>
      </c>
      <c r="AP170" s="3796" t="s">
        <v>5329</v>
      </c>
      <c r="AQ170" s="566" t="s">
        <v>5330</v>
      </c>
      <c r="AR170" s="869" t="s">
        <v>5331</v>
      </c>
      <c r="AS170" s="566" t="s">
        <v>5332</v>
      </c>
      <c r="AT170" s="870" t="s">
        <v>5333</v>
      </c>
      <c r="AU170" s="870" t="s">
        <v>5334</v>
      </c>
      <c r="AV170" s="870" t="s">
        <v>5335</v>
      </c>
      <c r="AW170" s="333" t="s">
        <v>5336</v>
      </c>
      <c r="AX170" s="153" t="s">
        <v>5337</v>
      </c>
      <c r="AY170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70"/>
      <c r="CY170" s="1723" t="str">
        <f t="shared" si="183"/>
        <v xml:space="preserve"> * La variable Usuarios con Discapacidad no pueden superar el Total Ambos Sexos.</v>
      </c>
      <c r="CZ170" s="1723" t="str">
        <f t="shared" si="184"/>
        <v xml:space="preserve"> * La variable Niños, niñas, adolescentes y jóvenes SENAME no pueden superar el Total Ambos Sexos.</v>
      </c>
      <c r="DA170" s="1723" t="str">
        <f t="shared" si="185"/>
        <v xml:space="preserve"> * La variable Niños, niñas, adolescentes y jóvenes Mejor Niñez  no pueden superar el Total Ambos Sexos.</v>
      </c>
      <c r="DB170" s="1723" t="str">
        <f t="shared" si="186"/>
        <v xml:space="preserve"> * La variable Migrantes no pueden superar el Total Ambos Sexos.</v>
      </c>
      <c r="DC170" s="1723" t="str">
        <f t="shared" si="188"/>
        <v xml:space="preserve"> * La variable Egreso por Abandono no pueden superar el Total Ambos Sexos.</v>
      </c>
      <c r="DD170" s="1723" t="str">
        <f t="shared" si="187"/>
        <v xml:space="preserve"> * La variable Paciente Diabético en control PSCV no pueden superar el Total Ambos Sexos.</v>
      </c>
      <c r="DE170"/>
      <c r="DF170"/>
      <c r="DH170"/>
      <c r="DI170" s="1725">
        <f t="shared" si="189"/>
        <v>1</v>
      </c>
      <c r="DJ170" s="1725">
        <f t="shared" si="190"/>
        <v>1</v>
      </c>
      <c r="DK170" s="1725">
        <f t="shared" si="191"/>
        <v>1</v>
      </c>
      <c r="DL170" s="1725">
        <f t="shared" si="192"/>
        <v>1</v>
      </c>
      <c r="DM170" s="1725">
        <f t="shared" si="193"/>
        <v>1</v>
      </c>
      <c r="DN170" s="1725">
        <f t="shared" si="194"/>
        <v>1</v>
      </c>
    </row>
    <row r="171" spans="1:118" ht="15" customHeight="1" x14ac:dyDescent="0.3">
      <c r="A171" s="6269" t="s">
        <v>5042</v>
      </c>
      <c r="B171" s="7362" t="s">
        <v>850</v>
      </c>
      <c r="C171" s="7362" t="s">
        <v>851</v>
      </c>
      <c r="D171" s="871" t="s">
        <v>751</v>
      </c>
      <c r="E171" s="907" t="s">
        <v>5292</v>
      </c>
      <c r="F171" s="4728" t="s">
        <v>5293</v>
      </c>
      <c r="G171" s="4690" t="s">
        <v>5294</v>
      </c>
      <c r="H171" s="1924" t="s">
        <v>5295</v>
      </c>
      <c r="I171" s="4708" t="s">
        <v>5296</v>
      </c>
      <c r="J171" s="4708" t="s">
        <v>5297</v>
      </c>
      <c r="K171" s="4709" t="s">
        <v>5298</v>
      </c>
      <c r="L171" s="4708" t="s">
        <v>5299</v>
      </c>
      <c r="M171" s="4708" t="s">
        <v>5300</v>
      </c>
      <c r="N171" s="4708" t="s">
        <v>5301</v>
      </c>
      <c r="O171" s="4709" t="s">
        <v>5302</v>
      </c>
      <c r="P171" s="4708" t="s">
        <v>5303</v>
      </c>
      <c r="Q171" s="4708" t="s">
        <v>5304</v>
      </c>
      <c r="R171" s="4708" t="s">
        <v>5305</v>
      </c>
      <c r="S171" s="4709" t="s">
        <v>5306</v>
      </c>
      <c r="T171" s="4708" t="s">
        <v>5307</v>
      </c>
      <c r="U171" s="4708" t="s">
        <v>5308</v>
      </c>
      <c r="V171" s="4708" t="s">
        <v>5309</v>
      </c>
      <c r="W171" s="4709" t="s">
        <v>5310</v>
      </c>
      <c r="X171" s="4708" t="s">
        <v>5311</v>
      </c>
      <c r="Y171" s="4708" t="s">
        <v>5312</v>
      </c>
      <c r="Z171" s="4708" t="s">
        <v>5313</v>
      </c>
      <c r="AA171" s="4709" t="s">
        <v>5314</v>
      </c>
      <c r="AB171" s="4708" t="s">
        <v>5315</v>
      </c>
      <c r="AC171" s="4710" t="s">
        <v>5316</v>
      </c>
      <c r="AD171" s="482" t="s">
        <v>5317</v>
      </c>
      <c r="AE171" s="872" t="s">
        <v>5318</v>
      </c>
      <c r="AF171" s="482" t="s">
        <v>5319</v>
      </c>
      <c r="AG171" s="872" t="s">
        <v>5320</v>
      </c>
      <c r="AH171" s="482" t="s">
        <v>5321</v>
      </c>
      <c r="AI171" s="872" t="s">
        <v>5322</v>
      </c>
      <c r="AJ171" s="482" t="s">
        <v>5323</v>
      </c>
      <c r="AK171" s="872" t="s">
        <v>5324</v>
      </c>
      <c r="AL171" s="482" t="s">
        <v>5325</v>
      </c>
      <c r="AM171" s="872" t="s">
        <v>5326</v>
      </c>
      <c r="AN171" s="482" t="s">
        <v>5327</v>
      </c>
      <c r="AO171" s="872" t="s">
        <v>5328</v>
      </c>
      <c r="AP171" s="482" t="s">
        <v>5329</v>
      </c>
      <c r="AQ171" s="872" t="s">
        <v>5330</v>
      </c>
      <c r="AR171" s="615" t="s">
        <v>5331</v>
      </c>
      <c r="AS171" s="499" t="s">
        <v>5332</v>
      </c>
      <c r="AT171" s="499" t="s">
        <v>5333</v>
      </c>
      <c r="AU171" s="499" t="s">
        <v>5334</v>
      </c>
      <c r="AV171" s="499" t="s">
        <v>5335</v>
      </c>
      <c r="AW171" s="863" t="s">
        <v>5336</v>
      </c>
      <c r="AX171" s="105" t="s">
        <v>5337</v>
      </c>
      <c r="AY171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71"/>
      <c r="CY171" s="1723" t="str">
        <f t="shared" si="183"/>
        <v xml:space="preserve"> * La variable Usuarios con Discapacidad no pueden superar el Total Ambos Sexos.</v>
      </c>
      <c r="CZ171" s="1723" t="str">
        <f t="shared" si="184"/>
        <v xml:space="preserve"> * La variable Niños, niñas, adolescentes y jóvenes SENAME no pueden superar el Total Ambos Sexos.</v>
      </c>
      <c r="DA171" s="1723" t="str">
        <f t="shared" si="185"/>
        <v xml:space="preserve"> * La variable Niños, niñas, adolescentes y jóvenes Mejor Niñez  no pueden superar el Total Ambos Sexos.</v>
      </c>
      <c r="DB171" s="1723" t="str">
        <f t="shared" si="186"/>
        <v xml:space="preserve"> * La variable Migrantes no pueden superar el Total Ambos Sexos.</v>
      </c>
      <c r="DC171" s="5924"/>
      <c r="DD171" s="1723" t="str">
        <f t="shared" si="187"/>
        <v xml:space="preserve"> * La variable Paciente Diabético en control PSCV no pueden superar el Total Ambos Sexos.</v>
      </c>
      <c r="DE171"/>
      <c r="DF171"/>
      <c r="DH171"/>
      <c r="DI171" s="1725">
        <f>IF(AND(E171&gt;0,AS171=""),1,IF(AS171&gt;E171,1,0))</f>
        <v>1</v>
      </c>
      <c r="DJ171" s="1725">
        <f>IF(AND(E171&gt;0,AT171=""),1,IF(AT171&gt;E171,1,0))</f>
        <v>1</v>
      </c>
      <c r="DK171" s="1725">
        <f>IF(AND(E171&gt;0,AU171=""),1,IF(AU171&gt;E171,1,0))</f>
        <v>1</v>
      </c>
      <c r="DL171" s="1725">
        <f>IF(AND(E171&gt;0,AV171=""),1,IF(AV171&gt;E171,1,0))</f>
        <v>1</v>
      </c>
      <c r="DM171" s="5924"/>
      <c r="DN171" s="1725">
        <f>IF(AND(E171&gt;0,AX171=""),1,IF(AX171&gt;E171,1,0))</f>
        <v>1</v>
      </c>
    </row>
    <row r="172" spans="1:118" ht="15" customHeight="1" x14ac:dyDescent="0.3">
      <c r="A172" s="6269" t="s">
        <v>5043</v>
      </c>
      <c r="B172" s="7267"/>
      <c r="C172" s="7267"/>
      <c r="D172" s="606" t="s">
        <v>852</v>
      </c>
      <c r="E172" s="907" t="s">
        <v>5292</v>
      </c>
      <c r="F172" s="4729" t="s">
        <v>5293</v>
      </c>
      <c r="G172" s="4691" t="s">
        <v>5294</v>
      </c>
      <c r="H172" s="4191" t="s">
        <v>5295</v>
      </c>
      <c r="I172" s="3052" t="s">
        <v>5296</v>
      </c>
      <c r="J172" s="3052" t="s">
        <v>5297</v>
      </c>
      <c r="K172" s="4705" t="s">
        <v>5298</v>
      </c>
      <c r="L172" s="3052" t="s">
        <v>5299</v>
      </c>
      <c r="M172" s="3052" t="s">
        <v>5300</v>
      </c>
      <c r="N172" s="3052" t="s">
        <v>5301</v>
      </c>
      <c r="O172" s="4705" t="s">
        <v>5302</v>
      </c>
      <c r="P172" s="3052" t="s">
        <v>5303</v>
      </c>
      <c r="Q172" s="3052" t="s">
        <v>5304</v>
      </c>
      <c r="R172" s="3052" t="s">
        <v>5305</v>
      </c>
      <c r="S172" s="4705" t="s">
        <v>5306</v>
      </c>
      <c r="T172" s="3052" t="s">
        <v>5307</v>
      </c>
      <c r="U172" s="3052" t="s">
        <v>5308</v>
      </c>
      <c r="V172" s="3052" t="s">
        <v>5309</v>
      </c>
      <c r="W172" s="4705" t="s">
        <v>5310</v>
      </c>
      <c r="X172" s="3052" t="s">
        <v>5311</v>
      </c>
      <c r="Y172" s="3052" t="s">
        <v>5312</v>
      </c>
      <c r="Z172" s="3052" t="s">
        <v>5313</v>
      </c>
      <c r="AA172" s="4705" t="s">
        <v>5314</v>
      </c>
      <c r="AB172" s="3052" t="s">
        <v>5315</v>
      </c>
      <c r="AC172" s="1965" t="s">
        <v>5316</v>
      </c>
      <c r="AD172" s="616" t="s">
        <v>5317</v>
      </c>
      <c r="AE172" s="873" t="s">
        <v>5318</v>
      </c>
      <c r="AF172" s="616" t="s">
        <v>5319</v>
      </c>
      <c r="AG172" s="873" t="s">
        <v>5320</v>
      </c>
      <c r="AH172" s="616" t="s">
        <v>5321</v>
      </c>
      <c r="AI172" s="873" t="s">
        <v>5322</v>
      </c>
      <c r="AJ172" s="616" t="s">
        <v>5323</v>
      </c>
      <c r="AK172" s="873" t="s">
        <v>5324</v>
      </c>
      <c r="AL172" s="616" t="s">
        <v>5325</v>
      </c>
      <c r="AM172" s="873" t="s">
        <v>5326</v>
      </c>
      <c r="AN172" s="616" t="s">
        <v>5327</v>
      </c>
      <c r="AO172" s="873" t="s">
        <v>5328</v>
      </c>
      <c r="AP172" s="616" t="s">
        <v>5329</v>
      </c>
      <c r="AQ172" s="873" t="s">
        <v>5330</v>
      </c>
      <c r="AR172" s="618" t="s">
        <v>5331</v>
      </c>
      <c r="AS172" s="105" t="s">
        <v>5332</v>
      </c>
      <c r="AT172" s="83" t="s">
        <v>5333</v>
      </c>
      <c r="AU172" s="83" t="s">
        <v>5334</v>
      </c>
      <c r="AV172" s="105" t="s">
        <v>5335</v>
      </c>
      <c r="AW172" s="784" t="s">
        <v>5336</v>
      </c>
      <c r="AX172" s="105" t="s">
        <v>5337</v>
      </c>
      <c r="AY172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72"/>
      <c r="CY172" s="1723" t="str">
        <f t="shared" si="183"/>
        <v xml:space="preserve"> * La variable Usuarios con Discapacidad no pueden superar el Total Ambos Sexos.</v>
      </c>
      <c r="CZ172" s="1723" t="str">
        <f t="shared" si="184"/>
        <v xml:space="preserve"> * La variable Niños, niñas, adolescentes y jóvenes SENAME no pueden superar el Total Ambos Sexos.</v>
      </c>
      <c r="DA172" s="1723" t="str">
        <f t="shared" si="185"/>
        <v xml:space="preserve"> * La variable Niños, niñas, adolescentes y jóvenes Mejor Niñez  no pueden superar el Total Ambos Sexos.</v>
      </c>
      <c r="DB172" s="1723" t="str">
        <f t="shared" si="186"/>
        <v xml:space="preserve"> * La variable Migrantes no pueden superar el Total Ambos Sexos.</v>
      </c>
      <c r="DC172" s="1723" t="str">
        <f>IF(AND($E172&gt;0,AW172=""),"  * No olvide digitar la variable Egreso por Abandono. Digite Cero si no tiene.",IF(AW172&gt;$E172," * La variable Egreso por Abandono no pueden superar el Total Ambos Sexos.",""))</f>
        <v xml:space="preserve"> * La variable Egreso por Abandono no pueden superar el Total Ambos Sexos.</v>
      </c>
      <c r="DD172" s="1723" t="str">
        <f t="shared" si="187"/>
        <v xml:space="preserve"> * La variable Paciente Diabético en control PSCV no pueden superar el Total Ambos Sexos.</v>
      </c>
      <c r="DE172"/>
      <c r="DF172"/>
      <c r="DH172"/>
      <c r="DI172" s="1725">
        <f t="shared" ref="DI172:DI175" si="195">IF(AND(E172&gt;0,AS172=""),1,IF(AS172&gt;E172,1,0))</f>
        <v>1</v>
      </c>
      <c r="DJ172" s="1725">
        <f t="shared" ref="DJ172:DJ175" si="196">IF(AND(E172&gt;0,AT172=""),1,IF(AT172&gt;E172,1,0))</f>
        <v>1</v>
      </c>
      <c r="DK172" s="1725">
        <f t="shared" ref="DK172:DK175" si="197">IF(AND(E172&gt;0,AU172=""),1,IF(AU172&gt;E172,1,0))</f>
        <v>1</v>
      </c>
      <c r="DL172" s="1725">
        <f t="shared" ref="DL172:DL175" si="198">IF(AND(E172&gt;0,AV172=""),1,IF(AV172&gt;E172,1,0))</f>
        <v>1</v>
      </c>
      <c r="DM172" s="1725">
        <f t="shared" ref="DM172" si="199">IF(AND(E172&gt;0,AW172=""),1,IF(AW172&gt;E172,1,0))</f>
        <v>1</v>
      </c>
      <c r="DN172" s="1725">
        <f t="shared" ref="DN172:DN175" si="200">IF(AND(E172&gt;0,AX172=""),1,IF(AX172&gt;E172,1,0))</f>
        <v>1</v>
      </c>
    </row>
    <row r="173" spans="1:118" ht="15" customHeight="1" x14ac:dyDescent="0.3">
      <c r="A173" s="6269" t="s">
        <v>5044</v>
      </c>
      <c r="B173" s="7267"/>
      <c r="C173" s="7267"/>
      <c r="D173" s="874" t="s">
        <v>853</v>
      </c>
      <c r="E173" s="907" t="s">
        <v>5292</v>
      </c>
      <c r="F173" s="4729" t="s">
        <v>5293</v>
      </c>
      <c r="G173" s="3514" t="s">
        <v>5294</v>
      </c>
      <c r="H173" s="4191" t="s">
        <v>5295</v>
      </c>
      <c r="I173" s="3052" t="s">
        <v>5296</v>
      </c>
      <c r="J173" s="3052" t="s">
        <v>5297</v>
      </c>
      <c r="K173" s="4705" t="s">
        <v>5298</v>
      </c>
      <c r="L173" s="3052" t="s">
        <v>5299</v>
      </c>
      <c r="M173" s="3052" t="s">
        <v>5300</v>
      </c>
      <c r="N173" s="3052" t="s">
        <v>5301</v>
      </c>
      <c r="O173" s="4705" t="s">
        <v>5302</v>
      </c>
      <c r="P173" s="3052" t="s">
        <v>5303</v>
      </c>
      <c r="Q173" s="3052" t="s">
        <v>5304</v>
      </c>
      <c r="R173" s="3052" t="s">
        <v>5305</v>
      </c>
      <c r="S173" s="4705" t="s">
        <v>5306</v>
      </c>
      <c r="T173" s="3052" t="s">
        <v>5307</v>
      </c>
      <c r="U173" s="3052" t="s">
        <v>5308</v>
      </c>
      <c r="V173" s="3052" t="s">
        <v>5309</v>
      </c>
      <c r="W173" s="4705" t="s">
        <v>5310</v>
      </c>
      <c r="X173" s="3052" t="s">
        <v>5311</v>
      </c>
      <c r="Y173" s="3052" t="s">
        <v>5312</v>
      </c>
      <c r="Z173" s="3052" t="s">
        <v>5313</v>
      </c>
      <c r="AA173" s="4705" t="s">
        <v>5314</v>
      </c>
      <c r="AB173" s="3052" t="s">
        <v>5315</v>
      </c>
      <c r="AC173" s="1965" t="s">
        <v>5316</v>
      </c>
      <c r="AD173" s="616" t="s">
        <v>5317</v>
      </c>
      <c r="AE173" s="873" t="s">
        <v>5318</v>
      </c>
      <c r="AF173" s="616" t="s">
        <v>5319</v>
      </c>
      <c r="AG173" s="873" t="s">
        <v>5320</v>
      </c>
      <c r="AH173" s="616" t="s">
        <v>5321</v>
      </c>
      <c r="AI173" s="873" t="s">
        <v>5322</v>
      </c>
      <c r="AJ173" s="616" t="s">
        <v>5323</v>
      </c>
      <c r="AK173" s="873" t="s">
        <v>5324</v>
      </c>
      <c r="AL173" s="616" t="s">
        <v>5325</v>
      </c>
      <c r="AM173" s="873" t="s">
        <v>5326</v>
      </c>
      <c r="AN173" s="616" t="s">
        <v>5327</v>
      </c>
      <c r="AO173" s="873" t="s">
        <v>5328</v>
      </c>
      <c r="AP173" s="616" t="s">
        <v>5329</v>
      </c>
      <c r="AQ173" s="873" t="s">
        <v>5330</v>
      </c>
      <c r="AR173" s="618" t="s">
        <v>5331</v>
      </c>
      <c r="AS173" s="83" t="s">
        <v>5332</v>
      </c>
      <c r="AT173" s="83" t="s">
        <v>5333</v>
      </c>
      <c r="AU173" s="83" t="s">
        <v>5334</v>
      </c>
      <c r="AV173" s="105" t="s">
        <v>5335</v>
      </c>
      <c r="AW173" s="864" t="s">
        <v>5336</v>
      </c>
      <c r="AX173" s="105" t="s">
        <v>5337</v>
      </c>
      <c r="AY173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73"/>
      <c r="CY173" s="1723" t="str">
        <f t="shared" si="183"/>
        <v xml:space="preserve"> * La variable Usuarios con Discapacidad no pueden superar el Total Ambos Sexos.</v>
      </c>
      <c r="CZ173" s="1723" t="str">
        <f t="shared" si="184"/>
        <v xml:space="preserve"> * La variable Niños, niñas, adolescentes y jóvenes SENAME no pueden superar el Total Ambos Sexos.</v>
      </c>
      <c r="DA173" s="1723" t="str">
        <f t="shared" si="185"/>
        <v xml:space="preserve"> * La variable Niños, niñas, adolescentes y jóvenes Mejor Niñez  no pueden superar el Total Ambos Sexos.</v>
      </c>
      <c r="DB173" s="1723" t="str">
        <f t="shared" si="186"/>
        <v xml:space="preserve"> * La variable Migrantes no pueden superar el Total Ambos Sexos.</v>
      </c>
      <c r="DC173" s="5924"/>
      <c r="DD173" s="1723" t="str">
        <f t="shared" si="187"/>
        <v xml:space="preserve"> * La variable Paciente Diabético en control PSCV no pueden superar el Total Ambos Sexos.</v>
      </c>
      <c r="DE173"/>
      <c r="DF173"/>
      <c r="DH173"/>
      <c r="DI173" s="1725">
        <f t="shared" si="195"/>
        <v>1</v>
      </c>
      <c r="DJ173" s="1725">
        <f t="shared" si="196"/>
        <v>1</v>
      </c>
      <c r="DK173" s="1725">
        <f t="shared" si="197"/>
        <v>1</v>
      </c>
      <c r="DL173" s="1725">
        <f t="shared" si="198"/>
        <v>1</v>
      </c>
      <c r="DM173" s="5924"/>
      <c r="DN173" s="1725">
        <f t="shared" si="200"/>
        <v>1</v>
      </c>
    </row>
    <row r="174" spans="1:118" ht="15" customHeight="1" x14ac:dyDescent="0.3">
      <c r="A174" s="6269" t="s">
        <v>5045</v>
      </c>
      <c r="B174" s="7267"/>
      <c r="C174" s="7267"/>
      <c r="D174" s="766" t="s">
        <v>749</v>
      </c>
      <c r="E174" s="907" t="s">
        <v>5292</v>
      </c>
      <c r="F174" s="4729" t="s">
        <v>5293</v>
      </c>
      <c r="G174" s="3514" t="s">
        <v>5294</v>
      </c>
      <c r="H174" s="4191" t="s">
        <v>5295</v>
      </c>
      <c r="I174" s="3052" t="s">
        <v>5296</v>
      </c>
      <c r="J174" s="3052" t="s">
        <v>5297</v>
      </c>
      <c r="K174" s="4705" t="s">
        <v>5298</v>
      </c>
      <c r="L174" s="3052" t="s">
        <v>5299</v>
      </c>
      <c r="M174" s="3052" t="s">
        <v>5300</v>
      </c>
      <c r="N174" s="3052" t="s">
        <v>5301</v>
      </c>
      <c r="O174" s="4705" t="s">
        <v>5302</v>
      </c>
      <c r="P174" s="3052" t="s">
        <v>5303</v>
      </c>
      <c r="Q174" s="3052" t="s">
        <v>5304</v>
      </c>
      <c r="R174" s="3052" t="s">
        <v>5305</v>
      </c>
      <c r="S174" s="4705" t="s">
        <v>5306</v>
      </c>
      <c r="T174" s="3052" t="s">
        <v>5307</v>
      </c>
      <c r="U174" s="3052" t="s">
        <v>5308</v>
      </c>
      <c r="V174" s="3052" t="s">
        <v>5309</v>
      </c>
      <c r="W174" s="4705" t="s">
        <v>5310</v>
      </c>
      <c r="X174" s="3052" t="s">
        <v>5311</v>
      </c>
      <c r="Y174" s="3052" t="s">
        <v>5312</v>
      </c>
      <c r="Z174" s="3052" t="s">
        <v>5313</v>
      </c>
      <c r="AA174" s="4705" t="s">
        <v>5314</v>
      </c>
      <c r="AB174" s="3052" t="s">
        <v>5315</v>
      </c>
      <c r="AC174" s="1965" t="s">
        <v>5316</v>
      </c>
      <c r="AD174" s="90" t="s">
        <v>5317</v>
      </c>
      <c r="AE174" s="875" t="s">
        <v>5318</v>
      </c>
      <c r="AF174" s="90" t="s">
        <v>5319</v>
      </c>
      <c r="AG174" s="875" t="s">
        <v>5320</v>
      </c>
      <c r="AH174" s="90" t="s">
        <v>5321</v>
      </c>
      <c r="AI174" s="875" t="s">
        <v>5322</v>
      </c>
      <c r="AJ174" s="90" t="s">
        <v>5323</v>
      </c>
      <c r="AK174" s="875" t="s">
        <v>5324</v>
      </c>
      <c r="AL174" s="90" t="s">
        <v>5325</v>
      </c>
      <c r="AM174" s="875" t="s">
        <v>5326</v>
      </c>
      <c r="AN174" s="90" t="s">
        <v>5327</v>
      </c>
      <c r="AO174" s="875" t="s">
        <v>5328</v>
      </c>
      <c r="AP174" s="90" t="s">
        <v>5329</v>
      </c>
      <c r="AQ174" s="875" t="s">
        <v>5330</v>
      </c>
      <c r="AR174" s="876" t="s">
        <v>5331</v>
      </c>
      <c r="AS174" s="91" t="s">
        <v>5332</v>
      </c>
      <c r="AT174" s="91" t="s">
        <v>5333</v>
      </c>
      <c r="AU174" s="91" t="s">
        <v>5334</v>
      </c>
      <c r="AV174" s="870" t="s">
        <v>5335</v>
      </c>
      <c r="AW174" s="865" t="s">
        <v>5336</v>
      </c>
      <c r="AX174" s="870" t="s">
        <v>5337</v>
      </c>
      <c r="AY174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74"/>
      <c r="CY174" s="1723" t="str">
        <f t="shared" si="183"/>
        <v xml:space="preserve"> * La variable Usuarios con Discapacidad no pueden superar el Total Ambos Sexos.</v>
      </c>
      <c r="CZ174" s="1723" t="str">
        <f t="shared" si="184"/>
        <v xml:space="preserve"> * La variable Niños, niñas, adolescentes y jóvenes SENAME no pueden superar el Total Ambos Sexos.</v>
      </c>
      <c r="DA174" s="1723" t="str">
        <f t="shared" si="185"/>
        <v xml:space="preserve"> * La variable Niños, niñas, adolescentes y jóvenes Mejor Niñez  no pueden superar el Total Ambos Sexos.</v>
      </c>
      <c r="DB174" s="1723" t="str">
        <f t="shared" si="186"/>
        <v xml:space="preserve"> * La variable Migrantes no pueden superar el Total Ambos Sexos.</v>
      </c>
      <c r="DC174" s="5924"/>
      <c r="DD174" s="1723" t="str">
        <f t="shared" si="187"/>
        <v xml:space="preserve"> * La variable Paciente Diabético en control PSCV no pueden superar el Total Ambos Sexos.</v>
      </c>
      <c r="DE174"/>
      <c r="DF174"/>
      <c r="DH174"/>
      <c r="DI174" s="1725">
        <f t="shared" si="195"/>
        <v>1</v>
      </c>
      <c r="DJ174" s="1725">
        <f t="shared" si="196"/>
        <v>1</v>
      </c>
      <c r="DK174" s="1725">
        <f t="shared" si="197"/>
        <v>1</v>
      </c>
      <c r="DL174" s="1725">
        <f t="shared" si="198"/>
        <v>1</v>
      </c>
      <c r="DM174" s="5924"/>
      <c r="DN174" s="1725">
        <f t="shared" si="200"/>
        <v>1</v>
      </c>
    </row>
    <row r="175" spans="1:118" ht="15" customHeight="1" x14ac:dyDescent="0.3">
      <c r="A175" s="6269" t="s">
        <v>5046</v>
      </c>
      <c r="B175" s="7363"/>
      <c r="C175" s="7267"/>
      <c r="D175" s="874" t="s">
        <v>807</v>
      </c>
      <c r="E175" s="4700" t="s">
        <v>5292</v>
      </c>
      <c r="F175" s="4730" t="s">
        <v>5293</v>
      </c>
      <c r="G175" s="4735" t="s">
        <v>5294</v>
      </c>
      <c r="H175" s="197" t="s">
        <v>5295</v>
      </c>
      <c r="I175" s="3021" t="s">
        <v>5296</v>
      </c>
      <c r="J175" s="3021" t="s">
        <v>5297</v>
      </c>
      <c r="K175" s="4706" t="s">
        <v>5298</v>
      </c>
      <c r="L175" s="3021" t="s">
        <v>5299</v>
      </c>
      <c r="M175" s="3021" t="s">
        <v>5300</v>
      </c>
      <c r="N175" s="3021" t="s">
        <v>5301</v>
      </c>
      <c r="O175" s="4706" t="s">
        <v>5302</v>
      </c>
      <c r="P175" s="3021" t="s">
        <v>5303</v>
      </c>
      <c r="Q175" s="3021" t="s">
        <v>5304</v>
      </c>
      <c r="R175" s="3021" t="s">
        <v>5305</v>
      </c>
      <c r="S175" s="4706" t="s">
        <v>5306</v>
      </c>
      <c r="T175" s="3021" t="s">
        <v>5307</v>
      </c>
      <c r="U175" s="3021" t="s">
        <v>5308</v>
      </c>
      <c r="V175" s="3021" t="s">
        <v>5309</v>
      </c>
      <c r="W175" s="4706" t="s">
        <v>5310</v>
      </c>
      <c r="X175" s="3021" t="s">
        <v>5311</v>
      </c>
      <c r="Y175" s="3021" t="s">
        <v>5312</v>
      </c>
      <c r="Z175" s="3021" t="s">
        <v>5313</v>
      </c>
      <c r="AA175" s="4706" t="s">
        <v>5314</v>
      </c>
      <c r="AB175" s="3021" t="s">
        <v>5315</v>
      </c>
      <c r="AC175" s="3795" t="s">
        <v>5316</v>
      </c>
      <c r="AD175" s="114" t="s">
        <v>5317</v>
      </c>
      <c r="AE175" s="877" t="s">
        <v>5318</v>
      </c>
      <c r="AF175" s="114" t="s">
        <v>5319</v>
      </c>
      <c r="AG175" s="877" t="s">
        <v>5320</v>
      </c>
      <c r="AH175" s="114" t="s">
        <v>5321</v>
      </c>
      <c r="AI175" s="877" t="s">
        <v>5322</v>
      </c>
      <c r="AJ175" s="114" t="s">
        <v>5323</v>
      </c>
      <c r="AK175" s="877" t="s">
        <v>5324</v>
      </c>
      <c r="AL175" s="114" t="s">
        <v>5325</v>
      </c>
      <c r="AM175" s="877" t="s">
        <v>5326</v>
      </c>
      <c r="AN175" s="114" t="s">
        <v>5327</v>
      </c>
      <c r="AO175" s="877" t="s">
        <v>5328</v>
      </c>
      <c r="AP175" s="114" t="s">
        <v>5329</v>
      </c>
      <c r="AQ175" s="877" t="s">
        <v>5330</v>
      </c>
      <c r="AR175" s="771" t="s">
        <v>5331</v>
      </c>
      <c r="AS175" s="117" t="s">
        <v>5332</v>
      </c>
      <c r="AT175" s="117" t="s">
        <v>5333</v>
      </c>
      <c r="AU175" s="117" t="s">
        <v>5334</v>
      </c>
      <c r="AV175" s="117" t="s">
        <v>5335</v>
      </c>
      <c r="AW175" s="878" t="s">
        <v>5336</v>
      </c>
      <c r="AX175" s="117" t="s">
        <v>5337</v>
      </c>
      <c r="AY175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75"/>
      <c r="CY175" s="1723" t="str">
        <f t="shared" si="183"/>
        <v xml:space="preserve"> * La variable Usuarios con Discapacidad no pueden superar el Total Ambos Sexos.</v>
      </c>
      <c r="CZ175" s="1723" t="str">
        <f t="shared" si="184"/>
        <v xml:space="preserve"> * La variable Niños, niñas, adolescentes y jóvenes SENAME no pueden superar el Total Ambos Sexos.</v>
      </c>
      <c r="DA175" s="1723" t="str">
        <f t="shared" si="185"/>
        <v xml:space="preserve"> * La variable Niños, niñas, adolescentes y jóvenes Mejor Niñez  no pueden superar el Total Ambos Sexos.</v>
      </c>
      <c r="DB175" s="1723" t="str">
        <f t="shared" si="186"/>
        <v xml:space="preserve"> * La variable Migrantes no pueden superar el Total Ambos Sexos.</v>
      </c>
      <c r="DC175" s="5924"/>
      <c r="DD175" s="1723" t="str">
        <f t="shared" si="187"/>
        <v xml:space="preserve"> * La variable Paciente Diabético en control PSCV no pueden superar el Total Ambos Sexos.</v>
      </c>
      <c r="DE175"/>
      <c r="DF175"/>
      <c r="DH175"/>
      <c r="DI175" s="1725">
        <f t="shared" si="195"/>
        <v>1</v>
      </c>
      <c r="DJ175" s="1725">
        <f t="shared" si="196"/>
        <v>1</v>
      </c>
      <c r="DK175" s="1725">
        <f t="shared" si="197"/>
        <v>1</v>
      </c>
      <c r="DL175" s="1725">
        <f t="shared" si="198"/>
        <v>1</v>
      </c>
      <c r="DM175" s="5924"/>
      <c r="DN175" s="1725">
        <f t="shared" si="200"/>
        <v>1</v>
      </c>
    </row>
    <row r="176" spans="1:118" ht="15" customHeight="1" x14ac:dyDescent="0.3">
      <c r="A176" s="6238"/>
      <c r="B176" s="7420" t="s">
        <v>854</v>
      </c>
      <c r="C176" s="7423" t="s">
        <v>855</v>
      </c>
      <c r="D176" s="879" t="s">
        <v>856</v>
      </c>
      <c r="E176" s="4702">
        <v>0</v>
      </c>
      <c r="F176" s="4731">
        <v>0</v>
      </c>
      <c r="G176" s="4723">
        <v>0</v>
      </c>
      <c r="H176" s="4734">
        <v>0</v>
      </c>
      <c r="I176" s="881">
        <v>0</v>
      </c>
      <c r="J176" s="880">
        <v>0</v>
      </c>
      <c r="K176" s="881">
        <v>0</v>
      </c>
      <c r="L176" s="880">
        <v>0</v>
      </c>
      <c r="M176" s="882">
        <v>0</v>
      </c>
      <c r="N176" s="880">
        <v>0</v>
      </c>
      <c r="O176" s="883">
        <v>0</v>
      </c>
      <c r="P176" s="571">
        <v>0</v>
      </c>
      <c r="Q176" s="881">
        <v>0</v>
      </c>
      <c r="R176" s="571">
        <v>0</v>
      </c>
      <c r="S176" s="881">
        <v>0</v>
      </c>
      <c r="T176" s="571">
        <v>0</v>
      </c>
      <c r="U176" s="881">
        <v>0</v>
      </c>
      <c r="V176" s="571">
        <v>0</v>
      </c>
      <c r="W176" s="881">
        <v>0</v>
      </c>
      <c r="X176" s="571">
        <v>0</v>
      </c>
      <c r="Y176" s="881">
        <v>0</v>
      </c>
      <c r="Z176" s="571">
        <v>0</v>
      </c>
      <c r="AA176" s="881">
        <v>0</v>
      </c>
      <c r="AB176" s="571">
        <v>0</v>
      </c>
      <c r="AC176" s="881">
        <v>0</v>
      </c>
      <c r="AD176" s="880">
        <v>0</v>
      </c>
      <c r="AE176" s="881">
        <v>0</v>
      </c>
      <c r="AF176" s="880">
        <v>0</v>
      </c>
      <c r="AG176" s="881">
        <v>0</v>
      </c>
      <c r="AH176" s="880">
        <v>0</v>
      </c>
      <c r="AI176" s="881">
        <v>0</v>
      </c>
      <c r="AJ176" s="880">
        <v>0</v>
      </c>
      <c r="AK176" s="881">
        <v>0</v>
      </c>
      <c r="AL176" s="880">
        <v>0</v>
      </c>
      <c r="AM176" s="881">
        <v>0</v>
      </c>
      <c r="AN176" s="880">
        <v>0</v>
      </c>
      <c r="AO176" s="881">
        <v>0</v>
      </c>
      <c r="AP176" s="880">
        <v>0</v>
      </c>
      <c r="AQ176" s="881">
        <v>0</v>
      </c>
      <c r="AR176" s="884">
        <v>0</v>
      </c>
      <c r="AS176" s="881">
        <v>0</v>
      </c>
      <c r="AT176" s="881">
        <v>0</v>
      </c>
      <c r="AU176" s="881">
        <v>0</v>
      </c>
      <c r="AV176" s="881">
        <v>0</v>
      </c>
      <c r="AW176" s="885">
        <v>0</v>
      </c>
      <c r="AX176" s="881">
        <v>0</v>
      </c>
      <c r="CX176"/>
      <c r="CY176"/>
      <c r="CZ176"/>
      <c r="DA176"/>
      <c r="DB176" s="3197"/>
      <c r="DC176"/>
      <c r="DD176"/>
      <c r="DE176"/>
      <c r="DF176"/>
      <c r="DH176"/>
      <c r="DI176"/>
      <c r="DJ176"/>
      <c r="DK176"/>
      <c r="DL176"/>
      <c r="DM176"/>
      <c r="DN176"/>
    </row>
    <row r="177" spans="1:118" ht="15" customHeight="1" x14ac:dyDescent="0.3">
      <c r="A177" s="6269" t="s">
        <v>5047</v>
      </c>
      <c r="B177" s="7421"/>
      <c r="C177" s="7424"/>
      <c r="D177" s="886" t="s">
        <v>857</v>
      </c>
      <c r="E177" s="907" t="s">
        <v>5292</v>
      </c>
      <c r="F177" s="4732" t="s">
        <v>5293</v>
      </c>
      <c r="G177" s="4692" t="s">
        <v>5294</v>
      </c>
      <c r="H177" s="4716" t="s">
        <v>5295</v>
      </c>
      <c r="I177" s="185" t="s">
        <v>5296</v>
      </c>
      <c r="J177" s="482" t="s">
        <v>5297</v>
      </c>
      <c r="K177" s="499" t="s">
        <v>5298</v>
      </c>
      <c r="L177" s="482" t="s">
        <v>5299</v>
      </c>
      <c r="M177" s="558" t="s">
        <v>5300</v>
      </c>
      <c r="N177" s="482" t="s">
        <v>5301</v>
      </c>
      <c r="O177" s="185" t="s">
        <v>5302</v>
      </c>
      <c r="P177" s="482" t="s">
        <v>5303</v>
      </c>
      <c r="Q177" s="105" t="s">
        <v>5304</v>
      </c>
      <c r="R177" s="482" t="s">
        <v>5305</v>
      </c>
      <c r="S177" s="105" t="s">
        <v>5306</v>
      </c>
      <c r="T177" s="482" t="s">
        <v>5307</v>
      </c>
      <c r="U177" s="105" t="s">
        <v>5308</v>
      </c>
      <c r="V177" s="482" t="s">
        <v>5309</v>
      </c>
      <c r="W177" s="105" t="s">
        <v>5310</v>
      </c>
      <c r="X177" s="482" t="s">
        <v>5311</v>
      </c>
      <c r="Y177" s="105" t="s">
        <v>5312</v>
      </c>
      <c r="Z177" s="482" t="s">
        <v>5313</v>
      </c>
      <c r="AA177" s="105" t="s">
        <v>5314</v>
      </c>
      <c r="AB177" s="586" t="s">
        <v>5315</v>
      </c>
      <c r="AC177" s="105" t="s">
        <v>5316</v>
      </c>
      <c r="AD177" s="586" t="s">
        <v>5317</v>
      </c>
      <c r="AE177" s="105" t="s">
        <v>5318</v>
      </c>
      <c r="AF177" s="586" t="s">
        <v>5319</v>
      </c>
      <c r="AG177" s="105" t="s">
        <v>5320</v>
      </c>
      <c r="AH177" s="586" t="s">
        <v>5321</v>
      </c>
      <c r="AI177" s="105" t="s">
        <v>5322</v>
      </c>
      <c r="AJ177" s="586" t="s">
        <v>5323</v>
      </c>
      <c r="AK177" s="105" t="s">
        <v>5324</v>
      </c>
      <c r="AL177" s="586" t="s">
        <v>5325</v>
      </c>
      <c r="AM177" s="105" t="s">
        <v>5326</v>
      </c>
      <c r="AN177" s="586" t="s">
        <v>5327</v>
      </c>
      <c r="AO177" s="105" t="s">
        <v>5328</v>
      </c>
      <c r="AP177" s="586" t="s">
        <v>5329</v>
      </c>
      <c r="AQ177" s="105" t="s">
        <v>5330</v>
      </c>
      <c r="AR177" s="768" t="s">
        <v>5331</v>
      </c>
      <c r="AS177" s="105" t="s">
        <v>5332</v>
      </c>
      <c r="AT177" s="105" t="s">
        <v>5333</v>
      </c>
      <c r="AU177" s="105" t="s">
        <v>5334</v>
      </c>
      <c r="AV177" s="105" t="s">
        <v>5335</v>
      </c>
      <c r="AW177" s="784" t="s">
        <v>5336</v>
      </c>
      <c r="AX177" s="105" t="s">
        <v>5337</v>
      </c>
      <c r="AY177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77"/>
      <c r="CY177" s="1723" t="str">
        <f t="shared" ref="CY177:CY191" si="201">IF(AND(E177&gt;0,AS177=""),"  * No olvide digitar la variable  Usuarios con Discapacidad. Digite Cero si no tiene.",IF(AS177&gt;E177," * La variable Usuarios con Discapacidad no pueden superar el Total Ambos Sexos.",""))</f>
        <v xml:space="preserve"> * La variable Usuarios con Discapacidad no pueden superar el Total Ambos Sexos.</v>
      </c>
      <c r="CZ177" s="1723" t="str">
        <f t="shared" ref="CZ177:CZ186" si="202">IF(AND(E177&gt;0,AT177=""),"  * No olvide digitar la variable Niños, niñas, adolescentes y jóvenes SENAME. Digite Cero si no tiene.",IF(AT177&gt;E177," * La variable Niños, niñas, adolescentes y jóvenes SENAME no pueden superar el Total Ambos Sexos.",""))</f>
        <v xml:space="preserve"> * La variable Niños, niñas, adolescentes y jóvenes SENAME no pueden superar el Total Ambos Sexos.</v>
      </c>
      <c r="DA177" s="1723" t="str">
        <f t="shared" ref="DA177:DA186" si="203">IF(AND(E177&gt;0,AU177=""),"  * No olvide digitar la variable Niños, niñas, adolescentes y jóvenes Mejor Niñez. Digite Cero si no tiene.",IF(AU177&gt;E177," * La variable Niños, niñas, adolescentes y jóvenes Mejor Niñez  no pueden superar el Total Ambos Sexos.",""))</f>
        <v xml:space="preserve"> * La variable Niños, niñas, adolescentes y jóvenes Mejor Niñez  no pueden superar el Total Ambos Sexos.</v>
      </c>
      <c r="DB177" s="1723" t="str">
        <f t="shared" ref="DB177:DB191" si="204">IF(AND(E177&gt;0,AV177=""),"  * No olvide digitar la variable Migrantes. Digite Cero si no tiene.",IF(AV177&gt;E177," * La variable Migrantes no pueden superar el Total Ambos Sexos.",""))</f>
        <v xml:space="preserve"> * La variable Migrantes no pueden superar el Total Ambos Sexos.</v>
      </c>
      <c r="DC177" s="1723" t="str">
        <f>IF(AND($E177&gt;0,AW177=""),"  * No olvide digitar la variable Egreso por Abandono. Digite Cero si no tiene.",IF(AW177&gt;$E177," * La variable Egreso por Abandono no pueden superar el Total Ambos Sexos.",""))</f>
        <v xml:space="preserve"> * La variable Egreso por Abandono no pueden superar el Total Ambos Sexos.</v>
      </c>
      <c r="DD177" s="1723" t="str">
        <f t="shared" ref="DD177:DD196" si="205">IF(AND(E177&gt;0,AX177=""),"  * No olvide digitar la variable Paciente Diabético en control PSCV. Digite Cero si no tiene.",IF(AX177&gt;E177," * La variable Paciente Diabético en control PSCV no pueden superar el Total Ambos Sexos.",""))</f>
        <v xml:space="preserve"> * La variable Paciente Diabético en control PSCV no pueden superar el Total Ambos Sexos.</v>
      </c>
      <c r="DE177"/>
      <c r="DF177"/>
      <c r="DH177"/>
      <c r="DI177" s="1725">
        <f>IF(AND(E177&gt;0,AS177=""),1,IF(AS177&gt;E177,1,0))</f>
        <v>1</v>
      </c>
      <c r="DJ177" s="1725">
        <f>IF(AND(E177&gt;0,AT177=""),1,IF(AT177&gt;E177,1,0))</f>
        <v>1</v>
      </c>
      <c r="DK177" s="1725">
        <f>IF(AND(E177&gt;0,AU177=""),1,IF(AU177&gt;E177,1,0))</f>
        <v>1</v>
      </c>
      <c r="DL177" s="1725">
        <f>IF(AND(E177&gt;0,AV177=""),1,IF(AV177&gt;E177,1,0))</f>
        <v>1</v>
      </c>
      <c r="DM177" s="1725">
        <f>IF(AND(E177&gt;0,AW177=""),1,IF(AW177&gt;E177,1,0))</f>
        <v>1</v>
      </c>
      <c r="DN177" s="1725">
        <f>IF(AND(E177&gt;0,AX177=""),1,IF(AX177&gt;E177,1,0))</f>
        <v>1</v>
      </c>
    </row>
    <row r="178" spans="1:118" ht="15" customHeight="1" x14ac:dyDescent="0.3">
      <c r="A178" s="6269" t="s">
        <v>5048</v>
      </c>
      <c r="B178" s="7422"/>
      <c r="C178" s="7425"/>
      <c r="D178" s="887" t="s">
        <v>858</v>
      </c>
      <c r="E178" s="4700" t="s">
        <v>5292</v>
      </c>
      <c r="F178" s="4730" t="s">
        <v>5293</v>
      </c>
      <c r="G178" s="4693" t="s">
        <v>5294</v>
      </c>
      <c r="H178" s="121" t="s">
        <v>5295</v>
      </c>
      <c r="I178" s="116" t="s">
        <v>5296</v>
      </c>
      <c r="J178" s="114" t="s">
        <v>5297</v>
      </c>
      <c r="K178" s="117" t="s">
        <v>5298</v>
      </c>
      <c r="L178" s="114" t="s">
        <v>5299</v>
      </c>
      <c r="M178" s="138" t="s">
        <v>5300</v>
      </c>
      <c r="N178" s="114" t="s">
        <v>5301</v>
      </c>
      <c r="O178" s="116" t="s">
        <v>5302</v>
      </c>
      <c r="P178" s="114" t="s">
        <v>5303</v>
      </c>
      <c r="Q178" s="117" t="s">
        <v>5304</v>
      </c>
      <c r="R178" s="114" t="s">
        <v>5305</v>
      </c>
      <c r="S178" s="117" t="s">
        <v>5306</v>
      </c>
      <c r="T178" s="114" t="s">
        <v>5307</v>
      </c>
      <c r="U178" s="117" t="s">
        <v>5308</v>
      </c>
      <c r="V178" s="114" t="s">
        <v>5309</v>
      </c>
      <c r="W178" s="117" t="s">
        <v>5310</v>
      </c>
      <c r="X178" s="114" t="s">
        <v>5311</v>
      </c>
      <c r="Y178" s="117" t="s">
        <v>5312</v>
      </c>
      <c r="Z178" s="114" t="s">
        <v>5313</v>
      </c>
      <c r="AA178" s="117" t="s">
        <v>5314</v>
      </c>
      <c r="AB178" s="114" t="s">
        <v>5315</v>
      </c>
      <c r="AC178" s="117" t="s">
        <v>5316</v>
      </c>
      <c r="AD178" s="114" t="s">
        <v>5317</v>
      </c>
      <c r="AE178" s="117" t="s">
        <v>5318</v>
      </c>
      <c r="AF178" s="114" t="s">
        <v>5319</v>
      </c>
      <c r="AG178" s="117" t="s">
        <v>5320</v>
      </c>
      <c r="AH178" s="114" t="s">
        <v>5321</v>
      </c>
      <c r="AI178" s="117" t="s">
        <v>5322</v>
      </c>
      <c r="AJ178" s="114" t="s">
        <v>5323</v>
      </c>
      <c r="AK178" s="117" t="s">
        <v>5324</v>
      </c>
      <c r="AL178" s="114" t="s">
        <v>5325</v>
      </c>
      <c r="AM178" s="117" t="s">
        <v>5326</v>
      </c>
      <c r="AN178" s="114" t="s">
        <v>5327</v>
      </c>
      <c r="AO178" s="117" t="s">
        <v>5328</v>
      </c>
      <c r="AP178" s="114" t="s">
        <v>5329</v>
      </c>
      <c r="AQ178" s="117" t="s">
        <v>5330</v>
      </c>
      <c r="AR178" s="771" t="s">
        <v>5331</v>
      </c>
      <c r="AS178" s="117" t="s">
        <v>5332</v>
      </c>
      <c r="AT178" s="117" t="s">
        <v>5333</v>
      </c>
      <c r="AU178" s="117" t="s">
        <v>5334</v>
      </c>
      <c r="AV178" s="117" t="s">
        <v>5335</v>
      </c>
      <c r="AW178" s="153" t="s">
        <v>5336</v>
      </c>
      <c r="AX178" s="117" t="s">
        <v>5337</v>
      </c>
      <c r="AY178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78"/>
      <c r="CY178" s="1723" t="str">
        <f t="shared" si="201"/>
        <v xml:space="preserve"> * La variable Usuarios con Discapacidad no pueden superar el Total Ambos Sexos.</v>
      </c>
      <c r="CZ178" s="1723" t="str">
        <f t="shared" si="202"/>
        <v xml:space="preserve"> * La variable Niños, niñas, adolescentes y jóvenes SENAME no pueden superar el Total Ambos Sexos.</v>
      </c>
      <c r="DA178" s="1723" t="str">
        <f t="shared" si="203"/>
        <v xml:space="preserve"> * La variable Niños, niñas, adolescentes y jóvenes Mejor Niñez  no pueden superar el Total Ambos Sexos.</v>
      </c>
      <c r="DB178" s="1723" t="str">
        <f t="shared" si="204"/>
        <v xml:space="preserve"> * La variable Migrantes no pueden superar el Total Ambos Sexos.</v>
      </c>
      <c r="DC178" s="1723" t="str">
        <f t="shared" ref="DC178:DC194" si="206">IF(AND($E178&gt;0,AW178=""),"  * No olvide digitar la variable Egreso por Abandono. Digite Cero si no tiene.",IF(AW178&gt;$E178," * La variable Egreso por Abandono no pueden superar el Total Ambos Sexos.",""))</f>
        <v xml:space="preserve"> * La variable Egreso por Abandono no pueden superar el Total Ambos Sexos.</v>
      </c>
      <c r="DD178" s="1723" t="str">
        <f t="shared" si="205"/>
        <v xml:space="preserve"> * La variable Paciente Diabético en control PSCV no pueden superar el Total Ambos Sexos.</v>
      </c>
      <c r="DE178"/>
      <c r="DF178"/>
      <c r="DH178"/>
      <c r="DI178" s="1725">
        <f t="shared" ref="DI178:DI196" si="207">IF(AND(E178&gt;0,AS178=""),1,IF(AS178&gt;E178,1,0))</f>
        <v>1</v>
      </c>
      <c r="DJ178" s="1725">
        <f t="shared" ref="DJ178:DJ196" si="208">IF(AND(E178&gt;0,AT178=""),1,IF(AT178&gt;E178,1,0))</f>
        <v>1</v>
      </c>
      <c r="DK178" s="1725">
        <f t="shared" ref="DK178:DK196" si="209">IF(AND(E178&gt;0,AU178=""),1,IF(AU178&gt;E178,1,0))</f>
        <v>1</v>
      </c>
      <c r="DL178" s="1725">
        <f t="shared" ref="DL178:DL196" si="210">IF(AND(E178&gt;0,AV178=""),1,IF(AV178&gt;E178,1,0))</f>
        <v>1</v>
      </c>
      <c r="DM178" s="1725">
        <f t="shared" ref="DM178:DM194" si="211">IF(AND(E178&gt;0,AW178=""),1,IF(AW178&gt;E178,1,0))</f>
        <v>1</v>
      </c>
      <c r="DN178" s="1725">
        <f t="shared" ref="DN178:DN196" si="212">IF(AND(E178&gt;0,AX178=""),1,IF(AX178&gt;E178,1,0))</f>
        <v>1</v>
      </c>
    </row>
    <row r="179" spans="1:118" ht="15" customHeight="1" x14ac:dyDescent="0.3">
      <c r="A179" s="6269" t="s">
        <v>5049</v>
      </c>
      <c r="B179" s="7420" t="s">
        <v>859</v>
      </c>
      <c r="C179" s="7362" t="s">
        <v>860</v>
      </c>
      <c r="D179" s="605" t="s">
        <v>861</v>
      </c>
      <c r="E179" s="907" t="s">
        <v>5292</v>
      </c>
      <c r="F179" s="4732" t="s">
        <v>5293</v>
      </c>
      <c r="G179" s="4694" t="s">
        <v>5294</v>
      </c>
      <c r="H179" s="4715" t="s">
        <v>5295</v>
      </c>
      <c r="I179" s="1394" t="s">
        <v>5296</v>
      </c>
      <c r="J179" s="1394" t="s">
        <v>5297</v>
      </c>
      <c r="K179" s="1394" t="s">
        <v>5298</v>
      </c>
      <c r="L179" s="1394" t="s">
        <v>5299</v>
      </c>
      <c r="M179" s="1394" t="s">
        <v>5300</v>
      </c>
      <c r="N179" s="1394" t="s">
        <v>5301</v>
      </c>
      <c r="O179" s="1394" t="s">
        <v>5302</v>
      </c>
      <c r="P179" s="1394" t="s">
        <v>5303</v>
      </c>
      <c r="Q179" s="1394" t="s">
        <v>5304</v>
      </c>
      <c r="R179" s="1394" t="s">
        <v>5305</v>
      </c>
      <c r="S179" s="1394" t="s">
        <v>5306</v>
      </c>
      <c r="T179" s="1394" t="s">
        <v>5307</v>
      </c>
      <c r="U179" s="1394" t="s">
        <v>5308</v>
      </c>
      <c r="V179" s="1394" t="s">
        <v>5309</v>
      </c>
      <c r="W179" s="1394" t="s">
        <v>5310</v>
      </c>
      <c r="X179" s="1394" t="s">
        <v>5311</v>
      </c>
      <c r="Y179" s="4714" t="s">
        <v>5312</v>
      </c>
      <c r="Z179" s="1394" t="s">
        <v>5313</v>
      </c>
      <c r="AA179" s="1394" t="s">
        <v>5314</v>
      </c>
      <c r="AB179" s="588" t="s">
        <v>5315</v>
      </c>
      <c r="AC179" s="105" t="s">
        <v>5316</v>
      </c>
      <c r="AD179" s="586" t="s">
        <v>5317</v>
      </c>
      <c r="AE179" s="105" t="s">
        <v>5318</v>
      </c>
      <c r="AF179" s="586" t="s">
        <v>5319</v>
      </c>
      <c r="AG179" s="105" t="s">
        <v>5320</v>
      </c>
      <c r="AH179" s="586" t="s">
        <v>5321</v>
      </c>
      <c r="AI179" s="105" t="s">
        <v>5322</v>
      </c>
      <c r="AJ179" s="586" t="s">
        <v>5323</v>
      </c>
      <c r="AK179" s="105" t="s">
        <v>5324</v>
      </c>
      <c r="AL179" s="586" t="s">
        <v>5325</v>
      </c>
      <c r="AM179" s="105" t="s">
        <v>5326</v>
      </c>
      <c r="AN179" s="586" t="s">
        <v>5327</v>
      </c>
      <c r="AO179" s="105" t="s">
        <v>5328</v>
      </c>
      <c r="AP179" s="586" t="s">
        <v>5329</v>
      </c>
      <c r="AQ179" s="105" t="s">
        <v>5330</v>
      </c>
      <c r="AR179" s="768" t="s">
        <v>5331</v>
      </c>
      <c r="AS179" s="587" t="s">
        <v>5332</v>
      </c>
      <c r="AT179" s="105" t="s">
        <v>5333</v>
      </c>
      <c r="AU179" s="105" t="s">
        <v>5334</v>
      </c>
      <c r="AV179" s="105" t="s">
        <v>5335</v>
      </c>
      <c r="AW179" s="784" t="s">
        <v>5336</v>
      </c>
      <c r="AX179" s="105" t="s">
        <v>5337</v>
      </c>
      <c r="AY179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79"/>
      <c r="CY179" s="1723" t="str">
        <f t="shared" si="201"/>
        <v xml:space="preserve"> * La variable Usuarios con Discapacidad no pueden superar el Total Ambos Sexos.</v>
      </c>
      <c r="CZ179" s="1723" t="str">
        <f t="shared" si="202"/>
        <v xml:space="preserve"> * La variable Niños, niñas, adolescentes y jóvenes SENAME no pueden superar el Total Ambos Sexos.</v>
      </c>
      <c r="DA179" s="1723" t="str">
        <f t="shared" si="203"/>
        <v xml:space="preserve"> * La variable Niños, niñas, adolescentes y jóvenes Mejor Niñez  no pueden superar el Total Ambos Sexos.</v>
      </c>
      <c r="DB179" s="1723" t="str">
        <f t="shared" si="204"/>
        <v xml:space="preserve"> * La variable Migrantes no pueden superar el Total Ambos Sexos.</v>
      </c>
      <c r="DC179" s="1723" t="str">
        <f t="shared" si="206"/>
        <v xml:space="preserve"> * La variable Egreso por Abandono no pueden superar el Total Ambos Sexos.</v>
      </c>
      <c r="DD179" s="1723" t="str">
        <f t="shared" si="205"/>
        <v xml:space="preserve"> * La variable Paciente Diabético en control PSCV no pueden superar el Total Ambos Sexos.</v>
      </c>
      <c r="DE179"/>
      <c r="DF179"/>
      <c r="DH179"/>
      <c r="DI179" s="1725">
        <f t="shared" si="207"/>
        <v>1</v>
      </c>
      <c r="DJ179" s="1725">
        <f t="shared" si="208"/>
        <v>1</v>
      </c>
      <c r="DK179" s="1725">
        <f t="shared" si="209"/>
        <v>1</v>
      </c>
      <c r="DL179" s="1725">
        <f t="shared" si="210"/>
        <v>1</v>
      </c>
      <c r="DM179" s="1725">
        <f t="shared" si="211"/>
        <v>1</v>
      </c>
      <c r="DN179" s="1725">
        <f t="shared" si="212"/>
        <v>1</v>
      </c>
    </row>
    <row r="180" spans="1:118" ht="15" customHeight="1" x14ac:dyDescent="0.3">
      <c r="A180" s="6269" t="s">
        <v>5050</v>
      </c>
      <c r="B180" s="7421"/>
      <c r="C180" s="7267"/>
      <c r="D180" s="606" t="s">
        <v>862</v>
      </c>
      <c r="E180" s="1001" t="s">
        <v>5292</v>
      </c>
      <c r="F180" s="4732" t="s">
        <v>5293</v>
      </c>
      <c r="G180" s="4694" t="s">
        <v>5294</v>
      </c>
      <c r="H180" s="3570" t="s">
        <v>5295</v>
      </c>
      <c r="I180" s="4705" t="s">
        <v>5296</v>
      </c>
      <c r="J180" s="4705" t="s">
        <v>5297</v>
      </c>
      <c r="K180" s="4705" t="s">
        <v>5298</v>
      </c>
      <c r="L180" s="4705" t="s">
        <v>5299</v>
      </c>
      <c r="M180" s="4705" t="s">
        <v>5300</v>
      </c>
      <c r="N180" s="4705" t="s">
        <v>5301</v>
      </c>
      <c r="O180" s="4705" t="s">
        <v>5302</v>
      </c>
      <c r="P180" s="4705" t="s">
        <v>5303</v>
      </c>
      <c r="Q180" s="4705" t="s">
        <v>5304</v>
      </c>
      <c r="R180" s="4705" t="s">
        <v>5305</v>
      </c>
      <c r="S180" s="4705" t="s">
        <v>5306</v>
      </c>
      <c r="T180" s="4705" t="s">
        <v>5307</v>
      </c>
      <c r="U180" s="4705" t="s">
        <v>5308</v>
      </c>
      <c r="V180" s="4705" t="s">
        <v>5309</v>
      </c>
      <c r="W180" s="4705" t="s">
        <v>5310</v>
      </c>
      <c r="X180" s="4705" t="s">
        <v>5311</v>
      </c>
      <c r="Y180" s="4712" t="s">
        <v>5312</v>
      </c>
      <c r="Z180" s="4705" t="s">
        <v>5313</v>
      </c>
      <c r="AA180" s="4705" t="s">
        <v>5314</v>
      </c>
      <c r="AB180" s="4425" t="s">
        <v>5315</v>
      </c>
      <c r="AC180" s="870" t="s">
        <v>5316</v>
      </c>
      <c r="AD180" s="131" t="s">
        <v>5317</v>
      </c>
      <c r="AE180" s="870" t="s">
        <v>5318</v>
      </c>
      <c r="AF180" s="131" t="s">
        <v>5319</v>
      </c>
      <c r="AG180" s="870" t="s">
        <v>5320</v>
      </c>
      <c r="AH180" s="131" t="s">
        <v>5321</v>
      </c>
      <c r="AI180" s="870" t="s">
        <v>5322</v>
      </c>
      <c r="AJ180" s="131" t="s">
        <v>5323</v>
      </c>
      <c r="AK180" s="870" t="s">
        <v>5324</v>
      </c>
      <c r="AL180" s="131" t="s">
        <v>5325</v>
      </c>
      <c r="AM180" s="870" t="s">
        <v>5326</v>
      </c>
      <c r="AN180" s="131" t="s">
        <v>5327</v>
      </c>
      <c r="AO180" s="870" t="s">
        <v>5328</v>
      </c>
      <c r="AP180" s="131" t="s">
        <v>5329</v>
      </c>
      <c r="AQ180" s="870" t="s">
        <v>5330</v>
      </c>
      <c r="AR180" s="869" t="s">
        <v>5331</v>
      </c>
      <c r="AS180" s="566" t="s">
        <v>5332</v>
      </c>
      <c r="AT180" s="870" t="s">
        <v>5333</v>
      </c>
      <c r="AU180" s="870" t="s">
        <v>5334</v>
      </c>
      <c r="AV180" s="870" t="s">
        <v>5335</v>
      </c>
      <c r="AW180" s="889" t="s">
        <v>5336</v>
      </c>
      <c r="AX180" s="870" t="s">
        <v>5337</v>
      </c>
      <c r="AY180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80"/>
      <c r="CY180" s="1723" t="str">
        <f t="shared" si="201"/>
        <v xml:space="preserve"> * La variable Usuarios con Discapacidad no pueden superar el Total Ambos Sexos.</v>
      </c>
      <c r="CZ180" s="1723" t="str">
        <f t="shared" si="202"/>
        <v xml:space="preserve"> * La variable Niños, niñas, adolescentes y jóvenes SENAME no pueden superar el Total Ambos Sexos.</v>
      </c>
      <c r="DA180" s="1723" t="str">
        <f t="shared" si="203"/>
        <v xml:space="preserve"> * La variable Niños, niñas, adolescentes y jóvenes Mejor Niñez  no pueden superar el Total Ambos Sexos.</v>
      </c>
      <c r="DB180" s="1723" t="str">
        <f t="shared" si="204"/>
        <v xml:space="preserve"> * La variable Migrantes no pueden superar el Total Ambos Sexos.</v>
      </c>
      <c r="DC180" s="2783"/>
      <c r="DD180" s="1723" t="str">
        <f t="shared" si="205"/>
        <v xml:space="preserve"> * La variable Paciente Diabético en control PSCV no pueden superar el Total Ambos Sexos.</v>
      </c>
      <c r="DE180"/>
      <c r="DF180"/>
      <c r="DH180"/>
      <c r="DI180" s="1725">
        <f t="shared" si="207"/>
        <v>1</v>
      </c>
      <c r="DJ180" s="1725">
        <f t="shared" si="208"/>
        <v>1</v>
      </c>
      <c r="DK180" s="1725">
        <f t="shared" si="209"/>
        <v>1</v>
      </c>
      <c r="DL180" s="1725">
        <f t="shared" si="210"/>
        <v>1</v>
      </c>
      <c r="DM180" s="2783"/>
      <c r="DN180" s="1725">
        <f t="shared" si="212"/>
        <v>1</v>
      </c>
    </row>
    <row r="181" spans="1:118" ht="15" customHeight="1" x14ac:dyDescent="0.3">
      <c r="A181" s="6269" t="s">
        <v>5051</v>
      </c>
      <c r="B181" s="7421"/>
      <c r="C181" s="7363"/>
      <c r="D181" s="890" t="s">
        <v>863</v>
      </c>
      <c r="E181" s="1001" t="s">
        <v>5292</v>
      </c>
      <c r="F181" s="4730" t="s">
        <v>5293</v>
      </c>
      <c r="G181" s="4693" t="s">
        <v>5294</v>
      </c>
      <c r="H181" s="3570" t="s">
        <v>5295</v>
      </c>
      <c r="I181" s="4705" t="s">
        <v>5296</v>
      </c>
      <c r="J181" s="4705" t="s">
        <v>5297</v>
      </c>
      <c r="K181" s="4705" t="s">
        <v>5298</v>
      </c>
      <c r="L181" s="4705" t="s">
        <v>5299</v>
      </c>
      <c r="M181" s="4705" t="s">
        <v>5300</v>
      </c>
      <c r="N181" s="4705" t="s">
        <v>5301</v>
      </c>
      <c r="O181" s="4705" t="s">
        <v>5302</v>
      </c>
      <c r="P181" s="4705" t="s">
        <v>5303</v>
      </c>
      <c r="Q181" s="4705" t="s">
        <v>5304</v>
      </c>
      <c r="R181" s="4705" t="s">
        <v>5305</v>
      </c>
      <c r="S181" s="4705" t="s">
        <v>5306</v>
      </c>
      <c r="T181" s="4705" t="s">
        <v>5307</v>
      </c>
      <c r="U181" s="4705" t="s">
        <v>5308</v>
      </c>
      <c r="V181" s="4705" t="s">
        <v>5309</v>
      </c>
      <c r="W181" s="4705" t="s">
        <v>5310</v>
      </c>
      <c r="X181" s="4705" t="s">
        <v>5311</v>
      </c>
      <c r="Y181" s="4712" t="s">
        <v>5312</v>
      </c>
      <c r="Z181" s="4705" t="s">
        <v>5313</v>
      </c>
      <c r="AA181" s="4705" t="s">
        <v>5314</v>
      </c>
      <c r="AB181" s="121" t="s">
        <v>5315</v>
      </c>
      <c r="AC181" s="117" t="s">
        <v>5316</v>
      </c>
      <c r="AD181" s="114" t="s">
        <v>5317</v>
      </c>
      <c r="AE181" s="117" t="s">
        <v>5318</v>
      </c>
      <c r="AF181" s="114" t="s">
        <v>5319</v>
      </c>
      <c r="AG181" s="117" t="s">
        <v>5320</v>
      </c>
      <c r="AH181" s="114" t="s">
        <v>5321</v>
      </c>
      <c r="AI181" s="117" t="s">
        <v>5322</v>
      </c>
      <c r="AJ181" s="114" t="s">
        <v>5323</v>
      </c>
      <c r="AK181" s="117" t="s">
        <v>5324</v>
      </c>
      <c r="AL181" s="114" t="s">
        <v>5325</v>
      </c>
      <c r="AM181" s="117" t="s">
        <v>5326</v>
      </c>
      <c r="AN181" s="114" t="s">
        <v>5327</v>
      </c>
      <c r="AO181" s="117" t="s">
        <v>5328</v>
      </c>
      <c r="AP181" s="114" t="s">
        <v>5329</v>
      </c>
      <c r="AQ181" s="117" t="s">
        <v>5330</v>
      </c>
      <c r="AR181" s="771" t="s">
        <v>5331</v>
      </c>
      <c r="AS181" s="116" t="s">
        <v>5332</v>
      </c>
      <c r="AT181" s="117" t="s">
        <v>5333</v>
      </c>
      <c r="AU181" s="117" t="s">
        <v>5334</v>
      </c>
      <c r="AV181" s="117" t="s">
        <v>5335</v>
      </c>
      <c r="AW181" s="878" t="s">
        <v>5336</v>
      </c>
      <c r="AX181" s="117" t="s">
        <v>5337</v>
      </c>
      <c r="AY181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81"/>
      <c r="CY181" s="1723" t="str">
        <f t="shared" si="201"/>
        <v xml:space="preserve"> * La variable Usuarios con Discapacidad no pueden superar el Total Ambos Sexos.</v>
      </c>
      <c r="CZ181" s="1723" t="str">
        <f t="shared" si="202"/>
        <v xml:space="preserve"> * La variable Niños, niñas, adolescentes y jóvenes SENAME no pueden superar el Total Ambos Sexos.</v>
      </c>
      <c r="DA181" s="1723" t="str">
        <f t="shared" si="203"/>
        <v xml:space="preserve"> * La variable Niños, niñas, adolescentes y jóvenes Mejor Niñez  no pueden superar el Total Ambos Sexos.</v>
      </c>
      <c r="DB181" s="1723" t="str">
        <f t="shared" si="204"/>
        <v xml:space="preserve"> * La variable Migrantes no pueden superar el Total Ambos Sexos.</v>
      </c>
      <c r="DC181" s="2783"/>
      <c r="DD181" s="1723" t="str">
        <f t="shared" si="205"/>
        <v xml:space="preserve"> * La variable Paciente Diabético en control PSCV no pueden superar el Total Ambos Sexos.</v>
      </c>
      <c r="DE181"/>
      <c r="DF181"/>
      <c r="DH181"/>
      <c r="DI181" s="1725">
        <f t="shared" si="207"/>
        <v>1</v>
      </c>
      <c r="DJ181" s="1725">
        <f t="shared" si="208"/>
        <v>1</v>
      </c>
      <c r="DK181" s="1725">
        <f t="shared" si="209"/>
        <v>1</v>
      </c>
      <c r="DL181" s="1725">
        <f t="shared" si="210"/>
        <v>1</v>
      </c>
      <c r="DM181" s="2783"/>
      <c r="DN181" s="1725">
        <f t="shared" si="212"/>
        <v>1</v>
      </c>
    </row>
    <row r="182" spans="1:118" ht="15" customHeight="1" x14ac:dyDescent="0.3">
      <c r="A182" s="6269" t="s">
        <v>5052</v>
      </c>
      <c r="B182" s="7421"/>
      <c r="C182" s="7423" t="s">
        <v>864</v>
      </c>
      <c r="D182" s="886" t="s">
        <v>861</v>
      </c>
      <c r="E182" s="4699" t="s">
        <v>5292</v>
      </c>
      <c r="F182" s="4732" t="s">
        <v>5293</v>
      </c>
      <c r="G182" s="4694" t="s">
        <v>5294</v>
      </c>
      <c r="H182" s="3570" t="s">
        <v>5295</v>
      </c>
      <c r="I182" s="4705" t="s">
        <v>5296</v>
      </c>
      <c r="J182" s="4705" t="s">
        <v>5297</v>
      </c>
      <c r="K182" s="4705" t="s">
        <v>5298</v>
      </c>
      <c r="L182" s="4705" t="s">
        <v>5299</v>
      </c>
      <c r="M182" s="4705" t="s">
        <v>5300</v>
      </c>
      <c r="N182" s="4705" t="s">
        <v>5301</v>
      </c>
      <c r="O182" s="4705" t="s">
        <v>5302</v>
      </c>
      <c r="P182" s="4705" t="s">
        <v>5303</v>
      </c>
      <c r="Q182" s="4705" t="s">
        <v>5304</v>
      </c>
      <c r="R182" s="4705" t="s">
        <v>5305</v>
      </c>
      <c r="S182" s="4705" t="s">
        <v>5306</v>
      </c>
      <c r="T182" s="4705" t="s">
        <v>5307</v>
      </c>
      <c r="U182" s="4705" t="s">
        <v>5308</v>
      </c>
      <c r="V182" s="4705" t="s">
        <v>5309</v>
      </c>
      <c r="W182" s="4705" t="s">
        <v>5310</v>
      </c>
      <c r="X182" s="4705" t="s">
        <v>5311</v>
      </c>
      <c r="Y182" s="4712" t="s">
        <v>5312</v>
      </c>
      <c r="Z182" s="4705" t="s">
        <v>5313</v>
      </c>
      <c r="AA182" s="4705" t="s">
        <v>5314</v>
      </c>
      <c r="AB182" s="5228" t="s">
        <v>5315</v>
      </c>
      <c r="AC182" s="5688" t="s">
        <v>5316</v>
      </c>
      <c r="AD182" s="5687" t="s">
        <v>5317</v>
      </c>
      <c r="AE182" s="5688" t="s">
        <v>5318</v>
      </c>
      <c r="AF182" s="5687" t="s">
        <v>5319</v>
      </c>
      <c r="AG182" s="5688" t="s">
        <v>5320</v>
      </c>
      <c r="AH182" s="5687" t="s">
        <v>5321</v>
      </c>
      <c r="AI182" s="5688" t="s">
        <v>5322</v>
      </c>
      <c r="AJ182" s="5687" t="s">
        <v>5323</v>
      </c>
      <c r="AK182" s="5688" t="s">
        <v>5324</v>
      </c>
      <c r="AL182" s="5687" t="s">
        <v>5325</v>
      </c>
      <c r="AM182" s="5688" t="s">
        <v>5326</v>
      </c>
      <c r="AN182" s="5687" t="s">
        <v>5327</v>
      </c>
      <c r="AO182" s="5688" t="s">
        <v>5328</v>
      </c>
      <c r="AP182" s="5687" t="s">
        <v>5329</v>
      </c>
      <c r="AQ182" s="5688" t="s">
        <v>5330</v>
      </c>
      <c r="AR182" s="5667" t="s">
        <v>5331</v>
      </c>
      <c r="AS182" s="5257" t="s">
        <v>5332</v>
      </c>
      <c r="AT182" s="5688" t="s">
        <v>5333</v>
      </c>
      <c r="AU182" s="5688" t="s">
        <v>5334</v>
      </c>
      <c r="AV182" s="5688" t="s">
        <v>5335</v>
      </c>
      <c r="AW182" s="5663" t="s">
        <v>5336</v>
      </c>
      <c r="AX182" s="5688" t="s">
        <v>5337</v>
      </c>
      <c r="AY182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82"/>
      <c r="CY182" s="1723" t="str">
        <f t="shared" si="201"/>
        <v xml:space="preserve"> * La variable Usuarios con Discapacidad no pueden superar el Total Ambos Sexos.</v>
      </c>
      <c r="CZ182" s="1723" t="str">
        <f t="shared" si="202"/>
        <v xml:space="preserve"> * La variable Niños, niñas, adolescentes y jóvenes SENAME no pueden superar el Total Ambos Sexos.</v>
      </c>
      <c r="DA182" s="1723" t="str">
        <f t="shared" si="203"/>
        <v xml:space="preserve"> * La variable Niños, niñas, adolescentes y jóvenes Mejor Niñez  no pueden superar el Total Ambos Sexos.</v>
      </c>
      <c r="DB182" s="1723" t="str">
        <f t="shared" si="204"/>
        <v xml:space="preserve"> * La variable Migrantes no pueden superar el Total Ambos Sexos.</v>
      </c>
      <c r="DC182" s="1723" t="str">
        <f t="shared" si="206"/>
        <v xml:space="preserve"> * La variable Egreso por Abandono no pueden superar el Total Ambos Sexos.</v>
      </c>
      <c r="DD182" s="1723" t="str">
        <f t="shared" si="205"/>
        <v xml:space="preserve"> * La variable Paciente Diabético en control PSCV no pueden superar el Total Ambos Sexos.</v>
      </c>
      <c r="DE182"/>
      <c r="DF182"/>
      <c r="DH182"/>
      <c r="DI182" s="1725">
        <f t="shared" si="207"/>
        <v>1</v>
      </c>
      <c r="DJ182" s="1725">
        <f t="shared" si="208"/>
        <v>1</v>
      </c>
      <c r="DK182" s="1725">
        <f t="shared" si="209"/>
        <v>1</v>
      </c>
      <c r="DL182" s="1725">
        <f t="shared" si="210"/>
        <v>1</v>
      </c>
      <c r="DM182" s="1725">
        <f t="shared" si="211"/>
        <v>1</v>
      </c>
      <c r="DN182" s="1725">
        <f t="shared" si="212"/>
        <v>1</v>
      </c>
    </row>
    <row r="183" spans="1:118" ht="15" customHeight="1" x14ac:dyDescent="0.3">
      <c r="A183" s="6269" t="s">
        <v>5053</v>
      </c>
      <c r="B183" s="7421"/>
      <c r="C183" s="7425"/>
      <c r="D183" s="892" t="s">
        <v>865</v>
      </c>
      <c r="E183" s="4701" t="s">
        <v>5292</v>
      </c>
      <c r="F183" s="4730" t="s">
        <v>5293</v>
      </c>
      <c r="G183" s="4693" t="s">
        <v>5294</v>
      </c>
      <c r="H183" s="3570" t="s">
        <v>5295</v>
      </c>
      <c r="I183" s="4705" t="s">
        <v>5296</v>
      </c>
      <c r="J183" s="4705" t="s">
        <v>5297</v>
      </c>
      <c r="K183" s="4705" t="s">
        <v>5298</v>
      </c>
      <c r="L183" s="4705" t="s">
        <v>5299</v>
      </c>
      <c r="M183" s="4705" t="s">
        <v>5300</v>
      </c>
      <c r="N183" s="4705" t="s">
        <v>5301</v>
      </c>
      <c r="O183" s="4705" t="s">
        <v>5302</v>
      </c>
      <c r="P183" s="4705" t="s">
        <v>5303</v>
      </c>
      <c r="Q183" s="4705" t="s">
        <v>5304</v>
      </c>
      <c r="R183" s="4705" t="s">
        <v>5305</v>
      </c>
      <c r="S183" s="4705" t="s">
        <v>5306</v>
      </c>
      <c r="T183" s="4705" t="s">
        <v>5307</v>
      </c>
      <c r="U183" s="4705" t="s">
        <v>5308</v>
      </c>
      <c r="V183" s="4705" t="s">
        <v>5309</v>
      </c>
      <c r="W183" s="4705" t="s">
        <v>5310</v>
      </c>
      <c r="X183" s="4705" t="s">
        <v>5311</v>
      </c>
      <c r="Y183" s="4712" t="s">
        <v>5312</v>
      </c>
      <c r="Z183" s="4705" t="s">
        <v>5313</v>
      </c>
      <c r="AA183" s="4705" t="s">
        <v>5314</v>
      </c>
      <c r="AB183" s="3020" t="s">
        <v>5315</v>
      </c>
      <c r="AC183" s="2800" t="s">
        <v>5316</v>
      </c>
      <c r="AD183" s="3023" t="s">
        <v>5317</v>
      </c>
      <c r="AE183" s="2800" t="s">
        <v>5318</v>
      </c>
      <c r="AF183" s="3023" t="s">
        <v>5319</v>
      </c>
      <c r="AG183" s="2800" t="s">
        <v>5320</v>
      </c>
      <c r="AH183" s="3023" t="s">
        <v>5321</v>
      </c>
      <c r="AI183" s="2800" t="s">
        <v>5322</v>
      </c>
      <c r="AJ183" s="3023" t="s">
        <v>5323</v>
      </c>
      <c r="AK183" s="2800" t="s">
        <v>5324</v>
      </c>
      <c r="AL183" s="3023" t="s">
        <v>5325</v>
      </c>
      <c r="AM183" s="2800" t="s">
        <v>5326</v>
      </c>
      <c r="AN183" s="3023" t="s">
        <v>5327</v>
      </c>
      <c r="AO183" s="2800" t="s">
        <v>5328</v>
      </c>
      <c r="AP183" s="3023" t="s">
        <v>5329</v>
      </c>
      <c r="AQ183" s="2800" t="s">
        <v>5330</v>
      </c>
      <c r="AR183" s="3155" t="s">
        <v>5331</v>
      </c>
      <c r="AS183" s="3035" t="s">
        <v>5332</v>
      </c>
      <c r="AT183" s="2800" t="s">
        <v>5333</v>
      </c>
      <c r="AU183" s="2800" t="s">
        <v>5334</v>
      </c>
      <c r="AV183" s="2800" t="s">
        <v>5335</v>
      </c>
      <c r="AW183" s="6185" t="s">
        <v>5336</v>
      </c>
      <c r="AX183" s="2800" t="s">
        <v>5337</v>
      </c>
      <c r="AY183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83"/>
      <c r="CY183" s="1723" t="str">
        <f t="shared" si="201"/>
        <v xml:space="preserve"> * La variable Usuarios con Discapacidad no pueden superar el Total Ambos Sexos.</v>
      </c>
      <c r="CZ183" s="1723" t="str">
        <f t="shared" si="202"/>
        <v xml:space="preserve"> * La variable Niños, niñas, adolescentes y jóvenes SENAME no pueden superar el Total Ambos Sexos.</v>
      </c>
      <c r="DA183" s="1723" t="str">
        <f t="shared" si="203"/>
        <v xml:space="preserve"> * La variable Niños, niñas, adolescentes y jóvenes Mejor Niñez  no pueden superar el Total Ambos Sexos.</v>
      </c>
      <c r="DB183" s="1723" t="str">
        <f t="shared" si="204"/>
        <v xml:space="preserve"> * La variable Migrantes no pueden superar el Total Ambos Sexos.</v>
      </c>
      <c r="DC183" s="2783"/>
      <c r="DD183" s="1723" t="str">
        <f t="shared" si="205"/>
        <v xml:space="preserve"> * La variable Paciente Diabético en control PSCV no pueden superar el Total Ambos Sexos.</v>
      </c>
      <c r="DE183"/>
      <c r="DF183"/>
      <c r="DH183"/>
      <c r="DI183" s="1725">
        <f t="shared" si="207"/>
        <v>1</v>
      </c>
      <c r="DJ183" s="1725">
        <f t="shared" si="208"/>
        <v>1</v>
      </c>
      <c r="DK183" s="1725">
        <f t="shared" si="209"/>
        <v>1</v>
      </c>
      <c r="DL183" s="1725">
        <f t="shared" si="210"/>
        <v>1</v>
      </c>
      <c r="DM183" s="2783"/>
      <c r="DN183" s="1725">
        <f t="shared" si="212"/>
        <v>1</v>
      </c>
    </row>
    <row r="184" spans="1:118" ht="15" customHeight="1" x14ac:dyDescent="0.3">
      <c r="A184" s="6269" t="s">
        <v>5054</v>
      </c>
      <c r="B184" s="7421"/>
      <c r="C184" s="7239" t="s">
        <v>751</v>
      </c>
      <c r="D184" s="605" t="s">
        <v>861</v>
      </c>
      <c r="E184" s="907" t="s">
        <v>5292</v>
      </c>
      <c r="F184" s="4732" t="s">
        <v>5293</v>
      </c>
      <c r="G184" s="4694" t="s">
        <v>5294</v>
      </c>
      <c r="H184" s="3570" t="s">
        <v>5295</v>
      </c>
      <c r="I184" s="4705" t="s">
        <v>5296</v>
      </c>
      <c r="J184" s="4705" t="s">
        <v>5297</v>
      </c>
      <c r="K184" s="4705" t="s">
        <v>5298</v>
      </c>
      <c r="L184" s="4705" t="s">
        <v>5299</v>
      </c>
      <c r="M184" s="4705" t="s">
        <v>5300</v>
      </c>
      <c r="N184" s="4705" t="s">
        <v>5301</v>
      </c>
      <c r="O184" s="4705" t="s">
        <v>5302</v>
      </c>
      <c r="P184" s="4705" t="s">
        <v>5303</v>
      </c>
      <c r="Q184" s="4705" t="s">
        <v>5304</v>
      </c>
      <c r="R184" s="4705" t="s">
        <v>5305</v>
      </c>
      <c r="S184" s="4705" t="s">
        <v>5306</v>
      </c>
      <c r="T184" s="4705" t="s">
        <v>5307</v>
      </c>
      <c r="U184" s="4705" t="s">
        <v>5308</v>
      </c>
      <c r="V184" s="4705" t="s">
        <v>5309</v>
      </c>
      <c r="W184" s="4705" t="s">
        <v>5310</v>
      </c>
      <c r="X184" s="4705" t="s">
        <v>5311</v>
      </c>
      <c r="Y184" s="4712" t="s">
        <v>5312</v>
      </c>
      <c r="Z184" s="4705" t="s">
        <v>5313</v>
      </c>
      <c r="AA184" s="4705" t="s">
        <v>5314</v>
      </c>
      <c r="AB184" s="1394" t="s">
        <v>5315</v>
      </c>
      <c r="AC184" s="1394" t="s">
        <v>5316</v>
      </c>
      <c r="AD184" s="4716" t="s">
        <v>5317</v>
      </c>
      <c r="AE184" s="499" t="s">
        <v>5318</v>
      </c>
      <c r="AF184" s="482" t="s">
        <v>5319</v>
      </c>
      <c r="AG184" s="499" t="s">
        <v>5320</v>
      </c>
      <c r="AH184" s="482" t="s">
        <v>5321</v>
      </c>
      <c r="AI184" s="499" t="s">
        <v>5322</v>
      </c>
      <c r="AJ184" s="482" t="s">
        <v>5323</v>
      </c>
      <c r="AK184" s="499" t="s">
        <v>5324</v>
      </c>
      <c r="AL184" s="482" t="s">
        <v>5325</v>
      </c>
      <c r="AM184" s="499" t="s">
        <v>5326</v>
      </c>
      <c r="AN184" s="482" t="s">
        <v>5327</v>
      </c>
      <c r="AO184" s="499" t="s">
        <v>5328</v>
      </c>
      <c r="AP184" s="482" t="s">
        <v>5329</v>
      </c>
      <c r="AQ184" s="499" t="s">
        <v>5330</v>
      </c>
      <c r="AR184" s="615" t="s">
        <v>5331</v>
      </c>
      <c r="AS184" s="185" t="s">
        <v>5332</v>
      </c>
      <c r="AT184" s="499" t="s">
        <v>5333</v>
      </c>
      <c r="AU184" s="499" t="s">
        <v>5334</v>
      </c>
      <c r="AV184" s="499" t="s">
        <v>5335</v>
      </c>
      <c r="AW184" s="498" t="s">
        <v>5336</v>
      </c>
      <c r="AX184" s="499" t="s">
        <v>5337</v>
      </c>
      <c r="AY184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84"/>
      <c r="CY184" s="1723" t="str">
        <f t="shared" si="201"/>
        <v xml:space="preserve"> * La variable Usuarios con Discapacidad no pueden superar el Total Ambos Sexos.</v>
      </c>
      <c r="CZ184" s="1723" t="str">
        <f t="shared" si="202"/>
        <v xml:space="preserve"> * La variable Niños, niñas, adolescentes y jóvenes SENAME no pueden superar el Total Ambos Sexos.</v>
      </c>
      <c r="DA184" s="1723" t="str">
        <f t="shared" si="203"/>
        <v xml:space="preserve"> * La variable Niños, niñas, adolescentes y jóvenes Mejor Niñez  no pueden superar el Total Ambos Sexos.</v>
      </c>
      <c r="DB184" s="1723" t="str">
        <f t="shared" si="204"/>
        <v xml:space="preserve"> * La variable Migrantes no pueden superar el Total Ambos Sexos.</v>
      </c>
      <c r="DC184" s="1723" t="str">
        <f t="shared" si="206"/>
        <v xml:space="preserve"> * La variable Egreso por Abandono no pueden superar el Total Ambos Sexos.</v>
      </c>
      <c r="DD184" s="1723" t="str">
        <f t="shared" si="205"/>
        <v xml:space="preserve"> * La variable Paciente Diabético en control PSCV no pueden superar el Total Ambos Sexos.</v>
      </c>
      <c r="DE184"/>
      <c r="DF184"/>
      <c r="DH184"/>
      <c r="DI184" s="1725">
        <f t="shared" si="207"/>
        <v>1</v>
      </c>
      <c r="DJ184" s="1725">
        <f t="shared" si="208"/>
        <v>1</v>
      </c>
      <c r="DK184" s="1725">
        <f t="shared" si="209"/>
        <v>1</v>
      </c>
      <c r="DL184" s="1725">
        <f t="shared" si="210"/>
        <v>1</v>
      </c>
      <c r="DM184" s="1725">
        <f t="shared" si="211"/>
        <v>1</v>
      </c>
      <c r="DN184" s="1725">
        <f t="shared" si="212"/>
        <v>1</v>
      </c>
    </row>
    <row r="185" spans="1:118" ht="15" customHeight="1" x14ac:dyDescent="0.3">
      <c r="A185" s="6269" t="s">
        <v>5055</v>
      </c>
      <c r="B185" s="7421"/>
      <c r="C185" s="7241"/>
      <c r="D185" s="606" t="s">
        <v>866</v>
      </c>
      <c r="E185" s="1001" t="s">
        <v>5292</v>
      </c>
      <c r="F185" s="4732" t="s">
        <v>5293</v>
      </c>
      <c r="G185" s="4694" t="s">
        <v>5294</v>
      </c>
      <c r="H185" s="3570" t="s">
        <v>5295</v>
      </c>
      <c r="I185" s="4705" t="s">
        <v>5296</v>
      </c>
      <c r="J185" s="4705" t="s">
        <v>5297</v>
      </c>
      <c r="K185" s="4705" t="s">
        <v>5298</v>
      </c>
      <c r="L185" s="4705" t="s">
        <v>5299</v>
      </c>
      <c r="M185" s="4705" t="s">
        <v>5300</v>
      </c>
      <c r="N185" s="4705" t="s">
        <v>5301</v>
      </c>
      <c r="O185" s="4705" t="s">
        <v>5302</v>
      </c>
      <c r="P185" s="4705" t="s">
        <v>5303</v>
      </c>
      <c r="Q185" s="4705" t="s">
        <v>5304</v>
      </c>
      <c r="R185" s="4705" t="s">
        <v>5305</v>
      </c>
      <c r="S185" s="4705" t="s">
        <v>5306</v>
      </c>
      <c r="T185" s="4705" t="s">
        <v>5307</v>
      </c>
      <c r="U185" s="4705" t="s">
        <v>5308</v>
      </c>
      <c r="V185" s="4705" t="s">
        <v>5309</v>
      </c>
      <c r="W185" s="4705" t="s">
        <v>5310</v>
      </c>
      <c r="X185" s="4705" t="s">
        <v>5311</v>
      </c>
      <c r="Y185" s="4712" t="s">
        <v>5312</v>
      </c>
      <c r="Z185" s="4705" t="s">
        <v>5313</v>
      </c>
      <c r="AA185" s="4705" t="s">
        <v>5314</v>
      </c>
      <c r="AB185" s="4705" t="s">
        <v>5315</v>
      </c>
      <c r="AC185" s="4705" t="s">
        <v>5316</v>
      </c>
      <c r="AD185" s="4425" t="s">
        <v>5317</v>
      </c>
      <c r="AE185" s="870" t="s">
        <v>5318</v>
      </c>
      <c r="AF185" s="131" t="s">
        <v>5319</v>
      </c>
      <c r="AG185" s="870" t="s">
        <v>5320</v>
      </c>
      <c r="AH185" s="131" t="s">
        <v>5321</v>
      </c>
      <c r="AI185" s="870" t="s">
        <v>5322</v>
      </c>
      <c r="AJ185" s="131" t="s">
        <v>5323</v>
      </c>
      <c r="AK185" s="870" t="s">
        <v>5324</v>
      </c>
      <c r="AL185" s="131" t="s">
        <v>5325</v>
      </c>
      <c r="AM185" s="870" t="s">
        <v>5326</v>
      </c>
      <c r="AN185" s="131" t="s">
        <v>5327</v>
      </c>
      <c r="AO185" s="870" t="s">
        <v>5328</v>
      </c>
      <c r="AP185" s="131" t="s">
        <v>5329</v>
      </c>
      <c r="AQ185" s="870" t="s">
        <v>5330</v>
      </c>
      <c r="AR185" s="869" t="s">
        <v>5331</v>
      </c>
      <c r="AS185" s="566" t="s">
        <v>5332</v>
      </c>
      <c r="AT185" s="870" t="s">
        <v>5333</v>
      </c>
      <c r="AU185" s="870" t="s">
        <v>5334</v>
      </c>
      <c r="AV185" s="870" t="s">
        <v>5335</v>
      </c>
      <c r="AW185" s="865" t="s">
        <v>5336</v>
      </c>
      <c r="AX185" s="870" t="s">
        <v>5337</v>
      </c>
      <c r="AY185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85"/>
      <c r="CY185" s="1723" t="str">
        <f t="shared" si="201"/>
        <v xml:space="preserve"> * La variable Usuarios con Discapacidad no pueden superar el Total Ambos Sexos.</v>
      </c>
      <c r="CZ185" s="1723" t="str">
        <f t="shared" si="202"/>
        <v xml:space="preserve"> * La variable Niños, niñas, adolescentes y jóvenes SENAME no pueden superar el Total Ambos Sexos.</v>
      </c>
      <c r="DA185" s="1723" t="str">
        <f t="shared" si="203"/>
        <v xml:space="preserve"> * La variable Niños, niñas, adolescentes y jóvenes Mejor Niñez  no pueden superar el Total Ambos Sexos.</v>
      </c>
      <c r="DB185" s="1723" t="str">
        <f t="shared" si="204"/>
        <v xml:space="preserve"> * La variable Migrantes no pueden superar el Total Ambos Sexos.</v>
      </c>
      <c r="DC185" s="2783"/>
      <c r="DD185" s="1723" t="str">
        <f t="shared" si="205"/>
        <v xml:space="preserve"> * La variable Paciente Diabético en control PSCV no pueden superar el Total Ambos Sexos.</v>
      </c>
      <c r="DE185"/>
      <c r="DF185"/>
      <c r="DH185"/>
      <c r="DI185" s="1725">
        <f t="shared" si="207"/>
        <v>1</v>
      </c>
      <c r="DJ185" s="1725">
        <f t="shared" si="208"/>
        <v>1</v>
      </c>
      <c r="DK185" s="1725">
        <f t="shared" si="209"/>
        <v>1</v>
      </c>
      <c r="DL185" s="1725">
        <f t="shared" si="210"/>
        <v>1</v>
      </c>
      <c r="DM185" s="2783"/>
      <c r="DN185" s="1725">
        <f t="shared" si="212"/>
        <v>1</v>
      </c>
    </row>
    <row r="186" spans="1:118" ht="15" customHeight="1" x14ac:dyDescent="0.3">
      <c r="A186" s="6269" t="s">
        <v>5056</v>
      </c>
      <c r="B186" s="7422"/>
      <c r="C186" s="7346"/>
      <c r="D186" s="607" t="s">
        <v>867</v>
      </c>
      <c r="E186" s="1001" t="s">
        <v>5292</v>
      </c>
      <c r="F186" s="4730" t="s">
        <v>5293</v>
      </c>
      <c r="G186" s="4693" t="s">
        <v>5294</v>
      </c>
      <c r="H186" s="3570" t="s">
        <v>5295</v>
      </c>
      <c r="I186" s="4705" t="s">
        <v>5296</v>
      </c>
      <c r="J186" s="4705" t="s">
        <v>5297</v>
      </c>
      <c r="K186" s="4705" t="s">
        <v>5298</v>
      </c>
      <c r="L186" s="4705" t="s">
        <v>5299</v>
      </c>
      <c r="M186" s="4705" t="s">
        <v>5300</v>
      </c>
      <c r="N186" s="4705" t="s">
        <v>5301</v>
      </c>
      <c r="O186" s="4705" t="s">
        <v>5302</v>
      </c>
      <c r="P186" s="4705" t="s">
        <v>5303</v>
      </c>
      <c r="Q186" s="4705" t="s">
        <v>5304</v>
      </c>
      <c r="R186" s="4705" t="s">
        <v>5305</v>
      </c>
      <c r="S186" s="4705" t="s">
        <v>5306</v>
      </c>
      <c r="T186" s="4705" t="s">
        <v>5307</v>
      </c>
      <c r="U186" s="4705" t="s">
        <v>5308</v>
      </c>
      <c r="V186" s="4705" t="s">
        <v>5309</v>
      </c>
      <c r="W186" s="4705" t="s">
        <v>5310</v>
      </c>
      <c r="X186" s="4705" t="s">
        <v>5311</v>
      </c>
      <c r="Y186" s="4712" t="s">
        <v>5312</v>
      </c>
      <c r="Z186" s="4705" t="s">
        <v>5313</v>
      </c>
      <c r="AA186" s="4705" t="s">
        <v>5314</v>
      </c>
      <c r="AB186" s="4705" t="s">
        <v>5315</v>
      </c>
      <c r="AC186" s="4705" t="s">
        <v>5316</v>
      </c>
      <c r="AD186" s="121" t="s">
        <v>5317</v>
      </c>
      <c r="AE186" s="117" t="s">
        <v>5318</v>
      </c>
      <c r="AF186" s="114" t="s">
        <v>5319</v>
      </c>
      <c r="AG186" s="117" t="s">
        <v>5320</v>
      </c>
      <c r="AH186" s="114" t="s">
        <v>5321</v>
      </c>
      <c r="AI186" s="117" t="s">
        <v>5322</v>
      </c>
      <c r="AJ186" s="114" t="s">
        <v>5323</v>
      </c>
      <c r="AK186" s="117" t="s">
        <v>5324</v>
      </c>
      <c r="AL186" s="114" t="s">
        <v>5325</v>
      </c>
      <c r="AM186" s="117" t="s">
        <v>5326</v>
      </c>
      <c r="AN186" s="114" t="s">
        <v>5327</v>
      </c>
      <c r="AO186" s="117" t="s">
        <v>5328</v>
      </c>
      <c r="AP186" s="114" t="s">
        <v>5329</v>
      </c>
      <c r="AQ186" s="117" t="s">
        <v>5330</v>
      </c>
      <c r="AR186" s="771" t="s">
        <v>5331</v>
      </c>
      <c r="AS186" s="116" t="s">
        <v>5332</v>
      </c>
      <c r="AT186" s="117" t="s">
        <v>5333</v>
      </c>
      <c r="AU186" s="117" t="s">
        <v>5334</v>
      </c>
      <c r="AV186" s="117" t="s">
        <v>5335</v>
      </c>
      <c r="AW186" s="878" t="s">
        <v>5336</v>
      </c>
      <c r="AX186" s="117" t="s">
        <v>5337</v>
      </c>
      <c r="AY186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86"/>
      <c r="CY186" s="1723" t="str">
        <f t="shared" si="201"/>
        <v xml:space="preserve"> * La variable Usuarios con Discapacidad no pueden superar el Total Ambos Sexos.</v>
      </c>
      <c r="CZ186" s="1723" t="str">
        <f t="shared" si="202"/>
        <v xml:space="preserve"> * La variable Niños, niñas, adolescentes y jóvenes SENAME no pueden superar el Total Ambos Sexos.</v>
      </c>
      <c r="DA186" s="1723" t="str">
        <f t="shared" si="203"/>
        <v xml:space="preserve"> * La variable Niños, niñas, adolescentes y jóvenes Mejor Niñez  no pueden superar el Total Ambos Sexos.</v>
      </c>
      <c r="DB186" s="1723" t="str">
        <f t="shared" si="204"/>
        <v xml:space="preserve"> * La variable Migrantes no pueden superar el Total Ambos Sexos.</v>
      </c>
      <c r="DC186" s="2783"/>
      <c r="DD186" s="1723" t="str">
        <f t="shared" si="205"/>
        <v xml:space="preserve"> * La variable Paciente Diabético en control PSCV no pueden superar el Total Ambos Sexos.</v>
      </c>
      <c r="DE186"/>
      <c r="DF186"/>
      <c r="DH186"/>
      <c r="DI186" s="1725">
        <f t="shared" si="207"/>
        <v>1</v>
      </c>
      <c r="DJ186" s="1725">
        <f t="shared" si="208"/>
        <v>1</v>
      </c>
      <c r="DK186" s="1725">
        <f t="shared" si="209"/>
        <v>1</v>
      </c>
      <c r="DL186" s="1725">
        <f t="shared" si="210"/>
        <v>1</v>
      </c>
      <c r="DM186" s="2783"/>
      <c r="DN186" s="1725">
        <f t="shared" si="212"/>
        <v>1</v>
      </c>
    </row>
    <row r="187" spans="1:118" ht="15" customHeight="1" x14ac:dyDescent="0.3">
      <c r="A187" s="6269" t="s">
        <v>5057</v>
      </c>
      <c r="B187" s="7362" t="s">
        <v>868</v>
      </c>
      <c r="C187" s="7338" t="s">
        <v>869</v>
      </c>
      <c r="D187" s="7308"/>
      <c r="E187" s="4703" t="s">
        <v>5292</v>
      </c>
      <c r="F187" s="4733" t="s">
        <v>5293</v>
      </c>
      <c r="G187" s="4695" t="s">
        <v>5294</v>
      </c>
      <c r="H187" s="4191" t="s">
        <v>5295</v>
      </c>
      <c r="I187" s="3052" t="s">
        <v>5296</v>
      </c>
      <c r="J187" s="3052" t="s">
        <v>5297</v>
      </c>
      <c r="K187" s="3052" t="s">
        <v>5298</v>
      </c>
      <c r="L187" s="3052" t="s">
        <v>5299</v>
      </c>
      <c r="M187" s="3052" t="s">
        <v>5300</v>
      </c>
      <c r="N187" s="3052" t="s">
        <v>5301</v>
      </c>
      <c r="O187" s="3052" t="s">
        <v>5302</v>
      </c>
      <c r="P187" s="3052" t="s">
        <v>5303</v>
      </c>
      <c r="Q187" s="3052" t="s">
        <v>5304</v>
      </c>
      <c r="R187" s="3052" t="s">
        <v>5305</v>
      </c>
      <c r="S187" s="3052" t="s">
        <v>5306</v>
      </c>
      <c r="T187" s="3052" t="s">
        <v>5307</v>
      </c>
      <c r="U187" s="3052" t="s">
        <v>5308</v>
      </c>
      <c r="V187" s="3052" t="s">
        <v>5309</v>
      </c>
      <c r="W187" s="3052" t="s">
        <v>5310</v>
      </c>
      <c r="X187" s="3052" t="s">
        <v>5311</v>
      </c>
      <c r="Y187" s="2804" t="s">
        <v>5312</v>
      </c>
      <c r="Z187" s="3052" t="s">
        <v>5313</v>
      </c>
      <c r="AA187" s="3052" t="s">
        <v>5314</v>
      </c>
      <c r="AB187" s="3052" t="s">
        <v>5315</v>
      </c>
      <c r="AC187" s="3052" t="s">
        <v>5316</v>
      </c>
      <c r="AD187" s="4717" t="s">
        <v>5317</v>
      </c>
      <c r="AE187" s="2820" t="s">
        <v>5318</v>
      </c>
      <c r="AF187" s="2820" t="s">
        <v>5319</v>
      </c>
      <c r="AG187" s="2820" t="s">
        <v>5320</v>
      </c>
      <c r="AH187" s="2820" t="s">
        <v>5321</v>
      </c>
      <c r="AI187" s="2820" t="s">
        <v>5322</v>
      </c>
      <c r="AJ187" s="2820" t="s">
        <v>5323</v>
      </c>
      <c r="AK187" s="4713" t="s">
        <v>5324</v>
      </c>
      <c r="AL187" s="893" t="s">
        <v>5325</v>
      </c>
      <c r="AM187" s="894" t="s">
        <v>5326</v>
      </c>
      <c r="AN187" s="4707" t="s">
        <v>5327</v>
      </c>
      <c r="AO187" s="2820" t="s">
        <v>5328</v>
      </c>
      <c r="AP187" s="2820" t="s">
        <v>5329</v>
      </c>
      <c r="AQ187" s="4713" t="s">
        <v>5330</v>
      </c>
      <c r="AR187" s="895" t="s">
        <v>5331</v>
      </c>
      <c r="AS187" s="589" t="s">
        <v>5332</v>
      </c>
      <c r="AT187" s="3052" t="s">
        <v>5333</v>
      </c>
      <c r="AU187" s="5839" t="s">
        <v>5334</v>
      </c>
      <c r="AV187" s="5841" t="s">
        <v>5335</v>
      </c>
      <c r="AW187" s="896" t="s">
        <v>5336</v>
      </c>
      <c r="AX187" s="896" t="s">
        <v>5337</v>
      </c>
      <c r="AY187" t="str">
        <f t="shared" si="182"/>
        <v xml:space="preserve"> * La variable Usuarios con Discapacidad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87"/>
      <c r="CY187" s="1723" t="str">
        <f t="shared" si="201"/>
        <v xml:space="preserve"> * La variable Usuarios con Discapacidad no pueden superar el Total Ambos Sexos.</v>
      </c>
      <c r="CZ187" s="2783"/>
      <c r="DA187" s="2783"/>
      <c r="DB187" s="1723" t="str">
        <f t="shared" si="204"/>
        <v xml:space="preserve"> * La variable Migrantes no pueden superar el Total Ambos Sexos.</v>
      </c>
      <c r="DC187" s="1723" t="str">
        <f t="shared" si="206"/>
        <v xml:space="preserve"> * La variable Egreso por Abandono no pueden superar el Total Ambos Sexos.</v>
      </c>
      <c r="DD187" s="1723" t="str">
        <f t="shared" si="205"/>
        <v xml:space="preserve"> * La variable Paciente Diabético en control PSCV no pueden superar el Total Ambos Sexos.</v>
      </c>
      <c r="DE187"/>
      <c r="DF187"/>
      <c r="DH187"/>
      <c r="DI187" s="1725">
        <f t="shared" si="207"/>
        <v>1</v>
      </c>
      <c r="DJ187" s="2783"/>
      <c r="DK187" s="2783"/>
      <c r="DL187" s="1725">
        <f t="shared" si="210"/>
        <v>1</v>
      </c>
      <c r="DM187" s="1725">
        <f t="shared" si="211"/>
        <v>1</v>
      </c>
      <c r="DN187" s="1725">
        <f t="shared" si="212"/>
        <v>1</v>
      </c>
    </row>
    <row r="188" spans="1:118" ht="15" customHeight="1" x14ac:dyDescent="0.3">
      <c r="A188" s="6269" t="s">
        <v>5058</v>
      </c>
      <c r="B188" s="7267"/>
      <c r="C188" s="7267" t="s">
        <v>860</v>
      </c>
      <c r="D188" s="766" t="s">
        <v>861</v>
      </c>
      <c r="E188" s="4699" t="s">
        <v>5292</v>
      </c>
      <c r="F188" s="4728" t="s">
        <v>5293</v>
      </c>
      <c r="G188" s="4694" t="s">
        <v>5294</v>
      </c>
      <c r="H188" s="4191" t="s">
        <v>5295</v>
      </c>
      <c r="I188" s="3052" t="s">
        <v>5296</v>
      </c>
      <c r="J188" s="3052" t="s">
        <v>5297</v>
      </c>
      <c r="K188" s="3052" t="s">
        <v>5298</v>
      </c>
      <c r="L188" s="3052" t="s">
        <v>5299</v>
      </c>
      <c r="M188" s="3052" t="s">
        <v>5300</v>
      </c>
      <c r="N188" s="3052" t="s">
        <v>5301</v>
      </c>
      <c r="O188" s="3052" t="s">
        <v>5302</v>
      </c>
      <c r="P188" s="3052" t="s">
        <v>5303</v>
      </c>
      <c r="Q188" s="3052" t="s">
        <v>5304</v>
      </c>
      <c r="R188" s="3052" t="s">
        <v>5305</v>
      </c>
      <c r="S188" s="3052" t="s">
        <v>5306</v>
      </c>
      <c r="T188" s="3052" t="s">
        <v>5307</v>
      </c>
      <c r="U188" s="3052" t="s">
        <v>5308</v>
      </c>
      <c r="V188" s="3052" t="s">
        <v>5309</v>
      </c>
      <c r="W188" s="3052" t="s">
        <v>5310</v>
      </c>
      <c r="X188" s="3052" t="s">
        <v>5311</v>
      </c>
      <c r="Y188" s="2804" t="s">
        <v>5312</v>
      </c>
      <c r="Z188" s="3052" t="s">
        <v>5313</v>
      </c>
      <c r="AA188" s="3052" t="s">
        <v>5314</v>
      </c>
      <c r="AB188" s="3052" t="s">
        <v>5315</v>
      </c>
      <c r="AC188" s="3052" t="s">
        <v>5316</v>
      </c>
      <c r="AD188" s="4191" t="s">
        <v>5317</v>
      </c>
      <c r="AE188" s="3052" t="s">
        <v>5318</v>
      </c>
      <c r="AF188" s="3052" t="s">
        <v>5319</v>
      </c>
      <c r="AG188" s="3052" t="s">
        <v>5320</v>
      </c>
      <c r="AH188" s="3052" t="s">
        <v>5321</v>
      </c>
      <c r="AI188" s="3052" t="s">
        <v>5322</v>
      </c>
      <c r="AJ188" s="3052" t="s">
        <v>5323</v>
      </c>
      <c r="AK188" s="1071" t="s">
        <v>5324</v>
      </c>
      <c r="AL188" s="586" t="s">
        <v>5325</v>
      </c>
      <c r="AM188" s="105" t="s">
        <v>5326</v>
      </c>
      <c r="AN188" s="1070" t="s">
        <v>5327</v>
      </c>
      <c r="AO188" s="3052" t="s">
        <v>5328</v>
      </c>
      <c r="AP188" s="3052" t="s">
        <v>5329</v>
      </c>
      <c r="AQ188" s="1071" t="s">
        <v>5330</v>
      </c>
      <c r="AR188" s="768" t="s">
        <v>5331</v>
      </c>
      <c r="AS188" s="587" t="s">
        <v>5332</v>
      </c>
      <c r="AT188" s="3052" t="s">
        <v>5333</v>
      </c>
      <c r="AU188" s="5839" t="s">
        <v>5334</v>
      </c>
      <c r="AV188" s="784" t="s">
        <v>5335</v>
      </c>
      <c r="AW188" s="784" t="s">
        <v>5336</v>
      </c>
      <c r="AX188" s="105" t="s">
        <v>5337</v>
      </c>
      <c r="AY188" t="str">
        <f t="shared" si="182"/>
        <v xml:space="preserve"> * La variable Usuarios con Discapacidad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88"/>
      <c r="CY188" s="1723" t="str">
        <f t="shared" si="201"/>
        <v xml:space="preserve"> * La variable Usuarios con Discapacidad no pueden superar el Total Ambos Sexos.</v>
      </c>
      <c r="CZ188" s="2783"/>
      <c r="DA188" s="2783"/>
      <c r="DB188" s="1723" t="str">
        <f t="shared" si="204"/>
        <v xml:space="preserve"> * La variable Migrantes no pueden superar el Total Ambos Sexos.</v>
      </c>
      <c r="DC188" s="1723" t="str">
        <f t="shared" si="206"/>
        <v xml:space="preserve"> * La variable Egreso por Abandono no pueden superar el Total Ambos Sexos.</v>
      </c>
      <c r="DD188" s="1723" t="str">
        <f t="shared" si="205"/>
        <v xml:space="preserve"> * La variable Paciente Diabético en control PSCV no pueden superar el Total Ambos Sexos.</v>
      </c>
      <c r="DE188"/>
      <c r="DF188"/>
      <c r="DH188"/>
      <c r="DI188" s="1725">
        <f t="shared" si="207"/>
        <v>1</v>
      </c>
      <c r="DJ188" s="2783"/>
      <c r="DK188" s="2783"/>
      <c r="DL188" s="1725">
        <f t="shared" si="210"/>
        <v>1</v>
      </c>
      <c r="DM188" s="1725">
        <f t="shared" si="211"/>
        <v>1</v>
      </c>
      <c r="DN188" s="1725">
        <f t="shared" si="212"/>
        <v>1</v>
      </c>
    </row>
    <row r="189" spans="1:118" ht="15" customHeight="1" x14ac:dyDescent="0.3">
      <c r="A189" s="6269" t="s">
        <v>5059</v>
      </c>
      <c r="B189" s="7267"/>
      <c r="C189" s="7267"/>
      <c r="D189" s="769" t="s">
        <v>870</v>
      </c>
      <c r="E189" s="4700" t="s">
        <v>5292</v>
      </c>
      <c r="F189" s="4730" t="s">
        <v>5293</v>
      </c>
      <c r="G189" s="4693" t="s">
        <v>5294</v>
      </c>
      <c r="H189" s="4191" t="s">
        <v>5295</v>
      </c>
      <c r="I189" s="3052" t="s">
        <v>5296</v>
      </c>
      <c r="J189" s="3052" t="s">
        <v>5297</v>
      </c>
      <c r="K189" s="3052" t="s">
        <v>5298</v>
      </c>
      <c r="L189" s="3052" t="s">
        <v>5299</v>
      </c>
      <c r="M189" s="3052" t="s">
        <v>5300</v>
      </c>
      <c r="N189" s="3052" t="s">
        <v>5301</v>
      </c>
      <c r="O189" s="3052" t="s">
        <v>5302</v>
      </c>
      <c r="P189" s="3052" t="s">
        <v>5303</v>
      </c>
      <c r="Q189" s="3052" t="s">
        <v>5304</v>
      </c>
      <c r="R189" s="3052" t="s">
        <v>5305</v>
      </c>
      <c r="S189" s="3052" t="s">
        <v>5306</v>
      </c>
      <c r="T189" s="3052" t="s">
        <v>5307</v>
      </c>
      <c r="U189" s="3052" t="s">
        <v>5308</v>
      </c>
      <c r="V189" s="3052" t="s">
        <v>5309</v>
      </c>
      <c r="W189" s="3052" t="s">
        <v>5310</v>
      </c>
      <c r="X189" s="3052" t="s">
        <v>5311</v>
      </c>
      <c r="Y189" s="2804" t="s">
        <v>5312</v>
      </c>
      <c r="Z189" s="3052" t="s">
        <v>5313</v>
      </c>
      <c r="AA189" s="3052" t="s">
        <v>5314</v>
      </c>
      <c r="AB189" s="3052" t="s">
        <v>5315</v>
      </c>
      <c r="AC189" s="3052" t="s">
        <v>5316</v>
      </c>
      <c r="AD189" s="4191" t="s">
        <v>5317</v>
      </c>
      <c r="AE189" s="3052" t="s">
        <v>5318</v>
      </c>
      <c r="AF189" s="3052" t="s">
        <v>5319</v>
      </c>
      <c r="AG189" s="3052" t="s">
        <v>5320</v>
      </c>
      <c r="AH189" s="3052" t="s">
        <v>5321</v>
      </c>
      <c r="AI189" s="3052" t="s">
        <v>5322</v>
      </c>
      <c r="AJ189" s="3052" t="s">
        <v>5323</v>
      </c>
      <c r="AK189" s="1071" t="s">
        <v>5324</v>
      </c>
      <c r="AL189" s="131" t="s">
        <v>5325</v>
      </c>
      <c r="AM189" s="870" t="s">
        <v>5326</v>
      </c>
      <c r="AN189" s="1070" t="s">
        <v>5327</v>
      </c>
      <c r="AO189" s="3052" t="s">
        <v>5328</v>
      </c>
      <c r="AP189" s="3052" t="s">
        <v>5329</v>
      </c>
      <c r="AQ189" s="1071" t="s">
        <v>5330</v>
      </c>
      <c r="AR189" s="869" t="s">
        <v>5331</v>
      </c>
      <c r="AS189" s="566" t="s">
        <v>5332</v>
      </c>
      <c r="AT189" s="3052" t="s">
        <v>5333</v>
      </c>
      <c r="AU189" s="5839" t="s">
        <v>5334</v>
      </c>
      <c r="AV189" s="153" t="s">
        <v>5335</v>
      </c>
      <c r="AW189" s="878" t="s">
        <v>5336</v>
      </c>
      <c r="AX189" s="153" t="s">
        <v>5337</v>
      </c>
      <c r="AY189" t="str">
        <f t="shared" si="182"/>
        <v xml:space="preserve"> * La variable Usuarios con Discapacidad no pueden superar el Total Ambos Sexos. * La variable Migrantes no pueden superar el Total Ambos Sexos. * La variable Paciente Diabético en control PSCV no pueden superar el Total Ambos Sexos.</v>
      </c>
      <c r="CX189"/>
      <c r="CY189" s="1723" t="str">
        <f t="shared" si="201"/>
        <v xml:space="preserve"> * La variable Usuarios con Discapacidad no pueden superar el Total Ambos Sexos.</v>
      </c>
      <c r="CZ189" s="2783"/>
      <c r="DA189" s="2783"/>
      <c r="DB189" s="1723" t="str">
        <f t="shared" si="204"/>
        <v xml:space="preserve"> * La variable Migrantes no pueden superar el Total Ambos Sexos.</v>
      </c>
      <c r="DC189" s="2783"/>
      <c r="DD189" s="1723" t="str">
        <f t="shared" si="205"/>
        <v xml:space="preserve"> * La variable Paciente Diabético en control PSCV no pueden superar el Total Ambos Sexos.</v>
      </c>
      <c r="DE189"/>
      <c r="DF189"/>
      <c r="DH189"/>
      <c r="DI189" s="1725">
        <f t="shared" si="207"/>
        <v>1</v>
      </c>
      <c r="DJ189" s="2783"/>
      <c r="DK189" s="2783"/>
      <c r="DL189" s="1725">
        <f t="shared" si="210"/>
        <v>1</v>
      </c>
      <c r="DM189" s="2783"/>
      <c r="DN189" s="1725">
        <f t="shared" si="212"/>
        <v>1</v>
      </c>
    </row>
    <row r="190" spans="1:118" ht="15" customHeight="1" x14ac:dyDescent="0.3">
      <c r="A190" s="6269" t="s">
        <v>5060</v>
      </c>
      <c r="B190" s="7267"/>
      <c r="C190" s="7362" t="s">
        <v>751</v>
      </c>
      <c r="D190" s="605" t="s">
        <v>871</v>
      </c>
      <c r="E190" s="4699" t="s">
        <v>5292</v>
      </c>
      <c r="F190" s="4732" t="s">
        <v>5293</v>
      </c>
      <c r="G190" s="4694" t="s">
        <v>5294</v>
      </c>
      <c r="H190" s="4191" t="s">
        <v>5295</v>
      </c>
      <c r="I190" s="3052" t="s">
        <v>5296</v>
      </c>
      <c r="J190" s="3052" t="s">
        <v>5297</v>
      </c>
      <c r="K190" s="3052" t="s">
        <v>5298</v>
      </c>
      <c r="L190" s="3052" t="s">
        <v>5299</v>
      </c>
      <c r="M190" s="3052" t="s">
        <v>5300</v>
      </c>
      <c r="N190" s="3052" t="s">
        <v>5301</v>
      </c>
      <c r="O190" s="3052" t="s">
        <v>5302</v>
      </c>
      <c r="P190" s="3052" t="s">
        <v>5303</v>
      </c>
      <c r="Q190" s="3052" t="s">
        <v>5304</v>
      </c>
      <c r="R190" s="3052" t="s">
        <v>5305</v>
      </c>
      <c r="S190" s="3052" t="s">
        <v>5306</v>
      </c>
      <c r="T190" s="3052" t="s">
        <v>5307</v>
      </c>
      <c r="U190" s="3052" t="s">
        <v>5308</v>
      </c>
      <c r="V190" s="3052" t="s">
        <v>5309</v>
      </c>
      <c r="W190" s="3052" t="s">
        <v>5310</v>
      </c>
      <c r="X190" s="3052" t="s">
        <v>5311</v>
      </c>
      <c r="Y190" s="2804" t="s">
        <v>5312</v>
      </c>
      <c r="Z190" s="3052" t="s">
        <v>5313</v>
      </c>
      <c r="AA190" s="3052" t="s">
        <v>5314</v>
      </c>
      <c r="AB190" s="3052" t="s">
        <v>5315</v>
      </c>
      <c r="AC190" s="3052" t="s">
        <v>5316</v>
      </c>
      <c r="AD190" s="4191" t="s">
        <v>5317</v>
      </c>
      <c r="AE190" s="3052" t="s">
        <v>5318</v>
      </c>
      <c r="AF190" s="3052" t="s">
        <v>5319</v>
      </c>
      <c r="AG190" s="3052" t="s">
        <v>5320</v>
      </c>
      <c r="AH190" s="3052" t="s">
        <v>5321</v>
      </c>
      <c r="AI190" s="3052" t="s">
        <v>5322</v>
      </c>
      <c r="AJ190" s="3052" t="s">
        <v>5323</v>
      </c>
      <c r="AK190" s="1071" t="s">
        <v>5324</v>
      </c>
      <c r="AL190" s="482" t="s">
        <v>5325</v>
      </c>
      <c r="AM190" s="499" t="s">
        <v>5326</v>
      </c>
      <c r="AN190" s="1070" t="s">
        <v>5327</v>
      </c>
      <c r="AO190" s="3052" t="s">
        <v>5328</v>
      </c>
      <c r="AP190" s="3052" t="s">
        <v>5329</v>
      </c>
      <c r="AQ190" s="1071" t="s">
        <v>5330</v>
      </c>
      <c r="AR190" s="615" t="s">
        <v>5331</v>
      </c>
      <c r="AS190" s="185" t="s">
        <v>5332</v>
      </c>
      <c r="AT190" s="3052" t="s">
        <v>5333</v>
      </c>
      <c r="AU190" s="5839" t="s">
        <v>5334</v>
      </c>
      <c r="AV190" s="784" t="s">
        <v>5335</v>
      </c>
      <c r="AW190" s="784" t="s">
        <v>5336</v>
      </c>
      <c r="AX190" s="784" t="s">
        <v>5337</v>
      </c>
      <c r="AY190" t="str">
        <f t="shared" si="182"/>
        <v xml:space="preserve"> * La variable Usuarios con Discapacidad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90"/>
      <c r="CY190" s="1723" t="str">
        <f t="shared" si="201"/>
        <v xml:space="preserve"> * La variable Usuarios con Discapacidad no pueden superar el Total Ambos Sexos.</v>
      </c>
      <c r="CZ190" s="2783"/>
      <c r="DA190" s="2783"/>
      <c r="DB190" s="1723" t="str">
        <f t="shared" si="204"/>
        <v xml:space="preserve"> * La variable Migrantes no pueden superar el Total Ambos Sexos.</v>
      </c>
      <c r="DC190" s="1723" t="str">
        <f t="shared" si="206"/>
        <v xml:space="preserve"> * La variable Egreso por Abandono no pueden superar el Total Ambos Sexos.</v>
      </c>
      <c r="DD190" s="1723" t="str">
        <f t="shared" si="205"/>
        <v xml:space="preserve"> * La variable Paciente Diabético en control PSCV no pueden superar el Total Ambos Sexos.</v>
      </c>
      <c r="DE190"/>
      <c r="DF190"/>
      <c r="DH190"/>
      <c r="DI190" s="1725">
        <f t="shared" si="207"/>
        <v>1</v>
      </c>
      <c r="DJ190" s="2783"/>
      <c r="DK190" s="2783"/>
      <c r="DL190" s="1725">
        <f t="shared" si="210"/>
        <v>1</v>
      </c>
      <c r="DM190" s="1725">
        <f t="shared" si="211"/>
        <v>1</v>
      </c>
      <c r="DN190" s="1725">
        <f t="shared" si="212"/>
        <v>1</v>
      </c>
    </row>
    <row r="191" spans="1:118" ht="15" customHeight="1" x14ac:dyDescent="0.3">
      <c r="A191" s="6269" t="s">
        <v>5061</v>
      </c>
      <c r="B191" s="7363"/>
      <c r="C191" s="7363"/>
      <c r="D191" s="593" t="s">
        <v>872</v>
      </c>
      <c r="E191" s="4700" t="s">
        <v>5292</v>
      </c>
      <c r="F191" s="4732" t="s">
        <v>5293</v>
      </c>
      <c r="G191" s="4694" t="s">
        <v>5294</v>
      </c>
      <c r="H191" s="4191" t="s">
        <v>5295</v>
      </c>
      <c r="I191" s="3052" t="s">
        <v>5296</v>
      </c>
      <c r="J191" s="3052" t="s">
        <v>5297</v>
      </c>
      <c r="K191" s="3052" t="s">
        <v>5298</v>
      </c>
      <c r="L191" s="3052" t="s">
        <v>5299</v>
      </c>
      <c r="M191" s="3052" t="s">
        <v>5300</v>
      </c>
      <c r="N191" s="3052" t="s">
        <v>5301</v>
      </c>
      <c r="O191" s="3052" t="s">
        <v>5302</v>
      </c>
      <c r="P191" s="3052" t="s">
        <v>5303</v>
      </c>
      <c r="Q191" s="3052" t="s">
        <v>5304</v>
      </c>
      <c r="R191" s="3052" t="s">
        <v>5305</v>
      </c>
      <c r="S191" s="3052" t="s">
        <v>5306</v>
      </c>
      <c r="T191" s="3052" t="s">
        <v>5307</v>
      </c>
      <c r="U191" s="3052" t="s">
        <v>5308</v>
      </c>
      <c r="V191" s="3052" t="s">
        <v>5309</v>
      </c>
      <c r="W191" s="3052" t="s">
        <v>5310</v>
      </c>
      <c r="X191" s="3052" t="s">
        <v>5311</v>
      </c>
      <c r="Y191" s="2804" t="s">
        <v>5312</v>
      </c>
      <c r="Z191" s="3021" t="s">
        <v>5313</v>
      </c>
      <c r="AA191" s="3021" t="s">
        <v>5314</v>
      </c>
      <c r="AB191" s="3021" t="s">
        <v>5315</v>
      </c>
      <c r="AC191" s="3021" t="s">
        <v>5316</v>
      </c>
      <c r="AD191" s="197" t="s">
        <v>5317</v>
      </c>
      <c r="AE191" s="3021" t="s">
        <v>5318</v>
      </c>
      <c r="AF191" s="3021" t="s">
        <v>5319</v>
      </c>
      <c r="AG191" s="3021" t="s">
        <v>5320</v>
      </c>
      <c r="AH191" s="3021" t="s">
        <v>5321</v>
      </c>
      <c r="AI191" s="3021" t="s">
        <v>5322</v>
      </c>
      <c r="AJ191" s="3021" t="s">
        <v>5323</v>
      </c>
      <c r="AK191" s="3022" t="s">
        <v>5324</v>
      </c>
      <c r="AL191" s="619" t="s">
        <v>5325</v>
      </c>
      <c r="AM191" s="621" t="s">
        <v>5326</v>
      </c>
      <c r="AN191" s="3019" t="s">
        <v>5327</v>
      </c>
      <c r="AO191" s="3021" t="s">
        <v>5328</v>
      </c>
      <c r="AP191" s="3021" t="s">
        <v>5329</v>
      </c>
      <c r="AQ191" s="3022" t="s">
        <v>5330</v>
      </c>
      <c r="AR191" s="620" t="s">
        <v>5331</v>
      </c>
      <c r="AS191" s="581" t="s">
        <v>5332</v>
      </c>
      <c r="AT191" s="3019" t="s">
        <v>5333</v>
      </c>
      <c r="AU191" s="5840" t="s">
        <v>5334</v>
      </c>
      <c r="AV191" s="5416" t="s">
        <v>5335</v>
      </c>
      <c r="AW191" s="878" t="s">
        <v>5336</v>
      </c>
      <c r="AX191" s="117" t="s">
        <v>5337</v>
      </c>
      <c r="AY191" t="str">
        <f t="shared" si="182"/>
        <v xml:space="preserve"> * La variable Usuarios con Discapacidad no pueden superar el Total Ambos Sexos. * La variable Migrantes no pueden superar el Total Ambos Sexos. * La variable Paciente Diabético en control PSCV no pueden superar el Total Ambos Sexos.</v>
      </c>
      <c r="CX191"/>
      <c r="CY191" s="1723" t="str">
        <f t="shared" si="201"/>
        <v xml:space="preserve"> * La variable Usuarios con Discapacidad no pueden superar el Total Ambos Sexos.</v>
      </c>
      <c r="CZ191" s="2783"/>
      <c r="DA191" s="2783"/>
      <c r="DB191" s="1723" t="str">
        <f t="shared" si="204"/>
        <v xml:space="preserve"> * La variable Migrantes no pueden superar el Total Ambos Sexos.</v>
      </c>
      <c r="DC191" s="2783"/>
      <c r="DD191" s="1723" t="str">
        <f t="shared" si="205"/>
        <v xml:space="preserve"> * La variable Paciente Diabético en control PSCV no pueden superar el Total Ambos Sexos.</v>
      </c>
      <c r="DE191"/>
      <c r="DF191"/>
      <c r="DH191"/>
      <c r="DI191" s="1725">
        <f t="shared" si="207"/>
        <v>1</v>
      </c>
      <c r="DJ191" s="2783"/>
      <c r="DK191" s="2783"/>
      <c r="DL191" s="1725">
        <f t="shared" si="210"/>
        <v>1</v>
      </c>
      <c r="DM191" s="2783"/>
      <c r="DN191" s="1725">
        <f t="shared" si="212"/>
        <v>1</v>
      </c>
    </row>
    <row r="192" spans="1:118" ht="15" customHeight="1" x14ac:dyDescent="0.3">
      <c r="A192" s="6271" t="s">
        <v>5062</v>
      </c>
      <c r="B192" s="7414" t="s">
        <v>873</v>
      </c>
      <c r="C192" s="7417" t="s">
        <v>874</v>
      </c>
      <c r="D192" s="899" t="s">
        <v>875</v>
      </c>
      <c r="E192" s="4699" t="s">
        <v>5292</v>
      </c>
      <c r="F192" s="4728" t="s">
        <v>5293</v>
      </c>
      <c r="G192" s="4718" t="s">
        <v>5294</v>
      </c>
      <c r="H192" s="3570" t="s">
        <v>5295</v>
      </c>
      <c r="I192" s="4705" t="s">
        <v>5296</v>
      </c>
      <c r="J192" s="4705" t="s">
        <v>5297</v>
      </c>
      <c r="K192" s="4705" t="s">
        <v>5298</v>
      </c>
      <c r="L192" s="4705" t="s">
        <v>5299</v>
      </c>
      <c r="M192" s="4705" t="s">
        <v>5300</v>
      </c>
      <c r="N192" s="4705" t="s">
        <v>5301</v>
      </c>
      <c r="O192" s="4705" t="s">
        <v>5302</v>
      </c>
      <c r="P192" s="4705" t="s">
        <v>5303</v>
      </c>
      <c r="Q192" s="4705" t="s">
        <v>5304</v>
      </c>
      <c r="R192" s="4705" t="s">
        <v>5305</v>
      </c>
      <c r="S192" s="4705" t="s">
        <v>5306</v>
      </c>
      <c r="T192" s="4705" t="s">
        <v>5307</v>
      </c>
      <c r="U192" s="4705" t="s">
        <v>5308</v>
      </c>
      <c r="V192" s="4705" t="s">
        <v>5309</v>
      </c>
      <c r="W192" s="4705" t="s">
        <v>5310</v>
      </c>
      <c r="X192" s="4705" t="s">
        <v>5311</v>
      </c>
      <c r="Y192" s="1965" t="s">
        <v>5312</v>
      </c>
      <c r="Z192" s="586" t="s">
        <v>5313</v>
      </c>
      <c r="AA192" s="105" t="s">
        <v>5314</v>
      </c>
      <c r="AB192" s="586" t="s">
        <v>5315</v>
      </c>
      <c r="AC192" s="105" t="s">
        <v>5316</v>
      </c>
      <c r="AD192" s="586" t="s">
        <v>5317</v>
      </c>
      <c r="AE192" s="105" t="s">
        <v>5318</v>
      </c>
      <c r="AF192" s="586" t="s">
        <v>5319</v>
      </c>
      <c r="AG192" s="105" t="s">
        <v>5320</v>
      </c>
      <c r="AH192" s="586" t="s">
        <v>5321</v>
      </c>
      <c r="AI192" s="105" t="s">
        <v>5322</v>
      </c>
      <c r="AJ192" s="586" t="s">
        <v>5323</v>
      </c>
      <c r="AK192" s="105" t="s">
        <v>5324</v>
      </c>
      <c r="AL192" s="586" t="s">
        <v>5325</v>
      </c>
      <c r="AM192" s="105" t="s">
        <v>5326</v>
      </c>
      <c r="AN192" s="586" t="s">
        <v>5327</v>
      </c>
      <c r="AO192" s="105" t="s">
        <v>5328</v>
      </c>
      <c r="AP192" s="586" t="s">
        <v>5329</v>
      </c>
      <c r="AQ192" s="105" t="s">
        <v>5330</v>
      </c>
      <c r="AR192" s="768" t="s">
        <v>5331</v>
      </c>
      <c r="AS192" s="587" t="s">
        <v>5332</v>
      </c>
      <c r="AT192" s="105" t="s">
        <v>5333</v>
      </c>
      <c r="AU192" s="105" t="s">
        <v>5334</v>
      </c>
      <c r="AV192" s="105" t="s">
        <v>5335</v>
      </c>
      <c r="AW192" s="784" t="s">
        <v>5336</v>
      </c>
      <c r="AX192" s="105" t="s">
        <v>5337</v>
      </c>
      <c r="AY192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92"/>
      <c r="CY192" s="1723" t="str">
        <f t="shared" ref="CY192:CY196" si="213">IF(AND(E192&gt;0,AS192=""),"  * No olvide digitar la variable  Usuarios con Discapacidad. Digite Cero si no tiene.",IF(AS192&gt;E192," * La variable Usuarios con Discapacidad no pueden superar el Total Ambos Sexos.",""))</f>
        <v xml:space="preserve"> * La variable Usuarios con Discapacidad no pueden superar el Total Ambos Sexos.</v>
      </c>
      <c r="CZ192" s="1723" t="str">
        <f t="shared" ref="CZ192:CZ196" si="214">IF(AND(E192&gt;0,AT192=""),"  * No olvide digitar la variable Niños, niñas, adolescentes y jóvenes SENAME. Digite Cero si no tiene.",IF(AT192&gt;E192," * La variable Niños, niñas, adolescentes y jóvenes SENAME no pueden superar el Total Ambos Sexos.",""))</f>
        <v xml:space="preserve"> * La variable Niños, niñas, adolescentes y jóvenes SENAME no pueden superar el Total Ambos Sexos.</v>
      </c>
      <c r="DA192" s="1723" t="str">
        <f t="shared" ref="DA192:DA196" si="215">IF(AND(E192&gt;0,AU192=""),"  * No olvide digitar la variable Niños, niñas, adolescentes y jóvenes Mejor Niñez. Digite Cero si no tiene.",IF(AU192&gt;E192," * La variable Niños, niñas, adolescentes y jóvenes Mejor Niñez  no pueden superar el Total Ambos Sexos.",""))</f>
        <v xml:space="preserve"> * La variable Niños, niñas, adolescentes y jóvenes Mejor Niñez  no pueden superar el Total Ambos Sexos.</v>
      </c>
      <c r="DB192" s="1723" t="str">
        <f t="shared" ref="DB192:DB196" si="216">IF(AND(E192&gt;0,AV192=""),"  * No olvide digitar la variable Migrantes. Digite Cero si no tiene.",IF(AV192&gt;E192," * La variable Migrantes no pueden superar el Total Ambos Sexos.",""))</f>
        <v xml:space="preserve"> * La variable Migrantes no pueden superar el Total Ambos Sexos.</v>
      </c>
      <c r="DC192" s="1723" t="str">
        <f t="shared" si="206"/>
        <v xml:space="preserve"> * La variable Egreso por Abandono no pueden superar el Total Ambos Sexos.</v>
      </c>
      <c r="DD192" s="1723" t="str">
        <f t="shared" si="205"/>
        <v xml:space="preserve"> * La variable Paciente Diabético en control PSCV no pueden superar el Total Ambos Sexos.</v>
      </c>
      <c r="DE192"/>
      <c r="DF192"/>
      <c r="DH192"/>
      <c r="DI192" s="1725">
        <f t="shared" si="207"/>
        <v>1</v>
      </c>
      <c r="DJ192" s="1725">
        <f t="shared" si="208"/>
        <v>1</v>
      </c>
      <c r="DK192" s="1725">
        <f t="shared" si="209"/>
        <v>1</v>
      </c>
      <c r="DL192" s="1725">
        <f t="shared" si="210"/>
        <v>1</v>
      </c>
      <c r="DM192" s="1725">
        <f t="shared" si="211"/>
        <v>1</v>
      </c>
      <c r="DN192" s="1725">
        <f t="shared" si="212"/>
        <v>1</v>
      </c>
    </row>
    <row r="193" spans="1:118" ht="15" customHeight="1" x14ac:dyDescent="0.3">
      <c r="A193" s="6271" t="s">
        <v>5063</v>
      </c>
      <c r="B193" s="7415"/>
      <c r="C193" s="7418"/>
      <c r="D193" s="327" t="s">
        <v>876</v>
      </c>
      <c r="E193" s="954" t="s">
        <v>5292</v>
      </c>
      <c r="F193" s="4729" t="s">
        <v>5293</v>
      </c>
      <c r="G193" s="4719" t="s">
        <v>5294</v>
      </c>
      <c r="H193" s="3570" t="s">
        <v>5295</v>
      </c>
      <c r="I193" s="4705" t="s">
        <v>5296</v>
      </c>
      <c r="J193" s="4705" t="s">
        <v>5297</v>
      </c>
      <c r="K193" s="4705" t="s">
        <v>5298</v>
      </c>
      <c r="L193" s="4705" t="s">
        <v>5299</v>
      </c>
      <c r="M193" s="4705" t="s">
        <v>5300</v>
      </c>
      <c r="N193" s="4705" t="s">
        <v>5301</v>
      </c>
      <c r="O193" s="4705" t="s">
        <v>5302</v>
      </c>
      <c r="P193" s="4705" t="s">
        <v>5303</v>
      </c>
      <c r="Q193" s="4705" t="s">
        <v>5304</v>
      </c>
      <c r="R193" s="4705" t="s">
        <v>5305</v>
      </c>
      <c r="S193" s="4705" t="s">
        <v>5306</v>
      </c>
      <c r="T193" s="4705" t="s">
        <v>5307</v>
      </c>
      <c r="U193" s="4705" t="s">
        <v>5308</v>
      </c>
      <c r="V193" s="4705" t="s">
        <v>5309</v>
      </c>
      <c r="W193" s="4705" t="s">
        <v>5310</v>
      </c>
      <c r="X193" s="4705" t="s">
        <v>5311</v>
      </c>
      <c r="Y193" s="1965" t="s">
        <v>5312</v>
      </c>
      <c r="Z193" s="131" t="s">
        <v>5313</v>
      </c>
      <c r="AA193" s="870" t="s">
        <v>5314</v>
      </c>
      <c r="AB193" s="131" t="s">
        <v>5315</v>
      </c>
      <c r="AC193" s="870" t="s">
        <v>5316</v>
      </c>
      <c r="AD193" s="131" t="s">
        <v>5317</v>
      </c>
      <c r="AE193" s="870" t="s">
        <v>5318</v>
      </c>
      <c r="AF193" s="131" t="s">
        <v>5319</v>
      </c>
      <c r="AG193" s="870" t="s">
        <v>5320</v>
      </c>
      <c r="AH193" s="131" t="s">
        <v>5321</v>
      </c>
      <c r="AI193" s="870" t="s">
        <v>5322</v>
      </c>
      <c r="AJ193" s="131" t="s">
        <v>5323</v>
      </c>
      <c r="AK193" s="870" t="s">
        <v>5324</v>
      </c>
      <c r="AL193" s="131" t="s">
        <v>5325</v>
      </c>
      <c r="AM193" s="870" t="s">
        <v>5326</v>
      </c>
      <c r="AN193" s="131" t="s">
        <v>5327</v>
      </c>
      <c r="AO193" s="870" t="s">
        <v>5328</v>
      </c>
      <c r="AP193" s="131" t="s">
        <v>5329</v>
      </c>
      <c r="AQ193" s="870" t="s">
        <v>5330</v>
      </c>
      <c r="AR193" s="869" t="s">
        <v>5331</v>
      </c>
      <c r="AS193" s="566" t="s">
        <v>5332</v>
      </c>
      <c r="AT193" s="870" t="s">
        <v>5333</v>
      </c>
      <c r="AU193" s="870" t="s">
        <v>5334</v>
      </c>
      <c r="AV193" s="870" t="s">
        <v>5335</v>
      </c>
      <c r="AW193" s="333" t="s">
        <v>5336</v>
      </c>
      <c r="AX193" s="870" t="s">
        <v>5337</v>
      </c>
      <c r="AY193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93"/>
      <c r="CY193" s="1723" t="str">
        <f t="shared" si="213"/>
        <v xml:space="preserve"> * La variable Usuarios con Discapacidad no pueden superar el Total Ambos Sexos.</v>
      </c>
      <c r="CZ193" s="1723" t="str">
        <f t="shared" si="214"/>
        <v xml:space="preserve"> * La variable Niños, niñas, adolescentes y jóvenes SENAME no pueden superar el Total Ambos Sexos.</v>
      </c>
      <c r="DA193" s="1723" t="str">
        <f t="shared" si="215"/>
        <v xml:space="preserve"> * La variable Niños, niñas, adolescentes y jóvenes Mejor Niñez  no pueden superar el Total Ambos Sexos.</v>
      </c>
      <c r="DB193" s="1723" t="str">
        <f t="shared" si="216"/>
        <v xml:space="preserve"> * La variable Migrantes no pueden superar el Total Ambos Sexos.</v>
      </c>
      <c r="DC193" s="1723" t="str">
        <f t="shared" si="206"/>
        <v xml:space="preserve"> * La variable Egreso por Abandono no pueden superar el Total Ambos Sexos.</v>
      </c>
      <c r="DD193" s="1723" t="str">
        <f t="shared" si="205"/>
        <v xml:space="preserve"> * La variable Paciente Diabético en control PSCV no pueden superar el Total Ambos Sexos.</v>
      </c>
      <c r="DE193"/>
      <c r="DF193"/>
      <c r="DH193"/>
      <c r="DI193" s="1725">
        <f t="shared" si="207"/>
        <v>1</v>
      </c>
      <c r="DJ193" s="1725">
        <f t="shared" si="208"/>
        <v>1</v>
      </c>
      <c r="DK193" s="1725">
        <f t="shared" si="209"/>
        <v>1</v>
      </c>
      <c r="DL193" s="1725">
        <f t="shared" si="210"/>
        <v>1</v>
      </c>
      <c r="DM193" s="1725">
        <f t="shared" si="211"/>
        <v>1</v>
      </c>
      <c r="DN193" s="1725">
        <f t="shared" si="212"/>
        <v>1</v>
      </c>
    </row>
    <row r="194" spans="1:118" ht="15" customHeight="1" x14ac:dyDescent="0.3">
      <c r="A194" s="6271" t="s">
        <v>5064</v>
      </c>
      <c r="B194" s="7416"/>
      <c r="C194" s="7419"/>
      <c r="D194" s="900" t="s">
        <v>877</v>
      </c>
      <c r="E194" s="4700" t="s">
        <v>5292</v>
      </c>
      <c r="F194" s="4730" t="s">
        <v>5293</v>
      </c>
      <c r="G194" s="4722" t="s">
        <v>5294</v>
      </c>
      <c r="H194" s="3570" t="s">
        <v>5295</v>
      </c>
      <c r="I194" s="4705" t="s">
        <v>5296</v>
      </c>
      <c r="J194" s="4705" t="s">
        <v>5297</v>
      </c>
      <c r="K194" s="4705" t="s">
        <v>5298</v>
      </c>
      <c r="L194" s="4705" t="s">
        <v>5299</v>
      </c>
      <c r="M194" s="4705" t="s">
        <v>5300</v>
      </c>
      <c r="N194" s="4705" t="s">
        <v>5301</v>
      </c>
      <c r="O194" s="4705" t="s">
        <v>5302</v>
      </c>
      <c r="P194" s="4705" t="s">
        <v>5303</v>
      </c>
      <c r="Q194" s="4705" t="s">
        <v>5304</v>
      </c>
      <c r="R194" s="4705" t="s">
        <v>5305</v>
      </c>
      <c r="S194" s="4705" t="s">
        <v>5306</v>
      </c>
      <c r="T194" s="4705" t="s">
        <v>5307</v>
      </c>
      <c r="U194" s="4705" t="s">
        <v>5308</v>
      </c>
      <c r="V194" s="4705" t="s">
        <v>5309</v>
      </c>
      <c r="W194" s="4705" t="s">
        <v>5310</v>
      </c>
      <c r="X194" s="4705" t="s">
        <v>5311</v>
      </c>
      <c r="Y194" s="1965" t="s">
        <v>5312</v>
      </c>
      <c r="Z194" s="114" t="s">
        <v>5313</v>
      </c>
      <c r="AA194" s="117" t="s">
        <v>5314</v>
      </c>
      <c r="AB194" s="114" t="s">
        <v>5315</v>
      </c>
      <c r="AC194" s="117" t="s">
        <v>5316</v>
      </c>
      <c r="AD194" s="114" t="s">
        <v>5317</v>
      </c>
      <c r="AE194" s="117" t="s">
        <v>5318</v>
      </c>
      <c r="AF194" s="114" t="s">
        <v>5319</v>
      </c>
      <c r="AG194" s="117" t="s">
        <v>5320</v>
      </c>
      <c r="AH194" s="114" t="s">
        <v>5321</v>
      </c>
      <c r="AI194" s="117" t="s">
        <v>5322</v>
      </c>
      <c r="AJ194" s="114" t="s">
        <v>5323</v>
      </c>
      <c r="AK194" s="117" t="s">
        <v>5324</v>
      </c>
      <c r="AL194" s="114" t="s">
        <v>5325</v>
      </c>
      <c r="AM194" s="117" t="s">
        <v>5326</v>
      </c>
      <c r="AN194" s="114" t="s">
        <v>5327</v>
      </c>
      <c r="AO194" s="117" t="s">
        <v>5328</v>
      </c>
      <c r="AP194" s="114" t="s">
        <v>5329</v>
      </c>
      <c r="AQ194" s="117" t="s">
        <v>5330</v>
      </c>
      <c r="AR194" s="771" t="s">
        <v>5331</v>
      </c>
      <c r="AS194" s="117" t="s">
        <v>5332</v>
      </c>
      <c r="AT194" s="117" t="s">
        <v>5333</v>
      </c>
      <c r="AU194" s="117" t="s">
        <v>5334</v>
      </c>
      <c r="AV194" s="117" t="s">
        <v>5335</v>
      </c>
      <c r="AW194" s="153" t="s">
        <v>5336</v>
      </c>
      <c r="AX194" s="117" t="s">
        <v>5337</v>
      </c>
      <c r="AY194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Egreso por Abandono no pueden superar el Total Ambos Sexos. * La variable Paciente Diabético en control PSCV no pueden superar el Total Ambos Sexos.</v>
      </c>
      <c r="CX194"/>
      <c r="CY194" s="1723" t="str">
        <f t="shared" si="213"/>
        <v xml:space="preserve"> * La variable Usuarios con Discapacidad no pueden superar el Total Ambos Sexos.</v>
      </c>
      <c r="CZ194" s="1723" t="str">
        <f t="shared" si="214"/>
        <v xml:space="preserve"> * La variable Niños, niñas, adolescentes y jóvenes SENAME no pueden superar el Total Ambos Sexos.</v>
      </c>
      <c r="DA194" s="1723" t="str">
        <f t="shared" si="215"/>
        <v xml:space="preserve"> * La variable Niños, niñas, adolescentes y jóvenes Mejor Niñez  no pueden superar el Total Ambos Sexos.</v>
      </c>
      <c r="DB194" s="1723" t="str">
        <f t="shared" si="216"/>
        <v xml:space="preserve"> * La variable Migrantes no pueden superar el Total Ambos Sexos.</v>
      </c>
      <c r="DC194" s="1723" t="str">
        <f t="shared" si="206"/>
        <v xml:space="preserve"> * La variable Egreso por Abandono no pueden superar el Total Ambos Sexos.</v>
      </c>
      <c r="DD194" s="1723" t="str">
        <f t="shared" si="205"/>
        <v xml:space="preserve"> * La variable Paciente Diabético en control PSCV no pueden superar el Total Ambos Sexos.</v>
      </c>
      <c r="DE194"/>
      <c r="DF194"/>
      <c r="DH194"/>
      <c r="DI194" s="1725">
        <f t="shared" si="207"/>
        <v>1</v>
      </c>
      <c r="DJ194" s="1725">
        <f t="shared" si="208"/>
        <v>1</v>
      </c>
      <c r="DK194" s="1725">
        <f t="shared" si="209"/>
        <v>1</v>
      </c>
      <c r="DL194" s="1725">
        <f t="shared" si="210"/>
        <v>1</v>
      </c>
      <c r="DM194" s="1725">
        <f t="shared" si="211"/>
        <v>1</v>
      </c>
      <c r="DN194" s="1725">
        <f t="shared" si="212"/>
        <v>1</v>
      </c>
    </row>
    <row r="195" spans="1:118" ht="21.6" customHeight="1" x14ac:dyDescent="0.3">
      <c r="A195" s="6271" t="s">
        <v>5065</v>
      </c>
      <c r="B195" s="7421" t="s">
        <v>878</v>
      </c>
      <c r="C195" s="7362" t="s">
        <v>879</v>
      </c>
      <c r="D195" s="609" t="s">
        <v>880</v>
      </c>
      <c r="E195" s="907" t="s">
        <v>5292</v>
      </c>
      <c r="F195" s="4732" t="s">
        <v>5293</v>
      </c>
      <c r="G195" s="4721" t="s">
        <v>5294</v>
      </c>
      <c r="H195" s="4191" t="s">
        <v>5295</v>
      </c>
      <c r="I195" s="3052" t="s">
        <v>5296</v>
      </c>
      <c r="J195" s="3052" t="s">
        <v>5297</v>
      </c>
      <c r="K195" s="3052" t="s">
        <v>5298</v>
      </c>
      <c r="L195" s="3052" t="s">
        <v>5299</v>
      </c>
      <c r="M195" s="3052" t="s">
        <v>5300</v>
      </c>
      <c r="N195" s="3052" t="s">
        <v>5301</v>
      </c>
      <c r="O195" s="3052" t="s">
        <v>5302</v>
      </c>
      <c r="P195" s="3052" t="s">
        <v>5303</v>
      </c>
      <c r="Q195" s="3052" t="s">
        <v>5304</v>
      </c>
      <c r="R195" s="3052" t="s">
        <v>5305</v>
      </c>
      <c r="S195" s="3052" t="s">
        <v>5306</v>
      </c>
      <c r="T195" s="3052" t="s">
        <v>5307</v>
      </c>
      <c r="U195" s="3052" t="s">
        <v>5308</v>
      </c>
      <c r="V195" s="3052" t="s">
        <v>5309</v>
      </c>
      <c r="W195" s="3052" t="s">
        <v>5310</v>
      </c>
      <c r="X195" s="3052" t="s">
        <v>5311</v>
      </c>
      <c r="Y195" s="3052" t="s">
        <v>5312</v>
      </c>
      <c r="Z195" s="2820" t="s">
        <v>5313</v>
      </c>
      <c r="AA195" s="2820" t="s">
        <v>5314</v>
      </c>
      <c r="AB195" s="2820" t="s">
        <v>5315</v>
      </c>
      <c r="AC195" s="2820" t="s">
        <v>5316</v>
      </c>
      <c r="AD195" s="4716" t="s">
        <v>5317</v>
      </c>
      <c r="AE195" s="499" t="s">
        <v>5318</v>
      </c>
      <c r="AF195" s="482" t="s">
        <v>5319</v>
      </c>
      <c r="AG195" s="499" t="s">
        <v>5320</v>
      </c>
      <c r="AH195" s="482" t="s">
        <v>5321</v>
      </c>
      <c r="AI195" s="499" t="s">
        <v>5322</v>
      </c>
      <c r="AJ195" s="482" t="s">
        <v>5323</v>
      </c>
      <c r="AK195" s="499" t="s">
        <v>5324</v>
      </c>
      <c r="AL195" s="482" t="s">
        <v>5325</v>
      </c>
      <c r="AM195" s="499" t="s">
        <v>5326</v>
      </c>
      <c r="AN195" s="482" t="s">
        <v>5327</v>
      </c>
      <c r="AO195" s="499" t="s">
        <v>5328</v>
      </c>
      <c r="AP195" s="482" t="s">
        <v>5329</v>
      </c>
      <c r="AQ195" s="5666" t="s">
        <v>5330</v>
      </c>
      <c r="AR195" s="5667" t="s">
        <v>5331</v>
      </c>
      <c r="AS195" s="499" t="s">
        <v>5332</v>
      </c>
      <c r="AT195" s="499" t="s">
        <v>5333</v>
      </c>
      <c r="AU195" s="499" t="s">
        <v>5334</v>
      </c>
      <c r="AV195" s="499" t="s">
        <v>5335</v>
      </c>
      <c r="AW195" s="903" t="s">
        <v>5336</v>
      </c>
      <c r="AX195" s="499" t="s">
        <v>5337</v>
      </c>
      <c r="AY195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95"/>
      <c r="CY195" s="1723" t="str">
        <f t="shared" si="213"/>
        <v xml:space="preserve"> * La variable Usuarios con Discapacidad no pueden superar el Total Ambos Sexos.</v>
      </c>
      <c r="CZ195" s="1723" t="str">
        <f t="shared" si="214"/>
        <v xml:space="preserve"> * La variable Niños, niñas, adolescentes y jóvenes SENAME no pueden superar el Total Ambos Sexos.</v>
      </c>
      <c r="DA195" s="1723" t="str">
        <f t="shared" si="215"/>
        <v xml:space="preserve"> * La variable Niños, niñas, adolescentes y jóvenes Mejor Niñez  no pueden superar el Total Ambos Sexos.</v>
      </c>
      <c r="DB195" s="1723" t="str">
        <f t="shared" si="216"/>
        <v xml:space="preserve"> * La variable Migrantes no pueden superar el Total Ambos Sexos.</v>
      </c>
      <c r="DC195" s="2783"/>
      <c r="DD195" s="1723" t="str">
        <f t="shared" si="205"/>
        <v xml:space="preserve"> * La variable Paciente Diabético en control PSCV no pueden superar el Total Ambos Sexos.</v>
      </c>
      <c r="DE195"/>
      <c r="DF195"/>
      <c r="DH195"/>
      <c r="DI195" s="1725">
        <f t="shared" si="207"/>
        <v>1</v>
      </c>
      <c r="DJ195" s="1725">
        <f t="shared" si="208"/>
        <v>1</v>
      </c>
      <c r="DK195" s="1725">
        <f t="shared" si="209"/>
        <v>1</v>
      </c>
      <c r="DL195" s="1725">
        <f t="shared" si="210"/>
        <v>1</v>
      </c>
      <c r="DM195" s="2783"/>
      <c r="DN195" s="1725">
        <f t="shared" si="212"/>
        <v>1</v>
      </c>
    </row>
    <row r="196" spans="1:118" ht="20.399999999999999" customHeight="1" x14ac:dyDescent="0.3">
      <c r="A196" s="6271" t="s">
        <v>5066</v>
      </c>
      <c r="B196" s="7422"/>
      <c r="C196" s="7363"/>
      <c r="D196" s="584" t="s">
        <v>881</v>
      </c>
      <c r="E196" s="4700" t="s">
        <v>5292</v>
      </c>
      <c r="F196" s="4730" t="s">
        <v>5293</v>
      </c>
      <c r="G196" s="4722" t="s">
        <v>5294</v>
      </c>
      <c r="H196" s="197" t="s">
        <v>5295</v>
      </c>
      <c r="I196" s="3021" t="s">
        <v>5296</v>
      </c>
      <c r="J196" s="3021" t="s">
        <v>5297</v>
      </c>
      <c r="K196" s="3021" t="s">
        <v>5298</v>
      </c>
      <c r="L196" s="3021" t="s">
        <v>5299</v>
      </c>
      <c r="M196" s="3021" t="s">
        <v>5300</v>
      </c>
      <c r="N196" s="3021" t="s">
        <v>5301</v>
      </c>
      <c r="O196" s="3021" t="s">
        <v>5302</v>
      </c>
      <c r="P196" s="3021" t="s">
        <v>5303</v>
      </c>
      <c r="Q196" s="3021" t="s">
        <v>5304</v>
      </c>
      <c r="R196" s="3021" t="s">
        <v>5305</v>
      </c>
      <c r="S196" s="3021" t="s">
        <v>5306</v>
      </c>
      <c r="T196" s="3021" t="s">
        <v>5307</v>
      </c>
      <c r="U196" s="3021" t="s">
        <v>5308</v>
      </c>
      <c r="V196" s="3021" t="s">
        <v>5309</v>
      </c>
      <c r="W196" s="3021" t="s">
        <v>5310</v>
      </c>
      <c r="X196" s="3021" t="s">
        <v>5311</v>
      </c>
      <c r="Y196" s="3021" t="s">
        <v>5312</v>
      </c>
      <c r="Z196" s="3021" t="s">
        <v>5313</v>
      </c>
      <c r="AA196" s="3021" t="s">
        <v>5314</v>
      </c>
      <c r="AB196" s="3021" t="s">
        <v>5315</v>
      </c>
      <c r="AC196" s="3021" t="s">
        <v>5316</v>
      </c>
      <c r="AD196" s="121" t="s">
        <v>5317</v>
      </c>
      <c r="AE196" s="117" t="s">
        <v>5318</v>
      </c>
      <c r="AF196" s="114" t="s">
        <v>5319</v>
      </c>
      <c r="AG196" s="117" t="s">
        <v>5320</v>
      </c>
      <c r="AH196" s="114" t="s">
        <v>5321</v>
      </c>
      <c r="AI196" s="117" t="s">
        <v>5322</v>
      </c>
      <c r="AJ196" s="114" t="s">
        <v>5323</v>
      </c>
      <c r="AK196" s="117" t="s">
        <v>5324</v>
      </c>
      <c r="AL196" s="114" t="s">
        <v>5325</v>
      </c>
      <c r="AM196" s="117" t="s">
        <v>5326</v>
      </c>
      <c r="AN196" s="114" t="s">
        <v>5327</v>
      </c>
      <c r="AO196" s="117" t="s">
        <v>5328</v>
      </c>
      <c r="AP196" s="114" t="s">
        <v>5329</v>
      </c>
      <c r="AQ196" s="138" t="s">
        <v>5330</v>
      </c>
      <c r="AR196" s="3155" t="s">
        <v>5331</v>
      </c>
      <c r="AS196" s="117" t="s">
        <v>5332</v>
      </c>
      <c r="AT196" s="117" t="s">
        <v>5333</v>
      </c>
      <c r="AU196" s="117" t="s">
        <v>5334</v>
      </c>
      <c r="AV196" s="117" t="s">
        <v>5335</v>
      </c>
      <c r="AW196" s="904" t="s">
        <v>5336</v>
      </c>
      <c r="AX196" s="117" t="s">
        <v>5337</v>
      </c>
      <c r="AY196" t="str">
        <f t="shared" si="182"/>
        <v xml:space="preserve"> * La variable Usuarios con Discapacidad no pueden superar el Total Ambos Sexos. * La variable Niños, niñas, adolescentes y jóvenes SENAME no pueden superar el Total Ambos Sexos. * La variable Niños, niñas, adolescentes y jóvenes Mejor Niñez  no pueden superar el Total Ambos Sexos. * La variable Migrantes no pueden superar el Total Ambos Sexos. * La variable Paciente Diabético en control PSCV no pueden superar el Total Ambos Sexos.</v>
      </c>
      <c r="CX196"/>
      <c r="CY196" s="1723" t="str">
        <f t="shared" si="213"/>
        <v xml:space="preserve"> * La variable Usuarios con Discapacidad no pueden superar el Total Ambos Sexos.</v>
      </c>
      <c r="CZ196" s="1723" t="str">
        <f t="shared" si="214"/>
        <v xml:space="preserve"> * La variable Niños, niñas, adolescentes y jóvenes SENAME no pueden superar el Total Ambos Sexos.</v>
      </c>
      <c r="DA196" s="1723" t="str">
        <f t="shared" si="215"/>
        <v xml:space="preserve"> * La variable Niños, niñas, adolescentes y jóvenes Mejor Niñez  no pueden superar el Total Ambos Sexos.</v>
      </c>
      <c r="DB196" s="1723" t="str">
        <f t="shared" si="216"/>
        <v xml:space="preserve"> * La variable Migrantes no pueden superar el Total Ambos Sexos.</v>
      </c>
      <c r="DC196" s="2783"/>
      <c r="DD196" s="1723" t="str">
        <f t="shared" si="205"/>
        <v xml:space="preserve"> * La variable Paciente Diabético en control PSCV no pueden superar el Total Ambos Sexos.</v>
      </c>
      <c r="DE196"/>
      <c r="DF196"/>
      <c r="DH196"/>
      <c r="DI196" s="1725">
        <f t="shared" si="207"/>
        <v>1</v>
      </c>
      <c r="DJ196" s="1725">
        <f t="shared" si="208"/>
        <v>1</v>
      </c>
      <c r="DK196" s="1725">
        <f t="shared" si="209"/>
        <v>1</v>
      </c>
      <c r="DL196" s="1725">
        <f t="shared" si="210"/>
        <v>1</v>
      </c>
      <c r="DM196" s="2783"/>
      <c r="DN196" s="1725">
        <f t="shared" si="212"/>
        <v>1</v>
      </c>
    </row>
    <row r="197" spans="1:118" ht="18" customHeight="1" x14ac:dyDescent="0.3">
      <c r="B197" s="122" t="s">
        <v>882</v>
      </c>
      <c r="C197" s="793"/>
      <c r="D197" s="793"/>
      <c r="E197" s="793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775"/>
      <c r="AA197" s="775"/>
      <c r="AB197" s="775"/>
      <c r="AC197" s="775"/>
      <c r="AD197" s="775"/>
      <c r="AE197" s="775"/>
      <c r="AF197" s="775"/>
      <c r="AG197" s="775"/>
      <c r="AH197" s="775"/>
      <c r="CX197"/>
      <c r="CY197"/>
      <c r="CZ197"/>
      <c r="DA197"/>
      <c r="DB197"/>
      <c r="DC197"/>
      <c r="DD197"/>
      <c r="DE197"/>
      <c r="DF197"/>
      <c r="DH197"/>
      <c r="DI197"/>
      <c r="DJ197"/>
      <c r="DK197"/>
      <c r="DL197"/>
      <c r="DM197"/>
      <c r="DN197"/>
    </row>
    <row r="198" spans="1:118" ht="15" customHeight="1" x14ac:dyDescent="0.3">
      <c r="B198" s="7223" t="s">
        <v>58</v>
      </c>
      <c r="C198" s="6611"/>
      <c r="D198" s="7226"/>
      <c r="E198" s="7201" t="s">
        <v>24</v>
      </c>
      <c r="F198" s="6341"/>
      <c r="G198" s="7202"/>
      <c r="H198" s="7296" t="s">
        <v>30</v>
      </c>
      <c r="I198" s="7297"/>
      <c r="J198" s="7297"/>
      <c r="K198" s="7297"/>
      <c r="L198" s="7297"/>
      <c r="M198" s="7297"/>
      <c r="N198" s="7297"/>
      <c r="O198" s="7297"/>
      <c r="P198" s="7297"/>
      <c r="Q198" s="7297"/>
      <c r="R198" s="7297"/>
      <c r="S198" s="7297"/>
      <c r="T198" s="7297"/>
      <c r="U198" s="7297"/>
      <c r="V198" s="7297"/>
      <c r="W198" s="7297"/>
      <c r="X198" s="7297"/>
      <c r="Y198" s="7297"/>
      <c r="Z198" s="7297"/>
      <c r="AA198" s="7297"/>
      <c r="AB198" s="7297"/>
      <c r="AC198" s="7298"/>
      <c r="AD198" s="7426" t="s">
        <v>678</v>
      </c>
      <c r="AE198" s="7354" t="s">
        <v>50</v>
      </c>
      <c r="AF198" s="7354" t="s">
        <v>883</v>
      </c>
      <c r="AG198" s="7354" t="s">
        <v>884</v>
      </c>
      <c r="AH198" s="7354" t="s">
        <v>885</v>
      </c>
      <c r="CX198"/>
      <c r="CY198"/>
      <c r="CZ198"/>
      <c r="DA198"/>
      <c r="DB198"/>
      <c r="DC198"/>
      <c r="DD198"/>
      <c r="DE198"/>
      <c r="DF198"/>
      <c r="DH198"/>
      <c r="DI198"/>
      <c r="DJ198"/>
      <c r="DK198"/>
      <c r="DL198"/>
      <c r="DM198"/>
      <c r="DN198"/>
    </row>
    <row r="199" spans="1:118" ht="15" customHeight="1" x14ac:dyDescent="0.3">
      <c r="B199" s="7224"/>
      <c r="C199" s="7283"/>
      <c r="D199" s="6627"/>
      <c r="E199" s="7238"/>
      <c r="F199" s="6344"/>
      <c r="G199" s="6324"/>
      <c r="H199" s="7304" t="s">
        <v>682</v>
      </c>
      <c r="I199" s="7305"/>
      <c r="J199" s="7296" t="s">
        <v>683</v>
      </c>
      <c r="K199" s="7306"/>
      <c r="L199" s="7297" t="s">
        <v>684</v>
      </c>
      <c r="M199" s="7306"/>
      <c r="N199" s="7296" t="s">
        <v>685</v>
      </c>
      <c r="O199" s="7306"/>
      <c r="P199" s="7296" t="s">
        <v>686</v>
      </c>
      <c r="Q199" s="7306"/>
      <c r="R199" s="7296" t="s">
        <v>687</v>
      </c>
      <c r="S199" s="7306"/>
      <c r="T199" s="7296" t="s">
        <v>688</v>
      </c>
      <c r="U199" s="7306"/>
      <c r="V199" s="7296" t="s">
        <v>689</v>
      </c>
      <c r="W199" s="7306"/>
      <c r="X199" s="7296" t="s">
        <v>690</v>
      </c>
      <c r="Y199" s="7306"/>
      <c r="Z199" s="7296" t="s">
        <v>554</v>
      </c>
      <c r="AA199" s="7308"/>
      <c r="AB199" s="7296" t="s">
        <v>568</v>
      </c>
      <c r="AC199" s="7308"/>
      <c r="AD199" s="7427"/>
      <c r="AE199" s="7407"/>
      <c r="AF199" s="7407"/>
      <c r="AG199" s="7407"/>
      <c r="AH199" s="7407"/>
      <c r="CX199"/>
      <c r="CY199"/>
      <c r="CZ199"/>
      <c r="DA199"/>
      <c r="DB199"/>
      <c r="DC199"/>
      <c r="DD199"/>
      <c r="DE199"/>
      <c r="DF199"/>
      <c r="DH199"/>
      <c r="DI199"/>
      <c r="DJ199"/>
      <c r="DK199"/>
      <c r="DL199"/>
      <c r="DM199"/>
      <c r="DN199"/>
    </row>
    <row r="200" spans="1:118" ht="15" customHeight="1" x14ac:dyDescent="0.3">
      <c r="B200" s="7320"/>
      <c r="C200" s="7292"/>
      <c r="D200" s="7293"/>
      <c r="E200" s="569" t="s">
        <v>26</v>
      </c>
      <c r="F200" s="555" t="s">
        <v>22</v>
      </c>
      <c r="G200" s="597" t="s">
        <v>27</v>
      </c>
      <c r="H200" s="595" t="s">
        <v>22</v>
      </c>
      <c r="I200" s="597" t="s">
        <v>27</v>
      </c>
      <c r="J200" s="595" t="s">
        <v>22</v>
      </c>
      <c r="K200" s="597" t="s">
        <v>27</v>
      </c>
      <c r="L200" s="603" t="s">
        <v>22</v>
      </c>
      <c r="M200" s="597" t="s">
        <v>27</v>
      </c>
      <c r="N200" s="603" t="s">
        <v>22</v>
      </c>
      <c r="O200" s="597" t="s">
        <v>27</v>
      </c>
      <c r="P200" s="603" t="s">
        <v>22</v>
      </c>
      <c r="Q200" s="597" t="s">
        <v>27</v>
      </c>
      <c r="R200" s="603" t="s">
        <v>22</v>
      </c>
      <c r="S200" s="597" t="s">
        <v>27</v>
      </c>
      <c r="T200" s="603" t="s">
        <v>22</v>
      </c>
      <c r="U200" s="597" t="s">
        <v>27</v>
      </c>
      <c r="V200" s="603" t="s">
        <v>22</v>
      </c>
      <c r="W200" s="597" t="s">
        <v>27</v>
      </c>
      <c r="X200" s="603" t="s">
        <v>22</v>
      </c>
      <c r="Y200" s="597" t="s">
        <v>27</v>
      </c>
      <c r="Z200" s="603" t="s">
        <v>22</v>
      </c>
      <c r="AA200" s="597" t="s">
        <v>27</v>
      </c>
      <c r="AB200" s="603" t="s">
        <v>22</v>
      </c>
      <c r="AC200" s="597" t="s">
        <v>27</v>
      </c>
      <c r="AD200" s="7428"/>
      <c r="AE200" s="7408"/>
      <c r="AF200" s="7408"/>
      <c r="AG200" s="7408"/>
      <c r="AH200" s="7408"/>
      <c r="CX200"/>
      <c r="CY200"/>
      <c r="CZ200"/>
      <c r="DA200"/>
      <c r="DB200"/>
      <c r="DC200"/>
      <c r="DD200"/>
      <c r="DE200"/>
      <c r="DF200"/>
      <c r="DH200"/>
      <c r="DI200"/>
      <c r="DJ200"/>
      <c r="DK200"/>
      <c r="DL200"/>
      <c r="DM200"/>
      <c r="DN200"/>
    </row>
    <row r="201" spans="1:118" ht="15" customHeight="1" x14ac:dyDescent="0.3">
      <c r="A201" s="6269" t="s">
        <v>5067</v>
      </c>
      <c r="B201" s="7341" t="s">
        <v>886</v>
      </c>
      <c r="C201" s="7342"/>
      <c r="D201" s="7343"/>
      <c r="E201" s="9012" t="s">
        <v>5292</v>
      </c>
      <c r="F201" s="9013" t="s">
        <v>5293</v>
      </c>
      <c r="G201" s="6226" t="s">
        <v>5294</v>
      </c>
      <c r="H201" s="9014" t="s">
        <v>5295</v>
      </c>
      <c r="I201" s="9015" t="s">
        <v>5296</v>
      </c>
      <c r="J201" s="9014" t="s">
        <v>5297</v>
      </c>
      <c r="K201" s="9015" t="s">
        <v>5298</v>
      </c>
      <c r="L201" s="9016" t="s">
        <v>5299</v>
      </c>
      <c r="M201" s="9017" t="s">
        <v>5300</v>
      </c>
      <c r="N201" s="9016" t="s">
        <v>5301</v>
      </c>
      <c r="O201" s="9017" t="s">
        <v>5302</v>
      </c>
      <c r="P201" s="9016" t="s">
        <v>5303</v>
      </c>
      <c r="Q201" s="9017" t="s">
        <v>5304</v>
      </c>
      <c r="R201" s="9016" t="s">
        <v>5305</v>
      </c>
      <c r="S201" s="9017" t="s">
        <v>5306</v>
      </c>
      <c r="T201" s="9016" t="s">
        <v>5307</v>
      </c>
      <c r="U201" s="9017" t="s">
        <v>5308</v>
      </c>
      <c r="V201" s="9018" t="s">
        <v>5309</v>
      </c>
      <c r="W201" s="9019" t="s">
        <v>5310</v>
      </c>
      <c r="X201" s="9018" t="s">
        <v>5311</v>
      </c>
      <c r="Y201" s="9019" t="s">
        <v>5312</v>
      </c>
      <c r="Z201" s="9018" t="s">
        <v>5313</v>
      </c>
      <c r="AA201" s="9019" t="s">
        <v>5314</v>
      </c>
      <c r="AB201" s="9018" t="s">
        <v>5315</v>
      </c>
      <c r="AC201" s="9020" t="s">
        <v>5316</v>
      </c>
      <c r="AD201" s="9021" t="s">
        <v>5317</v>
      </c>
      <c r="AE201" s="556" t="s">
        <v>5318</v>
      </c>
      <c r="AF201" s="9017" t="s">
        <v>5319</v>
      </c>
      <c r="AG201" s="9017" t="s">
        <v>5320</v>
      </c>
      <c r="AH201" s="9017" t="s">
        <v>5321</v>
      </c>
      <c r="AI201" t="e">
        <f>CX201&amp;CY201&amp;CZ201&amp;DA201&amp;DB201</f>
        <v>#VALUE!</v>
      </c>
      <c r="CX201"/>
      <c r="CY201" s="1723" t="str">
        <f>IF(AND(E201&gt;0,AD201=""),"  * No olvide digitar la variable  Usuarios con Discapacidad. Digite Cero si no tiene.",IF(AD201&gt;E201," * La variable Usuarios con Discapacidad no pueden superar el Total Ambos Sexos.",""))</f>
        <v xml:space="preserve"> * La variable Usuarios con Discapacidad no pueden superar el Total Ambos Sexos.</v>
      </c>
      <c r="CZ201"/>
      <c r="DA201" s="1723" t="e">
        <f>IF((AF201+AG201+AH201)&gt;E201," * El total de actividades de JUNJI, INTEGRA y MINEDUC no puede ser mayor al Total Ambos Sexos.","")</f>
        <v>#VALUE!</v>
      </c>
      <c r="DB201"/>
      <c r="DC201"/>
      <c r="DD201"/>
      <c r="DE201"/>
      <c r="DF201"/>
      <c r="DH201"/>
      <c r="DI201"/>
      <c r="DJ201"/>
      <c r="DK201" s="1725" t="e">
        <f>IF((AF201+AG201+AH201)&gt;E201,1,0)</f>
        <v>#VALUE!</v>
      </c>
      <c r="DL201" s="1725">
        <f>IF(AND(E201&gt;0,AD201=""),1,IF(AD201&gt;E201,1,0))</f>
        <v>1</v>
      </c>
      <c r="DM201"/>
      <c r="DN201"/>
    </row>
    <row r="202" spans="1:118" ht="15" customHeight="1" x14ac:dyDescent="0.3">
      <c r="A202" s="6269" t="s">
        <v>5068</v>
      </c>
      <c r="B202" s="7398" t="s">
        <v>887</v>
      </c>
      <c r="C202" s="7399"/>
      <c r="D202" s="7400"/>
      <c r="E202" s="9022" t="s">
        <v>5292</v>
      </c>
      <c r="F202" s="9023" t="s">
        <v>5293</v>
      </c>
      <c r="G202" s="6225" t="s">
        <v>5294</v>
      </c>
      <c r="H202" s="9024" t="s">
        <v>5295</v>
      </c>
      <c r="I202" s="9025" t="s">
        <v>5296</v>
      </c>
      <c r="J202" s="9024" t="s">
        <v>5297</v>
      </c>
      <c r="K202" s="9025" t="s">
        <v>5298</v>
      </c>
      <c r="L202" s="8675" t="s">
        <v>5299</v>
      </c>
      <c r="M202" s="8734" t="s">
        <v>5300</v>
      </c>
      <c r="N202" s="8675" t="s">
        <v>5301</v>
      </c>
      <c r="O202" s="8734" t="s">
        <v>5302</v>
      </c>
      <c r="P202" s="8675" t="s">
        <v>5303</v>
      </c>
      <c r="Q202" s="8734" t="s">
        <v>5304</v>
      </c>
      <c r="R202" s="8675" t="s">
        <v>5305</v>
      </c>
      <c r="S202" s="8734" t="s">
        <v>5306</v>
      </c>
      <c r="T202" s="8675" t="s">
        <v>5307</v>
      </c>
      <c r="U202" s="8734" t="s">
        <v>5308</v>
      </c>
      <c r="V202" s="9026" t="s">
        <v>5309</v>
      </c>
      <c r="W202" s="9027" t="s">
        <v>5310</v>
      </c>
      <c r="X202" s="9026" t="s">
        <v>5311</v>
      </c>
      <c r="Y202" s="9027" t="s">
        <v>5312</v>
      </c>
      <c r="Z202" s="9026" t="s">
        <v>5313</v>
      </c>
      <c r="AA202" s="9027" t="s">
        <v>5314</v>
      </c>
      <c r="AB202" s="9026" t="s">
        <v>5315</v>
      </c>
      <c r="AC202" s="9028" t="s">
        <v>5316</v>
      </c>
      <c r="AD202" s="8738" t="s">
        <v>5317</v>
      </c>
      <c r="AE202" s="9029" t="s">
        <v>5318</v>
      </c>
      <c r="AF202" s="8734" t="s">
        <v>5319</v>
      </c>
      <c r="AG202" s="8734" t="s">
        <v>5320</v>
      </c>
      <c r="AH202" s="8734" t="s">
        <v>5321</v>
      </c>
      <c r="AI202" t="e">
        <f t="shared" ref="AI202:AI206" si="217">CX202&amp;CY202&amp;CZ202&amp;DA202&amp;DB202</f>
        <v>#VALUE!</v>
      </c>
      <c r="CX202"/>
      <c r="CY202" s="1723" t="str">
        <f t="shared" ref="CY202:CY204" si="218">IF(AND(E202&gt;0,AD202=""),"  * No olvide digitar la variable  Usuarios con Discapacidad. Digite Cero si no tiene.",IF(AD202&gt;E202," * La variable Usuarios con Discapacidad no pueden superar el Total Ambos Sexos.",""))</f>
        <v xml:space="preserve"> * La variable Usuarios con Discapacidad no pueden superar el Total Ambos Sexos.</v>
      </c>
      <c r="CZ202"/>
      <c r="DA202" s="1723" t="e">
        <f t="shared" ref="DA202:DA203" si="219">IF((AF202+AG202+AH202)&gt;E202," * El total de actividades de JUNJI, INTEGRA y MINEDUC no puede ser mayor al Total Ambos Sexos.","")</f>
        <v>#VALUE!</v>
      </c>
      <c r="DB202"/>
      <c r="DC202"/>
      <c r="DD202"/>
      <c r="DE202"/>
      <c r="DF202"/>
      <c r="DH202"/>
      <c r="DI202"/>
      <c r="DJ202"/>
      <c r="DK202" s="1725" t="e">
        <f t="shared" ref="DK202:DK204" si="220">IF((AF202+AG202+AH202)&gt;E202,1,0)</f>
        <v>#VALUE!</v>
      </c>
      <c r="DL202" s="1725">
        <f t="shared" ref="DL202:DL204" si="221">IF(AND(E202&gt;0,AD202=""),1,IF(AD202&gt;E202,1,0))</f>
        <v>1</v>
      </c>
      <c r="DM202"/>
      <c r="DN202"/>
    </row>
    <row r="203" spans="1:118" ht="15" customHeight="1" x14ac:dyDescent="0.3">
      <c r="A203" s="6269" t="s">
        <v>5069</v>
      </c>
      <c r="B203" s="7357" t="s">
        <v>888</v>
      </c>
      <c r="C203" s="7429"/>
      <c r="D203" s="7430"/>
      <c r="E203" s="9030" t="s">
        <v>5292</v>
      </c>
      <c r="F203" s="9023" t="s">
        <v>5293</v>
      </c>
      <c r="G203" s="8755" t="s">
        <v>5294</v>
      </c>
      <c r="H203" s="9024" t="s">
        <v>5295</v>
      </c>
      <c r="I203" s="9025" t="s">
        <v>5296</v>
      </c>
      <c r="J203" s="9024" t="s">
        <v>5297</v>
      </c>
      <c r="K203" s="9025" t="s">
        <v>5298</v>
      </c>
      <c r="L203" s="8675" t="s">
        <v>5299</v>
      </c>
      <c r="M203" s="8734" t="s">
        <v>5300</v>
      </c>
      <c r="N203" s="8675" t="s">
        <v>5301</v>
      </c>
      <c r="O203" s="8734" t="s">
        <v>5302</v>
      </c>
      <c r="P203" s="8675" t="s">
        <v>5303</v>
      </c>
      <c r="Q203" s="8734" t="s">
        <v>5304</v>
      </c>
      <c r="R203" s="8675" t="s">
        <v>5305</v>
      </c>
      <c r="S203" s="8734" t="s">
        <v>5306</v>
      </c>
      <c r="T203" s="8675" t="s">
        <v>5307</v>
      </c>
      <c r="U203" s="8734" t="s">
        <v>5308</v>
      </c>
      <c r="V203" s="9026" t="s">
        <v>5309</v>
      </c>
      <c r="W203" s="9027" t="s">
        <v>5310</v>
      </c>
      <c r="X203" s="9026" t="s">
        <v>5311</v>
      </c>
      <c r="Y203" s="9027" t="s">
        <v>5312</v>
      </c>
      <c r="Z203" s="9026" t="s">
        <v>5313</v>
      </c>
      <c r="AA203" s="9027" t="s">
        <v>5314</v>
      </c>
      <c r="AB203" s="9026" t="s">
        <v>5315</v>
      </c>
      <c r="AC203" s="9028" t="s">
        <v>5316</v>
      </c>
      <c r="AD203" s="8738" t="s">
        <v>5317</v>
      </c>
      <c r="AE203" s="9029" t="s">
        <v>5318</v>
      </c>
      <c r="AF203" s="8734" t="s">
        <v>5319</v>
      </c>
      <c r="AG203" s="8734" t="s">
        <v>5320</v>
      </c>
      <c r="AH203" s="8734" t="s">
        <v>5321</v>
      </c>
      <c r="AI203" t="e">
        <f t="shared" si="217"/>
        <v>#VALUE!</v>
      </c>
      <c r="CX203"/>
      <c r="CY203" s="1723" t="str">
        <f t="shared" si="218"/>
        <v xml:space="preserve"> * La variable Usuarios con Discapacidad no pueden superar el Total Ambos Sexos.</v>
      </c>
      <c r="CZ203"/>
      <c r="DA203" s="1723" t="e">
        <f t="shared" si="219"/>
        <v>#VALUE!</v>
      </c>
      <c r="DB203"/>
      <c r="DC203"/>
      <c r="DD203"/>
      <c r="DE203"/>
      <c r="DF203"/>
      <c r="DH203"/>
      <c r="DI203"/>
      <c r="DJ203"/>
      <c r="DK203" s="1725" t="e">
        <f t="shared" si="220"/>
        <v>#VALUE!</v>
      </c>
      <c r="DL203" s="1725">
        <f t="shared" si="221"/>
        <v>1</v>
      </c>
      <c r="DM203"/>
      <c r="DN203"/>
    </row>
    <row r="204" spans="1:118" ht="15" customHeight="1" x14ac:dyDescent="0.3">
      <c r="A204" s="6269" t="s">
        <v>5070</v>
      </c>
      <c r="B204" s="7398" t="s">
        <v>889</v>
      </c>
      <c r="C204" s="7399"/>
      <c r="D204" s="7400"/>
      <c r="E204" s="9030" t="s">
        <v>5292</v>
      </c>
      <c r="F204" s="9023" t="s">
        <v>5293</v>
      </c>
      <c r="G204" s="6225" t="s">
        <v>5294</v>
      </c>
      <c r="H204" s="8829" t="s">
        <v>5295</v>
      </c>
      <c r="I204" s="9031" t="s">
        <v>5296</v>
      </c>
      <c r="J204" s="8829" t="s">
        <v>5297</v>
      </c>
      <c r="K204" s="9031" t="s">
        <v>5298</v>
      </c>
      <c r="L204" s="8787" t="s">
        <v>5299</v>
      </c>
      <c r="M204" s="8746" t="s">
        <v>5300</v>
      </c>
      <c r="N204" s="8787" t="s">
        <v>5301</v>
      </c>
      <c r="O204" s="8746" t="s">
        <v>5302</v>
      </c>
      <c r="P204" s="8787" t="s">
        <v>5303</v>
      </c>
      <c r="Q204" s="8746" t="s">
        <v>5304</v>
      </c>
      <c r="R204" s="8787" t="s">
        <v>5305</v>
      </c>
      <c r="S204" s="8746" t="s">
        <v>5306</v>
      </c>
      <c r="T204" s="8787" t="s">
        <v>5307</v>
      </c>
      <c r="U204" s="8746" t="s">
        <v>5308</v>
      </c>
      <c r="V204" s="8822" t="s">
        <v>5309</v>
      </c>
      <c r="W204" s="9032" t="s">
        <v>5310</v>
      </c>
      <c r="X204" s="8822" t="s">
        <v>5311</v>
      </c>
      <c r="Y204" s="9032" t="s">
        <v>5312</v>
      </c>
      <c r="Z204" s="8822" t="s">
        <v>5313</v>
      </c>
      <c r="AA204" s="9032" t="s">
        <v>5314</v>
      </c>
      <c r="AB204" s="8822" t="s">
        <v>5315</v>
      </c>
      <c r="AC204" s="9033" t="s">
        <v>5316</v>
      </c>
      <c r="AD204" s="8792" t="s">
        <v>5317</v>
      </c>
      <c r="AE204" s="9029" t="s">
        <v>5318</v>
      </c>
      <c r="AF204" s="8746" t="s">
        <v>5319</v>
      </c>
      <c r="AG204" s="8746" t="s">
        <v>5320</v>
      </c>
      <c r="AH204" s="8746" t="s">
        <v>5321</v>
      </c>
      <c r="AI204" t="e">
        <f t="shared" si="217"/>
        <v>#VALUE!</v>
      </c>
      <c r="CX204"/>
      <c r="CY204" s="1723" t="str">
        <f t="shared" si="218"/>
        <v xml:space="preserve"> * La variable Usuarios con Discapacidad no pueden superar el Total Ambos Sexos.</v>
      </c>
      <c r="CZ204"/>
      <c r="DA204" s="1723" t="e">
        <f>IF((AF204+AG204+AH204)&gt;E204," * El total de actividades de JUNJI, INTEGRA y MINEDUC no puede ser mayor al Total Ambos Sexos.","")</f>
        <v>#VALUE!</v>
      </c>
      <c r="DB204"/>
      <c r="DC204"/>
      <c r="DD204"/>
      <c r="DE204"/>
      <c r="DF204"/>
      <c r="DH204"/>
      <c r="DI204"/>
      <c r="DJ204"/>
      <c r="DK204" s="1725" t="e">
        <f t="shared" si="220"/>
        <v>#VALUE!</v>
      </c>
      <c r="DL204" s="1725">
        <f t="shared" si="221"/>
        <v>1</v>
      </c>
      <c r="DM204"/>
      <c r="DN204"/>
    </row>
    <row r="205" spans="1:118" ht="15" customHeight="1" x14ac:dyDescent="0.3">
      <c r="A205" s="6269" t="s">
        <v>5071</v>
      </c>
      <c r="B205" s="7390" t="s">
        <v>890</v>
      </c>
      <c r="C205" s="7391"/>
      <c r="D205" s="7391"/>
      <c r="E205" s="9034" t="s">
        <v>5292</v>
      </c>
      <c r="F205" s="9035" t="s">
        <v>5293</v>
      </c>
      <c r="G205" s="9036" t="s">
        <v>5294</v>
      </c>
      <c r="H205" s="8842" t="s">
        <v>5295</v>
      </c>
      <c r="I205" s="8812" t="s">
        <v>5296</v>
      </c>
      <c r="J205" s="8811" t="s">
        <v>5297</v>
      </c>
      <c r="K205" s="8812" t="s">
        <v>5298</v>
      </c>
      <c r="L205" s="8811" t="s">
        <v>5299</v>
      </c>
      <c r="M205" s="8812" t="s">
        <v>5300</v>
      </c>
      <c r="N205" s="8811" t="s">
        <v>5301</v>
      </c>
      <c r="O205" s="8812" t="s">
        <v>5302</v>
      </c>
      <c r="P205" s="8811" t="s">
        <v>5303</v>
      </c>
      <c r="Q205" s="8812" t="s">
        <v>5304</v>
      </c>
      <c r="R205" s="8811" t="s">
        <v>5305</v>
      </c>
      <c r="S205" s="8812" t="s">
        <v>5306</v>
      </c>
      <c r="T205" s="8811" t="s">
        <v>5307</v>
      </c>
      <c r="U205" s="8812" t="s">
        <v>5308</v>
      </c>
      <c r="V205" s="8811" t="s">
        <v>5309</v>
      </c>
      <c r="W205" s="8812" t="s">
        <v>5310</v>
      </c>
      <c r="X205" s="8811" t="s">
        <v>5311</v>
      </c>
      <c r="Y205" s="8812" t="s">
        <v>5312</v>
      </c>
      <c r="Z205" s="8811" t="s">
        <v>5313</v>
      </c>
      <c r="AA205" s="8812" t="s">
        <v>5314</v>
      </c>
      <c r="AB205" s="8811" t="s">
        <v>5315</v>
      </c>
      <c r="AC205" s="9037" t="s">
        <v>5316</v>
      </c>
      <c r="AD205" s="9038" t="s">
        <v>5317</v>
      </c>
      <c r="AE205" s="1948" t="s">
        <v>5318</v>
      </c>
      <c r="AF205" s="8734" t="s">
        <v>5319</v>
      </c>
      <c r="AG205" s="8734" t="s">
        <v>5320</v>
      </c>
      <c r="AH205" s="8734" t="s">
        <v>5321</v>
      </c>
      <c r="AI205" t="str">
        <f t="shared" si="217"/>
        <v/>
      </c>
      <c r="CX205"/>
      <c r="CY205"/>
      <c r="CZ205"/>
      <c r="DA205"/>
      <c r="DB205"/>
      <c r="DC205"/>
      <c r="DD205"/>
      <c r="DE205"/>
      <c r="DF205"/>
      <c r="DH205"/>
      <c r="DI205"/>
      <c r="DJ205"/>
      <c r="DK205"/>
      <c r="DL205"/>
      <c r="DM205"/>
      <c r="DN205"/>
    </row>
    <row r="206" spans="1:118" ht="15" customHeight="1" x14ac:dyDescent="0.3">
      <c r="A206" s="6268" t="s">
        <v>5072</v>
      </c>
      <c r="B206" s="7335" t="s">
        <v>891</v>
      </c>
      <c r="C206" s="7335"/>
      <c r="D206" s="7335"/>
      <c r="E206" s="9039" t="s">
        <v>5292</v>
      </c>
      <c r="F206" s="9040" t="s">
        <v>5293</v>
      </c>
      <c r="G206" s="1870" t="s">
        <v>5294</v>
      </c>
      <c r="H206" s="9041" t="s">
        <v>5295</v>
      </c>
      <c r="I206" s="8821" t="s">
        <v>5296</v>
      </c>
      <c r="J206" s="9041" t="s">
        <v>5297</v>
      </c>
      <c r="K206" s="8821" t="s">
        <v>5298</v>
      </c>
      <c r="L206" s="9041" t="s">
        <v>5299</v>
      </c>
      <c r="M206" s="8821" t="s">
        <v>5300</v>
      </c>
      <c r="N206" s="9041" t="s">
        <v>5301</v>
      </c>
      <c r="O206" s="8821" t="s">
        <v>5302</v>
      </c>
      <c r="P206" s="9041" t="s">
        <v>5303</v>
      </c>
      <c r="Q206" s="8821" t="s">
        <v>5304</v>
      </c>
      <c r="R206" s="9041" t="s">
        <v>5305</v>
      </c>
      <c r="S206" s="8821" t="s">
        <v>5306</v>
      </c>
      <c r="T206" s="9041" t="s">
        <v>5307</v>
      </c>
      <c r="U206" s="8821" t="s">
        <v>5308</v>
      </c>
      <c r="V206" s="9041" t="s">
        <v>5309</v>
      </c>
      <c r="W206" s="8821" t="s">
        <v>5310</v>
      </c>
      <c r="X206" s="9041" t="s">
        <v>5311</v>
      </c>
      <c r="Y206" s="8821" t="s">
        <v>5312</v>
      </c>
      <c r="Z206" s="9041" t="s">
        <v>5313</v>
      </c>
      <c r="AA206" s="8821" t="s">
        <v>5314</v>
      </c>
      <c r="AB206" s="9041" t="s">
        <v>5315</v>
      </c>
      <c r="AC206" s="9042" t="s">
        <v>5316</v>
      </c>
      <c r="AD206" s="9043" t="s">
        <v>5317</v>
      </c>
      <c r="AE206" s="560" t="s">
        <v>5318</v>
      </c>
      <c r="AF206" s="8727" t="s">
        <v>5319</v>
      </c>
      <c r="AG206" s="8728" t="s">
        <v>5320</v>
      </c>
      <c r="AH206" s="8728" t="s">
        <v>5321</v>
      </c>
      <c r="AI206" t="str">
        <f t="shared" si="217"/>
        <v/>
      </c>
      <c r="CX206"/>
      <c r="CY206"/>
      <c r="CZ206"/>
      <c r="DA206"/>
      <c r="DB206"/>
      <c r="DC206"/>
      <c r="DD206"/>
      <c r="DE206"/>
      <c r="DF206"/>
      <c r="DH206"/>
      <c r="DI206"/>
      <c r="DJ206"/>
      <c r="DK206"/>
      <c r="DL206"/>
      <c r="DM206"/>
      <c r="DN206"/>
    </row>
    <row r="207" spans="1:118" ht="18" customHeight="1" x14ac:dyDescent="0.3">
      <c r="B207" s="122" t="s">
        <v>892</v>
      </c>
      <c r="C207" s="2442"/>
      <c r="D207" s="2432"/>
      <c r="E207" s="163"/>
      <c r="F207" s="163"/>
      <c r="G207" s="122"/>
      <c r="H207" s="122"/>
      <c r="I207" s="122"/>
      <c r="J207" s="163"/>
      <c r="K207" s="2443"/>
      <c r="L207" s="2444"/>
      <c r="M207" s="163"/>
      <c r="N207" s="2445"/>
      <c r="O207" s="2445"/>
      <c r="P207" s="777"/>
      <c r="Q207" s="777"/>
      <c r="R207" s="777"/>
      <c r="S207" s="777"/>
      <c r="T207" s="777"/>
      <c r="U207" s="777"/>
      <c r="V207" s="777"/>
      <c r="W207" s="777"/>
      <c r="X207" s="777"/>
      <c r="Y207" s="777"/>
      <c r="Z207" s="777"/>
      <c r="AA207" s="777"/>
      <c r="AB207" s="777"/>
      <c r="AC207" s="777"/>
      <c r="AD207" s="777"/>
      <c r="AE207" s="777"/>
      <c r="AF207" s="777"/>
      <c r="AG207" s="777"/>
      <c r="AH207" s="777"/>
      <c r="AI207" s="777"/>
      <c r="AJ207" s="777"/>
      <c r="AK207" s="777"/>
      <c r="AL207" s="777"/>
      <c r="AM207" s="2433"/>
      <c r="AN207" s="2433"/>
      <c r="AO207" s="2433"/>
      <c r="AP207" s="2433"/>
      <c r="AQ207" s="2433"/>
      <c r="CX207"/>
      <c r="CY207"/>
      <c r="CZ207"/>
      <c r="DA207"/>
      <c r="DB207"/>
      <c r="DC207"/>
      <c r="DD207"/>
      <c r="DE207"/>
      <c r="DF207"/>
      <c r="DH207"/>
      <c r="DI207"/>
      <c r="DJ207"/>
      <c r="DK207"/>
      <c r="DL207"/>
      <c r="DM207"/>
      <c r="DN207"/>
    </row>
    <row r="208" spans="1:118" ht="15" customHeight="1" x14ac:dyDescent="0.3">
      <c r="B208" s="7223" t="s">
        <v>58</v>
      </c>
      <c r="C208" s="6611"/>
      <c r="D208" s="7226"/>
      <c r="E208" s="7201" t="s">
        <v>24</v>
      </c>
      <c r="F208" s="6341"/>
      <c r="G208" s="7287"/>
      <c r="H208" s="7437" t="s">
        <v>30</v>
      </c>
      <c r="I208" s="7297"/>
      <c r="J208" s="7297"/>
      <c r="K208" s="7297"/>
      <c r="L208" s="7297"/>
      <c r="M208" s="7297"/>
      <c r="N208" s="7297"/>
      <c r="O208" s="7297"/>
      <c r="P208" s="7297"/>
      <c r="Q208" s="7297"/>
      <c r="R208" s="7297"/>
      <c r="S208" s="7297"/>
      <c r="T208" s="7297"/>
      <c r="U208" s="7297"/>
      <c r="V208" s="7297"/>
      <c r="W208" s="7297"/>
      <c r="X208" s="7297"/>
      <c r="Y208" s="7297"/>
      <c r="Z208" s="7297"/>
      <c r="AA208" s="7297"/>
      <c r="AB208" s="7297"/>
      <c r="AC208" s="7297"/>
      <c r="AD208" s="7297"/>
      <c r="AE208" s="7297"/>
      <c r="AF208" s="7297"/>
      <c r="AG208" s="7297"/>
      <c r="AH208" s="7297"/>
      <c r="AI208" s="7297"/>
      <c r="AJ208" s="7297"/>
      <c r="AK208" s="7297"/>
      <c r="AL208" s="7297"/>
      <c r="AM208" s="7297"/>
      <c r="AN208" s="7297"/>
      <c r="AO208" s="7297"/>
      <c r="AP208" s="7297"/>
      <c r="AQ208" s="7306"/>
      <c r="CX208"/>
      <c r="CY208"/>
      <c r="CZ208"/>
      <c r="DA208"/>
      <c r="DB208"/>
      <c r="DC208"/>
      <c r="DD208"/>
      <c r="DE208"/>
      <c r="DF208"/>
      <c r="DH208"/>
      <c r="DI208"/>
      <c r="DJ208"/>
      <c r="DK208"/>
      <c r="DL208"/>
      <c r="DM208"/>
      <c r="DN208"/>
    </row>
    <row r="209" spans="1:118" ht="15" customHeight="1" x14ac:dyDescent="0.3">
      <c r="B209" s="7224"/>
      <c r="C209" s="7283"/>
      <c r="D209" s="7247"/>
      <c r="E209" s="7397"/>
      <c r="F209" s="7294"/>
      <c r="G209" s="7436"/>
      <c r="H209" s="7338" t="s">
        <v>682</v>
      </c>
      <c r="I209" s="7308"/>
      <c r="J209" s="7296" t="s">
        <v>683</v>
      </c>
      <c r="K209" s="7306"/>
      <c r="L209" s="7297" t="s">
        <v>684</v>
      </c>
      <c r="M209" s="7306"/>
      <c r="N209" s="7296" t="s">
        <v>685</v>
      </c>
      <c r="O209" s="7306"/>
      <c r="P209" s="7296" t="s">
        <v>686</v>
      </c>
      <c r="Q209" s="7306"/>
      <c r="R209" s="7296" t="s">
        <v>687</v>
      </c>
      <c r="S209" s="7306"/>
      <c r="T209" s="7296" t="s">
        <v>688</v>
      </c>
      <c r="U209" s="7306"/>
      <c r="V209" s="7296" t="s">
        <v>689</v>
      </c>
      <c r="W209" s="7306"/>
      <c r="X209" s="7296" t="s">
        <v>690</v>
      </c>
      <c r="Y209" s="7306"/>
      <c r="Z209" s="7296" t="s">
        <v>554</v>
      </c>
      <c r="AA209" s="7308"/>
      <c r="AB209" s="7296" t="s">
        <v>568</v>
      </c>
      <c r="AC209" s="7308"/>
      <c r="AD209" s="7296" t="s">
        <v>893</v>
      </c>
      <c r="AE209" s="7308"/>
      <c r="AF209" s="7296" t="s">
        <v>494</v>
      </c>
      <c r="AG209" s="7308"/>
      <c r="AH209" s="7296" t="s">
        <v>495</v>
      </c>
      <c r="AI209" s="7308"/>
      <c r="AJ209" s="7296" t="s">
        <v>894</v>
      </c>
      <c r="AK209" s="7308"/>
      <c r="AL209" s="7296" t="s">
        <v>556</v>
      </c>
      <c r="AM209" s="7308"/>
      <c r="AN209" s="7296" t="s">
        <v>695</v>
      </c>
      <c r="AO209" s="7308"/>
      <c r="AP209" s="7296" t="s">
        <v>57</v>
      </c>
      <c r="AQ209" s="7308"/>
      <c r="CX209"/>
      <c r="CY209"/>
      <c r="CZ209"/>
      <c r="DA209"/>
      <c r="DB209"/>
      <c r="DC209"/>
      <c r="DD209"/>
      <c r="DE209"/>
      <c r="DF209"/>
      <c r="DH209"/>
      <c r="DI209"/>
      <c r="DJ209"/>
      <c r="DK209"/>
      <c r="DL209"/>
      <c r="DM209"/>
      <c r="DN209"/>
    </row>
    <row r="210" spans="1:118" ht="15" customHeight="1" x14ac:dyDescent="0.3">
      <c r="B210" s="7320"/>
      <c r="C210" s="7292"/>
      <c r="D210" s="7293"/>
      <c r="E210" s="4636" t="s">
        <v>26</v>
      </c>
      <c r="F210" s="4689" t="s">
        <v>22</v>
      </c>
      <c r="G210" s="2446" t="s">
        <v>27</v>
      </c>
      <c r="H210" s="603" t="s">
        <v>22</v>
      </c>
      <c r="I210" s="597" t="s">
        <v>27</v>
      </c>
      <c r="J210" s="603" t="s">
        <v>22</v>
      </c>
      <c r="K210" s="597" t="s">
        <v>27</v>
      </c>
      <c r="L210" s="603" t="s">
        <v>22</v>
      </c>
      <c r="M210" s="597" t="s">
        <v>27</v>
      </c>
      <c r="N210" s="603" t="s">
        <v>22</v>
      </c>
      <c r="O210" s="597" t="s">
        <v>27</v>
      </c>
      <c r="P210" s="603" t="s">
        <v>22</v>
      </c>
      <c r="Q210" s="597" t="s">
        <v>27</v>
      </c>
      <c r="R210" s="603" t="s">
        <v>22</v>
      </c>
      <c r="S210" s="597" t="s">
        <v>27</v>
      </c>
      <c r="T210" s="603" t="s">
        <v>22</v>
      </c>
      <c r="U210" s="597" t="s">
        <v>27</v>
      </c>
      <c r="V210" s="603" t="s">
        <v>22</v>
      </c>
      <c r="W210" s="597" t="s">
        <v>27</v>
      </c>
      <c r="X210" s="603" t="s">
        <v>22</v>
      </c>
      <c r="Y210" s="597" t="s">
        <v>27</v>
      </c>
      <c r="Z210" s="603" t="s">
        <v>22</v>
      </c>
      <c r="AA210" s="597" t="s">
        <v>27</v>
      </c>
      <c r="AB210" s="603" t="s">
        <v>22</v>
      </c>
      <c r="AC210" s="597" t="s">
        <v>27</v>
      </c>
      <c r="AD210" s="603" t="s">
        <v>22</v>
      </c>
      <c r="AE210" s="597" t="s">
        <v>27</v>
      </c>
      <c r="AF210" s="603" t="s">
        <v>22</v>
      </c>
      <c r="AG210" s="597" t="s">
        <v>27</v>
      </c>
      <c r="AH210" s="603" t="s">
        <v>22</v>
      </c>
      <c r="AI210" s="597" t="s">
        <v>27</v>
      </c>
      <c r="AJ210" s="603" t="s">
        <v>22</v>
      </c>
      <c r="AK210" s="597" t="s">
        <v>27</v>
      </c>
      <c r="AL210" s="603" t="s">
        <v>22</v>
      </c>
      <c r="AM210" s="597" t="s">
        <v>27</v>
      </c>
      <c r="AN210" s="603" t="s">
        <v>22</v>
      </c>
      <c r="AO210" s="597" t="s">
        <v>27</v>
      </c>
      <c r="AP210" s="603" t="s">
        <v>22</v>
      </c>
      <c r="AQ210" s="597" t="s">
        <v>27</v>
      </c>
      <c r="CX210"/>
      <c r="CY210"/>
      <c r="CZ210"/>
      <c r="DA210"/>
      <c r="DB210"/>
      <c r="DC210"/>
      <c r="DD210"/>
      <c r="DE210"/>
      <c r="DF210"/>
      <c r="DH210"/>
      <c r="DI210"/>
      <c r="DJ210"/>
      <c r="DK210"/>
      <c r="DL210"/>
      <c r="DM210"/>
      <c r="DN210"/>
    </row>
    <row r="211" spans="1:118" ht="15" customHeight="1" x14ac:dyDescent="0.3">
      <c r="A211" s="6269" t="s">
        <v>5073</v>
      </c>
      <c r="B211" s="7329" t="s">
        <v>895</v>
      </c>
      <c r="C211" s="7330"/>
      <c r="D211" s="7431"/>
      <c r="E211" s="4698" t="s">
        <v>5292</v>
      </c>
      <c r="F211" s="4683" t="s">
        <v>5293</v>
      </c>
      <c r="G211" s="914" t="s">
        <v>5294</v>
      </c>
      <c r="H211" s="559" t="s">
        <v>5295</v>
      </c>
      <c r="I211" s="185" t="s">
        <v>5296</v>
      </c>
      <c r="J211" s="483" t="s">
        <v>5297</v>
      </c>
      <c r="K211" s="185" t="s">
        <v>5298</v>
      </c>
      <c r="L211" s="483" t="s">
        <v>5299</v>
      </c>
      <c r="M211" s="185" t="s">
        <v>5300</v>
      </c>
      <c r="N211" s="483" t="s">
        <v>5301</v>
      </c>
      <c r="O211" s="185" t="s">
        <v>5302</v>
      </c>
      <c r="P211" s="483" t="s">
        <v>5303</v>
      </c>
      <c r="Q211" s="185" t="s">
        <v>5304</v>
      </c>
      <c r="R211" s="483" t="s">
        <v>5305</v>
      </c>
      <c r="S211" s="185" t="s">
        <v>5306</v>
      </c>
      <c r="T211" s="483" t="s">
        <v>5307</v>
      </c>
      <c r="U211" s="185" t="s">
        <v>5308</v>
      </c>
      <c r="V211" s="483" t="s">
        <v>5309</v>
      </c>
      <c r="W211" s="185" t="s">
        <v>5310</v>
      </c>
      <c r="X211" s="320" t="s">
        <v>5311</v>
      </c>
      <c r="Y211" s="185" t="s">
        <v>5312</v>
      </c>
      <c r="Z211" s="483" t="s">
        <v>5313</v>
      </c>
      <c r="AA211" s="185" t="s">
        <v>5314</v>
      </c>
      <c r="AB211" s="483" t="s">
        <v>5315</v>
      </c>
      <c r="AC211" s="185" t="s">
        <v>5316</v>
      </c>
      <c r="AD211" s="483" t="s">
        <v>5317</v>
      </c>
      <c r="AE211" s="185" t="s">
        <v>5318</v>
      </c>
      <c r="AF211" s="483" t="s">
        <v>5319</v>
      </c>
      <c r="AG211" s="185" t="s">
        <v>5320</v>
      </c>
      <c r="AH211" s="483" t="s">
        <v>5321</v>
      </c>
      <c r="AI211" s="185" t="s">
        <v>5322</v>
      </c>
      <c r="AJ211" s="483" t="s">
        <v>5323</v>
      </c>
      <c r="AK211" s="185" t="s">
        <v>5324</v>
      </c>
      <c r="AL211" s="320" t="s">
        <v>5325</v>
      </c>
      <c r="AM211" s="185" t="s">
        <v>5326</v>
      </c>
      <c r="AN211" s="483" t="s">
        <v>5327</v>
      </c>
      <c r="AO211" s="185" t="s">
        <v>5328</v>
      </c>
      <c r="AP211" s="483" t="s">
        <v>5329</v>
      </c>
      <c r="AQ211" s="185" t="s">
        <v>5330</v>
      </c>
      <c r="CX211"/>
      <c r="CY211"/>
      <c r="CZ211"/>
      <c r="DA211"/>
      <c r="DB211"/>
      <c r="DC211"/>
      <c r="DD211"/>
      <c r="DE211"/>
      <c r="DF211"/>
      <c r="DH211"/>
      <c r="DI211"/>
      <c r="DJ211"/>
      <c r="DK211"/>
      <c r="DL211"/>
      <c r="DM211"/>
      <c r="DN211"/>
    </row>
    <row r="212" spans="1:118" ht="15" customHeight="1" x14ac:dyDescent="0.3">
      <c r="A212" s="6269" t="s">
        <v>5074</v>
      </c>
      <c r="B212" s="7327" t="s">
        <v>896</v>
      </c>
      <c r="C212" s="7328"/>
      <c r="D212" s="7254"/>
      <c r="E212" s="1037" t="s">
        <v>5292</v>
      </c>
      <c r="F212" s="3191" t="s">
        <v>5293</v>
      </c>
      <c r="G212" s="915" t="s">
        <v>5294</v>
      </c>
      <c r="H212" s="916" t="s">
        <v>5295</v>
      </c>
      <c r="I212" s="626" t="s">
        <v>5296</v>
      </c>
      <c r="J212" s="623" t="s">
        <v>5297</v>
      </c>
      <c r="K212" s="626" t="s">
        <v>5298</v>
      </c>
      <c r="L212" s="623" t="s">
        <v>5299</v>
      </c>
      <c r="M212" s="626" t="s">
        <v>5300</v>
      </c>
      <c r="N212" s="623" t="s">
        <v>5301</v>
      </c>
      <c r="O212" s="626" t="s">
        <v>5302</v>
      </c>
      <c r="P212" s="623" t="s">
        <v>5303</v>
      </c>
      <c r="Q212" s="626" t="s">
        <v>5304</v>
      </c>
      <c r="R212" s="623" t="s">
        <v>5305</v>
      </c>
      <c r="S212" s="626" t="s">
        <v>5306</v>
      </c>
      <c r="T212" s="623" t="s">
        <v>5307</v>
      </c>
      <c r="U212" s="626" t="s">
        <v>5308</v>
      </c>
      <c r="V212" s="623" t="s">
        <v>5309</v>
      </c>
      <c r="W212" s="626" t="s">
        <v>5310</v>
      </c>
      <c r="X212" s="617" t="s">
        <v>5311</v>
      </c>
      <c r="Y212" s="626" t="s">
        <v>5312</v>
      </c>
      <c r="Z212" s="623" t="s">
        <v>5313</v>
      </c>
      <c r="AA212" s="626" t="s">
        <v>5314</v>
      </c>
      <c r="AB212" s="623" t="s">
        <v>5315</v>
      </c>
      <c r="AC212" s="626" t="s">
        <v>5316</v>
      </c>
      <c r="AD212" s="623" t="s">
        <v>5317</v>
      </c>
      <c r="AE212" s="626" t="s">
        <v>5318</v>
      </c>
      <c r="AF212" s="623" t="s">
        <v>5319</v>
      </c>
      <c r="AG212" s="626" t="s">
        <v>5320</v>
      </c>
      <c r="AH212" s="623" t="s">
        <v>5321</v>
      </c>
      <c r="AI212" s="626" t="s">
        <v>5322</v>
      </c>
      <c r="AJ212" s="623" t="s">
        <v>5323</v>
      </c>
      <c r="AK212" s="626" t="s">
        <v>5324</v>
      </c>
      <c r="AL212" s="617" t="s">
        <v>5325</v>
      </c>
      <c r="AM212" s="626" t="s">
        <v>5326</v>
      </c>
      <c r="AN212" s="623" t="s">
        <v>5327</v>
      </c>
      <c r="AO212" s="626" t="s">
        <v>5328</v>
      </c>
      <c r="AP212" s="623" t="s">
        <v>5329</v>
      </c>
      <c r="AQ212" s="626" t="s">
        <v>5330</v>
      </c>
      <c r="CX212"/>
      <c r="CY212"/>
      <c r="CZ212"/>
      <c r="DA212"/>
      <c r="DB212"/>
      <c r="DC212"/>
      <c r="DD212"/>
      <c r="DE212"/>
      <c r="DF212"/>
      <c r="DH212"/>
      <c r="DI212"/>
      <c r="DJ212"/>
      <c r="DK212"/>
      <c r="DL212"/>
      <c r="DM212"/>
      <c r="DN212"/>
    </row>
    <row r="213" spans="1:118" ht="15" customHeight="1" x14ac:dyDescent="0.3">
      <c r="A213" s="6269" t="s">
        <v>5075</v>
      </c>
      <c r="B213" s="7324" t="s">
        <v>897</v>
      </c>
      <c r="C213" s="7325"/>
      <c r="D213" s="7326"/>
      <c r="E213" s="1037" t="s">
        <v>5292</v>
      </c>
      <c r="F213" s="3191" t="s">
        <v>5293</v>
      </c>
      <c r="G213" s="915" t="s">
        <v>5294</v>
      </c>
      <c r="H213" s="916" t="s">
        <v>5295</v>
      </c>
      <c r="I213" s="626" t="s">
        <v>5296</v>
      </c>
      <c r="J213" s="623" t="s">
        <v>5297</v>
      </c>
      <c r="K213" s="626" t="s">
        <v>5298</v>
      </c>
      <c r="L213" s="623" t="s">
        <v>5299</v>
      </c>
      <c r="M213" s="626" t="s">
        <v>5300</v>
      </c>
      <c r="N213" s="623" t="s">
        <v>5301</v>
      </c>
      <c r="O213" s="626" t="s">
        <v>5302</v>
      </c>
      <c r="P213" s="623" t="s">
        <v>5303</v>
      </c>
      <c r="Q213" s="626" t="s">
        <v>5304</v>
      </c>
      <c r="R213" s="623" t="s">
        <v>5305</v>
      </c>
      <c r="S213" s="626" t="s">
        <v>5306</v>
      </c>
      <c r="T213" s="623" t="s">
        <v>5307</v>
      </c>
      <c r="U213" s="626" t="s">
        <v>5308</v>
      </c>
      <c r="V213" s="623" t="s">
        <v>5309</v>
      </c>
      <c r="W213" s="626" t="s">
        <v>5310</v>
      </c>
      <c r="X213" s="617" t="s">
        <v>5311</v>
      </c>
      <c r="Y213" s="626" t="s">
        <v>5312</v>
      </c>
      <c r="Z213" s="623" t="s">
        <v>5313</v>
      </c>
      <c r="AA213" s="626" t="s">
        <v>5314</v>
      </c>
      <c r="AB213" s="623" t="s">
        <v>5315</v>
      </c>
      <c r="AC213" s="626" t="s">
        <v>5316</v>
      </c>
      <c r="AD213" s="623" t="s">
        <v>5317</v>
      </c>
      <c r="AE213" s="626" t="s">
        <v>5318</v>
      </c>
      <c r="AF213" s="623" t="s">
        <v>5319</v>
      </c>
      <c r="AG213" s="626" t="s">
        <v>5320</v>
      </c>
      <c r="AH213" s="623" t="s">
        <v>5321</v>
      </c>
      <c r="AI213" s="626" t="s">
        <v>5322</v>
      </c>
      <c r="AJ213" s="623" t="s">
        <v>5323</v>
      </c>
      <c r="AK213" s="626" t="s">
        <v>5324</v>
      </c>
      <c r="AL213" s="617" t="s">
        <v>5325</v>
      </c>
      <c r="AM213" s="626" t="s">
        <v>5326</v>
      </c>
      <c r="AN213" s="623" t="s">
        <v>5327</v>
      </c>
      <c r="AO213" s="626" t="s">
        <v>5328</v>
      </c>
      <c r="AP213" s="623" t="s">
        <v>5329</v>
      </c>
      <c r="AQ213" s="626" t="s">
        <v>5330</v>
      </c>
      <c r="CX213"/>
      <c r="CY213"/>
      <c r="CZ213"/>
      <c r="DA213"/>
      <c r="DB213"/>
      <c r="DC213"/>
      <c r="DD213"/>
      <c r="DE213"/>
      <c r="DF213"/>
      <c r="DH213"/>
      <c r="DI213"/>
      <c r="DJ213"/>
      <c r="DK213"/>
      <c r="DL213"/>
      <c r="DM213"/>
      <c r="DN213"/>
    </row>
    <row r="214" spans="1:118" ht="15" customHeight="1" x14ac:dyDescent="0.3">
      <c r="A214" s="6268" t="s">
        <v>5076</v>
      </c>
      <c r="B214" s="6619" t="s">
        <v>898</v>
      </c>
      <c r="C214" s="6619"/>
      <c r="D214" s="6620"/>
      <c r="E214" s="3217" t="s">
        <v>5292</v>
      </c>
      <c r="F214" s="3868" t="s">
        <v>5293</v>
      </c>
      <c r="G214" s="918" t="s">
        <v>5294</v>
      </c>
      <c r="H214" s="561" t="s">
        <v>5295</v>
      </c>
      <c r="I214" s="116" t="s">
        <v>5296</v>
      </c>
      <c r="J214" s="121" t="s">
        <v>5297</v>
      </c>
      <c r="K214" s="116" t="s">
        <v>5298</v>
      </c>
      <c r="L214" s="121" t="s">
        <v>5299</v>
      </c>
      <c r="M214" s="116" t="s">
        <v>5300</v>
      </c>
      <c r="N214" s="121" t="s">
        <v>5301</v>
      </c>
      <c r="O214" s="116" t="s">
        <v>5302</v>
      </c>
      <c r="P214" s="121" t="s">
        <v>5303</v>
      </c>
      <c r="Q214" s="116" t="s">
        <v>5304</v>
      </c>
      <c r="R214" s="121" t="s">
        <v>5305</v>
      </c>
      <c r="S214" s="116" t="s">
        <v>5306</v>
      </c>
      <c r="T214" s="121" t="s">
        <v>5307</v>
      </c>
      <c r="U214" s="116" t="s">
        <v>5308</v>
      </c>
      <c r="V214" s="121" t="s">
        <v>5309</v>
      </c>
      <c r="W214" s="116" t="s">
        <v>5310</v>
      </c>
      <c r="X214" s="115" t="s">
        <v>5311</v>
      </c>
      <c r="Y214" s="116" t="s">
        <v>5312</v>
      </c>
      <c r="Z214" s="121" t="s">
        <v>5313</v>
      </c>
      <c r="AA214" s="116" t="s">
        <v>5314</v>
      </c>
      <c r="AB214" s="121" t="s">
        <v>5315</v>
      </c>
      <c r="AC214" s="116" t="s">
        <v>5316</v>
      </c>
      <c r="AD214" s="121" t="s">
        <v>5317</v>
      </c>
      <c r="AE214" s="116" t="s">
        <v>5318</v>
      </c>
      <c r="AF214" s="121" t="s">
        <v>5319</v>
      </c>
      <c r="AG214" s="116" t="s">
        <v>5320</v>
      </c>
      <c r="AH214" s="121" t="s">
        <v>5321</v>
      </c>
      <c r="AI214" s="116" t="s">
        <v>5322</v>
      </c>
      <c r="AJ214" s="121" t="s">
        <v>5323</v>
      </c>
      <c r="AK214" s="116" t="s">
        <v>5324</v>
      </c>
      <c r="AL214" s="115" t="s">
        <v>5325</v>
      </c>
      <c r="AM214" s="116" t="s">
        <v>5326</v>
      </c>
      <c r="AN214" s="121" t="s">
        <v>5327</v>
      </c>
      <c r="AO214" s="116" t="s">
        <v>5328</v>
      </c>
      <c r="AP214" s="121" t="s">
        <v>5329</v>
      </c>
      <c r="AQ214" s="116" t="s">
        <v>5330</v>
      </c>
      <c r="CX214"/>
      <c r="CY214"/>
      <c r="CZ214"/>
      <c r="DA214"/>
      <c r="DB214"/>
      <c r="DC214"/>
      <c r="DD214"/>
      <c r="DE214"/>
      <c r="DF214"/>
      <c r="DH214"/>
      <c r="DI214"/>
      <c r="DJ214"/>
      <c r="DK214"/>
      <c r="DL214"/>
      <c r="DM214"/>
      <c r="DN214"/>
    </row>
    <row r="215" spans="1:118" ht="18" customHeight="1" x14ac:dyDescent="0.3">
      <c r="B215" s="122" t="s">
        <v>3864</v>
      </c>
      <c r="C215" s="919"/>
      <c r="D215" s="919"/>
      <c r="E215" s="920"/>
      <c r="F215" s="920"/>
      <c r="G215" s="920"/>
      <c r="H215" s="921"/>
      <c r="I215" s="921"/>
      <c r="J215" s="921"/>
      <c r="K215" s="922"/>
      <c r="L215" s="923"/>
      <c r="M215" s="921"/>
      <c r="N215" s="923"/>
      <c r="O215" s="924"/>
      <c r="P215" s="775"/>
      <c r="Q215" s="775"/>
      <c r="R215" s="775"/>
      <c r="S215" s="775"/>
      <c r="T215" s="775"/>
      <c r="U215" s="775"/>
      <c r="V215" s="775"/>
      <c r="W215" s="775"/>
      <c r="X215" s="775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AY215" s="103"/>
      <c r="CX215"/>
      <c r="CY215"/>
      <c r="CZ215"/>
      <c r="DA215"/>
      <c r="DB215"/>
      <c r="DC215"/>
      <c r="DD215"/>
      <c r="DE215"/>
      <c r="DF215"/>
      <c r="DH215"/>
      <c r="DI215"/>
      <c r="DJ215"/>
      <c r="DK215"/>
      <c r="DL215"/>
      <c r="DM215"/>
      <c r="DN215"/>
    </row>
    <row r="216" spans="1:118" x14ac:dyDescent="0.3">
      <c r="B216" s="7353" t="s">
        <v>899</v>
      </c>
      <c r="C216" s="7432"/>
      <c r="D216" s="7354"/>
      <c r="E216" s="7201" t="s">
        <v>900</v>
      </c>
      <c r="F216" s="6341"/>
      <c r="G216" s="7202"/>
      <c r="H216" s="7296" t="s">
        <v>30</v>
      </c>
      <c r="I216" s="7297"/>
      <c r="J216" s="7297"/>
      <c r="K216" s="7297"/>
      <c r="L216" s="7297"/>
      <c r="M216" s="7297"/>
      <c r="N216" s="7297"/>
      <c r="O216" s="7297"/>
      <c r="P216" s="7297"/>
      <c r="Q216" s="7297"/>
      <c r="R216" s="7297"/>
      <c r="S216" s="7297"/>
      <c r="T216" s="7297"/>
      <c r="U216" s="7297"/>
      <c r="V216" s="7297"/>
      <c r="W216" s="7297"/>
      <c r="X216" s="7297"/>
      <c r="Y216" s="7297"/>
      <c r="Z216" s="7297"/>
      <c r="AA216" s="7297"/>
      <c r="AB216" s="7297"/>
      <c r="AC216" s="7297"/>
      <c r="AD216" s="7297"/>
      <c r="AE216" s="7297"/>
      <c r="AF216" s="7297"/>
      <c r="AG216" s="7297"/>
      <c r="AH216" s="7297"/>
      <c r="AI216" s="7297"/>
      <c r="AJ216" s="7297"/>
      <c r="AK216" s="7297"/>
      <c r="AL216" s="7297"/>
      <c r="AM216" s="7297"/>
      <c r="AN216" s="7297"/>
      <c r="AO216" s="7298"/>
      <c r="AP216" s="7445" t="s">
        <v>327</v>
      </c>
      <c r="AQ216" s="7216" t="s">
        <v>901</v>
      </c>
      <c r="AR216" s="7449" t="s">
        <v>902</v>
      </c>
      <c r="AS216" s="7444"/>
      <c r="AT216" s="7450" t="s">
        <v>29</v>
      </c>
      <c r="AU216" s="7438" t="s">
        <v>702</v>
      </c>
      <c r="AV216" s="7438" t="s">
        <v>903</v>
      </c>
      <c r="AW216" s="7441" t="s">
        <v>678</v>
      </c>
      <c r="AX216" s="7441" t="s">
        <v>904</v>
      </c>
      <c r="AY216" s="7444" t="s">
        <v>3</v>
      </c>
      <c r="CX216"/>
      <c r="CY216"/>
      <c r="CZ216"/>
      <c r="DA216"/>
      <c r="DB216"/>
      <c r="DC216"/>
      <c r="DD216"/>
      <c r="DE216"/>
      <c r="DF216"/>
      <c r="DH216"/>
      <c r="DI216"/>
      <c r="DJ216"/>
      <c r="DK216"/>
      <c r="DL216"/>
      <c r="DM216"/>
      <c r="DN216"/>
    </row>
    <row r="217" spans="1:118" x14ac:dyDescent="0.3">
      <c r="B217" s="7355"/>
      <c r="C217" s="7433"/>
      <c r="D217" s="7356"/>
      <c r="E217" s="7397"/>
      <c r="F217" s="7294"/>
      <c r="G217" s="7295"/>
      <c r="H217" s="7304" t="s">
        <v>772</v>
      </c>
      <c r="I217" s="7305"/>
      <c r="J217" s="7297" t="s">
        <v>684</v>
      </c>
      <c r="K217" s="7306"/>
      <c r="L217" s="7296" t="s">
        <v>685</v>
      </c>
      <c r="M217" s="7306"/>
      <c r="N217" s="7296" t="s">
        <v>686</v>
      </c>
      <c r="O217" s="7306"/>
      <c r="P217" s="7296" t="s">
        <v>687</v>
      </c>
      <c r="Q217" s="7306"/>
      <c r="R217" s="7296" t="s">
        <v>688</v>
      </c>
      <c r="S217" s="7306"/>
      <c r="T217" s="7296" t="s">
        <v>689</v>
      </c>
      <c r="U217" s="7306"/>
      <c r="V217" s="7296" t="s">
        <v>690</v>
      </c>
      <c r="W217" s="7306"/>
      <c r="X217" s="7296" t="s">
        <v>554</v>
      </c>
      <c r="Y217" s="7308"/>
      <c r="Z217" s="7296" t="s">
        <v>568</v>
      </c>
      <c r="AA217" s="7308"/>
      <c r="AB217" s="7296" t="s">
        <v>893</v>
      </c>
      <c r="AC217" s="7308"/>
      <c r="AD217" s="7296" t="s">
        <v>494</v>
      </c>
      <c r="AE217" s="7308"/>
      <c r="AF217" s="7296" t="s">
        <v>495</v>
      </c>
      <c r="AG217" s="7308"/>
      <c r="AH217" s="7296" t="s">
        <v>894</v>
      </c>
      <c r="AI217" s="7308"/>
      <c r="AJ217" s="7296" t="s">
        <v>556</v>
      </c>
      <c r="AK217" s="7308"/>
      <c r="AL217" s="7296" t="s">
        <v>695</v>
      </c>
      <c r="AM217" s="7308"/>
      <c r="AN217" s="7296" t="s">
        <v>57</v>
      </c>
      <c r="AO217" s="7308"/>
      <c r="AP217" s="6637"/>
      <c r="AQ217" s="7447"/>
      <c r="AR217" s="7220" t="s">
        <v>905</v>
      </c>
      <c r="AS217" s="7453" t="s">
        <v>906</v>
      </c>
      <c r="AT217" s="6597"/>
      <c r="AU217" s="7439"/>
      <c r="AV217" s="7439"/>
      <c r="AW217" s="7442"/>
      <c r="AX217" s="7442"/>
      <c r="AY217" s="7444"/>
      <c r="CX217"/>
      <c r="CY217"/>
      <c r="CZ217"/>
      <c r="DA217"/>
      <c r="DB217"/>
      <c r="DC217"/>
      <c r="DD217"/>
      <c r="DE217"/>
      <c r="DF217"/>
      <c r="DH217"/>
      <c r="DI217"/>
      <c r="DJ217"/>
      <c r="DK217"/>
      <c r="DL217"/>
      <c r="DM217"/>
      <c r="DN217"/>
    </row>
    <row r="218" spans="1:118" x14ac:dyDescent="0.3">
      <c r="B218" s="7434"/>
      <c r="C218" s="7435"/>
      <c r="D218" s="7408"/>
      <c r="E218" s="925" t="s">
        <v>26</v>
      </c>
      <c r="F218" s="594" t="s">
        <v>22</v>
      </c>
      <c r="G218" s="76" t="s">
        <v>27</v>
      </c>
      <c r="H218" s="603" t="s">
        <v>22</v>
      </c>
      <c r="I218" s="597" t="s">
        <v>27</v>
      </c>
      <c r="J218" s="603" t="s">
        <v>22</v>
      </c>
      <c r="K218" s="597" t="s">
        <v>27</v>
      </c>
      <c r="L218" s="603" t="s">
        <v>22</v>
      </c>
      <c r="M218" s="597" t="s">
        <v>27</v>
      </c>
      <c r="N218" s="603" t="s">
        <v>22</v>
      </c>
      <c r="O218" s="597" t="s">
        <v>27</v>
      </c>
      <c r="P218" s="603" t="s">
        <v>22</v>
      </c>
      <c r="Q218" s="597" t="s">
        <v>27</v>
      </c>
      <c r="R218" s="603" t="s">
        <v>22</v>
      </c>
      <c r="S218" s="597" t="s">
        <v>27</v>
      </c>
      <c r="T218" s="603" t="s">
        <v>22</v>
      </c>
      <c r="U218" s="597" t="s">
        <v>27</v>
      </c>
      <c r="V218" s="603" t="s">
        <v>22</v>
      </c>
      <c r="W218" s="597" t="s">
        <v>27</v>
      </c>
      <c r="X218" s="603" t="s">
        <v>22</v>
      </c>
      <c r="Y218" s="597" t="s">
        <v>27</v>
      </c>
      <c r="Z218" s="603" t="s">
        <v>22</v>
      </c>
      <c r="AA218" s="597" t="s">
        <v>27</v>
      </c>
      <c r="AB218" s="603" t="s">
        <v>22</v>
      </c>
      <c r="AC218" s="597" t="s">
        <v>27</v>
      </c>
      <c r="AD218" s="603" t="s">
        <v>22</v>
      </c>
      <c r="AE218" s="597" t="s">
        <v>27</v>
      </c>
      <c r="AF218" s="603" t="s">
        <v>22</v>
      </c>
      <c r="AG218" s="597" t="s">
        <v>27</v>
      </c>
      <c r="AH218" s="603" t="s">
        <v>22</v>
      </c>
      <c r="AI218" s="597" t="s">
        <v>27</v>
      </c>
      <c r="AJ218" s="603" t="s">
        <v>22</v>
      </c>
      <c r="AK218" s="597" t="s">
        <v>27</v>
      </c>
      <c r="AL218" s="603" t="s">
        <v>22</v>
      </c>
      <c r="AM218" s="597" t="s">
        <v>27</v>
      </c>
      <c r="AN218" s="603" t="s">
        <v>22</v>
      </c>
      <c r="AO218" s="597" t="s">
        <v>27</v>
      </c>
      <c r="AP218" s="7446"/>
      <c r="AQ218" s="7448"/>
      <c r="AR218" s="7452"/>
      <c r="AS218" s="7454"/>
      <c r="AT218" s="7451"/>
      <c r="AU218" s="7440"/>
      <c r="AV218" s="7440"/>
      <c r="AW218" s="7443"/>
      <c r="AX218" s="7443"/>
      <c r="AY218" s="7444"/>
      <c r="CX218"/>
      <c r="CY218"/>
      <c r="CZ218"/>
      <c r="DA218"/>
      <c r="DB218"/>
      <c r="DC218"/>
      <c r="DD218"/>
      <c r="DE218"/>
      <c r="DF218"/>
      <c r="DH218"/>
      <c r="DI218"/>
      <c r="DJ218"/>
      <c r="DK218"/>
      <c r="DL218"/>
      <c r="DM218"/>
      <c r="DN218"/>
    </row>
    <row r="219" spans="1:118" ht="15" customHeight="1" x14ac:dyDescent="0.3">
      <c r="A219" s="6269" t="s">
        <v>5077</v>
      </c>
      <c r="B219" s="7455" t="s">
        <v>907</v>
      </c>
      <c r="C219" s="7456" t="s">
        <v>908</v>
      </c>
      <c r="D219" s="7457"/>
      <c r="E219" s="926" t="s">
        <v>5292</v>
      </c>
      <c r="F219" s="821" t="s">
        <v>5293</v>
      </c>
      <c r="G219" s="796" t="s">
        <v>5294</v>
      </c>
      <c r="H219" s="927" t="s">
        <v>5295</v>
      </c>
      <c r="I219" s="928" t="s">
        <v>5296</v>
      </c>
      <c r="J219" s="929" t="s">
        <v>5297</v>
      </c>
      <c r="K219" s="928" t="s">
        <v>5298</v>
      </c>
      <c r="L219" s="929" t="s">
        <v>5299</v>
      </c>
      <c r="M219" s="928" t="s">
        <v>5300</v>
      </c>
      <c r="N219" s="929" t="s">
        <v>5301</v>
      </c>
      <c r="O219" s="928" t="s">
        <v>5302</v>
      </c>
      <c r="P219" s="929" t="s">
        <v>5303</v>
      </c>
      <c r="Q219" s="928" t="s">
        <v>5304</v>
      </c>
      <c r="R219" s="929" t="s">
        <v>5305</v>
      </c>
      <c r="S219" s="928" t="s">
        <v>5306</v>
      </c>
      <c r="T219" s="929" t="s">
        <v>5307</v>
      </c>
      <c r="U219" s="928" t="s">
        <v>5308</v>
      </c>
      <c r="V219" s="929" t="s">
        <v>5309</v>
      </c>
      <c r="W219" s="930" t="s">
        <v>5310</v>
      </c>
      <c r="X219" s="929" t="s">
        <v>5311</v>
      </c>
      <c r="Y219" s="930" t="s">
        <v>5312</v>
      </c>
      <c r="Z219" s="929" t="s">
        <v>5313</v>
      </c>
      <c r="AA219" s="930" t="s">
        <v>5314</v>
      </c>
      <c r="AB219" s="929" t="s">
        <v>5315</v>
      </c>
      <c r="AC219" s="930" t="s">
        <v>5316</v>
      </c>
      <c r="AD219" s="929" t="s">
        <v>5317</v>
      </c>
      <c r="AE219" s="930" t="s">
        <v>5318</v>
      </c>
      <c r="AF219" s="929" t="s">
        <v>5319</v>
      </c>
      <c r="AG219" s="930" t="s">
        <v>5320</v>
      </c>
      <c r="AH219" s="929" t="s">
        <v>5321</v>
      </c>
      <c r="AI219" s="930" t="s">
        <v>5322</v>
      </c>
      <c r="AJ219" s="929" t="s">
        <v>5323</v>
      </c>
      <c r="AK219" s="930" t="s">
        <v>5324</v>
      </c>
      <c r="AL219" s="929" t="s">
        <v>5325</v>
      </c>
      <c r="AM219" s="930" t="s">
        <v>5326</v>
      </c>
      <c r="AN219" s="929" t="s">
        <v>5327</v>
      </c>
      <c r="AO219" s="930" t="s">
        <v>5328</v>
      </c>
      <c r="AP219" s="931" t="s">
        <v>5329</v>
      </c>
      <c r="AQ219" s="932" t="s">
        <v>5330</v>
      </c>
      <c r="AR219" s="933" t="s">
        <v>5331</v>
      </c>
      <c r="AS219" s="934" t="s">
        <v>5332</v>
      </c>
      <c r="AT219" s="935" t="s">
        <v>5333</v>
      </c>
      <c r="AU219" s="929" t="s">
        <v>5334</v>
      </c>
      <c r="AV219" s="929" t="s">
        <v>5335</v>
      </c>
      <c r="AW219" s="936" t="s">
        <v>5336</v>
      </c>
      <c r="AX219" s="936" t="s">
        <v>5337</v>
      </c>
      <c r="AY219" s="930" t="s">
        <v>5338</v>
      </c>
      <c r="AZ219" t="e">
        <f>CX219&amp;CY219&amp;CZ219&amp;DA219&amp;DB219&amp;DC219&amp;DD219</f>
        <v>#VALUE!</v>
      </c>
      <c r="CX219" s="1723" t="str">
        <f>IF(AND(G219&gt;0,AP219=""),"  * No olvide digitar Embarazadas. Digite Cero si no tiene.",IF(AP219&gt;G219," * Las Embarazadas no pueden superar el Total Mujeres.",""))</f>
        <v xml:space="preserve"> * Las Embarazadas no pueden superar el Total Mujeres.</v>
      </c>
      <c r="CY219" s="1723" t="str">
        <f>IF(AND(E219&gt;0,AW219="")," * No olvide ingresar datos en Usuarios con Discapacidad. (Digite cero si no tiene).",IF(AW219&gt;E219," * La variable Usuarios con discapacidad No puede ser mayor al Total.",""))</f>
        <v xml:space="preserve"> * La variable Usuarios con discapacidad No puede ser mayor al Total.</v>
      </c>
      <c r="CZ219" s="1723" t="str">
        <f>IF(AND(E219&gt;0,AX219="")," * No olvide ingresar datos en Usuarios Oncológicos. (Digite cero si no tiene).",IF(AX219&gt;E219," * La variable Usuarios oncológicos No puede ser mayor al Total.",""))</f>
        <v xml:space="preserve"> * La variable Usuarios oncológicos No puede ser mayor al Total.</v>
      </c>
      <c r="DA219" s="1723" t="e">
        <f>IF(AND((AJ219+AK219)&gt;0,AQ219="")," * No olvide digitar la variable 60 años. Si no tiene digite Cero.",IF(AQ219&gt;(AJ219+AK219), "* El número de pacientes de 60 años NO DEBE ser mayor a lo registrado en el grupo etario de 60 a 64 años.",""))</f>
        <v>#VALUE!</v>
      </c>
      <c r="DB219" s="1723" t="str">
        <f t="shared" ref="DB219" si="222">IF(AND(E219&gt;0,AY219="")," * No olvide ingresar datos en Usuarios Migrantes. (Digite cero si no tiene).","")</f>
        <v/>
      </c>
      <c r="DC219" s="1723" t="str">
        <f t="shared" ref="DC219" si="223">IF(AY219&gt;E219, "* Migrantes no puede ser mayor al Total","")</f>
        <v>* Migrantes no puede ser mayor al Total</v>
      </c>
      <c r="DD219"/>
      <c r="DE219"/>
      <c r="DF219"/>
      <c r="DH219" s="1725">
        <f>IF(AND(G219&gt;0,AP219=""),1,IF(AP219&gt;G219,1,0))</f>
        <v>1</v>
      </c>
      <c r="DI219" s="1725">
        <f>IF(AND(E219&gt;0,AW219=""),1,IF(AW219&gt;E219,1,0))</f>
        <v>1</v>
      </c>
      <c r="DJ219" s="1725">
        <f>IF(AND(E219&gt;0,AX219=""),1,IF(AX219&gt;E219,1,0))</f>
        <v>1</v>
      </c>
      <c r="DK219" s="1725" t="e">
        <f>IF(AND((AJ219+AK219)&gt;0,AQ219=""),1,IF(AQ219&gt;(AJ219+AK219),1,0))</f>
        <v>#VALUE!</v>
      </c>
      <c r="DL219" s="1725">
        <f>IF(AND(E219&gt;0,AY219=""),1,0)</f>
        <v>0</v>
      </c>
      <c r="DM219" s="1725">
        <f>IF(AY219&gt;E219,1,0)</f>
        <v>1</v>
      </c>
      <c r="DN219"/>
    </row>
    <row r="220" spans="1:118" ht="15" customHeight="1" x14ac:dyDescent="0.3">
      <c r="A220" s="6269" t="s">
        <v>5078</v>
      </c>
      <c r="B220" s="6610"/>
      <c r="C220" s="7458" t="s">
        <v>909</v>
      </c>
      <c r="D220" s="7459"/>
      <c r="E220" s="937" t="s">
        <v>5292</v>
      </c>
      <c r="F220" s="818" t="s">
        <v>5293</v>
      </c>
      <c r="G220" s="819" t="s">
        <v>5294</v>
      </c>
      <c r="H220" s="938" t="s">
        <v>5295</v>
      </c>
      <c r="I220" s="939" t="s">
        <v>5296</v>
      </c>
      <c r="J220" s="940" t="s">
        <v>5297</v>
      </c>
      <c r="K220" s="939" t="s">
        <v>5298</v>
      </c>
      <c r="L220" s="940" t="s">
        <v>5299</v>
      </c>
      <c r="M220" s="939" t="s">
        <v>5300</v>
      </c>
      <c r="N220" s="940" t="s">
        <v>5301</v>
      </c>
      <c r="O220" s="939" t="s">
        <v>5302</v>
      </c>
      <c r="P220" s="940" t="s">
        <v>5303</v>
      </c>
      <c r="Q220" s="939" t="s">
        <v>5304</v>
      </c>
      <c r="R220" s="940" t="s">
        <v>5305</v>
      </c>
      <c r="S220" s="939" t="s">
        <v>5306</v>
      </c>
      <c r="T220" s="940" t="s">
        <v>5307</v>
      </c>
      <c r="U220" s="939" t="s">
        <v>5308</v>
      </c>
      <c r="V220" s="940" t="s">
        <v>5309</v>
      </c>
      <c r="W220" s="941" t="s">
        <v>5310</v>
      </c>
      <c r="X220" s="940" t="s">
        <v>5311</v>
      </c>
      <c r="Y220" s="941" t="s">
        <v>5312</v>
      </c>
      <c r="Z220" s="940" t="s">
        <v>5313</v>
      </c>
      <c r="AA220" s="941" t="s">
        <v>5314</v>
      </c>
      <c r="AB220" s="940" t="s">
        <v>5315</v>
      </c>
      <c r="AC220" s="941" t="s">
        <v>5316</v>
      </c>
      <c r="AD220" s="940" t="s">
        <v>5317</v>
      </c>
      <c r="AE220" s="941" t="s">
        <v>5318</v>
      </c>
      <c r="AF220" s="940" t="s">
        <v>5319</v>
      </c>
      <c r="AG220" s="941" t="s">
        <v>5320</v>
      </c>
      <c r="AH220" s="940" t="s">
        <v>5321</v>
      </c>
      <c r="AI220" s="941" t="s">
        <v>5322</v>
      </c>
      <c r="AJ220" s="940" t="s">
        <v>5323</v>
      </c>
      <c r="AK220" s="941" t="s">
        <v>5324</v>
      </c>
      <c r="AL220" s="940" t="s">
        <v>5325</v>
      </c>
      <c r="AM220" s="941" t="s">
        <v>5326</v>
      </c>
      <c r="AN220" s="940" t="s">
        <v>5327</v>
      </c>
      <c r="AO220" s="941" t="s">
        <v>5328</v>
      </c>
      <c r="AP220" s="942" t="s">
        <v>5329</v>
      </c>
      <c r="AQ220" s="943" t="s">
        <v>5330</v>
      </c>
      <c r="AR220" s="933" t="s">
        <v>5331</v>
      </c>
      <c r="AS220" s="934" t="s">
        <v>5332</v>
      </c>
      <c r="AT220" s="935" t="s">
        <v>5333</v>
      </c>
      <c r="AU220" s="940" t="s">
        <v>5334</v>
      </c>
      <c r="AV220" s="940" t="s">
        <v>5335</v>
      </c>
      <c r="AW220" s="944" t="s">
        <v>5336</v>
      </c>
      <c r="AX220" s="944" t="s">
        <v>5337</v>
      </c>
      <c r="AY220" s="941" t="s">
        <v>5338</v>
      </c>
      <c r="AZ220" t="e">
        <f t="shared" ref="AZ220:AZ283" si="224">CX220&amp;CY220&amp;CZ220&amp;DA220&amp;DB220&amp;DC220&amp;DD220</f>
        <v>#VALUE!</v>
      </c>
      <c r="CX220" s="1723" t="str">
        <f t="shared" ref="CX220:CX283" si="225">IF(AND(G220&gt;0,AP220=""),"  * No olvide digitar Embarazadas. Digite Cero si no tiene.",IF(AP220&gt;G220," * Las Embarazadas no pueden superar el Total Mujeres.",""))</f>
        <v xml:space="preserve"> * Las Embarazadas no pueden superar el Total Mujeres.</v>
      </c>
      <c r="CY220" s="1723" t="str">
        <f t="shared" ref="CY220:CY283" si="226">IF(AND(E220&gt;0,AW220="")," * No olvide ingresar datos en Usuarios con Discapacidad. (Digite cero si no tiene).",IF(AW220&gt;E220," * La variable Usuarios con discapacidad No puede ser mayor al Total.",""))</f>
        <v xml:space="preserve"> * La variable Usuarios con discapacidad No puede ser mayor al Total.</v>
      </c>
      <c r="CZ220" s="1723" t="str">
        <f t="shared" ref="CZ220:CZ283" si="227">IF(AND(E220&gt;0,AX220="")," * No olvide ingresar datos en Usuarios Oncológicos. (Digite cero si no tiene).",IF(AX220&gt;E220," * La variable Usuarios oncológicos No puede ser mayor al Total.",""))</f>
        <v xml:space="preserve"> * La variable Usuarios oncológicos No puede ser mayor al Total.</v>
      </c>
      <c r="DA220" s="1723" t="e">
        <f t="shared" ref="DA220:DA283" si="228">IF(AND((AJ220+AK220)&gt;0,AQ220="")," * No olvide digitar la variable 60 años. Si no tiene digite Cero.",IF(AQ220&gt;(AJ220+AK220), "* El número de pacientes de 60 años NO DEBE ser mayor a lo registrado en el grupo etario de 60 a 64 años.",""))</f>
        <v>#VALUE!</v>
      </c>
      <c r="DB220" s="1723" t="str">
        <f t="shared" ref="DB220:DB283" si="229">IF(AND(E220&gt;0,AY220="")," * No olvide ingresar datos en Usuarios Migrantes. (Digite cero si no tiene).","")</f>
        <v/>
      </c>
      <c r="DC220" s="1723" t="str">
        <f t="shared" ref="DC220:DC283" si="230">IF(AY220&gt;E220, "* Migrantes no puede ser mayor al Total","")</f>
        <v>* Migrantes no puede ser mayor al Total</v>
      </c>
      <c r="DD220"/>
      <c r="DE220"/>
      <c r="DF220"/>
      <c r="DH220" s="1725">
        <f t="shared" ref="DH220:DH283" si="231">IF(AND(G220&gt;0,AP220=""),1,IF(AP220&gt;G220,1,0))</f>
        <v>1</v>
      </c>
      <c r="DI220" s="1725">
        <f t="shared" ref="DI220:DI283" si="232">IF(AND(E220&gt;0,AW220=""),1,IF(AW220&gt;E220,1,0))</f>
        <v>1</v>
      </c>
      <c r="DJ220" s="1725">
        <f t="shared" ref="DJ220:DJ283" si="233">IF(AND(E220&gt;0,AX220=""),1,IF(AX220&gt;E220,1,0))</f>
        <v>1</v>
      </c>
      <c r="DK220" s="1725" t="e">
        <f t="shared" ref="DK220:DK283" si="234">IF(AND((AJ220+AK220)&gt;0,AQ220=""),1,IF(AQ220&gt;(AJ220+AK220),1,0))</f>
        <v>#VALUE!</v>
      </c>
      <c r="DL220" s="1725">
        <f t="shared" ref="DL220:DL283" si="235">IF(AND(E220&gt;0,AY220=""),1,0)</f>
        <v>0</v>
      </c>
      <c r="DM220" s="1725">
        <f t="shared" ref="DM220:DM283" si="236">IF(AY220&gt;E220,1,0)</f>
        <v>1</v>
      </c>
      <c r="DN220"/>
    </row>
    <row r="221" spans="1:118" ht="15" customHeight="1" x14ac:dyDescent="0.3">
      <c r="A221" s="6269" t="s">
        <v>5079</v>
      </c>
      <c r="B221" s="7267" t="s">
        <v>910</v>
      </c>
      <c r="C221" s="7460" t="s">
        <v>911</v>
      </c>
      <c r="D221" s="7460"/>
      <c r="E221" s="907" t="s">
        <v>5292</v>
      </c>
      <c r="F221" s="945" t="s">
        <v>5293</v>
      </c>
      <c r="G221" s="946" t="s">
        <v>5294</v>
      </c>
      <c r="H221" s="947" t="s">
        <v>5295</v>
      </c>
      <c r="I221" s="948" t="s">
        <v>5296</v>
      </c>
      <c r="J221" s="949" t="s">
        <v>5297</v>
      </c>
      <c r="K221" s="948" t="s">
        <v>5298</v>
      </c>
      <c r="L221" s="949" t="s">
        <v>5299</v>
      </c>
      <c r="M221" s="948" t="s">
        <v>5300</v>
      </c>
      <c r="N221" s="949" t="s">
        <v>5301</v>
      </c>
      <c r="O221" s="948" t="s">
        <v>5302</v>
      </c>
      <c r="P221" s="949" t="s">
        <v>5303</v>
      </c>
      <c r="Q221" s="948" t="s">
        <v>5304</v>
      </c>
      <c r="R221" s="949" t="s">
        <v>5305</v>
      </c>
      <c r="S221" s="948" t="s">
        <v>5306</v>
      </c>
      <c r="T221" s="949" t="s">
        <v>5307</v>
      </c>
      <c r="U221" s="948" t="s">
        <v>5308</v>
      </c>
      <c r="V221" s="949" t="s">
        <v>5309</v>
      </c>
      <c r="W221" s="950" t="s">
        <v>5310</v>
      </c>
      <c r="X221" s="949" t="s">
        <v>5311</v>
      </c>
      <c r="Y221" s="950" t="s">
        <v>5312</v>
      </c>
      <c r="Z221" s="949" t="s">
        <v>5313</v>
      </c>
      <c r="AA221" s="950" t="s">
        <v>5314</v>
      </c>
      <c r="AB221" s="949" t="s">
        <v>5315</v>
      </c>
      <c r="AC221" s="950" t="s">
        <v>5316</v>
      </c>
      <c r="AD221" s="949" t="s">
        <v>5317</v>
      </c>
      <c r="AE221" s="950" t="s">
        <v>5318</v>
      </c>
      <c r="AF221" s="949" t="s">
        <v>5319</v>
      </c>
      <c r="AG221" s="950" t="s">
        <v>5320</v>
      </c>
      <c r="AH221" s="949" t="s">
        <v>5321</v>
      </c>
      <c r="AI221" s="950" t="s">
        <v>5322</v>
      </c>
      <c r="AJ221" s="949" t="s">
        <v>5323</v>
      </c>
      <c r="AK221" s="950" t="s">
        <v>5324</v>
      </c>
      <c r="AL221" s="949" t="s">
        <v>5325</v>
      </c>
      <c r="AM221" s="950" t="s">
        <v>5326</v>
      </c>
      <c r="AN221" s="949" t="s">
        <v>5327</v>
      </c>
      <c r="AO221" s="950" t="s">
        <v>5328</v>
      </c>
      <c r="AP221" s="951" t="s">
        <v>5329</v>
      </c>
      <c r="AQ221" s="952" t="s">
        <v>5330</v>
      </c>
      <c r="AR221" s="947" t="s">
        <v>5331</v>
      </c>
      <c r="AS221" s="948" t="s">
        <v>5332</v>
      </c>
      <c r="AT221" s="929" t="s">
        <v>5333</v>
      </c>
      <c r="AU221" s="949" t="s">
        <v>5334</v>
      </c>
      <c r="AV221" s="949" t="s">
        <v>5335</v>
      </c>
      <c r="AW221" s="953" t="s">
        <v>5336</v>
      </c>
      <c r="AX221" s="953" t="s">
        <v>5337</v>
      </c>
      <c r="AY221" s="948" t="s">
        <v>5338</v>
      </c>
      <c r="AZ221" t="e">
        <f t="shared" si="224"/>
        <v>#VALUE!</v>
      </c>
      <c r="CX221" s="1723" t="str">
        <f t="shared" si="225"/>
        <v xml:space="preserve"> * Las Embarazadas no pueden superar el Total Mujeres.</v>
      </c>
      <c r="CY221" s="1723" t="str">
        <f t="shared" si="226"/>
        <v xml:space="preserve"> * La variable Usuarios con discapacidad No puede ser mayor al Total.</v>
      </c>
      <c r="CZ221" s="1723" t="str">
        <f t="shared" si="227"/>
        <v xml:space="preserve"> * La variable Usuarios oncológicos No puede ser mayor al Total.</v>
      </c>
      <c r="DA221" s="1723" t="e">
        <f t="shared" si="228"/>
        <v>#VALUE!</v>
      </c>
      <c r="DB221" s="1723" t="str">
        <f t="shared" si="229"/>
        <v/>
      </c>
      <c r="DC221" s="1723" t="str">
        <f t="shared" si="230"/>
        <v>* Migrantes no puede ser mayor al Total</v>
      </c>
      <c r="DD221"/>
      <c r="DE221"/>
      <c r="DF221"/>
      <c r="DH221" s="1725">
        <f t="shared" si="231"/>
        <v>1</v>
      </c>
      <c r="DI221" s="1725">
        <f t="shared" si="232"/>
        <v>1</v>
      </c>
      <c r="DJ221" s="1725">
        <f t="shared" si="233"/>
        <v>1</v>
      </c>
      <c r="DK221" s="1725" t="e">
        <f t="shared" si="234"/>
        <v>#VALUE!</v>
      </c>
      <c r="DL221" s="1725">
        <f t="shared" si="235"/>
        <v>0</v>
      </c>
      <c r="DM221" s="1725">
        <f t="shared" si="236"/>
        <v>1</v>
      </c>
      <c r="DN221"/>
    </row>
    <row r="222" spans="1:118" ht="15" customHeight="1" x14ac:dyDescent="0.3">
      <c r="A222" s="6269" t="s">
        <v>5080</v>
      </c>
      <c r="B222" s="7267"/>
      <c r="C222" s="7461" t="s">
        <v>912</v>
      </c>
      <c r="D222" s="7461"/>
      <c r="E222" s="954" t="s">
        <v>5292</v>
      </c>
      <c r="F222" s="955" t="s">
        <v>5293</v>
      </c>
      <c r="G222" s="956" t="s">
        <v>5294</v>
      </c>
      <c r="H222" s="957" t="s">
        <v>5295</v>
      </c>
      <c r="I222" s="958" t="s">
        <v>5296</v>
      </c>
      <c r="J222" s="959" t="s">
        <v>5297</v>
      </c>
      <c r="K222" s="958" t="s">
        <v>5298</v>
      </c>
      <c r="L222" s="959" t="s">
        <v>5299</v>
      </c>
      <c r="M222" s="958" t="s">
        <v>5300</v>
      </c>
      <c r="N222" s="959" t="s">
        <v>5301</v>
      </c>
      <c r="O222" s="958" t="s">
        <v>5302</v>
      </c>
      <c r="P222" s="959" t="s">
        <v>5303</v>
      </c>
      <c r="Q222" s="958" t="s">
        <v>5304</v>
      </c>
      <c r="R222" s="959" t="s">
        <v>5305</v>
      </c>
      <c r="S222" s="958" t="s">
        <v>5306</v>
      </c>
      <c r="T222" s="959" t="s">
        <v>5307</v>
      </c>
      <c r="U222" s="958" t="s">
        <v>5308</v>
      </c>
      <c r="V222" s="959" t="s">
        <v>5309</v>
      </c>
      <c r="W222" s="960" t="s">
        <v>5310</v>
      </c>
      <c r="X222" s="959" t="s">
        <v>5311</v>
      </c>
      <c r="Y222" s="960" t="s">
        <v>5312</v>
      </c>
      <c r="Z222" s="959" t="s">
        <v>5313</v>
      </c>
      <c r="AA222" s="960" t="s">
        <v>5314</v>
      </c>
      <c r="AB222" s="959" t="s">
        <v>5315</v>
      </c>
      <c r="AC222" s="960" t="s">
        <v>5316</v>
      </c>
      <c r="AD222" s="959" t="s">
        <v>5317</v>
      </c>
      <c r="AE222" s="960" t="s">
        <v>5318</v>
      </c>
      <c r="AF222" s="959" t="s">
        <v>5319</v>
      </c>
      <c r="AG222" s="960" t="s">
        <v>5320</v>
      </c>
      <c r="AH222" s="959" t="s">
        <v>5321</v>
      </c>
      <c r="AI222" s="960" t="s">
        <v>5322</v>
      </c>
      <c r="AJ222" s="959" t="s">
        <v>5323</v>
      </c>
      <c r="AK222" s="960" t="s">
        <v>5324</v>
      </c>
      <c r="AL222" s="959" t="s">
        <v>5325</v>
      </c>
      <c r="AM222" s="960" t="s">
        <v>5326</v>
      </c>
      <c r="AN222" s="959" t="s">
        <v>5327</v>
      </c>
      <c r="AO222" s="960" t="s">
        <v>5328</v>
      </c>
      <c r="AP222" s="961" t="s">
        <v>5329</v>
      </c>
      <c r="AQ222" s="962" t="s">
        <v>5330</v>
      </c>
      <c r="AR222" s="933" t="s">
        <v>5331</v>
      </c>
      <c r="AS222" s="934" t="s">
        <v>5332</v>
      </c>
      <c r="AT222" s="949" t="s">
        <v>5333</v>
      </c>
      <c r="AU222" s="959" t="s">
        <v>5334</v>
      </c>
      <c r="AV222" s="959" t="s">
        <v>5335</v>
      </c>
      <c r="AW222" s="963" t="s">
        <v>5336</v>
      </c>
      <c r="AX222" s="963" t="s">
        <v>5337</v>
      </c>
      <c r="AY222" s="958" t="s">
        <v>5338</v>
      </c>
      <c r="AZ222" t="e">
        <f t="shared" si="224"/>
        <v>#VALUE!</v>
      </c>
      <c r="CX222" s="1723" t="str">
        <f t="shared" si="225"/>
        <v xml:space="preserve"> * Las Embarazadas no pueden superar el Total Mujeres.</v>
      </c>
      <c r="CY222" s="1723" t="str">
        <f t="shared" si="226"/>
        <v xml:space="preserve"> * La variable Usuarios con discapacidad No puede ser mayor al Total.</v>
      </c>
      <c r="CZ222" s="1723" t="str">
        <f t="shared" si="227"/>
        <v xml:space="preserve"> * La variable Usuarios oncológicos No puede ser mayor al Total.</v>
      </c>
      <c r="DA222" s="1723" t="e">
        <f t="shared" si="228"/>
        <v>#VALUE!</v>
      </c>
      <c r="DB222" s="1723" t="str">
        <f t="shared" si="229"/>
        <v/>
      </c>
      <c r="DC222" s="1723" t="str">
        <f t="shared" si="230"/>
        <v>* Migrantes no puede ser mayor al Total</v>
      </c>
      <c r="DD222"/>
      <c r="DE222"/>
      <c r="DF222"/>
      <c r="DH222" s="1725">
        <f t="shared" si="231"/>
        <v>1</v>
      </c>
      <c r="DI222" s="1725">
        <f t="shared" si="232"/>
        <v>1</v>
      </c>
      <c r="DJ222" s="1725">
        <f t="shared" si="233"/>
        <v>1</v>
      </c>
      <c r="DK222" s="1725" t="e">
        <f t="shared" si="234"/>
        <v>#VALUE!</v>
      </c>
      <c r="DL222" s="1725">
        <f t="shared" si="235"/>
        <v>0</v>
      </c>
      <c r="DM222" s="1725">
        <f t="shared" si="236"/>
        <v>1</v>
      </c>
      <c r="DN222"/>
    </row>
    <row r="223" spans="1:118" ht="15" customHeight="1" x14ac:dyDescent="0.3">
      <c r="A223" s="6269" t="s">
        <v>5081</v>
      </c>
      <c r="B223" s="7267"/>
      <c r="C223" s="7461" t="s">
        <v>913</v>
      </c>
      <c r="D223" s="7461"/>
      <c r="E223" s="954" t="s">
        <v>5292</v>
      </c>
      <c r="F223" s="955" t="s">
        <v>5293</v>
      </c>
      <c r="G223" s="956" t="s">
        <v>5294</v>
      </c>
      <c r="H223" s="957" t="s">
        <v>5295</v>
      </c>
      <c r="I223" s="958" t="s">
        <v>5296</v>
      </c>
      <c r="J223" s="959" t="s">
        <v>5297</v>
      </c>
      <c r="K223" s="958" t="s">
        <v>5298</v>
      </c>
      <c r="L223" s="959" t="s">
        <v>5299</v>
      </c>
      <c r="M223" s="958" t="s">
        <v>5300</v>
      </c>
      <c r="N223" s="959" t="s">
        <v>5301</v>
      </c>
      <c r="O223" s="958" t="s">
        <v>5302</v>
      </c>
      <c r="P223" s="959" t="s">
        <v>5303</v>
      </c>
      <c r="Q223" s="958" t="s">
        <v>5304</v>
      </c>
      <c r="R223" s="959" t="s">
        <v>5305</v>
      </c>
      <c r="S223" s="958" t="s">
        <v>5306</v>
      </c>
      <c r="T223" s="959" t="s">
        <v>5307</v>
      </c>
      <c r="U223" s="958" t="s">
        <v>5308</v>
      </c>
      <c r="V223" s="959" t="s">
        <v>5309</v>
      </c>
      <c r="W223" s="960" t="s">
        <v>5310</v>
      </c>
      <c r="X223" s="959" t="s">
        <v>5311</v>
      </c>
      <c r="Y223" s="960" t="s">
        <v>5312</v>
      </c>
      <c r="Z223" s="959" t="s">
        <v>5313</v>
      </c>
      <c r="AA223" s="960" t="s">
        <v>5314</v>
      </c>
      <c r="AB223" s="959" t="s">
        <v>5315</v>
      </c>
      <c r="AC223" s="960" t="s">
        <v>5316</v>
      </c>
      <c r="AD223" s="959" t="s">
        <v>5317</v>
      </c>
      <c r="AE223" s="960" t="s">
        <v>5318</v>
      </c>
      <c r="AF223" s="959" t="s">
        <v>5319</v>
      </c>
      <c r="AG223" s="960" t="s">
        <v>5320</v>
      </c>
      <c r="AH223" s="959" t="s">
        <v>5321</v>
      </c>
      <c r="AI223" s="960" t="s">
        <v>5322</v>
      </c>
      <c r="AJ223" s="959" t="s">
        <v>5323</v>
      </c>
      <c r="AK223" s="960" t="s">
        <v>5324</v>
      </c>
      <c r="AL223" s="959" t="s">
        <v>5325</v>
      </c>
      <c r="AM223" s="960" t="s">
        <v>5326</v>
      </c>
      <c r="AN223" s="959" t="s">
        <v>5327</v>
      </c>
      <c r="AO223" s="960" t="s">
        <v>5328</v>
      </c>
      <c r="AP223" s="961" t="s">
        <v>5329</v>
      </c>
      <c r="AQ223" s="962" t="s">
        <v>5330</v>
      </c>
      <c r="AR223" s="933" t="s">
        <v>5331</v>
      </c>
      <c r="AS223" s="934" t="s">
        <v>5332</v>
      </c>
      <c r="AT223" s="935" t="s">
        <v>5333</v>
      </c>
      <c r="AU223" s="959" t="s">
        <v>5334</v>
      </c>
      <c r="AV223" s="959" t="s">
        <v>5335</v>
      </c>
      <c r="AW223" s="963" t="s">
        <v>5336</v>
      </c>
      <c r="AX223" s="963" t="s">
        <v>5337</v>
      </c>
      <c r="AY223" s="958" t="s">
        <v>5338</v>
      </c>
      <c r="AZ223" t="e">
        <f t="shared" si="224"/>
        <v>#VALUE!</v>
      </c>
      <c r="CX223" s="1723" t="str">
        <f t="shared" si="225"/>
        <v xml:space="preserve"> * Las Embarazadas no pueden superar el Total Mujeres.</v>
      </c>
      <c r="CY223" s="1723" t="str">
        <f t="shared" si="226"/>
        <v xml:space="preserve"> * La variable Usuarios con discapacidad No puede ser mayor al Total.</v>
      </c>
      <c r="CZ223" s="1723" t="str">
        <f t="shared" si="227"/>
        <v xml:space="preserve"> * La variable Usuarios oncológicos No puede ser mayor al Total.</v>
      </c>
      <c r="DA223" s="1723" t="e">
        <f t="shared" si="228"/>
        <v>#VALUE!</v>
      </c>
      <c r="DB223" s="1723" t="str">
        <f t="shared" si="229"/>
        <v/>
      </c>
      <c r="DC223" s="1723" t="str">
        <f t="shared" si="230"/>
        <v>* Migrantes no puede ser mayor al Total</v>
      </c>
      <c r="DD223"/>
      <c r="DE223"/>
      <c r="DF223"/>
      <c r="DH223" s="1725">
        <f t="shared" si="231"/>
        <v>1</v>
      </c>
      <c r="DI223" s="1725">
        <f t="shared" si="232"/>
        <v>1</v>
      </c>
      <c r="DJ223" s="1725">
        <f t="shared" si="233"/>
        <v>1</v>
      </c>
      <c r="DK223" s="1725" t="e">
        <f t="shared" si="234"/>
        <v>#VALUE!</v>
      </c>
      <c r="DL223" s="1725">
        <f t="shared" si="235"/>
        <v>0</v>
      </c>
      <c r="DM223" s="1725">
        <f t="shared" si="236"/>
        <v>1</v>
      </c>
      <c r="DN223"/>
    </row>
    <row r="224" spans="1:118" ht="15" customHeight="1" x14ac:dyDescent="0.3">
      <c r="A224" s="6269" t="s">
        <v>5082</v>
      </c>
      <c r="B224" s="7267"/>
      <c r="C224" s="7462" t="s">
        <v>914</v>
      </c>
      <c r="D224" s="7400"/>
      <c r="E224" s="954" t="s">
        <v>5292</v>
      </c>
      <c r="F224" s="955" t="s">
        <v>5293</v>
      </c>
      <c r="G224" s="956" t="s">
        <v>5294</v>
      </c>
      <c r="H224" s="964" t="s">
        <v>5295</v>
      </c>
      <c r="I224" s="965" t="s">
        <v>5296</v>
      </c>
      <c r="J224" s="966" t="s">
        <v>5297</v>
      </c>
      <c r="K224" s="965" t="s">
        <v>5298</v>
      </c>
      <c r="L224" s="966" t="s">
        <v>5299</v>
      </c>
      <c r="M224" s="965" t="s">
        <v>5300</v>
      </c>
      <c r="N224" s="966" t="s">
        <v>5301</v>
      </c>
      <c r="O224" s="965" t="s">
        <v>5302</v>
      </c>
      <c r="P224" s="966" t="s">
        <v>5303</v>
      </c>
      <c r="Q224" s="965" t="s">
        <v>5304</v>
      </c>
      <c r="R224" s="966" t="s">
        <v>5305</v>
      </c>
      <c r="S224" s="965" t="s">
        <v>5306</v>
      </c>
      <c r="T224" s="966" t="s">
        <v>5307</v>
      </c>
      <c r="U224" s="965" t="s">
        <v>5308</v>
      </c>
      <c r="V224" s="966" t="s">
        <v>5309</v>
      </c>
      <c r="W224" s="967" t="s">
        <v>5310</v>
      </c>
      <c r="X224" s="966" t="s">
        <v>5311</v>
      </c>
      <c r="Y224" s="967" t="s">
        <v>5312</v>
      </c>
      <c r="Z224" s="966" t="s">
        <v>5313</v>
      </c>
      <c r="AA224" s="967" t="s">
        <v>5314</v>
      </c>
      <c r="AB224" s="966" t="s">
        <v>5315</v>
      </c>
      <c r="AC224" s="967" t="s">
        <v>5316</v>
      </c>
      <c r="AD224" s="966" t="s">
        <v>5317</v>
      </c>
      <c r="AE224" s="967" t="s">
        <v>5318</v>
      </c>
      <c r="AF224" s="966" t="s">
        <v>5319</v>
      </c>
      <c r="AG224" s="967" t="s">
        <v>5320</v>
      </c>
      <c r="AH224" s="966" t="s">
        <v>5321</v>
      </c>
      <c r="AI224" s="967" t="s">
        <v>5322</v>
      </c>
      <c r="AJ224" s="966" t="s">
        <v>5323</v>
      </c>
      <c r="AK224" s="967" t="s">
        <v>5324</v>
      </c>
      <c r="AL224" s="966" t="s">
        <v>5325</v>
      </c>
      <c r="AM224" s="967" t="s">
        <v>5326</v>
      </c>
      <c r="AN224" s="966" t="s">
        <v>5327</v>
      </c>
      <c r="AO224" s="967" t="s">
        <v>5328</v>
      </c>
      <c r="AP224" s="968" t="s">
        <v>5329</v>
      </c>
      <c r="AQ224" s="969" t="s">
        <v>5330</v>
      </c>
      <c r="AR224" s="970" t="s">
        <v>5331</v>
      </c>
      <c r="AS224" s="971" t="s">
        <v>5332</v>
      </c>
      <c r="AT224" s="972" t="s">
        <v>5333</v>
      </c>
      <c r="AU224" s="966" t="s">
        <v>5334</v>
      </c>
      <c r="AV224" s="966" t="s">
        <v>5335</v>
      </c>
      <c r="AW224" s="973" t="s">
        <v>5336</v>
      </c>
      <c r="AX224" s="973" t="s">
        <v>5337</v>
      </c>
      <c r="AY224" s="965" t="s">
        <v>5338</v>
      </c>
      <c r="AZ224" t="e">
        <f t="shared" si="224"/>
        <v>#VALUE!</v>
      </c>
      <c r="CX224" s="1723" t="str">
        <f t="shared" si="225"/>
        <v xml:space="preserve"> * Las Embarazadas no pueden superar el Total Mujeres.</v>
      </c>
      <c r="CY224" s="1723" t="str">
        <f t="shared" si="226"/>
        <v xml:space="preserve"> * La variable Usuarios con discapacidad No puede ser mayor al Total.</v>
      </c>
      <c r="CZ224" s="1723" t="str">
        <f t="shared" si="227"/>
        <v xml:space="preserve"> * La variable Usuarios oncológicos No puede ser mayor al Total.</v>
      </c>
      <c r="DA224" s="1723" t="e">
        <f t="shared" si="228"/>
        <v>#VALUE!</v>
      </c>
      <c r="DB224" s="1723" t="str">
        <f t="shared" si="229"/>
        <v/>
      </c>
      <c r="DC224" s="1723" t="str">
        <f t="shared" si="230"/>
        <v>* Migrantes no puede ser mayor al Total</v>
      </c>
      <c r="DD224"/>
      <c r="DE224"/>
      <c r="DF224"/>
      <c r="DH224" s="1725">
        <f t="shared" si="231"/>
        <v>1</v>
      </c>
      <c r="DI224" s="1725">
        <f t="shared" si="232"/>
        <v>1</v>
      </c>
      <c r="DJ224" s="1725">
        <f t="shared" si="233"/>
        <v>1</v>
      </c>
      <c r="DK224" s="1725" t="e">
        <f t="shared" si="234"/>
        <v>#VALUE!</v>
      </c>
      <c r="DL224" s="1725">
        <f t="shared" si="235"/>
        <v>0</v>
      </c>
      <c r="DM224" s="1725">
        <f t="shared" si="236"/>
        <v>1</v>
      </c>
      <c r="DN224"/>
    </row>
    <row r="225" spans="1:118" ht="15" customHeight="1" x14ac:dyDescent="0.3">
      <c r="A225" s="6269" t="s">
        <v>5083</v>
      </c>
      <c r="B225" s="7267"/>
      <c r="C225" s="7462" t="s">
        <v>915</v>
      </c>
      <c r="D225" s="7400"/>
      <c r="E225" s="954" t="s">
        <v>5292</v>
      </c>
      <c r="F225" s="955" t="s">
        <v>5293</v>
      </c>
      <c r="G225" s="956" t="s">
        <v>5294</v>
      </c>
      <c r="H225" s="964" t="s">
        <v>5295</v>
      </c>
      <c r="I225" s="965" t="s">
        <v>5296</v>
      </c>
      <c r="J225" s="966" t="s">
        <v>5297</v>
      </c>
      <c r="K225" s="965" t="s">
        <v>5298</v>
      </c>
      <c r="L225" s="966" t="s">
        <v>5299</v>
      </c>
      <c r="M225" s="965" t="s">
        <v>5300</v>
      </c>
      <c r="N225" s="966" t="s">
        <v>5301</v>
      </c>
      <c r="O225" s="965" t="s">
        <v>5302</v>
      </c>
      <c r="P225" s="966" t="s">
        <v>5303</v>
      </c>
      <c r="Q225" s="965" t="s">
        <v>5304</v>
      </c>
      <c r="R225" s="966" t="s">
        <v>5305</v>
      </c>
      <c r="S225" s="965" t="s">
        <v>5306</v>
      </c>
      <c r="T225" s="966" t="s">
        <v>5307</v>
      </c>
      <c r="U225" s="965" t="s">
        <v>5308</v>
      </c>
      <c r="V225" s="966" t="s">
        <v>5309</v>
      </c>
      <c r="W225" s="967" t="s">
        <v>5310</v>
      </c>
      <c r="X225" s="966" t="s">
        <v>5311</v>
      </c>
      <c r="Y225" s="967" t="s">
        <v>5312</v>
      </c>
      <c r="Z225" s="966" t="s">
        <v>5313</v>
      </c>
      <c r="AA225" s="967" t="s">
        <v>5314</v>
      </c>
      <c r="AB225" s="966" t="s">
        <v>5315</v>
      </c>
      <c r="AC225" s="967" t="s">
        <v>5316</v>
      </c>
      <c r="AD225" s="966" t="s">
        <v>5317</v>
      </c>
      <c r="AE225" s="967" t="s">
        <v>5318</v>
      </c>
      <c r="AF225" s="966" t="s">
        <v>5319</v>
      </c>
      <c r="AG225" s="967" t="s">
        <v>5320</v>
      </c>
      <c r="AH225" s="966" t="s">
        <v>5321</v>
      </c>
      <c r="AI225" s="967" t="s">
        <v>5322</v>
      </c>
      <c r="AJ225" s="966" t="s">
        <v>5323</v>
      </c>
      <c r="AK225" s="967" t="s">
        <v>5324</v>
      </c>
      <c r="AL225" s="966" t="s">
        <v>5325</v>
      </c>
      <c r="AM225" s="967" t="s">
        <v>5326</v>
      </c>
      <c r="AN225" s="966" t="s">
        <v>5327</v>
      </c>
      <c r="AO225" s="967" t="s">
        <v>5328</v>
      </c>
      <c r="AP225" s="968" t="s">
        <v>5329</v>
      </c>
      <c r="AQ225" s="969" t="s">
        <v>5330</v>
      </c>
      <c r="AR225" s="970" t="s">
        <v>5331</v>
      </c>
      <c r="AS225" s="971" t="s">
        <v>5332</v>
      </c>
      <c r="AT225" s="972" t="s">
        <v>5333</v>
      </c>
      <c r="AU225" s="966" t="s">
        <v>5334</v>
      </c>
      <c r="AV225" s="966" t="s">
        <v>5335</v>
      </c>
      <c r="AW225" s="973" t="s">
        <v>5336</v>
      </c>
      <c r="AX225" s="973" t="s">
        <v>5337</v>
      </c>
      <c r="AY225" s="965" t="s">
        <v>5338</v>
      </c>
      <c r="AZ225" t="e">
        <f t="shared" si="224"/>
        <v>#VALUE!</v>
      </c>
      <c r="CX225" s="1723" t="str">
        <f t="shared" si="225"/>
        <v xml:space="preserve"> * Las Embarazadas no pueden superar el Total Mujeres.</v>
      </c>
      <c r="CY225" s="1723" t="str">
        <f t="shared" si="226"/>
        <v xml:space="preserve"> * La variable Usuarios con discapacidad No puede ser mayor al Total.</v>
      </c>
      <c r="CZ225" s="1723" t="str">
        <f t="shared" si="227"/>
        <v xml:space="preserve"> * La variable Usuarios oncológicos No puede ser mayor al Total.</v>
      </c>
      <c r="DA225" s="1723" t="e">
        <f t="shared" si="228"/>
        <v>#VALUE!</v>
      </c>
      <c r="DB225" s="1723" t="str">
        <f t="shared" si="229"/>
        <v/>
      </c>
      <c r="DC225" s="1723" t="str">
        <f t="shared" si="230"/>
        <v>* Migrantes no puede ser mayor al Total</v>
      </c>
      <c r="DD225"/>
      <c r="DE225"/>
      <c r="DF225"/>
      <c r="DH225" s="1725">
        <f t="shared" si="231"/>
        <v>1</v>
      </c>
      <c r="DI225" s="1725">
        <f t="shared" si="232"/>
        <v>1</v>
      </c>
      <c r="DJ225" s="1725">
        <f t="shared" si="233"/>
        <v>1</v>
      </c>
      <c r="DK225" s="1725" t="e">
        <f t="shared" si="234"/>
        <v>#VALUE!</v>
      </c>
      <c r="DL225" s="1725">
        <f t="shared" si="235"/>
        <v>0</v>
      </c>
      <c r="DM225" s="1725">
        <f t="shared" si="236"/>
        <v>1</v>
      </c>
      <c r="DN225"/>
    </row>
    <row r="226" spans="1:118" ht="15" customHeight="1" x14ac:dyDescent="0.3">
      <c r="A226" s="6269" t="s">
        <v>5084</v>
      </c>
      <c r="B226" s="7363"/>
      <c r="C226" s="7463" t="s">
        <v>916</v>
      </c>
      <c r="D226" s="7463"/>
      <c r="E226" s="974" t="s">
        <v>5292</v>
      </c>
      <c r="F226" s="95" t="s">
        <v>5293</v>
      </c>
      <c r="G226" s="208" t="s">
        <v>5294</v>
      </c>
      <c r="H226" s="9044" t="s">
        <v>5295</v>
      </c>
      <c r="I226" s="9044" t="s">
        <v>5296</v>
      </c>
      <c r="J226" s="940" t="s">
        <v>5297</v>
      </c>
      <c r="K226" s="939" t="s">
        <v>5298</v>
      </c>
      <c r="L226" s="940" t="s">
        <v>5299</v>
      </c>
      <c r="M226" s="939" t="s">
        <v>5300</v>
      </c>
      <c r="N226" s="940" t="s">
        <v>5301</v>
      </c>
      <c r="O226" s="939" t="s">
        <v>5302</v>
      </c>
      <c r="P226" s="940" t="s">
        <v>5303</v>
      </c>
      <c r="Q226" s="939" t="s">
        <v>5304</v>
      </c>
      <c r="R226" s="940" t="s">
        <v>5305</v>
      </c>
      <c r="S226" s="939" t="s">
        <v>5306</v>
      </c>
      <c r="T226" s="940" t="s">
        <v>5307</v>
      </c>
      <c r="U226" s="939" t="s">
        <v>5308</v>
      </c>
      <c r="V226" s="940" t="s">
        <v>5309</v>
      </c>
      <c r="W226" s="941" t="s">
        <v>5310</v>
      </c>
      <c r="X226" s="940" t="s">
        <v>5311</v>
      </c>
      <c r="Y226" s="941" t="s">
        <v>5312</v>
      </c>
      <c r="Z226" s="940" t="s">
        <v>5313</v>
      </c>
      <c r="AA226" s="941" t="s">
        <v>5314</v>
      </c>
      <c r="AB226" s="940" t="s">
        <v>5315</v>
      </c>
      <c r="AC226" s="941" t="s">
        <v>5316</v>
      </c>
      <c r="AD226" s="940" t="s">
        <v>5317</v>
      </c>
      <c r="AE226" s="941" t="s">
        <v>5318</v>
      </c>
      <c r="AF226" s="940" t="s">
        <v>5319</v>
      </c>
      <c r="AG226" s="941" t="s">
        <v>5320</v>
      </c>
      <c r="AH226" s="940" t="s">
        <v>5321</v>
      </c>
      <c r="AI226" s="941" t="s">
        <v>5322</v>
      </c>
      <c r="AJ226" s="940" t="s">
        <v>5323</v>
      </c>
      <c r="AK226" s="941" t="s">
        <v>5324</v>
      </c>
      <c r="AL226" s="940" t="s">
        <v>5325</v>
      </c>
      <c r="AM226" s="941" t="s">
        <v>5326</v>
      </c>
      <c r="AN226" s="940" t="s">
        <v>5327</v>
      </c>
      <c r="AO226" s="941" t="s">
        <v>5328</v>
      </c>
      <c r="AP226" s="942" t="s">
        <v>5329</v>
      </c>
      <c r="AQ226" s="943" t="s">
        <v>5330</v>
      </c>
      <c r="AR226" s="975" t="s">
        <v>5331</v>
      </c>
      <c r="AS226" s="976" t="s">
        <v>5332</v>
      </c>
      <c r="AT226" s="977" t="s">
        <v>5333</v>
      </c>
      <c r="AU226" s="940" t="s">
        <v>5334</v>
      </c>
      <c r="AV226" s="940" t="s">
        <v>5335</v>
      </c>
      <c r="AW226" s="944" t="s">
        <v>5336</v>
      </c>
      <c r="AX226" s="944" t="s">
        <v>5337</v>
      </c>
      <c r="AY226" s="939" t="s">
        <v>5338</v>
      </c>
      <c r="AZ226" t="e">
        <f t="shared" si="224"/>
        <v>#VALUE!</v>
      </c>
      <c r="CX226" s="1723" t="str">
        <f t="shared" si="225"/>
        <v xml:space="preserve"> * Las Embarazadas no pueden superar el Total Mujeres.</v>
      </c>
      <c r="CY226" s="1723" t="str">
        <f t="shared" si="226"/>
        <v xml:space="preserve"> * La variable Usuarios con discapacidad No puede ser mayor al Total.</v>
      </c>
      <c r="CZ226" s="1723" t="str">
        <f t="shared" si="227"/>
        <v xml:space="preserve"> * La variable Usuarios oncológicos No puede ser mayor al Total.</v>
      </c>
      <c r="DA226" s="1723" t="e">
        <f t="shared" si="228"/>
        <v>#VALUE!</v>
      </c>
      <c r="DB226" s="1723" t="str">
        <f t="shared" si="229"/>
        <v/>
      </c>
      <c r="DC226" s="1723" t="str">
        <f t="shared" si="230"/>
        <v>* Migrantes no puede ser mayor al Total</v>
      </c>
      <c r="DD226"/>
      <c r="DE226"/>
      <c r="DF226"/>
      <c r="DH226" s="1725">
        <f t="shared" si="231"/>
        <v>1</v>
      </c>
      <c r="DI226" s="1725">
        <f t="shared" si="232"/>
        <v>1</v>
      </c>
      <c r="DJ226" s="1725">
        <f t="shared" si="233"/>
        <v>1</v>
      </c>
      <c r="DK226" s="1725" t="e">
        <f t="shared" si="234"/>
        <v>#VALUE!</v>
      </c>
      <c r="DL226" s="1725">
        <f t="shared" si="235"/>
        <v>0</v>
      </c>
      <c r="DM226" s="1725">
        <f t="shared" si="236"/>
        <v>1</v>
      </c>
      <c r="DN226"/>
    </row>
    <row r="227" spans="1:118" ht="15" customHeight="1" x14ac:dyDescent="0.3">
      <c r="A227" s="6269" t="s">
        <v>5085</v>
      </c>
      <c r="B227" s="7362" t="s">
        <v>917</v>
      </c>
      <c r="C227" s="7460" t="s">
        <v>911</v>
      </c>
      <c r="D227" s="7460"/>
      <c r="E227" s="905" t="s">
        <v>5292</v>
      </c>
      <c r="F227" s="213" t="s">
        <v>5293</v>
      </c>
      <c r="G227" s="978" t="s">
        <v>5294</v>
      </c>
      <c r="H227" s="927" t="s">
        <v>5295</v>
      </c>
      <c r="I227" s="928" t="s">
        <v>5296</v>
      </c>
      <c r="J227" s="929" t="s">
        <v>5297</v>
      </c>
      <c r="K227" s="928" t="s">
        <v>5298</v>
      </c>
      <c r="L227" s="929" t="s">
        <v>5299</v>
      </c>
      <c r="M227" s="928" t="s">
        <v>5300</v>
      </c>
      <c r="N227" s="929" t="s">
        <v>5301</v>
      </c>
      <c r="O227" s="928" t="s">
        <v>5302</v>
      </c>
      <c r="P227" s="929" t="s">
        <v>5303</v>
      </c>
      <c r="Q227" s="928" t="s">
        <v>5304</v>
      </c>
      <c r="R227" s="929" t="s">
        <v>5305</v>
      </c>
      <c r="S227" s="928" t="s">
        <v>5306</v>
      </c>
      <c r="T227" s="929" t="s">
        <v>5307</v>
      </c>
      <c r="U227" s="928" t="s">
        <v>5308</v>
      </c>
      <c r="V227" s="929" t="s">
        <v>5309</v>
      </c>
      <c r="W227" s="930" t="s">
        <v>5310</v>
      </c>
      <c r="X227" s="929" t="s">
        <v>5311</v>
      </c>
      <c r="Y227" s="930" t="s">
        <v>5312</v>
      </c>
      <c r="Z227" s="929" t="s">
        <v>5313</v>
      </c>
      <c r="AA227" s="930" t="s">
        <v>5314</v>
      </c>
      <c r="AB227" s="929" t="s">
        <v>5315</v>
      </c>
      <c r="AC227" s="930" t="s">
        <v>5316</v>
      </c>
      <c r="AD227" s="929" t="s">
        <v>5317</v>
      </c>
      <c r="AE227" s="930" t="s">
        <v>5318</v>
      </c>
      <c r="AF227" s="929" t="s">
        <v>5319</v>
      </c>
      <c r="AG227" s="930" t="s">
        <v>5320</v>
      </c>
      <c r="AH227" s="929" t="s">
        <v>5321</v>
      </c>
      <c r="AI227" s="930" t="s">
        <v>5322</v>
      </c>
      <c r="AJ227" s="929" t="s">
        <v>5323</v>
      </c>
      <c r="AK227" s="930" t="s">
        <v>5324</v>
      </c>
      <c r="AL227" s="929" t="s">
        <v>5325</v>
      </c>
      <c r="AM227" s="930" t="s">
        <v>5326</v>
      </c>
      <c r="AN227" s="929" t="s">
        <v>5327</v>
      </c>
      <c r="AO227" s="930" t="s">
        <v>5328</v>
      </c>
      <c r="AP227" s="951" t="s">
        <v>5329</v>
      </c>
      <c r="AQ227" s="952" t="s">
        <v>5330</v>
      </c>
      <c r="AR227" s="927" t="s">
        <v>5331</v>
      </c>
      <c r="AS227" s="948" t="s">
        <v>5332</v>
      </c>
      <c r="AT227" s="929" t="s">
        <v>5333</v>
      </c>
      <c r="AU227" s="949" t="s">
        <v>5334</v>
      </c>
      <c r="AV227" s="949" t="s">
        <v>5335</v>
      </c>
      <c r="AW227" s="953" t="s">
        <v>5336</v>
      </c>
      <c r="AX227" s="953" t="s">
        <v>5337</v>
      </c>
      <c r="AY227" s="948" t="s">
        <v>5338</v>
      </c>
      <c r="AZ227" t="e">
        <f t="shared" si="224"/>
        <v>#VALUE!</v>
      </c>
      <c r="CX227" s="1723" t="str">
        <f t="shared" si="225"/>
        <v xml:space="preserve"> * Las Embarazadas no pueden superar el Total Mujeres.</v>
      </c>
      <c r="CY227" s="1723" t="str">
        <f t="shared" si="226"/>
        <v xml:space="preserve"> * La variable Usuarios con discapacidad No puede ser mayor al Total.</v>
      </c>
      <c r="CZ227" s="1723" t="str">
        <f t="shared" si="227"/>
        <v xml:space="preserve"> * La variable Usuarios oncológicos No puede ser mayor al Total.</v>
      </c>
      <c r="DA227" s="1723" t="e">
        <f t="shared" si="228"/>
        <v>#VALUE!</v>
      </c>
      <c r="DB227" s="1723" t="str">
        <f t="shared" si="229"/>
        <v/>
      </c>
      <c r="DC227" s="1723" t="str">
        <f t="shared" si="230"/>
        <v>* Migrantes no puede ser mayor al Total</v>
      </c>
      <c r="DD227"/>
      <c r="DE227"/>
      <c r="DF227"/>
      <c r="DH227" s="1725">
        <f t="shared" si="231"/>
        <v>1</v>
      </c>
      <c r="DI227" s="1725">
        <f t="shared" si="232"/>
        <v>1</v>
      </c>
      <c r="DJ227" s="1725">
        <f t="shared" si="233"/>
        <v>1</v>
      </c>
      <c r="DK227" s="1725" t="e">
        <f t="shared" si="234"/>
        <v>#VALUE!</v>
      </c>
      <c r="DL227" s="1725">
        <f t="shared" si="235"/>
        <v>0</v>
      </c>
      <c r="DM227" s="1725">
        <f t="shared" si="236"/>
        <v>1</v>
      </c>
      <c r="DN227"/>
    </row>
    <row r="228" spans="1:118" ht="15" customHeight="1" x14ac:dyDescent="0.3">
      <c r="A228" s="6269" t="s">
        <v>5086</v>
      </c>
      <c r="B228" s="7267"/>
      <c r="C228" s="7461" t="s">
        <v>912</v>
      </c>
      <c r="D228" s="7461"/>
      <c r="E228" s="954" t="s">
        <v>5292</v>
      </c>
      <c r="F228" s="955" t="s">
        <v>5293</v>
      </c>
      <c r="G228" s="956" t="s">
        <v>5294</v>
      </c>
      <c r="H228" s="957" t="s">
        <v>5295</v>
      </c>
      <c r="I228" s="958" t="s">
        <v>5296</v>
      </c>
      <c r="J228" s="959" t="s">
        <v>5297</v>
      </c>
      <c r="K228" s="958" t="s">
        <v>5298</v>
      </c>
      <c r="L228" s="959" t="s">
        <v>5299</v>
      </c>
      <c r="M228" s="958" t="s">
        <v>5300</v>
      </c>
      <c r="N228" s="959" t="s">
        <v>5301</v>
      </c>
      <c r="O228" s="958" t="s">
        <v>5302</v>
      </c>
      <c r="P228" s="959" t="s">
        <v>5303</v>
      </c>
      <c r="Q228" s="958" t="s">
        <v>5304</v>
      </c>
      <c r="R228" s="959" t="s">
        <v>5305</v>
      </c>
      <c r="S228" s="958" t="s">
        <v>5306</v>
      </c>
      <c r="T228" s="959" t="s">
        <v>5307</v>
      </c>
      <c r="U228" s="958" t="s">
        <v>5308</v>
      </c>
      <c r="V228" s="959" t="s">
        <v>5309</v>
      </c>
      <c r="W228" s="960" t="s">
        <v>5310</v>
      </c>
      <c r="X228" s="959" t="s">
        <v>5311</v>
      </c>
      <c r="Y228" s="960" t="s">
        <v>5312</v>
      </c>
      <c r="Z228" s="959" t="s">
        <v>5313</v>
      </c>
      <c r="AA228" s="960" t="s">
        <v>5314</v>
      </c>
      <c r="AB228" s="959" t="s">
        <v>5315</v>
      </c>
      <c r="AC228" s="960" t="s">
        <v>5316</v>
      </c>
      <c r="AD228" s="959" t="s">
        <v>5317</v>
      </c>
      <c r="AE228" s="960" t="s">
        <v>5318</v>
      </c>
      <c r="AF228" s="959" t="s">
        <v>5319</v>
      </c>
      <c r="AG228" s="960" t="s">
        <v>5320</v>
      </c>
      <c r="AH228" s="959" t="s">
        <v>5321</v>
      </c>
      <c r="AI228" s="960" t="s">
        <v>5322</v>
      </c>
      <c r="AJ228" s="959" t="s">
        <v>5323</v>
      </c>
      <c r="AK228" s="960" t="s">
        <v>5324</v>
      </c>
      <c r="AL228" s="959" t="s">
        <v>5325</v>
      </c>
      <c r="AM228" s="960" t="s">
        <v>5326</v>
      </c>
      <c r="AN228" s="959" t="s">
        <v>5327</v>
      </c>
      <c r="AO228" s="960" t="s">
        <v>5328</v>
      </c>
      <c r="AP228" s="961" t="s">
        <v>5329</v>
      </c>
      <c r="AQ228" s="962" t="s">
        <v>5330</v>
      </c>
      <c r="AR228" s="933" t="s">
        <v>5331</v>
      </c>
      <c r="AS228" s="934" t="s">
        <v>5332</v>
      </c>
      <c r="AT228" s="949" t="s">
        <v>5333</v>
      </c>
      <c r="AU228" s="959" t="s">
        <v>5334</v>
      </c>
      <c r="AV228" s="959" t="s">
        <v>5335</v>
      </c>
      <c r="AW228" s="963" t="s">
        <v>5336</v>
      </c>
      <c r="AX228" s="963" t="s">
        <v>5337</v>
      </c>
      <c r="AY228" s="958" t="s">
        <v>5338</v>
      </c>
      <c r="AZ228" t="e">
        <f t="shared" si="224"/>
        <v>#VALUE!</v>
      </c>
      <c r="CX228" s="1723" t="str">
        <f t="shared" si="225"/>
        <v xml:space="preserve"> * Las Embarazadas no pueden superar el Total Mujeres.</v>
      </c>
      <c r="CY228" s="1723" t="str">
        <f t="shared" si="226"/>
        <v xml:space="preserve"> * La variable Usuarios con discapacidad No puede ser mayor al Total.</v>
      </c>
      <c r="CZ228" s="1723" t="str">
        <f t="shared" si="227"/>
        <v xml:space="preserve"> * La variable Usuarios oncológicos No puede ser mayor al Total.</v>
      </c>
      <c r="DA228" s="1723" t="e">
        <f t="shared" si="228"/>
        <v>#VALUE!</v>
      </c>
      <c r="DB228" s="1723" t="str">
        <f t="shared" si="229"/>
        <v/>
      </c>
      <c r="DC228" s="1723" t="str">
        <f t="shared" si="230"/>
        <v>* Migrantes no puede ser mayor al Total</v>
      </c>
      <c r="DD228"/>
      <c r="DE228"/>
      <c r="DF228"/>
      <c r="DH228" s="1725">
        <f t="shared" si="231"/>
        <v>1</v>
      </c>
      <c r="DI228" s="1725">
        <f t="shared" si="232"/>
        <v>1</v>
      </c>
      <c r="DJ228" s="1725">
        <f t="shared" si="233"/>
        <v>1</v>
      </c>
      <c r="DK228" s="1725" t="e">
        <f t="shared" si="234"/>
        <v>#VALUE!</v>
      </c>
      <c r="DL228" s="1725">
        <f t="shared" si="235"/>
        <v>0</v>
      </c>
      <c r="DM228" s="1725">
        <f t="shared" si="236"/>
        <v>1</v>
      </c>
      <c r="DN228"/>
    </row>
    <row r="229" spans="1:118" ht="15" customHeight="1" x14ac:dyDescent="0.3">
      <c r="A229" s="6269" t="s">
        <v>5087</v>
      </c>
      <c r="B229" s="7267"/>
      <c r="C229" s="7461" t="s">
        <v>913</v>
      </c>
      <c r="D229" s="7461"/>
      <c r="E229" s="954" t="s">
        <v>5292</v>
      </c>
      <c r="F229" s="955" t="s">
        <v>5293</v>
      </c>
      <c r="G229" s="956" t="s">
        <v>5294</v>
      </c>
      <c r="H229" s="957" t="s">
        <v>5295</v>
      </c>
      <c r="I229" s="958" t="s">
        <v>5296</v>
      </c>
      <c r="J229" s="959" t="s">
        <v>5297</v>
      </c>
      <c r="K229" s="958" t="s">
        <v>5298</v>
      </c>
      <c r="L229" s="959" t="s">
        <v>5299</v>
      </c>
      <c r="M229" s="958" t="s">
        <v>5300</v>
      </c>
      <c r="N229" s="959" t="s">
        <v>5301</v>
      </c>
      <c r="O229" s="958" t="s">
        <v>5302</v>
      </c>
      <c r="P229" s="959" t="s">
        <v>5303</v>
      </c>
      <c r="Q229" s="958" t="s">
        <v>5304</v>
      </c>
      <c r="R229" s="959" t="s">
        <v>5305</v>
      </c>
      <c r="S229" s="958" t="s">
        <v>5306</v>
      </c>
      <c r="T229" s="959" t="s">
        <v>5307</v>
      </c>
      <c r="U229" s="958" t="s">
        <v>5308</v>
      </c>
      <c r="V229" s="959" t="s">
        <v>5309</v>
      </c>
      <c r="W229" s="960" t="s">
        <v>5310</v>
      </c>
      <c r="X229" s="959" t="s">
        <v>5311</v>
      </c>
      <c r="Y229" s="960" t="s">
        <v>5312</v>
      </c>
      <c r="Z229" s="959" t="s">
        <v>5313</v>
      </c>
      <c r="AA229" s="960" t="s">
        <v>5314</v>
      </c>
      <c r="AB229" s="959" t="s">
        <v>5315</v>
      </c>
      <c r="AC229" s="960" t="s">
        <v>5316</v>
      </c>
      <c r="AD229" s="959" t="s">
        <v>5317</v>
      </c>
      <c r="AE229" s="960" t="s">
        <v>5318</v>
      </c>
      <c r="AF229" s="959" t="s">
        <v>5319</v>
      </c>
      <c r="AG229" s="960" t="s">
        <v>5320</v>
      </c>
      <c r="AH229" s="959" t="s">
        <v>5321</v>
      </c>
      <c r="AI229" s="960" t="s">
        <v>5322</v>
      </c>
      <c r="AJ229" s="959" t="s">
        <v>5323</v>
      </c>
      <c r="AK229" s="960" t="s">
        <v>5324</v>
      </c>
      <c r="AL229" s="959" t="s">
        <v>5325</v>
      </c>
      <c r="AM229" s="960" t="s">
        <v>5326</v>
      </c>
      <c r="AN229" s="959" t="s">
        <v>5327</v>
      </c>
      <c r="AO229" s="960" t="s">
        <v>5328</v>
      </c>
      <c r="AP229" s="961" t="s">
        <v>5329</v>
      </c>
      <c r="AQ229" s="962" t="s">
        <v>5330</v>
      </c>
      <c r="AR229" s="933" t="s">
        <v>5331</v>
      </c>
      <c r="AS229" s="934" t="s">
        <v>5332</v>
      </c>
      <c r="AT229" s="979" t="s">
        <v>5333</v>
      </c>
      <c r="AU229" s="959" t="s">
        <v>5334</v>
      </c>
      <c r="AV229" s="959" t="s">
        <v>5335</v>
      </c>
      <c r="AW229" s="963" t="s">
        <v>5336</v>
      </c>
      <c r="AX229" s="963" t="s">
        <v>5337</v>
      </c>
      <c r="AY229" s="958" t="s">
        <v>5338</v>
      </c>
      <c r="AZ229" t="e">
        <f t="shared" si="224"/>
        <v>#VALUE!</v>
      </c>
      <c r="CX229" s="1723" t="str">
        <f t="shared" si="225"/>
        <v xml:space="preserve"> * Las Embarazadas no pueden superar el Total Mujeres.</v>
      </c>
      <c r="CY229" s="1723" t="str">
        <f t="shared" si="226"/>
        <v xml:space="preserve"> * La variable Usuarios con discapacidad No puede ser mayor al Total.</v>
      </c>
      <c r="CZ229" s="1723" t="str">
        <f t="shared" si="227"/>
        <v xml:space="preserve"> * La variable Usuarios oncológicos No puede ser mayor al Total.</v>
      </c>
      <c r="DA229" s="1723" t="e">
        <f t="shared" si="228"/>
        <v>#VALUE!</v>
      </c>
      <c r="DB229" s="1723" t="str">
        <f t="shared" si="229"/>
        <v/>
      </c>
      <c r="DC229" s="1723" t="str">
        <f t="shared" si="230"/>
        <v>* Migrantes no puede ser mayor al Total</v>
      </c>
      <c r="DD229"/>
      <c r="DE229"/>
      <c r="DF229"/>
      <c r="DH229" s="1725">
        <f t="shared" si="231"/>
        <v>1</v>
      </c>
      <c r="DI229" s="1725">
        <f t="shared" si="232"/>
        <v>1</v>
      </c>
      <c r="DJ229" s="1725">
        <f t="shared" si="233"/>
        <v>1</v>
      </c>
      <c r="DK229" s="1725" t="e">
        <f t="shared" si="234"/>
        <v>#VALUE!</v>
      </c>
      <c r="DL229" s="1725">
        <f t="shared" si="235"/>
        <v>0</v>
      </c>
      <c r="DM229" s="1725">
        <f t="shared" si="236"/>
        <v>1</v>
      </c>
      <c r="DN229"/>
    </row>
    <row r="230" spans="1:118" ht="15" customHeight="1" x14ac:dyDescent="0.3">
      <c r="A230" s="6269" t="s">
        <v>5088</v>
      </c>
      <c r="B230" s="7267"/>
      <c r="C230" s="7462" t="s">
        <v>914</v>
      </c>
      <c r="D230" s="7400"/>
      <c r="E230" s="954" t="s">
        <v>5292</v>
      </c>
      <c r="F230" s="955" t="s">
        <v>5293</v>
      </c>
      <c r="G230" s="956" t="s">
        <v>5294</v>
      </c>
      <c r="H230" s="964" t="s">
        <v>5295</v>
      </c>
      <c r="I230" s="965" t="s">
        <v>5296</v>
      </c>
      <c r="J230" s="966" t="s">
        <v>5297</v>
      </c>
      <c r="K230" s="965" t="s">
        <v>5298</v>
      </c>
      <c r="L230" s="966" t="s">
        <v>5299</v>
      </c>
      <c r="M230" s="965" t="s">
        <v>5300</v>
      </c>
      <c r="N230" s="966" t="s">
        <v>5301</v>
      </c>
      <c r="O230" s="965" t="s">
        <v>5302</v>
      </c>
      <c r="P230" s="966" t="s">
        <v>5303</v>
      </c>
      <c r="Q230" s="965" t="s">
        <v>5304</v>
      </c>
      <c r="R230" s="966" t="s">
        <v>5305</v>
      </c>
      <c r="S230" s="965" t="s">
        <v>5306</v>
      </c>
      <c r="T230" s="966" t="s">
        <v>5307</v>
      </c>
      <c r="U230" s="965" t="s">
        <v>5308</v>
      </c>
      <c r="V230" s="966" t="s">
        <v>5309</v>
      </c>
      <c r="W230" s="967" t="s">
        <v>5310</v>
      </c>
      <c r="X230" s="966" t="s">
        <v>5311</v>
      </c>
      <c r="Y230" s="967" t="s">
        <v>5312</v>
      </c>
      <c r="Z230" s="966" t="s">
        <v>5313</v>
      </c>
      <c r="AA230" s="967" t="s">
        <v>5314</v>
      </c>
      <c r="AB230" s="966" t="s">
        <v>5315</v>
      </c>
      <c r="AC230" s="967" t="s">
        <v>5316</v>
      </c>
      <c r="AD230" s="966" t="s">
        <v>5317</v>
      </c>
      <c r="AE230" s="967" t="s">
        <v>5318</v>
      </c>
      <c r="AF230" s="966" t="s">
        <v>5319</v>
      </c>
      <c r="AG230" s="967" t="s">
        <v>5320</v>
      </c>
      <c r="AH230" s="966" t="s">
        <v>5321</v>
      </c>
      <c r="AI230" s="967" t="s">
        <v>5322</v>
      </c>
      <c r="AJ230" s="966" t="s">
        <v>5323</v>
      </c>
      <c r="AK230" s="967" t="s">
        <v>5324</v>
      </c>
      <c r="AL230" s="966" t="s">
        <v>5325</v>
      </c>
      <c r="AM230" s="967" t="s">
        <v>5326</v>
      </c>
      <c r="AN230" s="966" t="s">
        <v>5327</v>
      </c>
      <c r="AO230" s="967" t="s">
        <v>5328</v>
      </c>
      <c r="AP230" s="968" t="s">
        <v>5329</v>
      </c>
      <c r="AQ230" s="969" t="s">
        <v>5330</v>
      </c>
      <c r="AR230" s="933" t="s">
        <v>5331</v>
      </c>
      <c r="AS230" s="934" t="s">
        <v>5332</v>
      </c>
      <c r="AT230" s="979" t="s">
        <v>5333</v>
      </c>
      <c r="AU230" s="966" t="s">
        <v>5334</v>
      </c>
      <c r="AV230" s="966" t="s">
        <v>5335</v>
      </c>
      <c r="AW230" s="973" t="s">
        <v>5336</v>
      </c>
      <c r="AX230" s="973" t="s">
        <v>5337</v>
      </c>
      <c r="AY230" s="965" t="s">
        <v>5338</v>
      </c>
      <c r="AZ230" t="e">
        <f t="shared" si="224"/>
        <v>#VALUE!</v>
      </c>
      <c r="CX230" s="1723" t="str">
        <f t="shared" si="225"/>
        <v xml:space="preserve"> * Las Embarazadas no pueden superar el Total Mujeres.</v>
      </c>
      <c r="CY230" s="1723" t="str">
        <f t="shared" si="226"/>
        <v xml:space="preserve"> * La variable Usuarios con discapacidad No puede ser mayor al Total.</v>
      </c>
      <c r="CZ230" s="1723" t="str">
        <f t="shared" si="227"/>
        <v xml:space="preserve"> * La variable Usuarios oncológicos No puede ser mayor al Total.</v>
      </c>
      <c r="DA230" s="1723" t="e">
        <f t="shared" si="228"/>
        <v>#VALUE!</v>
      </c>
      <c r="DB230" s="1723" t="str">
        <f t="shared" si="229"/>
        <v/>
      </c>
      <c r="DC230" s="1723" t="str">
        <f t="shared" si="230"/>
        <v>* Migrantes no puede ser mayor al Total</v>
      </c>
      <c r="DD230"/>
      <c r="DE230"/>
      <c r="DF230"/>
      <c r="DH230" s="1725">
        <f t="shared" si="231"/>
        <v>1</v>
      </c>
      <c r="DI230" s="1725">
        <f t="shared" si="232"/>
        <v>1</v>
      </c>
      <c r="DJ230" s="1725">
        <f t="shared" si="233"/>
        <v>1</v>
      </c>
      <c r="DK230" s="1725" t="e">
        <f t="shared" si="234"/>
        <v>#VALUE!</v>
      </c>
      <c r="DL230" s="1725">
        <f t="shared" si="235"/>
        <v>0</v>
      </c>
      <c r="DM230" s="1725">
        <f t="shared" si="236"/>
        <v>1</v>
      </c>
      <c r="DN230"/>
    </row>
    <row r="231" spans="1:118" ht="15" customHeight="1" x14ac:dyDescent="0.3">
      <c r="A231" s="6269" t="s">
        <v>5089</v>
      </c>
      <c r="B231" s="7267"/>
      <c r="C231" s="7462" t="s">
        <v>915</v>
      </c>
      <c r="D231" s="7400"/>
      <c r="E231" s="954" t="s">
        <v>5292</v>
      </c>
      <c r="F231" s="955" t="s">
        <v>5293</v>
      </c>
      <c r="G231" s="956" t="s">
        <v>5294</v>
      </c>
      <c r="H231" s="964" t="s">
        <v>5295</v>
      </c>
      <c r="I231" s="965" t="s">
        <v>5296</v>
      </c>
      <c r="J231" s="966" t="s">
        <v>5297</v>
      </c>
      <c r="K231" s="965" t="s">
        <v>5298</v>
      </c>
      <c r="L231" s="966" t="s">
        <v>5299</v>
      </c>
      <c r="M231" s="965" t="s">
        <v>5300</v>
      </c>
      <c r="N231" s="966" t="s">
        <v>5301</v>
      </c>
      <c r="O231" s="965" t="s">
        <v>5302</v>
      </c>
      <c r="P231" s="966" t="s">
        <v>5303</v>
      </c>
      <c r="Q231" s="965" t="s">
        <v>5304</v>
      </c>
      <c r="R231" s="966" t="s">
        <v>5305</v>
      </c>
      <c r="S231" s="965" t="s">
        <v>5306</v>
      </c>
      <c r="T231" s="966" t="s">
        <v>5307</v>
      </c>
      <c r="U231" s="965" t="s">
        <v>5308</v>
      </c>
      <c r="V231" s="966" t="s">
        <v>5309</v>
      </c>
      <c r="W231" s="967" t="s">
        <v>5310</v>
      </c>
      <c r="X231" s="966" t="s">
        <v>5311</v>
      </c>
      <c r="Y231" s="967" t="s">
        <v>5312</v>
      </c>
      <c r="Z231" s="966" t="s">
        <v>5313</v>
      </c>
      <c r="AA231" s="967" t="s">
        <v>5314</v>
      </c>
      <c r="AB231" s="966" t="s">
        <v>5315</v>
      </c>
      <c r="AC231" s="967" t="s">
        <v>5316</v>
      </c>
      <c r="AD231" s="966" t="s">
        <v>5317</v>
      </c>
      <c r="AE231" s="967" t="s">
        <v>5318</v>
      </c>
      <c r="AF231" s="966" t="s">
        <v>5319</v>
      </c>
      <c r="AG231" s="967" t="s">
        <v>5320</v>
      </c>
      <c r="AH231" s="966" t="s">
        <v>5321</v>
      </c>
      <c r="AI231" s="967" t="s">
        <v>5322</v>
      </c>
      <c r="AJ231" s="966" t="s">
        <v>5323</v>
      </c>
      <c r="AK231" s="967" t="s">
        <v>5324</v>
      </c>
      <c r="AL231" s="966" t="s">
        <v>5325</v>
      </c>
      <c r="AM231" s="967" t="s">
        <v>5326</v>
      </c>
      <c r="AN231" s="966" t="s">
        <v>5327</v>
      </c>
      <c r="AO231" s="967" t="s">
        <v>5328</v>
      </c>
      <c r="AP231" s="968" t="s">
        <v>5329</v>
      </c>
      <c r="AQ231" s="969" t="s">
        <v>5330</v>
      </c>
      <c r="AR231" s="970" t="s">
        <v>5331</v>
      </c>
      <c r="AS231" s="971" t="s">
        <v>5332</v>
      </c>
      <c r="AT231" s="972" t="s">
        <v>5333</v>
      </c>
      <c r="AU231" s="966" t="s">
        <v>5334</v>
      </c>
      <c r="AV231" s="966" t="s">
        <v>5335</v>
      </c>
      <c r="AW231" s="973" t="s">
        <v>5336</v>
      </c>
      <c r="AX231" s="973" t="s">
        <v>5337</v>
      </c>
      <c r="AY231" s="965" t="s">
        <v>5338</v>
      </c>
      <c r="AZ231" t="e">
        <f t="shared" si="224"/>
        <v>#VALUE!</v>
      </c>
      <c r="CX231" s="1723" t="str">
        <f t="shared" si="225"/>
        <v xml:space="preserve"> * Las Embarazadas no pueden superar el Total Mujeres.</v>
      </c>
      <c r="CY231" s="1723" t="str">
        <f t="shared" si="226"/>
        <v xml:space="preserve"> * La variable Usuarios con discapacidad No puede ser mayor al Total.</v>
      </c>
      <c r="CZ231" s="1723" t="str">
        <f t="shared" si="227"/>
        <v xml:space="preserve"> * La variable Usuarios oncológicos No puede ser mayor al Total.</v>
      </c>
      <c r="DA231" s="1723" t="e">
        <f t="shared" si="228"/>
        <v>#VALUE!</v>
      </c>
      <c r="DB231" s="1723" t="str">
        <f t="shared" si="229"/>
        <v/>
      </c>
      <c r="DC231" s="1723" t="str">
        <f t="shared" si="230"/>
        <v>* Migrantes no puede ser mayor al Total</v>
      </c>
      <c r="DD231"/>
      <c r="DE231"/>
      <c r="DF231"/>
      <c r="DH231" s="1725">
        <f t="shared" si="231"/>
        <v>1</v>
      </c>
      <c r="DI231" s="1725">
        <f t="shared" si="232"/>
        <v>1</v>
      </c>
      <c r="DJ231" s="1725">
        <f t="shared" si="233"/>
        <v>1</v>
      </c>
      <c r="DK231" s="1725" t="e">
        <f t="shared" si="234"/>
        <v>#VALUE!</v>
      </c>
      <c r="DL231" s="1725">
        <f t="shared" si="235"/>
        <v>0</v>
      </c>
      <c r="DM231" s="1725">
        <f t="shared" si="236"/>
        <v>1</v>
      </c>
      <c r="DN231"/>
    </row>
    <row r="232" spans="1:118" ht="15" customHeight="1" x14ac:dyDescent="0.3">
      <c r="A232" s="6269" t="s">
        <v>5090</v>
      </c>
      <c r="B232" s="7363"/>
      <c r="C232" s="7463" t="s">
        <v>916</v>
      </c>
      <c r="D232" s="7463"/>
      <c r="E232" s="974" t="s">
        <v>5292</v>
      </c>
      <c r="F232" s="95" t="s">
        <v>5293</v>
      </c>
      <c r="G232" s="208" t="s">
        <v>5294</v>
      </c>
      <c r="H232" s="9044" t="s">
        <v>5295</v>
      </c>
      <c r="I232" s="9044" t="s">
        <v>5296</v>
      </c>
      <c r="J232" s="940" t="s">
        <v>5297</v>
      </c>
      <c r="K232" s="939" t="s">
        <v>5298</v>
      </c>
      <c r="L232" s="940" t="s">
        <v>5299</v>
      </c>
      <c r="M232" s="939" t="s">
        <v>5300</v>
      </c>
      <c r="N232" s="940" t="s">
        <v>5301</v>
      </c>
      <c r="O232" s="939" t="s">
        <v>5302</v>
      </c>
      <c r="P232" s="940" t="s">
        <v>5303</v>
      </c>
      <c r="Q232" s="939" t="s">
        <v>5304</v>
      </c>
      <c r="R232" s="940" t="s">
        <v>5305</v>
      </c>
      <c r="S232" s="939" t="s">
        <v>5306</v>
      </c>
      <c r="T232" s="940" t="s">
        <v>5307</v>
      </c>
      <c r="U232" s="939" t="s">
        <v>5308</v>
      </c>
      <c r="V232" s="940" t="s">
        <v>5309</v>
      </c>
      <c r="W232" s="941" t="s">
        <v>5310</v>
      </c>
      <c r="X232" s="940" t="s">
        <v>5311</v>
      </c>
      <c r="Y232" s="941" t="s">
        <v>5312</v>
      </c>
      <c r="Z232" s="940" t="s">
        <v>5313</v>
      </c>
      <c r="AA232" s="941" t="s">
        <v>5314</v>
      </c>
      <c r="AB232" s="940" t="s">
        <v>5315</v>
      </c>
      <c r="AC232" s="941" t="s">
        <v>5316</v>
      </c>
      <c r="AD232" s="940" t="s">
        <v>5317</v>
      </c>
      <c r="AE232" s="941" t="s">
        <v>5318</v>
      </c>
      <c r="AF232" s="940" t="s">
        <v>5319</v>
      </c>
      <c r="AG232" s="941" t="s">
        <v>5320</v>
      </c>
      <c r="AH232" s="940" t="s">
        <v>5321</v>
      </c>
      <c r="AI232" s="941" t="s">
        <v>5322</v>
      </c>
      <c r="AJ232" s="940" t="s">
        <v>5323</v>
      </c>
      <c r="AK232" s="941" t="s">
        <v>5324</v>
      </c>
      <c r="AL232" s="940" t="s">
        <v>5325</v>
      </c>
      <c r="AM232" s="941" t="s">
        <v>5326</v>
      </c>
      <c r="AN232" s="940" t="s">
        <v>5327</v>
      </c>
      <c r="AO232" s="941" t="s">
        <v>5328</v>
      </c>
      <c r="AP232" s="942" t="s">
        <v>5329</v>
      </c>
      <c r="AQ232" s="943" t="s">
        <v>5330</v>
      </c>
      <c r="AR232" s="975" t="s">
        <v>5331</v>
      </c>
      <c r="AS232" s="976" t="s">
        <v>5332</v>
      </c>
      <c r="AT232" s="977" t="s">
        <v>5333</v>
      </c>
      <c r="AU232" s="940" t="s">
        <v>5334</v>
      </c>
      <c r="AV232" s="940" t="s">
        <v>5335</v>
      </c>
      <c r="AW232" s="944" t="s">
        <v>5336</v>
      </c>
      <c r="AX232" s="944" t="s">
        <v>5337</v>
      </c>
      <c r="AY232" s="939" t="s">
        <v>5338</v>
      </c>
      <c r="AZ232" t="e">
        <f t="shared" si="224"/>
        <v>#VALUE!</v>
      </c>
      <c r="CX232" s="1723" t="str">
        <f t="shared" si="225"/>
        <v xml:space="preserve"> * Las Embarazadas no pueden superar el Total Mujeres.</v>
      </c>
      <c r="CY232" s="1723" t="str">
        <f t="shared" si="226"/>
        <v xml:space="preserve"> * La variable Usuarios con discapacidad No puede ser mayor al Total.</v>
      </c>
      <c r="CZ232" s="1723" t="str">
        <f t="shared" si="227"/>
        <v xml:space="preserve"> * La variable Usuarios oncológicos No puede ser mayor al Total.</v>
      </c>
      <c r="DA232" s="1723" t="e">
        <f t="shared" si="228"/>
        <v>#VALUE!</v>
      </c>
      <c r="DB232" s="1723" t="str">
        <f t="shared" si="229"/>
        <v/>
      </c>
      <c r="DC232" s="1723" t="str">
        <f t="shared" si="230"/>
        <v>* Migrantes no puede ser mayor al Total</v>
      </c>
      <c r="DD232"/>
      <c r="DE232"/>
      <c r="DF232"/>
      <c r="DH232" s="1725">
        <f t="shared" si="231"/>
        <v>1</v>
      </c>
      <c r="DI232" s="1725">
        <f t="shared" si="232"/>
        <v>1</v>
      </c>
      <c r="DJ232" s="1725">
        <f t="shared" si="233"/>
        <v>1</v>
      </c>
      <c r="DK232" s="1725" t="e">
        <f t="shared" si="234"/>
        <v>#VALUE!</v>
      </c>
      <c r="DL232" s="1725">
        <f t="shared" si="235"/>
        <v>0</v>
      </c>
      <c r="DM232" s="1725">
        <f t="shared" si="236"/>
        <v>1</v>
      </c>
      <c r="DN232"/>
    </row>
    <row r="233" spans="1:118" ht="15" customHeight="1" x14ac:dyDescent="0.3">
      <c r="A233" s="6269" t="s">
        <v>5091</v>
      </c>
      <c r="B233" s="7362" t="s">
        <v>749</v>
      </c>
      <c r="C233" s="7460" t="s">
        <v>911</v>
      </c>
      <c r="D233" s="7460"/>
      <c r="E233" s="905" t="s">
        <v>5292</v>
      </c>
      <c r="F233" s="213" t="s">
        <v>5293</v>
      </c>
      <c r="G233" s="978" t="s">
        <v>5294</v>
      </c>
      <c r="H233" s="927" t="s">
        <v>5295</v>
      </c>
      <c r="I233" s="928" t="s">
        <v>5296</v>
      </c>
      <c r="J233" s="929" t="s">
        <v>5297</v>
      </c>
      <c r="K233" s="928" t="s">
        <v>5298</v>
      </c>
      <c r="L233" s="929" t="s">
        <v>5299</v>
      </c>
      <c r="M233" s="928" t="s">
        <v>5300</v>
      </c>
      <c r="N233" s="929" t="s">
        <v>5301</v>
      </c>
      <c r="O233" s="928" t="s">
        <v>5302</v>
      </c>
      <c r="P233" s="929" t="s">
        <v>5303</v>
      </c>
      <c r="Q233" s="928" t="s">
        <v>5304</v>
      </c>
      <c r="R233" s="929" t="s">
        <v>5305</v>
      </c>
      <c r="S233" s="928" t="s">
        <v>5306</v>
      </c>
      <c r="T233" s="929" t="s">
        <v>5307</v>
      </c>
      <c r="U233" s="928" t="s">
        <v>5308</v>
      </c>
      <c r="V233" s="929" t="s">
        <v>5309</v>
      </c>
      <c r="W233" s="930" t="s">
        <v>5310</v>
      </c>
      <c r="X233" s="929" t="s">
        <v>5311</v>
      </c>
      <c r="Y233" s="930" t="s">
        <v>5312</v>
      </c>
      <c r="Z233" s="929" t="s">
        <v>5313</v>
      </c>
      <c r="AA233" s="930" t="s">
        <v>5314</v>
      </c>
      <c r="AB233" s="929" t="s">
        <v>5315</v>
      </c>
      <c r="AC233" s="930" t="s">
        <v>5316</v>
      </c>
      <c r="AD233" s="929" t="s">
        <v>5317</v>
      </c>
      <c r="AE233" s="930" t="s">
        <v>5318</v>
      </c>
      <c r="AF233" s="929" t="s">
        <v>5319</v>
      </c>
      <c r="AG233" s="930" t="s">
        <v>5320</v>
      </c>
      <c r="AH233" s="929" t="s">
        <v>5321</v>
      </c>
      <c r="AI233" s="930" t="s">
        <v>5322</v>
      </c>
      <c r="AJ233" s="929" t="s">
        <v>5323</v>
      </c>
      <c r="AK233" s="930" t="s">
        <v>5324</v>
      </c>
      <c r="AL233" s="929" t="s">
        <v>5325</v>
      </c>
      <c r="AM233" s="930" t="s">
        <v>5326</v>
      </c>
      <c r="AN233" s="929" t="s">
        <v>5327</v>
      </c>
      <c r="AO233" s="930" t="s">
        <v>5328</v>
      </c>
      <c r="AP233" s="951" t="s">
        <v>5329</v>
      </c>
      <c r="AQ233" s="952" t="s">
        <v>5330</v>
      </c>
      <c r="AR233" s="927" t="s">
        <v>5331</v>
      </c>
      <c r="AS233" s="948" t="s">
        <v>5332</v>
      </c>
      <c r="AT233" s="929" t="s">
        <v>5333</v>
      </c>
      <c r="AU233" s="949" t="s">
        <v>5334</v>
      </c>
      <c r="AV233" s="949" t="s">
        <v>5335</v>
      </c>
      <c r="AW233" s="953" t="s">
        <v>5336</v>
      </c>
      <c r="AX233" s="953" t="s">
        <v>5337</v>
      </c>
      <c r="AY233" s="948" t="s">
        <v>5338</v>
      </c>
      <c r="AZ233" t="e">
        <f t="shared" si="224"/>
        <v>#VALUE!</v>
      </c>
      <c r="CX233" s="1723" t="str">
        <f t="shared" si="225"/>
        <v xml:space="preserve"> * Las Embarazadas no pueden superar el Total Mujeres.</v>
      </c>
      <c r="CY233" s="1723" t="str">
        <f t="shared" si="226"/>
        <v xml:space="preserve"> * La variable Usuarios con discapacidad No puede ser mayor al Total.</v>
      </c>
      <c r="CZ233" s="1723" t="str">
        <f t="shared" si="227"/>
        <v xml:space="preserve"> * La variable Usuarios oncológicos No puede ser mayor al Total.</v>
      </c>
      <c r="DA233" s="1723" t="e">
        <f t="shared" si="228"/>
        <v>#VALUE!</v>
      </c>
      <c r="DB233" s="1723" t="str">
        <f t="shared" si="229"/>
        <v/>
      </c>
      <c r="DC233" s="1723" t="str">
        <f t="shared" si="230"/>
        <v>* Migrantes no puede ser mayor al Total</v>
      </c>
      <c r="DD233"/>
      <c r="DE233"/>
      <c r="DF233"/>
      <c r="DH233" s="1725">
        <f t="shared" si="231"/>
        <v>1</v>
      </c>
      <c r="DI233" s="1725">
        <f t="shared" si="232"/>
        <v>1</v>
      </c>
      <c r="DJ233" s="1725">
        <f t="shared" si="233"/>
        <v>1</v>
      </c>
      <c r="DK233" s="1725" t="e">
        <f t="shared" si="234"/>
        <v>#VALUE!</v>
      </c>
      <c r="DL233" s="1725">
        <f t="shared" si="235"/>
        <v>0</v>
      </c>
      <c r="DM233" s="1725">
        <f t="shared" si="236"/>
        <v>1</v>
      </c>
      <c r="DN233"/>
    </row>
    <row r="234" spans="1:118" ht="15" customHeight="1" x14ac:dyDescent="0.3">
      <c r="A234" s="6269" t="s">
        <v>5092</v>
      </c>
      <c r="B234" s="7267"/>
      <c r="C234" s="7461" t="s">
        <v>912</v>
      </c>
      <c r="D234" s="7461"/>
      <c r="E234" s="954" t="s">
        <v>5292</v>
      </c>
      <c r="F234" s="955" t="s">
        <v>5293</v>
      </c>
      <c r="G234" s="956" t="s">
        <v>5294</v>
      </c>
      <c r="H234" s="957" t="s">
        <v>5295</v>
      </c>
      <c r="I234" s="958" t="s">
        <v>5296</v>
      </c>
      <c r="J234" s="959" t="s">
        <v>5297</v>
      </c>
      <c r="K234" s="958" t="s">
        <v>5298</v>
      </c>
      <c r="L234" s="959" t="s">
        <v>5299</v>
      </c>
      <c r="M234" s="958" t="s">
        <v>5300</v>
      </c>
      <c r="N234" s="959" t="s">
        <v>5301</v>
      </c>
      <c r="O234" s="958" t="s">
        <v>5302</v>
      </c>
      <c r="P234" s="959" t="s">
        <v>5303</v>
      </c>
      <c r="Q234" s="958" t="s">
        <v>5304</v>
      </c>
      <c r="R234" s="959" t="s">
        <v>5305</v>
      </c>
      <c r="S234" s="958" t="s">
        <v>5306</v>
      </c>
      <c r="T234" s="959" t="s">
        <v>5307</v>
      </c>
      <c r="U234" s="958" t="s">
        <v>5308</v>
      </c>
      <c r="V234" s="959" t="s">
        <v>5309</v>
      </c>
      <c r="W234" s="960" t="s">
        <v>5310</v>
      </c>
      <c r="X234" s="959" t="s">
        <v>5311</v>
      </c>
      <c r="Y234" s="960" t="s">
        <v>5312</v>
      </c>
      <c r="Z234" s="959" t="s">
        <v>5313</v>
      </c>
      <c r="AA234" s="960" t="s">
        <v>5314</v>
      </c>
      <c r="AB234" s="959" t="s">
        <v>5315</v>
      </c>
      <c r="AC234" s="960" t="s">
        <v>5316</v>
      </c>
      <c r="AD234" s="959" t="s">
        <v>5317</v>
      </c>
      <c r="AE234" s="960" t="s">
        <v>5318</v>
      </c>
      <c r="AF234" s="959" t="s">
        <v>5319</v>
      </c>
      <c r="AG234" s="960" t="s">
        <v>5320</v>
      </c>
      <c r="AH234" s="959" t="s">
        <v>5321</v>
      </c>
      <c r="AI234" s="960" t="s">
        <v>5322</v>
      </c>
      <c r="AJ234" s="959" t="s">
        <v>5323</v>
      </c>
      <c r="AK234" s="960" t="s">
        <v>5324</v>
      </c>
      <c r="AL234" s="959" t="s">
        <v>5325</v>
      </c>
      <c r="AM234" s="960" t="s">
        <v>5326</v>
      </c>
      <c r="AN234" s="959" t="s">
        <v>5327</v>
      </c>
      <c r="AO234" s="960" t="s">
        <v>5328</v>
      </c>
      <c r="AP234" s="961" t="s">
        <v>5329</v>
      </c>
      <c r="AQ234" s="962" t="s">
        <v>5330</v>
      </c>
      <c r="AR234" s="933" t="s">
        <v>5331</v>
      </c>
      <c r="AS234" s="934" t="s">
        <v>5332</v>
      </c>
      <c r="AT234" s="949" t="s">
        <v>5333</v>
      </c>
      <c r="AU234" s="959" t="s">
        <v>5334</v>
      </c>
      <c r="AV234" s="959" t="s">
        <v>5335</v>
      </c>
      <c r="AW234" s="963" t="s">
        <v>5336</v>
      </c>
      <c r="AX234" s="963" t="s">
        <v>5337</v>
      </c>
      <c r="AY234" s="958" t="s">
        <v>5338</v>
      </c>
      <c r="AZ234" t="e">
        <f t="shared" si="224"/>
        <v>#VALUE!</v>
      </c>
      <c r="CX234" s="1723" t="str">
        <f t="shared" si="225"/>
        <v xml:space="preserve"> * Las Embarazadas no pueden superar el Total Mujeres.</v>
      </c>
      <c r="CY234" s="1723" t="str">
        <f t="shared" si="226"/>
        <v xml:space="preserve"> * La variable Usuarios con discapacidad No puede ser mayor al Total.</v>
      </c>
      <c r="CZ234" s="1723" t="str">
        <f t="shared" si="227"/>
        <v xml:space="preserve"> * La variable Usuarios oncológicos No puede ser mayor al Total.</v>
      </c>
      <c r="DA234" s="1723" t="e">
        <f t="shared" si="228"/>
        <v>#VALUE!</v>
      </c>
      <c r="DB234" s="1723" t="str">
        <f t="shared" si="229"/>
        <v/>
      </c>
      <c r="DC234" s="1723" t="str">
        <f t="shared" si="230"/>
        <v>* Migrantes no puede ser mayor al Total</v>
      </c>
      <c r="DD234"/>
      <c r="DE234"/>
      <c r="DF234"/>
      <c r="DH234" s="1725">
        <f t="shared" si="231"/>
        <v>1</v>
      </c>
      <c r="DI234" s="1725">
        <f t="shared" si="232"/>
        <v>1</v>
      </c>
      <c r="DJ234" s="1725">
        <f t="shared" si="233"/>
        <v>1</v>
      </c>
      <c r="DK234" s="1725" t="e">
        <f t="shared" si="234"/>
        <v>#VALUE!</v>
      </c>
      <c r="DL234" s="1725">
        <f t="shared" si="235"/>
        <v>0</v>
      </c>
      <c r="DM234" s="1725">
        <f t="shared" si="236"/>
        <v>1</v>
      </c>
      <c r="DN234"/>
    </row>
    <row r="235" spans="1:118" ht="15" customHeight="1" x14ac:dyDescent="0.3">
      <c r="A235" s="6269" t="s">
        <v>5093</v>
      </c>
      <c r="B235" s="7267"/>
      <c r="C235" s="7461" t="s">
        <v>913</v>
      </c>
      <c r="D235" s="7461"/>
      <c r="E235" s="954" t="s">
        <v>5292</v>
      </c>
      <c r="F235" s="955" t="s">
        <v>5293</v>
      </c>
      <c r="G235" s="956" t="s">
        <v>5294</v>
      </c>
      <c r="H235" s="957" t="s">
        <v>5295</v>
      </c>
      <c r="I235" s="958" t="s">
        <v>5296</v>
      </c>
      <c r="J235" s="959" t="s">
        <v>5297</v>
      </c>
      <c r="K235" s="958" t="s">
        <v>5298</v>
      </c>
      <c r="L235" s="959" t="s">
        <v>5299</v>
      </c>
      <c r="M235" s="958" t="s">
        <v>5300</v>
      </c>
      <c r="N235" s="959" t="s">
        <v>5301</v>
      </c>
      <c r="O235" s="958" t="s">
        <v>5302</v>
      </c>
      <c r="P235" s="959" t="s">
        <v>5303</v>
      </c>
      <c r="Q235" s="958" t="s">
        <v>5304</v>
      </c>
      <c r="R235" s="959" t="s">
        <v>5305</v>
      </c>
      <c r="S235" s="958" t="s">
        <v>5306</v>
      </c>
      <c r="T235" s="959" t="s">
        <v>5307</v>
      </c>
      <c r="U235" s="958" t="s">
        <v>5308</v>
      </c>
      <c r="V235" s="959" t="s">
        <v>5309</v>
      </c>
      <c r="W235" s="960" t="s">
        <v>5310</v>
      </c>
      <c r="X235" s="959" t="s">
        <v>5311</v>
      </c>
      <c r="Y235" s="960" t="s">
        <v>5312</v>
      </c>
      <c r="Z235" s="959" t="s">
        <v>5313</v>
      </c>
      <c r="AA235" s="960" t="s">
        <v>5314</v>
      </c>
      <c r="AB235" s="959" t="s">
        <v>5315</v>
      </c>
      <c r="AC235" s="960" t="s">
        <v>5316</v>
      </c>
      <c r="AD235" s="959" t="s">
        <v>5317</v>
      </c>
      <c r="AE235" s="960" t="s">
        <v>5318</v>
      </c>
      <c r="AF235" s="959" t="s">
        <v>5319</v>
      </c>
      <c r="AG235" s="960" t="s">
        <v>5320</v>
      </c>
      <c r="AH235" s="959" t="s">
        <v>5321</v>
      </c>
      <c r="AI235" s="960" t="s">
        <v>5322</v>
      </c>
      <c r="AJ235" s="959" t="s">
        <v>5323</v>
      </c>
      <c r="AK235" s="960" t="s">
        <v>5324</v>
      </c>
      <c r="AL235" s="959" t="s">
        <v>5325</v>
      </c>
      <c r="AM235" s="960" t="s">
        <v>5326</v>
      </c>
      <c r="AN235" s="959" t="s">
        <v>5327</v>
      </c>
      <c r="AO235" s="960" t="s">
        <v>5328</v>
      </c>
      <c r="AP235" s="961" t="s">
        <v>5329</v>
      </c>
      <c r="AQ235" s="962" t="s">
        <v>5330</v>
      </c>
      <c r="AR235" s="933" t="s">
        <v>5331</v>
      </c>
      <c r="AS235" s="934" t="s">
        <v>5332</v>
      </c>
      <c r="AT235" s="979" t="s">
        <v>5333</v>
      </c>
      <c r="AU235" s="959" t="s">
        <v>5334</v>
      </c>
      <c r="AV235" s="959" t="s">
        <v>5335</v>
      </c>
      <c r="AW235" s="963" t="s">
        <v>5336</v>
      </c>
      <c r="AX235" s="963" t="s">
        <v>5337</v>
      </c>
      <c r="AY235" s="958" t="s">
        <v>5338</v>
      </c>
      <c r="AZ235" t="e">
        <f t="shared" si="224"/>
        <v>#VALUE!</v>
      </c>
      <c r="CX235" s="1723" t="str">
        <f t="shared" si="225"/>
        <v xml:space="preserve"> * Las Embarazadas no pueden superar el Total Mujeres.</v>
      </c>
      <c r="CY235" s="1723" t="str">
        <f t="shared" si="226"/>
        <v xml:space="preserve"> * La variable Usuarios con discapacidad No puede ser mayor al Total.</v>
      </c>
      <c r="CZ235" s="1723" t="str">
        <f t="shared" si="227"/>
        <v xml:space="preserve"> * La variable Usuarios oncológicos No puede ser mayor al Total.</v>
      </c>
      <c r="DA235" s="1723" t="e">
        <f t="shared" si="228"/>
        <v>#VALUE!</v>
      </c>
      <c r="DB235" s="1723" t="str">
        <f t="shared" si="229"/>
        <v/>
      </c>
      <c r="DC235" s="1723" t="str">
        <f t="shared" si="230"/>
        <v>* Migrantes no puede ser mayor al Total</v>
      </c>
      <c r="DD235"/>
      <c r="DE235"/>
      <c r="DF235"/>
      <c r="DH235" s="1725">
        <f t="shared" si="231"/>
        <v>1</v>
      </c>
      <c r="DI235" s="1725">
        <f t="shared" si="232"/>
        <v>1</v>
      </c>
      <c r="DJ235" s="1725">
        <f t="shared" si="233"/>
        <v>1</v>
      </c>
      <c r="DK235" s="1725" t="e">
        <f t="shared" si="234"/>
        <v>#VALUE!</v>
      </c>
      <c r="DL235" s="1725">
        <f t="shared" si="235"/>
        <v>0</v>
      </c>
      <c r="DM235" s="1725">
        <f t="shared" si="236"/>
        <v>1</v>
      </c>
      <c r="DN235"/>
    </row>
    <row r="236" spans="1:118" ht="15" customHeight="1" x14ac:dyDescent="0.3">
      <c r="A236" s="6269" t="s">
        <v>5094</v>
      </c>
      <c r="B236" s="7267"/>
      <c r="C236" s="7462" t="s">
        <v>914</v>
      </c>
      <c r="D236" s="7400"/>
      <c r="E236" s="954" t="s">
        <v>5292</v>
      </c>
      <c r="F236" s="955" t="s">
        <v>5293</v>
      </c>
      <c r="G236" s="956" t="s">
        <v>5294</v>
      </c>
      <c r="H236" s="964" t="s">
        <v>5295</v>
      </c>
      <c r="I236" s="965" t="s">
        <v>5296</v>
      </c>
      <c r="J236" s="966" t="s">
        <v>5297</v>
      </c>
      <c r="K236" s="965" t="s">
        <v>5298</v>
      </c>
      <c r="L236" s="966" t="s">
        <v>5299</v>
      </c>
      <c r="M236" s="965" t="s">
        <v>5300</v>
      </c>
      <c r="N236" s="966" t="s">
        <v>5301</v>
      </c>
      <c r="O236" s="965" t="s">
        <v>5302</v>
      </c>
      <c r="P236" s="966" t="s">
        <v>5303</v>
      </c>
      <c r="Q236" s="965" t="s">
        <v>5304</v>
      </c>
      <c r="R236" s="966" t="s">
        <v>5305</v>
      </c>
      <c r="S236" s="965" t="s">
        <v>5306</v>
      </c>
      <c r="T236" s="966" t="s">
        <v>5307</v>
      </c>
      <c r="U236" s="965" t="s">
        <v>5308</v>
      </c>
      <c r="V236" s="966" t="s">
        <v>5309</v>
      </c>
      <c r="W236" s="967" t="s">
        <v>5310</v>
      </c>
      <c r="X236" s="966" t="s">
        <v>5311</v>
      </c>
      <c r="Y236" s="967" t="s">
        <v>5312</v>
      </c>
      <c r="Z236" s="966" t="s">
        <v>5313</v>
      </c>
      <c r="AA236" s="967" t="s">
        <v>5314</v>
      </c>
      <c r="AB236" s="966" t="s">
        <v>5315</v>
      </c>
      <c r="AC236" s="967" t="s">
        <v>5316</v>
      </c>
      <c r="AD236" s="966" t="s">
        <v>5317</v>
      </c>
      <c r="AE236" s="967" t="s">
        <v>5318</v>
      </c>
      <c r="AF236" s="966" t="s">
        <v>5319</v>
      </c>
      <c r="AG236" s="967" t="s">
        <v>5320</v>
      </c>
      <c r="AH236" s="966" t="s">
        <v>5321</v>
      </c>
      <c r="AI236" s="967" t="s">
        <v>5322</v>
      </c>
      <c r="AJ236" s="966" t="s">
        <v>5323</v>
      </c>
      <c r="AK236" s="967" t="s">
        <v>5324</v>
      </c>
      <c r="AL236" s="966" t="s">
        <v>5325</v>
      </c>
      <c r="AM236" s="967" t="s">
        <v>5326</v>
      </c>
      <c r="AN236" s="966" t="s">
        <v>5327</v>
      </c>
      <c r="AO236" s="967" t="s">
        <v>5328</v>
      </c>
      <c r="AP236" s="968" t="s">
        <v>5329</v>
      </c>
      <c r="AQ236" s="969" t="s">
        <v>5330</v>
      </c>
      <c r="AR236" s="933" t="s">
        <v>5331</v>
      </c>
      <c r="AS236" s="934" t="s">
        <v>5332</v>
      </c>
      <c r="AT236" s="979" t="s">
        <v>5333</v>
      </c>
      <c r="AU236" s="966" t="s">
        <v>5334</v>
      </c>
      <c r="AV236" s="966" t="s">
        <v>5335</v>
      </c>
      <c r="AW236" s="973" t="s">
        <v>5336</v>
      </c>
      <c r="AX236" s="973" t="s">
        <v>5337</v>
      </c>
      <c r="AY236" s="965" t="s">
        <v>5338</v>
      </c>
      <c r="AZ236" t="e">
        <f t="shared" si="224"/>
        <v>#VALUE!</v>
      </c>
      <c r="CX236" s="1723" t="str">
        <f t="shared" si="225"/>
        <v xml:space="preserve"> * Las Embarazadas no pueden superar el Total Mujeres.</v>
      </c>
      <c r="CY236" s="1723" t="str">
        <f t="shared" si="226"/>
        <v xml:space="preserve"> * La variable Usuarios con discapacidad No puede ser mayor al Total.</v>
      </c>
      <c r="CZ236" s="1723" t="str">
        <f t="shared" si="227"/>
        <v xml:space="preserve"> * La variable Usuarios oncológicos No puede ser mayor al Total.</v>
      </c>
      <c r="DA236" s="1723" t="e">
        <f t="shared" si="228"/>
        <v>#VALUE!</v>
      </c>
      <c r="DB236" s="1723" t="str">
        <f t="shared" si="229"/>
        <v/>
      </c>
      <c r="DC236" s="1723" t="str">
        <f t="shared" si="230"/>
        <v>* Migrantes no puede ser mayor al Total</v>
      </c>
      <c r="DD236"/>
      <c r="DE236"/>
      <c r="DF236"/>
      <c r="DH236" s="1725">
        <f t="shared" si="231"/>
        <v>1</v>
      </c>
      <c r="DI236" s="1725">
        <f t="shared" si="232"/>
        <v>1</v>
      </c>
      <c r="DJ236" s="1725">
        <f t="shared" si="233"/>
        <v>1</v>
      </c>
      <c r="DK236" s="1725" t="e">
        <f t="shared" si="234"/>
        <v>#VALUE!</v>
      </c>
      <c r="DL236" s="1725">
        <f t="shared" si="235"/>
        <v>0</v>
      </c>
      <c r="DM236" s="1725">
        <f t="shared" si="236"/>
        <v>1</v>
      </c>
      <c r="DN236"/>
    </row>
    <row r="237" spans="1:118" ht="15" customHeight="1" x14ac:dyDescent="0.3">
      <c r="A237" s="6269" t="s">
        <v>5095</v>
      </c>
      <c r="B237" s="7267"/>
      <c r="C237" s="7462" t="s">
        <v>915</v>
      </c>
      <c r="D237" s="7400"/>
      <c r="E237" s="954" t="s">
        <v>5292</v>
      </c>
      <c r="F237" s="955" t="s">
        <v>5293</v>
      </c>
      <c r="G237" s="956" t="s">
        <v>5294</v>
      </c>
      <c r="H237" s="964" t="s">
        <v>5295</v>
      </c>
      <c r="I237" s="965" t="s">
        <v>5296</v>
      </c>
      <c r="J237" s="966" t="s">
        <v>5297</v>
      </c>
      <c r="K237" s="965" t="s">
        <v>5298</v>
      </c>
      <c r="L237" s="966" t="s">
        <v>5299</v>
      </c>
      <c r="M237" s="965" t="s">
        <v>5300</v>
      </c>
      <c r="N237" s="966" t="s">
        <v>5301</v>
      </c>
      <c r="O237" s="965" t="s">
        <v>5302</v>
      </c>
      <c r="P237" s="966" t="s">
        <v>5303</v>
      </c>
      <c r="Q237" s="965" t="s">
        <v>5304</v>
      </c>
      <c r="R237" s="966" t="s">
        <v>5305</v>
      </c>
      <c r="S237" s="965" t="s">
        <v>5306</v>
      </c>
      <c r="T237" s="966" t="s">
        <v>5307</v>
      </c>
      <c r="U237" s="965" t="s">
        <v>5308</v>
      </c>
      <c r="V237" s="966" t="s">
        <v>5309</v>
      </c>
      <c r="W237" s="967" t="s">
        <v>5310</v>
      </c>
      <c r="X237" s="966" t="s">
        <v>5311</v>
      </c>
      <c r="Y237" s="967" t="s">
        <v>5312</v>
      </c>
      <c r="Z237" s="966" t="s">
        <v>5313</v>
      </c>
      <c r="AA237" s="967" t="s">
        <v>5314</v>
      </c>
      <c r="AB237" s="966" t="s">
        <v>5315</v>
      </c>
      <c r="AC237" s="967" t="s">
        <v>5316</v>
      </c>
      <c r="AD237" s="966" t="s">
        <v>5317</v>
      </c>
      <c r="AE237" s="967" t="s">
        <v>5318</v>
      </c>
      <c r="AF237" s="966" t="s">
        <v>5319</v>
      </c>
      <c r="AG237" s="967" t="s">
        <v>5320</v>
      </c>
      <c r="AH237" s="966" t="s">
        <v>5321</v>
      </c>
      <c r="AI237" s="967" t="s">
        <v>5322</v>
      </c>
      <c r="AJ237" s="966" t="s">
        <v>5323</v>
      </c>
      <c r="AK237" s="967" t="s">
        <v>5324</v>
      </c>
      <c r="AL237" s="966" t="s">
        <v>5325</v>
      </c>
      <c r="AM237" s="967" t="s">
        <v>5326</v>
      </c>
      <c r="AN237" s="966" t="s">
        <v>5327</v>
      </c>
      <c r="AO237" s="967" t="s">
        <v>5328</v>
      </c>
      <c r="AP237" s="968" t="s">
        <v>5329</v>
      </c>
      <c r="AQ237" s="969" t="s">
        <v>5330</v>
      </c>
      <c r="AR237" s="970" t="s">
        <v>5331</v>
      </c>
      <c r="AS237" s="971" t="s">
        <v>5332</v>
      </c>
      <c r="AT237" s="972" t="s">
        <v>5333</v>
      </c>
      <c r="AU237" s="966" t="s">
        <v>5334</v>
      </c>
      <c r="AV237" s="966" t="s">
        <v>5335</v>
      </c>
      <c r="AW237" s="973" t="s">
        <v>5336</v>
      </c>
      <c r="AX237" s="973" t="s">
        <v>5337</v>
      </c>
      <c r="AY237" s="965" t="s">
        <v>5338</v>
      </c>
      <c r="AZ237" t="e">
        <f t="shared" si="224"/>
        <v>#VALUE!</v>
      </c>
      <c r="CX237" s="1723" t="str">
        <f t="shared" si="225"/>
        <v xml:space="preserve"> * Las Embarazadas no pueden superar el Total Mujeres.</v>
      </c>
      <c r="CY237" s="1723" t="str">
        <f t="shared" si="226"/>
        <v xml:space="preserve"> * La variable Usuarios con discapacidad No puede ser mayor al Total.</v>
      </c>
      <c r="CZ237" s="1723" t="str">
        <f t="shared" si="227"/>
        <v xml:space="preserve"> * La variable Usuarios oncológicos No puede ser mayor al Total.</v>
      </c>
      <c r="DA237" s="1723" t="e">
        <f t="shared" si="228"/>
        <v>#VALUE!</v>
      </c>
      <c r="DB237" s="1723" t="str">
        <f t="shared" si="229"/>
        <v/>
      </c>
      <c r="DC237" s="1723" t="str">
        <f t="shared" si="230"/>
        <v>* Migrantes no puede ser mayor al Total</v>
      </c>
      <c r="DD237"/>
      <c r="DE237"/>
      <c r="DF237"/>
      <c r="DH237" s="1725">
        <f t="shared" si="231"/>
        <v>1</v>
      </c>
      <c r="DI237" s="1725">
        <f t="shared" si="232"/>
        <v>1</v>
      </c>
      <c r="DJ237" s="1725">
        <f t="shared" si="233"/>
        <v>1</v>
      </c>
      <c r="DK237" s="1725" t="e">
        <f t="shared" si="234"/>
        <v>#VALUE!</v>
      </c>
      <c r="DL237" s="1725">
        <f t="shared" si="235"/>
        <v>0</v>
      </c>
      <c r="DM237" s="1725">
        <f t="shared" si="236"/>
        <v>1</v>
      </c>
      <c r="DN237"/>
    </row>
    <row r="238" spans="1:118" ht="15" customHeight="1" x14ac:dyDescent="0.3">
      <c r="A238" s="6269" t="s">
        <v>5096</v>
      </c>
      <c r="B238" s="7363"/>
      <c r="C238" s="7463" t="s">
        <v>916</v>
      </c>
      <c r="D238" s="7463"/>
      <c r="E238" s="974" t="s">
        <v>5292</v>
      </c>
      <c r="F238" s="95" t="s">
        <v>5293</v>
      </c>
      <c r="G238" s="208" t="s">
        <v>5294</v>
      </c>
      <c r="H238" s="9044" t="s">
        <v>5295</v>
      </c>
      <c r="I238" s="9044" t="s">
        <v>5296</v>
      </c>
      <c r="J238" s="940" t="s">
        <v>5297</v>
      </c>
      <c r="K238" s="939" t="s">
        <v>5298</v>
      </c>
      <c r="L238" s="940" t="s">
        <v>5299</v>
      </c>
      <c r="M238" s="939" t="s">
        <v>5300</v>
      </c>
      <c r="N238" s="940" t="s">
        <v>5301</v>
      </c>
      <c r="O238" s="939" t="s">
        <v>5302</v>
      </c>
      <c r="P238" s="940" t="s">
        <v>5303</v>
      </c>
      <c r="Q238" s="939" t="s">
        <v>5304</v>
      </c>
      <c r="R238" s="940" t="s">
        <v>5305</v>
      </c>
      <c r="S238" s="939" t="s">
        <v>5306</v>
      </c>
      <c r="T238" s="940" t="s">
        <v>5307</v>
      </c>
      <c r="U238" s="939" t="s">
        <v>5308</v>
      </c>
      <c r="V238" s="940" t="s">
        <v>5309</v>
      </c>
      <c r="W238" s="941" t="s">
        <v>5310</v>
      </c>
      <c r="X238" s="940" t="s">
        <v>5311</v>
      </c>
      <c r="Y238" s="941" t="s">
        <v>5312</v>
      </c>
      <c r="Z238" s="940" t="s">
        <v>5313</v>
      </c>
      <c r="AA238" s="941" t="s">
        <v>5314</v>
      </c>
      <c r="AB238" s="940" t="s">
        <v>5315</v>
      </c>
      <c r="AC238" s="941" t="s">
        <v>5316</v>
      </c>
      <c r="AD238" s="940" t="s">
        <v>5317</v>
      </c>
      <c r="AE238" s="941" t="s">
        <v>5318</v>
      </c>
      <c r="AF238" s="940" t="s">
        <v>5319</v>
      </c>
      <c r="AG238" s="941" t="s">
        <v>5320</v>
      </c>
      <c r="AH238" s="940" t="s">
        <v>5321</v>
      </c>
      <c r="AI238" s="941" t="s">
        <v>5322</v>
      </c>
      <c r="AJ238" s="940" t="s">
        <v>5323</v>
      </c>
      <c r="AK238" s="941" t="s">
        <v>5324</v>
      </c>
      <c r="AL238" s="940" t="s">
        <v>5325</v>
      </c>
      <c r="AM238" s="941" t="s">
        <v>5326</v>
      </c>
      <c r="AN238" s="940" t="s">
        <v>5327</v>
      </c>
      <c r="AO238" s="941" t="s">
        <v>5328</v>
      </c>
      <c r="AP238" s="942" t="s">
        <v>5329</v>
      </c>
      <c r="AQ238" s="943" t="s">
        <v>5330</v>
      </c>
      <c r="AR238" s="975" t="s">
        <v>5331</v>
      </c>
      <c r="AS238" s="976" t="s">
        <v>5332</v>
      </c>
      <c r="AT238" s="977" t="s">
        <v>5333</v>
      </c>
      <c r="AU238" s="940" t="s">
        <v>5334</v>
      </c>
      <c r="AV238" s="940" t="s">
        <v>5335</v>
      </c>
      <c r="AW238" s="944" t="s">
        <v>5336</v>
      </c>
      <c r="AX238" s="944" t="s">
        <v>5337</v>
      </c>
      <c r="AY238" s="939" t="s">
        <v>5338</v>
      </c>
      <c r="AZ238" t="e">
        <f t="shared" si="224"/>
        <v>#VALUE!</v>
      </c>
      <c r="CX238" s="1723" t="str">
        <f t="shared" si="225"/>
        <v xml:space="preserve"> * Las Embarazadas no pueden superar el Total Mujeres.</v>
      </c>
      <c r="CY238" s="1723" t="str">
        <f t="shared" si="226"/>
        <v xml:space="preserve"> * La variable Usuarios con discapacidad No puede ser mayor al Total.</v>
      </c>
      <c r="CZ238" s="1723" t="str">
        <f t="shared" si="227"/>
        <v xml:space="preserve"> * La variable Usuarios oncológicos No puede ser mayor al Total.</v>
      </c>
      <c r="DA238" s="1723" t="e">
        <f t="shared" si="228"/>
        <v>#VALUE!</v>
      </c>
      <c r="DB238" s="1723" t="str">
        <f t="shared" si="229"/>
        <v/>
      </c>
      <c r="DC238" s="1723" t="str">
        <f t="shared" si="230"/>
        <v>* Migrantes no puede ser mayor al Total</v>
      </c>
      <c r="DD238"/>
      <c r="DE238"/>
      <c r="DF238"/>
      <c r="DH238" s="1725">
        <f t="shared" si="231"/>
        <v>1</v>
      </c>
      <c r="DI238" s="1725">
        <f t="shared" si="232"/>
        <v>1</v>
      </c>
      <c r="DJ238" s="1725">
        <f t="shared" si="233"/>
        <v>1</v>
      </c>
      <c r="DK238" s="1725" t="e">
        <f t="shared" si="234"/>
        <v>#VALUE!</v>
      </c>
      <c r="DL238" s="1725">
        <f t="shared" si="235"/>
        <v>0</v>
      </c>
      <c r="DM238" s="1725">
        <f t="shared" si="236"/>
        <v>1</v>
      </c>
      <c r="DN238"/>
    </row>
    <row r="239" spans="1:118" ht="15" customHeight="1" x14ac:dyDescent="0.3">
      <c r="A239" s="6269" t="s">
        <v>5097</v>
      </c>
      <c r="B239" s="7362" t="s">
        <v>754</v>
      </c>
      <c r="C239" s="7460" t="s">
        <v>911</v>
      </c>
      <c r="D239" s="7460"/>
      <c r="E239" s="905" t="s">
        <v>5292</v>
      </c>
      <c r="F239" s="213" t="s">
        <v>5293</v>
      </c>
      <c r="G239" s="978" t="s">
        <v>5294</v>
      </c>
      <c r="H239" s="927" t="s">
        <v>5295</v>
      </c>
      <c r="I239" s="928" t="s">
        <v>5296</v>
      </c>
      <c r="J239" s="929" t="s">
        <v>5297</v>
      </c>
      <c r="K239" s="928" t="s">
        <v>5298</v>
      </c>
      <c r="L239" s="929" t="s">
        <v>5299</v>
      </c>
      <c r="M239" s="928" t="s">
        <v>5300</v>
      </c>
      <c r="N239" s="929" t="s">
        <v>5301</v>
      </c>
      <c r="O239" s="928" t="s">
        <v>5302</v>
      </c>
      <c r="P239" s="929" t="s">
        <v>5303</v>
      </c>
      <c r="Q239" s="928" t="s">
        <v>5304</v>
      </c>
      <c r="R239" s="929" t="s">
        <v>5305</v>
      </c>
      <c r="S239" s="928" t="s">
        <v>5306</v>
      </c>
      <c r="T239" s="929" t="s">
        <v>5307</v>
      </c>
      <c r="U239" s="928" t="s">
        <v>5308</v>
      </c>
      <c r="V239" s="929" t="s">
        <v>5309</v>
      </c>
      <c r="W239" s="928" t="s">
        <v>5310</v>
      </c>
      <c r="X239" s="929" t="s">
        <v>5311</v>
      </c>
      <c r="Y239" s="928" t="s">
        <v>5312</v>
      </c>
      <c r="Z239" s="929" t="s">
        <v>5313</v>
      </c>
      <c r="AA239" s="928" t="s">
        <v>5314</v>
      </c>
      <c r="AB239" s="929" t="s">
        <v>5315</v>
      </c>
      <c r="AC239" s="928" t="s">
        <v>5316</v>
      </c>
      <c r="AD239" s="929" t="s">
        <v>5317</v>
      </c>
      <c r="AE239" s="928" t="s">
        <v>5318</v>
      </c>
      <c r="AF239" s="929" t="s">
        <v>5319</v>
      </c>
      <c r="AG239" s="928" t="s">
        <v>5320</v>
      </c>
      <c r="AH239" s="929" t="s">
        <v>5321</v>
      </c>
      <c r="AI239" s="928" t="s">
        <v>5322</v>
      </c>
      <c r="AJ239" s="929" t="s">
        <v>5323</v>
      </c>
      <c r="AK239" s="928" t="s">
        <v>5324</v>
      </c>
      <c r="AL239" s="929" t="s">
        <v>5325</v>
      </c>
      <c r="AM239" s="928" t="s">
        <v>5326</v>
      </c>
      <c r="AN239" s="929" t="s">
        <v>5327</v>
      </c>
      <c r="AO239" s="928" t="s">
        <v>5328</v>
      </c>
      <c r="AP239" s="931" t="s">
        <v>5329</v>
      </c>
      <c r="AQ239" s="980" t="s">
        <v>5330</v>
      </c>
      <c r="AR239" s="927" t="s">
        <v>5331</v>
      </c>
      <c r="AS239" s="948" t="s">
        <v>5332</v>
      </c>
      <c r="AT239" s="929" t="s">
        <v>5333</v>
      </c>
      <c r="AU239" s="949" t="s">
        <v>5334</v>
      </c>
      <c r="AV239" s="949" t="s">
        <v>5335</v>
      </c>
      <c r="AW239" s="953" t="s">
        <v>5336</v>
      </c>
      <c r="AX239" s="953" t="s">
        <v>5337</v>
      </c>
      <c r="AY239" s="948" t="s">
        <v>5338</v>
      </c>
      <c r="AZ239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39" s="1723" t="str">
        <f t="shared" si="225"/>
        <v xml:space="preserve"> * Las Embarazadas no pueden superar el Total Mujeres.</v>
      </c>
      <c r="CY239" s="1723" t="str">
        <f t="shared" si="226"/>
        <v xml:space="preserve"> * La variable Usuarios con discapacidad No puede ser mayor al Total.</v>
      </c>
      <c r="CZ239" s="1723" t="str">
        <f t="shared" si="227"/>
        <v xml:space="preserve"> * La variable Usuarios oncológicos No puede ser mayor al Total.</v>
      </c>
      <c r="DA239" s="2783"/>
      <c r="DB239" s="1723" t="str">
        <f t="shared" si="229"/>
        <v/>
      </c>
      <c r="DC239" s="1723" t="str">
        <f t="shared" si="230"/>
        <v>* Migrantes no puede ser mayor al Total</v>
      </c>
      <c r="DD239"/>
      <c r="DE239"/>
      <c r="DF239"/>
      <c r="DH239" s="1725">
        <f t="shared" si="231"/>
        <v>1</v>
      </c>
      <c r="DI239" s="1725">
        <f t="shared" si="232"/>
        <v>1</v>
      </c>
      <c r="DJ239" s="1725">
        <f t="shared" si="233"/>
        <v>1</v>
      </c>
      <c r="DK239" s="2783"/>
      <c r="DL239" s="1725">
        <f t="shared" si="235"/>
        <v>0</v>
      </c>
      <c r="DM239" s="1725">
        <f t="shared" si="236"/>
        <v>1</v>
      </c>
      <c r="DN239"/>
    </row>
    <row r="240" spans="1:118" ht="15" customHeight="1" x14ac:dyDescent="0.3">
      <c r="A240" s="6269" t="s">
        <v>5098</v>
      </c>
      <c r="B240" s="7267"/>
      <c r="C240" s="7461" t="s">
        <v>912</v>
      </c>
      <c r="D240" s="7461"/>
      <c r="E240" s="954" t="s">
        <v>5292</v>
      </c>
      <c r="F240" s="955" t="s">
        <v>5293</v>
      </c>
      <c r="G240" s="956" t="s">
        <v>5294</v>
      </c>
      <c r="H240" s="957" t="s">
        <v>5295</v>
      </c>
      <c r="I240" s="958" t="s">
        <v>5296</v>
      </c>
      <c r="J240" s="959" t="s">
        <v>5297</v>
      </c>
      <c r="K240" s="958" t="s">
        <v>5298</v>
      </c>
      <c r="L240" s="959" t="s">
        <v>5299</v>
      </c>
      <c r="M240" s="958" t="s">
        <v>5300</v>
      </c>
      <c r="N240" s="959" t="s">
        <v>5301</v>
      </c>
      <c r="O240" s="958" t="s">
        <v>5302</v>
      </c>
      <c r="P240" s="959" t="s">
        <v>5303</v>
      </c>
      <c r="Q240" s="958" t="s">
        <v>5304</v>
      </c>
      <c r="R240" s="959" t="s">
        <v>5305</v>
      </c>
      <c r="S240" s="958" t="s">
        <v>5306</v>
      </c>
      <c r="T240" s="959" t="s">
        <v>5307</v>
      </c>
      <c r="U240" s="958" t="s">
        <v>5308</v>
      </c>
      <c r="V240" s="959" t="s">
        <v>5309</v>
      </c>
      <c r="W240" s="958" t="s">
        <v>5310</v>
      </c>
      <c r="X240" s="959" t="s">
        <v>5311</v>
      </c>
      <c r="Y240" s="958" t="s">
        <v>5312</v>
      </c>
      <c r="Z240" s="959" t="s">
        <v>5313</v>
      </c>
      <c r="AA240" s="958" t="s">
        <v>5314</v>
      </c>
      <c r="AB240" s="959" t="s">
        <v>5315</v>
      </c>
      <c r="AC240" s="958" t="s">
        <v>5316</v>
      </c>
      <c r="AD240" s="959" t="s">
        <v>5317</v>
      </c>
      <c r="AE240" s="958" t="s">
        <v>5318</v>
      </c>
      <c r="AF240" s="959" t="s">
        <v>5319</v>
      </c>
      <c r="AG240" s="958" t="s">
        <v>5320</v>
      </c>
      <c r="AH240" s="959" t="s">
        <v>5321</v>
      </c>
      <c r="AI240" s="958" t="s">
        <v>5322</v>
      </c>
      <c r="AJ240" s="959" t="s">
        <v>5323</v>
      </c>
      <c r="AK240" s="958" t="s">
        <v>5324</v>
      </c>
      <c r="AL240" s="959" t="s">
        <v>5325</v>
      </c>
      <c r="AM240" s="958" t="s">
        <v>5326</v>
      </c>
      <c r="AN240" s="959" t="s">
        <v>5327</v>
      </c>
      <c r="AO240" s="958" t="s">
        <v>5328</v>
      </c>
      <c r="AP240" s="961" t="s">
        <v>5329</v>
      </c>
      <c r="AQ240" s="981" t="s">
        <v>5330</v>
      </c>
      <c r="AR240" s="933" t="s">
        <v>5331</v>
      </c>
      <c r="AS240" s="934" t="s">
        <v>5332</v>
      </c>
      <c r="AT240" s="949" t="s">
        <v>5333</v>
      </c>
      <c r="AU240" s="959" t="s">
        <v>5334</v>
      </c>
      <c r="AV240" s="959" t="s">
        <v>5335</v>
      </c>
      <c r="AW240" s="963" t="s">
        <v>5336</v>
      </c>
      <c r="AX240" s="963" t="s">
        <v>5337</v>
      </c>
      <c r="AY240" s="958" t="s">
        <v>5338</v>
      </c>
      <c r="AZ240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40" s="1723" t="str">
        <f t="shared" si="225"/>
        <v xml:space="preserve"> * Las Embarazadas no pueden superar el Total Mujeres.</v>
      </c>
      <c r="CY240" s="1723" t="str">
        <f t="shared" si="226"/>
        <v xml:space="preserve"> * La variable Usuarios con discapacidad No puede ser mayor al Total.</v>
      </c>
      <c r="CZ240" s="1723" t="str">
        <f t="shared" si="227"/>
        <v xml:space="preserve"> * La variable Usuarios oncológicos No puede ser mayor al Total.</v>
      </c>
      <c r="DA240" s="2783"/>
      <c r="DB240" s="1723" t="str">
        <f t="shared" si="229"/>
        <v/>
      </c>
      <c r="DC240" s="1723" t="str">
        <f t="shared" si="230"/>
        <v>* Migrantes no puede ser mayor al Total</v>
      </c>
      <c r="DD240"/>
      <c r="DE240"/>
      <c r="DF240"/>
      <c r="DH240" s="1725">
        <f t="shared" si="231"/>
        <v>1</v>
      </c>
      <c r="DI240" s="1725">
        <f t="shared" si="232"/>
        <v>1</v>
      </c>
      <c r="DJ240" s="1725">
        <f t="shared" si="233"/>
        <v>1</v>
      </c>
      <c r="DK240" s="2783"/>
      <c r="DL240" s="1725">
        <f t="shared" si="235"/>
        <v>0</v>
      </c>
      <c r="DM240" s="1725">
        <f t="shared" si="236"/>
        <v>1</v>
      </c>
      <c r="DN240"/>
    </row>
    <row r="241" spans="1:118" ht="15" customHeight="1" x14ac:dyDescent="0.3">
      <c r="A241" s="6269" t="s">
        <v>5099</v>
      </c>
      <c r="B241" s="7267"/>
      <c r="C241" s="7461" t="s">
        <v>913</v>
      </c>
      <c r="D241" s="7461"/>
      <c r="E241" s="954" t="s">
        <v>5292</v>
      </c>
      <c r="F241" s="955" t="s">
        <v>5293</v>
      </c>
      <c r="G241" s="956" t="s">
        <v>5294</v>
      </c>
      <c r="H241" s="957" t="s">
        <v>5295</v>
      </c>
      <c r="I241" s="958" t="s">
        <v>5296</v>
      </c>
      <c r="J241" s="959" t="s">
        <v>5297</v>
      </c>
      <c r="K241" s="958" t="s">
        <v>5298</v>
      </c>
      <c r="L241" s="959" t="s">
        <v>5299</v>
      </c>
      <c r="M241" s="958" t="s">
        <v>5300</v>
      </c>
      <c r="N241" s="959" t="s">
        <v>5301</v>
      </c>
      <c r="O241" s="958" t="s">
        <v>5302</v>
      </c>
      <c r="P241" s="959" t="s">
        <v>5303</v>
      </c>
      <c r="Q241" s="958" t="s">
        <v>5304</v>
      </c>
      <c r="R241" s="959" t="s">
        <v>5305</v>
      </c>
      <c r="S241" s="958" t="s">
        <v>5306</v>
      </c>
      <c r="T241" s="959" t="s">
        <v>5307</v>
      </c>
      <c r="U241" s="958" t="s">
        <v>5308</v>
      </c>
      <c r="V241" s="959" t="s">
        <v>5309</v>
      </c>
      <c r="W241" s="958" t="s">
        <v>5310</v>
      </c>
      <c r="X241" s="959" t="s">
        <v>5311</v>
      </c>
      <c r="Y241" s="958" t="s">
        <v>5312</v>
      </c>
      <c r="Z241" s="959" t="s">
        <v>5313</v>
      </c>
      <c r="AA241" s="958" t="s">
        <v>5314</v>
      </c>
      <c r="AB241" s="959" t="s">
        <v>5315</v>
      </c>
      <c r="AC241" s="958" t="s">
        <v>5316</v>
      </c>
      <c r="AD241" s="959" t="s">
        <v>5317</v>
      </c>
      <c r="AE241" s="958" t="s">
        <v>5318</v>
      </c>
      <c r="AF241" s="959" t="s">
        <v>5319</v>
      </c>
      <c r="AG241" s="958" t="s">
        <v>5320</v>
      </c>
      <c r="AH241" s="959" t="s">
        <v>5321</v>
      </c>
      <c r="AI241" s="958" t="s">
        <v>5322</v>
      </c>
      <c r="AJ241" s="959" t="s">
        <v>5323</v>
      </c>
      <c r="AK241" s="958" t="s">
        <v>5324</v>
      </c>
      <c r="AL241" s="959" t="s">
        <v>5325</v>
      </c>
      <c r="AM241" s="958" t="s">
        <v>5326</v>
      </c>
      <c r="AN241" s="959" t="s">
        <v>5327</v>
      </c>
      <c r="AO241" s="958" t="s">
        <v>5328</v>
      </c>
      <c r="AP241" s="961" t="s">
        <v>5329</v>
      </c>
      <c r="AQ241" s="981" t="s">
        <v>5330</v>
      </c>
      <c r="AR241" s="933" t="s">
        <v>5331</v>
      </c>
      <c r="AS241" s="934" t="s">
        <v>5332</v>
      </c>
      <c r="AT241" s="979" t="s">
        <v>5333</v>
      </c>
      <c r="AU241" s="959" t="s">
        <v>5334</v>
      </c>
      <c r="AV241" s="959" t="s">
        <v>5335</v>
      </c>
      <c r="AW241" s="963" t="s">
        <v>5336</v>
      </c>
      <c r="AX241" s="963" t="s">
        <v>5337</v>
      </c>
      <c r="AY241" s="958" t="s">
        <v>5338</v>
      </c>
      <c r="AZ241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41" s="1723" t="str">
        <f t="shared" si="225"/>
        <v xml:space="preserve"> * Las Embarazadas no pueden superar el Total Mujeres.</v>
      </c>
      <c r="CY241" s="1723" t="str">
        <f t="shared" si="226"/>
        <v xml:space="preserve"> * La variable Usuarios con discapacidad No puede ser mayor al Total.</v>
      </c>
      <c r="CZ241" s="1723" t="str">
        <f t="shared" si="227"/>
        <v xml:space="preserve"> * La variable Usuarios oncológicos No puede ser mayor al Total.</v>
      </c>
      <c r="DA241" s="2783"/>
      <c r="DB241" s="1723" t="str">
        <f t="shared" si="229"/>
        <v/>
      </c>
      <c r="DC241" s="1723" t="str">
        <f t="shared" si="230"/>
        <v>* Migrantes no puede ser mayor al Total</v>
      </c>
      <c r="DD241"/>
      <c r="DE241"/>
      <c r="DF241"/>
      <c r="DH241" s="1725">
        <f t="shared" si="231"/>
        <v>1</v>
      </c>
      <c r="DI241" s="1725">
        <f t="shared" si="232"/>
        <v>1</v>
      </c>
      <c r="DJ241" s="1725">
        <f t="shared" si="233"/>
        <v>1</v>
      </c>
      <c r="DK241" s="2783"/>
      <c r="DL241" s="1725">
        <f t="shared" si="235"/>
        <v>0</v>
      </c>
      <c r="DM241" s="1725">
        <f t="shared" si="236"/>
        <v>1</v>
      </c>
      <c r="DN241"/>
    </row>
    <row r="242" spans="1:118" ht="15" customHeight="1" x14ac:dyDescent="0.3">
      <c r="A242" s="6269" t="s">
        <v>5100</v>
      </c>
      <c r="B242" s="7267"/>
      <c r="C242" s="7462" t="s">
        <v>914</v>
      </c>
      <c r="D242" s="7400"/>
      <c r="E242" s="954" t="s">
        <v>5292</v>
      </c>
      <c r="F242" s="955" t="s">
        <v>5293</v>
      </c>
      <c r="G242" s="956" t="s">
        <v>5294</v>
      </c>
      <c r="H242" s="964" t="s">
        <v>5295</v>
      </c>
      <c r="I242" s="965" t="s">
        <v>5296</v>
      </c>
      <c r="J242" s="966" t="s">
        <v>5297</v>
      </c>
      <c r="K242" s="965" t="s">
        <v>5298</v>
      </c>
      <c r="L242" s="966" t="s">
        <v>5299</v>
      </c>
      <c r="M242" s="965" t="s">
        <v>5300</v>
      </c>
      <c r="N242" s="966" t="s">
        <v>5301</v>
      </c>
      <c r="O242" s="965" t="s">
        <v>5302</v>
      </c>
      <c r="P242" s="966" t="s">
        <v>5303</v>
      </c>
      <c r="Q242" s="965" t="s">
        <v>5304</v>
      </c>
      <c r="R242" s="966" t="s">
        <v>5305</v>
      </c>
      <c r="S242" s="965" t="s">
        <v>5306</v>
      </c>
      <c r="T242" s="966" t="s">
        <v>5307</v>
      </c>
      <c r="U242" s="965" t="s">
        <v>5308</v>
      </c>
      <c r="V242" s="966" t="s">
        <v>5309</v>
      </c>
      <c r="W242" s="965" t="s">
        <v>5310</v>
      </c>
      <c r="X242" s="966" t="s">
        <v>5311</v>
      </c>
      <c r="Y242" s="965" t="s">
        <v>5312</v>
      </c>
      <c r="Z242" s="966" t="s">
        <v>5313</v>
      </c>
      <c r="AA242" s="965" t="s">
        <v>5314</v>
      </c>
      <c r="AB242" s="966" t="s">
        <v>5315</v>
      </c>
      <c r="AC242" s="965" t="s">
        <v>5316</v>
      </c>
      <c r="AD242" s="966" t="s">
        <v>5317</v>
      </c>
      <c r="AE242" s="965" t="s">
        <v>5318</v>
      </c>
      <c r="AF242" s="966" t="s">
        <v>5319</v>
      </c>
      <c r="AG242" s="965" t="s">
        <v>5320</v>
      </c>
      <c r="AH242" s="966" t="s">
        <v>5321</v>
      </c>
      <c r="AI242" s="965" t="s">
        <v>5322</v>
      </c>
      <c r="AJ242" s="966" t="s">
        <v>5323</v>
      </c>
      <c r="AK242" s="965" t="s">
        <v>5324</v>
      </c>
      <c r="AL242" s="966" t="s">
        <v>5325</v>
      </c>
      <c r="AM242" s="965" t="s">
        <v>5326</v>
      </c>
      <c r="AN242" s="966" t="s">
        <v>5327</v>
      </c>
      <c r="AO242" s="965" t="s">
        <v>5328</v>
      </c>
      <c r="AP242" s="961" t="s">
        <v>5329</v>
      </c>
      <c r="AQ242" s="981" t="s">
        <v>5330</v>
      </c>
      <c r="AR242" s="933" t="s">
        <v>5331</v>
      </c>
      <c r="AS242" s="934" t="s">
        <v>5332</v>
      </c>
      <c r="AT242" s="979" t="s">
        <v>5333</v>
      </c>
      <c r="AU242" s="966" t="s">
        <v>5334</v>
      </c>
      <c r="AV242" s="966" t="s">
        <v>5335</v>
      </c>
      <c r="AW242" s="973" t="s">
        <v>5336</v>
      </c>
      <c r="AX242" s="973" t="s">
        <v>5337</v>
      </c>
      <c r="AY242" s="965" t="s">
        <v>5338</v>
      </c>
      <c r="AZ242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42" s="1723" t="str">
        <f t="shared" si="225"/>
        <v xml:space="preserve"> * Las Embarazadas no pueden superar el Total Mujeres.</v>
      </c>
      <c r="CY242" s="1723" t="str">
        <f t="shared" si="226"/>
        <v xml:space="preserve"> * La variable Usuarios con discapacidad No puede ser mayor al Total.</v>
      </c>
      <c r="CZ242" s="1723" t="str">
        <f t="shared" si="227"/>
        <v xml:space="preserve"> * La variable Usuarios oncológicos No puede ser mayor al Total.</v>
      </c>
      <c r="DA242" s="2783"/>
      <c r="DB242" s="1723" t="str">
        <f t="shared" si="229"/>
        <v/>
      </c>
      <c r="DC242" s="1723" t="str">
        <f t="shared" si="230"/>
        <v>* Migrantes no puede ser mayor al Total</v>
      </c>
      <c r="DD242"/>
      <c r="DE242"/>
      <c r="DF242"/>
      <c r="DH242" s="1725">
        <f t="shared" si="231"/>
        <v>1</v>
      </c>
      <c r="DI242" s="1725">
        <f t="shared" si="232"/>
        <v>1</v>
      </c>
      <c r="DJ242" s="1725">
        <f t="shared" si="233"/>
        <v>1</v>
      </c>
      <c r="DK242" s="2783"/>
      <c r="DL242" s="1725">
        <f t="shared" si="235"/>
        <v>0</v>
      </c>
      <c r="DM242" s="1725">
        <f t="shared" si="236"/>
        <v>1</v>
      </c>
      <c r="DN242"/>
    </row>
    <row r="243" spans="1:118" ht="15" customHeight="1" x14ac:dyDescent="0.3">
      <c r="A243" s="6269" t="s">
        <v>5101</v>
      </c>
      <c r="B243" s="7267"/>
      <c r="C243" s="7462" t="s">
        <v>915</v>
      </c>
      <c r="D243" s="7400"/>
      <c r="E243" s="954" t="s">
        <v>5292</v>
      </c>
      <c r="F243" s="955" t="s">
        <v>5293</v>
      </c>
      <c r="G243" s="956" t="s">
        <v>5294</v>
      </c>
      <c r="H243" s="964" t="s">
        <v>5295</v>
      </c>
      <c r="I243" s="965" t="s">
        <v>5296</v>
      </c>
      <c r="J243" s="966" t="s">
        <v>5297</v>
      </c>
      <c r="K243" s="965" t="s">
        <v>5298</v>
      </c>
      <c r="L243" s="966" t="s">
        <v>5299</v>
      </c>
      <c r="M243" s="965" t="s">
        <v>5300</v>
      </c>
      <c r="N243" s="966" t="s">
        <v>5301</v>
      </c>
      <c r="O243" s="965" t="s">
        <v>5302</v>
      </c>
      <c r="P243" s="966" t="s">
        <v>5303</v>
      </c>
      <c r="Q243" s="965" t="s">
        <v>5304</v>
      </c>
      <c r="R243" s="966" t="s">
        <v>5305</v>
      </c>
      <c r="S243" s="965" t="s">
        <v>5306</v>
      </c>
      <c r="T243" s="966" t="s">
        <v>5307</v>
      </c>
      <c r="U243" s="965" t="s">
        <v>5308</v>
      </c>
      <c r="V243" s="966" t="s">
        <v>5309</v>
      </c>
      <c r="W243" s="965" t="s">
        <v>5310</v>
      </c>
      <c r="X243" s="966" t="s">
        <v>5311</v>
      </c>
      <c r="Y243" s="965" t="s">
        <v>5312</v>
      </c>
      <c r="Z243" s="966" t="s">
        <v>5313</v>
      </c>
      <c r="AA243" s="965" t="s">
        <v>5314</v>
      </c>
      <c r="AB243" s="966" t="s">
        <v>5315</v>
      </c>
      <c r="AC243" s="965" t="s">
        <v>5316</v>
      </c>
      <c r="AD243" s="966" t="s">
        <v>5317</v>
      </c>
      <c r="AE243" s="965" t="s">
        <v>5318</v>
      </c>
      <c r="AF243" s="966" t="s">
        <v>5319</v>
      </c>
      <c r="AG243" s="965" t="s">
        <v>5320</v>
      </c>
      <c r="AH243" s="966" t="s">
        <v>5321</v>
      </c>
      <c r="AI243" s="965" t="s">
        <v>5322</v>
      </c>
      <c r="AJ243" s="966" t="s">
        <v>5323</v>
      </c>
      <c r="AK243" s="965" t="s">
        <v>5324</v>
      </c>
      <c r="AL243" s="966" t="s">
        <v>5325</v>
      </c>
      <c r="AM243" s="965" t="s">
        <v>5326</v>
      </c>
      <c r="AN243" s="966" t="s">
        <v>5327</v>
      </c>
      <c r="AO243" s="965" t="s">
        <v>5328</v>
      </c>
      <c r="AP243" s="968" t="s">
        <v>5329</v>
      </c>
      <c r="AQ243" s="981" t="s">
        <v>5330</v>
      </c>
      <c r="AR243" s="933" t="s">
        <v>5331</v>
      </c>
      <c r="AS243" s="934" t="s">
        <v>5332</v>
      </c>
      <c r="AT243" s="972" t="s">
        <v>5333</v>
      </c>
      <c r="AU243" s="966" t="s">
        <v>5334</v>
      </c>
      <c r="AV243" s="966" t="s">
        <v>5335</v>
      </c>
      <c r="AW243" s="973" t="s">
        <v>5336</v>
      </c>
      <c r="AX243" s="973" t="s">
        <v>5337</v>
      </c>
      <c r="AY243" s="965" t="s">
        <v>5338</v>
      </c>
      <c r="AZ243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43" s="1723" t="str">
        <f t="shared" si="225"/>
        <v xml:space="preserve"> * Las Embarazadas no pueden superar el Total Mujeres.</v>
      </c>
      <c r="CY243" s="1723" t="str">
        <f t="shared" si="226"/>
        <v xml:space="preserve"> * La variable Usuarios con discapacidad No puede ser mayor al Total.</v>
      </c>
      <c r="CZ243" s="1723" t="str">
        <f t="shared" si="227"/>
        <v xml:space="preserve"> * La variable Usuarios oncológicos No puede ser mayor al Total.</v>
      </c>
      <c r="DA243" s="2783"/>
      <c r="DB243" s="1723" t="str">
        <f t="shared" si="229"/>
        <v/>
      </c>
      <c r="DC243" s="1723" t="str">
        <f t="shared" si="230"/>
        <v>* Migrantes no puede ser mayor al Total</v>
      </c>
      <c r="DD243"/>
      <c r="DE243"/>
      <c r="DF243"/>
      <c r="DH243" s="1725">
        <f t="shared" si="231"/>
        <v>1</v>
      </c>
      <c r="DI243" s="1725">
        <f t="shared" si="232"/>
        <v>1</v>
      </c>
      <c r="DJ243" s="1725">
        <f t="shared" si="233"/>
        <v>1</v>
      </c>
      <c r="DK243" s="2783"/>
      <c r="DL243" s="1725">
        <f t="shared" si="235"/>
        <v>0</v>
      </c>
      <c r="DM243" s="1725">
        <f t="shared" si="236"/>
        <v>1</v>
      </c>
      <c r="DN243"/>
    </row>
    <row r="244" spans="1:118" ht="15" customHeight="1" x14ac:dyDescent="0.3">
      <c r="A244" s="6269" t="s">
        <v>5102</v>
      </c>
      <c r="B244" s="7363"/>
      <c r="C244" s="7463" t="s">
        <v>916</v>
      </c>
      <c r="D244" s="7463"/>
      <c r="E244" s="974" t="s">
        <v>5292</v>
      </c>
      <c r="F244" s="95" t="s">
        <v>5293</v>
      </c>
      <c r="G244" s="208" t="s">
        <v>5294</v>
      </c>
      <c r="H244" s="9044" t="s">
        <v>5295</v>
      </c>
      <c r="I244" s="9044" t="s">
        <v>5296</v>
      </c>
      <c r="J244" s="940" t="s">
        <v>5297</v>
      </c>
      <c r="K244" s="939" t="s">
        <v>5298</v>
      </c>
      <c r="L244" s="940" t="s">
        <v>5299</v>
      </c>
      <c r="M244" s="939" t="s">
        <v>5300</v>
      </c>
      <c r="N244" s="940" t="s">
        <v>5301</v>
      </c>
      <c r="O244" s="939" t="s">
        <v>5302</v>
      </c>
      <c r="P244" s="940" t="s">
        <v>5303</v>
      </c>
      <c r="Q244" s="939" t="s">
        <v>5304</v>
      </c>
      <c r="R244" s="940" t="s">
        <v>5305</v>
      </c>
      <c r="S244" s="939" t="s">
        <v>5306</v>
      </c>
      <c r="T244" s="940" t="s">
        <v>5307</v>
      </c>
      <c r="U244" s="939" t="s">
        <v>5308</v>
      </c>
      <c r="V244" s="940" t="s">
        <v>5309</v>
      </c>
      <c r="W244" s="939" t="s">
        <v>5310</v>
      </c>
      <c r="X244" s="940" t="s">
        <v>5311</v>
      </c>
      <c r="Y244" s="939" t="s">
        <v>5312</v>
      </c>
      <c r="Z244" s="940" t="s">
        <v>5313</v>
      </c>
      <c r="AA244" s="939" t="s">
        <v>5314</v>
      </c>
      <c r="AB244" s="940" t="s">
        <v>5315</v>
      </c>
      <c r="AC244" s="939" t="s">
        <v>5316</v>
      </c>
      <c r="AD244" s="940" t="s">
        <v>5317</v>
      </c>
      <c r="AE244" s="939" t="s">
        <v>5318</v>
      </c>
      <c r="AF244" s="940" t="s">
        <v>5319</v>
      </c>
      <c r="AG244" s="939" t="s">
        <v>5320</v>
      </c>
      <c r="AH244" s="940" t="s">
        <v>5321</v>
      </c>
      <c r="AI244" s="939" t="s">
        <v>5322</v>
      </c>
      <c r="AJ244" s="940" t="s">
        <v>5323</v>
      </c>
      <c r="AK244" s="939" t="s">
        <v>5324</v>
      </c>
      <c r="AL244" s="940" t="s">
        <v>5325</v>
      </c>
      <c r="AM244" s="939" t="s">
        <v>5326</v>
      </c>
      <c r="AN244" s="940" t="s">
        <v>5327</v>
      </c>
      <c r="AO244" s="939" t="s">
        <v>5328</v>
      </c>
      <c r="AP244" s="942" t="s">
        <v>5329</v>
      </c>
      <c r="AQ244" s="982" t="s">
        <v>5330</v>
      </c>
      <c r="AR244" s="975" t="s">
        <v>5331</v>
      </c>
      <c r="AS244" s="976" t="s">
        <v>5332</v>
      </c>
      <c r="AT244" s="977" t="s">
        <v>5333</v>
      </c>
      <c r="AU244" s="940" t="s">
        <v>5334</v>
      </c>
      <c r="AV244" s="940" t="s">
        <v>5335</v>
      </c>
      <c r="AW244" s="944" t="s">
        <v>5336</v>
      </c>
      <c r="AX244" s="944" t="s">
        <v>5337</v>
      </c>
      <c r="AY244" s="939" t="s">
        <v>5338</v>
      </c>
      <c r="AZ244" t="str">
        <f t="shared" si="224"/>
        <v xml:space="preserve"> * Las Embarazadas no pueden superar el Total Mujeres. * La variable Usuarios con discapacidad No puede ser mayor al Total. * La variable Usuarios oncológicos No puede ser mayor al Total.* Migrantes no puede ser mayor al Total</v>
      </c>
      <c r="CX244" s="1723" t="str">
        <f t="shared" si="225"/>
        <v xml:space="preserve"> * Las Embarazadas no pueden superar el Total Mujeres.</v>
      </c>
      <c r="CY244" s="1723" t="str">
        <f t="shared" si="226"/>
        <v xml:space="preserve"> * La variable Usuarios con discapacidad No puede ser mayor al Total.</v>
      </c>
      <c r="CZ244" s="1723" t="str">
        <f t="shared" si="227"/>
        <v xml:space="preserve"> * La variable Usuarios oncológicos No puede ser mayor al Total.</v>
      </c>
      <c r="DA244" s="2783"/>
      <c r="DB244" s="1723" t="str">
        <f t="shared" si="229"/>
        <v/>
      </c>
      <c r="DC244" s="1723" t="str">
        <f t="shared" si="230"/>
        <v>* Migrantes no puede ser mayor al Total</v>
      </c>
      <c r="DD244"/>
      <c r="DE244"/>
      <c r="DF244"/>
      <c r="DH244" s="1725">
        <f t="shared" si="231"/>
        <v>1</v>
      </c>
      <c r="DI244" s="1725">
        <f t="shared" si="232"/>
        <v>1</v>
      </c>
      <c r="DJ244" s="1725">
        <f t="shared" si="233"/>
        <v>1</v>
      </c>
      <c r="DK244" s="2783"/>
      <c r="DL244" s="1725">
        <f t="shared" si="235"/>
        <v>0</v>
      </c>
      <c r="DM244" s="1725">
        <f t="shared" si="236"/>
        <v>1</v>
      </c>
      <c r="DN244"/>
    </row>
    <row r="245" spans="1:118" ht="15" customHeight="1" x14ac:dyDescent="0.3">
      <c r="A245" s="6269" t="s">
        <v>5103</v>
      </c>
      <c r="B245" s="7362" t="s">
        <v>918</v>
      </c>
      <c r="C245" s="7460" t="s">
        <v>911</v>
      </c>
      <c r="D245" s="7460"/>
      <c r="E245" s="905" t="s">
        <v>5292</v>
      </c>
      <c r="F245" s="213" t="s">
        <v>5293</v>
      </c>
      <c r="G245" s="978" t="s">
        <v>5294</v>
      </c>
      <c r="H245" s="947" t="s">
        <v>5295</v>
      </c>
      <c r="I245" s="948" t="s">
        <v>5296</v>
      </c>
      <c r="J245" s="949" t="s">
        <v>5297</v>
      </c>
      <c r="K245" s="948" t="s">
        <v>5298</v>
      </c>
      <c r="L245" s="949" t="s">
        <v>5299</v>
      </c>
      <c r="M245" s="948" t="s">
        <v>5300</v>
      </c>
      <c r="N245" s="949" t="s">
        <v>5301</v>
      </c>
      <c r="O245" s="948" t="s">
        <v>5302</v>
      </c>
      <c r="P245" s="949" t="s">
        <v>5303</v>
      </c>
      <c r="Q245" s="948" t="s">
        <v>5304</v>
      </c>
      <c r="R245" s="949" t="s">
        <v>5305</v>
      </c>
      <c r="S245" s="948" t="s">
        <v>5306</v>
      </c>
      <c r="T245" s="949" t="s">
        <v>5307</v>
      </c>
      <c r="U245" s="948" t="s">
        <v>5308</v>
      </c>
      <c r="V245" s="949" t="s">
        <v>5309</v>
      </c>
      <c r="W245" s="950" t="s">
        <v>5310</v>
      </c>
      <c r="X245" s="949" t="s">
        <v>5311</v>
      </c>
      <c r="Y245" s="950" t="s">
        <v>5312</v>
      </c>
      <c r="Z245" s="929" t="s">
        <v>5313</v>
      </c>
      <c r="AA245" s="930" t="s">
        <v>5314</v>
      </c>
      <c r="AB245" s="929" t="s">
        <v>5315</v>
      </c>
      <c r="AC245" s="930" t="s">
        <v>5316</v>
      </c>
      <c r="AD245" s="929" t="s">
        <v>5317</v>
      </c>
      <c r="AE245" s="930" t="s">
        <v>5318</v>
      </c>
      <c r="AF245" s="929" t="s">
        <v>5319</v>
      </c>
      <c r="AG245" s="930" t="s">
        <v>5320</v>
      </c>
      <c r="AH245" s="929" t="s">
        <v>5321</v>
      </c>
      <c r="AI245" s="930" t="s">
        <v>5322</v>
      </c>
      <c r="AJ245" s="929" t="s">
        <v>5323</v>
      </c>
      <c r="AK245" s="930" t="s">
        <v>5324</v>
      </c>
      <c r="AL245" s="929" t="s">
        <v>5325</v>
      </c>
      <c r="AM245" s="930" t="s">
        <v>5326</v>
      </c>
      <c r="AN245" s="929" t="s">
        <v>5327</v>
      </c>
      <c r="AO245" s="930" t="s">
        <v>5328</v>
      </c>
      <c r="AP245" s="983" t="s">
        <v>5329</v>
      </c>
      <c r="AQ245" s="980" t="s">
        <v>5330</v>
      </c>
      <c r="AR245" s="927" t="s">
        <v>5331</v>
      </c>
      <c r="AS245" s="948" t="s">
        <v>5332</v>
      </c>
      <c r="AT245" s="929" t="s">
        <v>5333</v>
      </c>
      <c r="AU245" s="949" t="s">
        <v>5334</v>
      </c>
      <c r="AV245" s="949" t="s">
        <v>5335</v>
      </c>
      <c r="AW245" s="953" t="s">
        <v>5336</v>
      </c>
      <c r="AX245" s="953" t="s">
        <v>5337</v>
      </c>
      <c r="AY245" s="948" t="s">
        <v>5338</v>
      </c>
      <c r="AZ245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45" s="2783"/>
      <c r="CY245" s="1723" t="str">
        <f t="shared" si="226"/>
        <v xml:space="preserve"> * La variable Usuarios con discapacidad No puede ser mayor al Total.</v>
      </c>
      <c r="CZ245" s="1723" t="str">
        <f t="shared" si="227"/>
        <v xml:space="preserve"> * La variable Usuarios oncológicos No puede ser mayor al Total.</v>
      </c>
      <c r="DA245" s="2783"/>
      <c r="DB245" s="1723" t="str">
        <f t="shared" si="229"/>
        <v/>
      </c>
      <c r="DC245" s="1723" t="str">
        <f t="shared" si="230"/>
        <v>* Migrantes no puede ser mayor al Total</v>
      </c>
      <c r="DD245"/>
      <c r="DE245"/>
      <c r="DF245"/>
      <c r="DH245" s="2783"/>
      <c r="DI245" s="1725">
        <f t="shared" si="232"/>
        <v>1</v>
      </c>
      <c r="DJ245" s="1725">
        <f t="shared" si="233"/>
        <v>1</v>
      </c>
      <c r="DK245" s="2783"/>
      <c r="DL245" s="1725">
        <f t="shared" si="235"/>
        <v>0</v>
      </c>
      <c r="DM245" s="1725">
        <f t="shared" si="236"/>
        <v>1</v>
      </c>
      <c r="DN245"/>
    </row>
    <row r="246" spans="1:118" ht="15" customHeight="1" x14ac:dyDescent="0.3">
      <c r="A246" s="6269" t="s">
        <v>5104</v>
      </c>
      <c r="B246" s="7267"/>
      <c r="C246" s="7461" t="s">
        <v>912</v>
      </c>
      <c r="D246" s="7461"/>
      <c r="E246" s="954" t="s">
        <v>5292</v>
      </c>
      <c r="F246" s="955" t="s">
        <v>5293</v>
      </c>
      <c r="G246" s="956" t="s">
        <v>5294</v>
      </c>
      <c r="H246" s="957" t="s">
        <v>5295</v>
      </c>
      <c r="I246" s="958" t="s">
        <v>5296</v>
      </c>
      <c r="J246" s="959" t="s">
        <v>5297</v>
      </c>
      <c r="K246" s="958" t="s">
        <v>5298</v>
      </c>
      <c r="L246" s="959" t="s">
        <v>5299</v>
      </c>
      <c r="M246" s="958" t="s">
        <v>5300</v>
      </c>
      <c r="N246" s="959" t="s">
        <v>5301</v>
      </c>
      <c r="O246" s="958" t="s">
        <v>5302</v>
      </c>
      <c r="P246" s="959" t="s">
        <v>5303</v>
      </c>
      <c r="Q246" s="958" t="s">
        <v>5304</v>
      </c>
      <c r="R246" s="959" t="s">
        <v>5305</v>
      </c>
      <c r="S246" s="958" t="s">
        <v>5306</v>
      </c>
      <c r="T246" s="959" t="s">
        <v>5307</v>
      </c>
      <c r="U246" s="958" t="s">
        <v>5308</v>
      </c>
      <c r="V246" s="959" t="s">
        <v>5309</v>
      </c>
      <c r="W246" s="960" t="s">
        <v>5310</v>
      </c>
      <c r="X246" s="959" t="s">
        <v>5311</v>
      </c>
      <c r="Y246" s="960" t="s">
        <v>5312</v>
      </c>
      <c r="Z246" s="959" t="s">
        <v>5313</v>
      </c>
      <c r="AA246" s="960" t="s">
        <v>5314</v>
      </c>
      <c r="AB246" s="959" t="s">
        <v>5315</v>
      </c>
      <c r="AC246" s="960" t="s">
        <v>5316</v>
      </c>
      <c r="AD246" s="959" t="s">
        <v>5317</v>
      </c>
      <c r="AE246" s="960" t="s">
        <v>5318</v>
      </c>
      <c r="AF246" s="959" t="s">
        <v>5319</v>
      </c>
      <c r="AG246" s="960" t="s">
        <v>5320</v>
      </c>
      <c r="AH246" s="959" t="s">
        <v>5321</v>
      </c>
      <c r="AI246" s="960" t="s">
        <v>5322</v>
      </c>
      <c r="AJ246" s="959" t="s">
        <v>5323</v>
      </c>
      <c r="AK246" s="960" t="s">
        <v>5324</v>
      </c>
      <c r="AL246" s="959" t="s">
        <v>5325</v>
      </c>
      <c r="AM246" s="960" t="s">
        <v>5326</v>
      </c>
      <c r="AN246" s="959" t="s">
        <v>5327</v>
      </c>
      <c r="AO246" s="960" t="s">
        <v>5328</v>
      </c>
      <c r="AP246" s="984" t="s">
        <v>5329</v>
      </c>
      <c r="AQ246" s="981" t="s">
        <v>5330</v>
      </c>
      <c r="AR246" s="933" t="s">
        <v>5331</v>
      </c>
      <c r="AS246" s="934" t="s">
        <v>5332</v>
      </c>
      <c r="AT246" s="949" t="s">
        <v>5333</v>
      </c>
      <c r="AU246" s="959" t="s">
        <v>5334</v>
      </c>
      <c r="AV246" s="959" t="s">
        <v>5335</v>
      </c>
      <c r="AW246" s="963" t="s">
        <v>5336</v>
      </c>
      <c r="AX246" s="963" t="s">
        <v>5337</v>
      </c>
      <c r="AY246" s="958" t="s">
        <v>5338</v>
      </c>
      <c r="AZ246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46" s="2783"/>
      <c r="CY246" s="1723" t="str">
        <f t="shared" si="226"/>
        <v xml:space="preserve"> * La variable Usuarios con discapacidad No puede ser mayor al Total.</v>
      </c>
      <c r="CZ246" s="1723" t="str">
        <f t="shared" si="227"/>
        <v xml:space="preserve"> * La variable Usuarios oncológicos No puede ser mayor al Total.</v>
      </c>
      <c r="DA246" s="2783"/>
      <c r="DB246" s="1723" t="str">
        <f t="shared" si="229"/>
        <v/>
      </c>
      <c r="DC246" s="1723" t="str">
        <f t="shared" si="230"/>
        <v>* Migrantes no puede ser mayor al Total</v>
      </c>
      <c r="DD246"/>
      <c r="DE246"/>
      <c r="DF246"/>
      <c r="DH246" s="2783"/>
      <c r="DI246" s="1725">
        <f t="shared" si="232"/>
        <v>1</v>
      </c>
      <c r="DJ246" s="1725">
        <f t="shared" si="233"/>
        <v>1</v>
      </c>
      <c r="DK246" s="2783"/>
      <c r="DL246" s="1725">
        <f t="shared" si="235"/>
        <v>0</v>
      </c>
      <c r="DM246" s="1725">
        <f t="shared" si="236"/>
        <v>1</v>
      </c>
      <c r="DN246"/>
    </row>
    <row r="247" spans="1:118" ht="15" customHeight="1" x14ac:dyDescent="0.3">
      <c r="A247" s="6269" t="s">
        <v>5105</v>
      </c>
      <c r="B247" s="7267"/>
      <c r="C247" s="7461" t="s">
        <v>913</v>
      </c>
      <c r="D247" s="7461"/>
      <c r="E247" s="954" t="s">
        <v>5292</v>
      </c>
      <c r="F247" s="955" t="s">
        <v>5293</v>
      </c>
      <c r="G247" s="956" t="s">
        <v>5294</v>
      </c>
      <c r="H247" s="957" t="s">
        <v>5295</v>
      </c>
      <c r="I247" s="958" t="s">
        <v>5296</v>
      </c>
      <c r="J247" s="959" t="s">
        <v>5297</v>
      </c>
      <c r="K247" s="958" t="s">
        <v>5298</v>
      </c>
      <c r="L247" s="959" t="s">
        <v>5299</v>
      </c>
      <c r="M247" s="958" t="s">
        <v>5300</v>
      </c>
      <c r="N247" s="959" t="s">
        <v>5301</v>
      </c>
      <c r="O247" s="958" t="s">
        <v>5302</v>
      </c>
      <c r="P247" s="959" t="s">
        <v>5303</v>
      </c>
      <c r="Q247" s="958" t="s">
        <v>5304</v>
      </c>
      <c r="R247" s="959" t="s">
        <v>5305</v>
      </c>
      <c r="S247" s="958" t="s">
        <v>5306</v>
      </c>
      <c r="T247" s="959" t="s">
        <v>5307</v>
      </c>
      <c r="U247" s="958" t="s">
        <v>5308</v>
      </c>
      <c r="V247" s="959" t="s">
        <v>5309</v>
      </c>
      <c r="W247" s="960" t="s">
        <v>5310</v>
      </c>
      <c r="X247" s="959" t="s">
        <v>5311</v>
      </c>
      <c r="Y247" s="960" t="s">
        <v>5312</v>
      </c>
      <c r="Z247" s="959" t="s">
        <v>5313</v>
      </c>
      <c r="AA247" s="960" t="s">
        <v>5314</v>
      </c>
      <c r="AB247" s="959" t="s">
        <v>5315</v>
      </c>
      <c r="AC247" s="960" t="s">
        <v>5316</v>
      </c>
      <c r="AD247" s="959" t="s">
        <v>5317</v>
      </c>
      <c r="AE247" s="960" t="s">
        <v>5318</v>
      </c>
      <c r="AF247" s="959" t="s">
        <v>5319</v>
      </c>
      <c r="AG247" s="960" t="s">
        <v>5320</v>
      </c>
      <c r="AH247" s="959" t="s">
        <v>5321</v>
      </c>
      <c r="AI247" s="960" t="s">
        <v>5322</v>
      </c>
      <c r="AJ247" s="959" t="s">
        <v>5323</v>
      </c>
      <c r="AK247" s="960" t="s">
        <v>5324</v>
      </c>
      <c r="AL247" s="959" t="s">
        <v>5325</v>
      </c>
      <c r="AM247" s="960" t="s">
        <v>5326</v>
      </c>
      <c r="AN247" s="959" t="s">
        <v>5327</v>
      </c>
      <c r="AO247" s="960" t="s">
        <v>5328</v>
      </c>
      <c r="AP247" s="984" t="s">
        <v>5329</v>
      </c>
      <c r="AQ247" s="981" t="s">
        <v>5330</v>
      </c>
      <c r="AR247" s="933" t="s">
        <v>5331</v>
      </c>
      <c r="AS247" s="934" t="s">
        <v>5332</v>
      </c>
      <c r="AT247" s="979" t="s">
        <v>5333</v>
      </c>
      <c r="AU247" s="959" t="s">
        <v>5334</v>
      </c>
      <c r="AV247" s="959" t="s">
        <v>5335</v>
      </c>
      <c r="AW247" s="963" t="s">
        <v>5336</v>
      </c>
      <c r="AX247" s="963" t="s">
        <v>5337</v>
      </c>
      <c r="AY247" s="958" t="s">
        <v>5338</v>
      </c>
      <c r="AZ247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47" s="2783"/>
      <c r="CY247" s="1723" t="str">
        <f t="shared" si="226"/>
        <v xml:space="preserve"> * La variable Usuarios con discapacidad No puede ser mayor al Total.</v>
      </c>
      <c r="CZ247" s="1723" t="str">
        <f t="shared" si="227"/>
        <v xml:space="preserve"> * La variable Usuarios oncológicos No puede ser mayor al Total.</v>
      </c>
      <c r="DA247" s="2783"/>
      <c r="DB247" s="1723" t="str">
        <f t="shared" si="229"/>
        <v/>
      </c>
      <c r="DC247" s="1723" t="str">
        <f t="shared" si="230"/>
        <v>* Migrantes no puede ser mayor al Total</v>
      </c>
      <c r="DD247"/>
      <c r="DE247"/>
      <c r="DF247"/>
      <c r="DH247" s="2783"/>
      <c r="DI247" s="1725">
        <f t="shared" si="232"/>
        <v>1</v>
      </c>
      <c r="DJ247" s="1725">
        <f t="shared" si="233"/>
        <v>1</v>
      </c>
      <c r="DK247" s="2783"/>
      <c r="DL247" s="1725">
        <f t="shared" si="235"/>
        <v>0</v>
      </c>
      <c r="DM247" s="1725">
        <f t="shared" si="236"/>
        <v>1</v>
      </c>
      <c r="DN247"/>
    </row>
    <row r="248" spans="1:118" ht="15" customHeight="1" x14ac:dyDescent="0.3">
      <c r="A248" s="6269" t="s">
        <v>5106</v>
      </c>
      <c r="B248" s="7267"/>
      <c r="C248" s="7462" t="s">
        <v>914</v>
      </c>
      <c r="D248" s="7400"/>
      <c r="E248" s="954" t="s">
        <v>5292</v>
      </c>
      <c r="F248" s="955" t="s">
        <v>5293</v>
      </c>
      <c r="G248" s="956" t="s">
        <v>5294</v>
      </c>
      <c r="H248" s="964" t="s">
        <v>5295</v>
      </c>
      <c r="I248" s="965" t="s">
        <v>5296</v>
      </c>
      <c r="J248" s="966" t="s">
        <v>5297</v>
      </c>
      <c r="K248" s="965" t="s">
        <v>5298</v>
      </c>
      <c r="L248" s="966" t="s">
        <v>5299</v>
      </c>
      <c r="M248" s="965" t="s">
        <v>5300</v>
      </c>
      <c r="N248" s="966" t="s">
        <v>5301</v>
      </c>
      <c r="O248" s="965" t="s">
        <v>5302</v>
      </c>
      <c r="P248" s="966" t="s">
        <v>5303</v>
      </c>
      <c r="Q248" s="965" t="s">
        <v>5304</v>
      </c>
      <c r="R248" s="966" t="s">
        <v>5305</v>
      </c>
      <c r="S248" s="965" t="s">
        <v>5306</v>
      </c>
      <c r="T248" s="966" t="s">
        <v>5307</v>
      </c>
      <c r="U248" s="965" t="s">
        <v>5308</v>
      </c>
      <c r="V248" s="966" t="s">
        <v>5309</v>
      </c>
      <c r="W248" s="967" t="s">
        <v>5310</v>
      </c>
      <c r="X248" s="966" t="s">
        <v>5311</v>
      </c>
      <c r="Y248" s="967" t="s">
        <v>5312</v>
      </c>
      <c r="Z248" s="966" t="s">
        <v>5313</v>
      </c>
      <c r="AA248" s="967" t="s">
        <v>5314</v>
      </c>
      <c r="AB248" s="966" t="s">
        <v>5315</v>
      </c>
      <c r="AC248" s="967" t="s">
        <v>5316</v>
      </c>
      <c r="AD248" s="966" t="s">
        <v>5317</v>
      </c>
      <c r="AE248" s="967" t="s">
        <v>5318</v>
      </c>
      <c r="AF248" s="966" t="s">
        <v>5319</v>
      </c>
      <c r="AG248" s="967" t="s">
        <v>5320</v>
      </c>
      <c r="AH248" s="966" t="s">
        <v>5321</v>
      </c>
      <c r="AI248" s="967" t="s">
        <v>5322</v>
      </c>
      <c r="AJ248" s="966" t="s">
        <v>5323</v>
      </c>
      <c r="AK248" s="967" t="s">
        <v>5324</v>
      </c>
      <c r="AL248" s="966" t="s">
        <v>5325</v>
      </c>
      <c r="AM248" s="967" t="s">
        <v>5326</v>
      </c>
      <c r="AN248" s="966" t="s">
        <v>5327</v>
      </c>
      <c r="AO248" s="967" t="s">
        <v>5328</v>
      </c>
      <c r="AP248" s="984" t="s">
        <v>5329</v>
      </c>
      <c r="AQ248" s="981" t="s">
        <v>5330</v>
      </c>
      <c r="AR248" s="933" t="s">
        <v>5331</v>
      </c>
      <c r="AS248" s="934" t="s">
        <v>5332</v>
      </c>
      <c r="AT248" s="979" t="s">
        <v>5333</v>
      </c>
      <c r="AU248" s="966" t="s">
        <v>5334</v>
      </c>
      <c r="AV248" s="966" t="s">
        <v>5335</v>
      </c>
      <c r="AW248" s="973" t="s">
        <v>5336</v>
      </c>
      <c r="AX248" s="973" t="s">
        <v>5337</v>
      </c>
      <c r="AY248" s="965" t="s">
        <v>5338</v>
      </c>
      <c r="AZ248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48" s="2783"/>
      <c r="CY248" s="1723" t="str">
        <f t="shared" si="226"/>
        <v xml:space="preserve"> * La variable Usuarios con discapacidad No puede ser mayor al Total.</v>
      </c>
      <c r="CZ248" s="1723" t="str">
        <f t="shared" si="227"/>
        <v xml:space="preserve"> * La variable Usuarios oncológicos No puede ser mayor al Total.</v>
      </c>
      <c r="DA248" s="2783"/>
      <c r="DB248" s="1723" t="str">
        <f t="shared" si="229"/>
        <v/>
      </c>
      <c r="DC248" s="1723" t="str">
        <f t="shared" si="230"/>
        <v>* Migrantes no puede ser mayor al Total</v>
      </c>
      <c r="DD248"/>
      <c r="DE248"/>
      <c r="DF248"/>
      <c r="DH248" s="2783"/>
      <c r="DI248" s="1725">
        <f t="shared" si="232"/>
        <v>1</v>
      </c>
      <c r="DJ248" s="1725">
        <f t="shared" si="233"/>
        <v>1</v>
      </c>
      <c r="DK248" s="2783"/>
      <c r="DL248" s="1725">
        <f t="shared" si="235"/>
        <v>0</v>
      </c>
      <c r="DM248" s="1725">
        <f t="shared" si="236"/>
        <v>1</v>
      </c>
      <c r="DN248"/>
    </row>
    <row r="249" spans="1:118" ht="15" customHeight="1" x14ac:dyDescent="0.3">
      <c r="A249" s="6269" t="s">
        <v>5107</v>
      </c>
      <c r="B249" s="7267"/>
      <c r="C249" s="7462" t="s">
        <v>915</v>
      </c>
      <c r="D249" s="7400"/>
      <c r="E249" s="954" t="s">
        <v>5292</v>
      </c>
      <c r="F249" s="955" t="s">
        <v>5293</v>
      </c>
      <c r="G249" s="956" t="s">
        <v>5294</v>
      </c>
      <c r="H249" s="964" t="s">
        <v>5295</v>
      </c>
      <c r="I249" s="965" t="s">
        <v>5296</v>
      </c>
      <c r="J249" s="966" t="s">
        <v>5297</v>
      </c>
      <c r="K249" s="965" t="s">
        <v>5298</v>
      </c>
      <c r="L249" s="966" t="s">
        <v>5299</v>
      </c>
      <c r="M249" s="965" t="s">
        <v>5300</v>
      </c>
      <c r="N249" s="966" t="s">
        <v>5301</v>
      </c>
      <c r="O249" s="965" t="s">
        <v>5302</v>
      </c>
      <c r="P249" s="966" t="s">
        <v>5303</v>
      </c>
      <c r="Q249" s="965" t="s">
        <v>5304</v>
      </c>
      <c r="R249" s="966" t="s">
        <v>5305</v>
      </c>
      <c r="S249" s="965" t="s">
        <v>5306</v>
      </c>
      <c r="T249" s="966" t="s">
        <v>5307</v>
      </c>
      <c r="U249" s="965" t="s">
        <v>5308</v>
      </c>
      <c r="V249" s="966" t="s">
        <v>5309</v>
      </c>
      <c r="W249" s="967" t="s">
        <v>5310</v>
      </c>
      <c r="X249" s="966" t="s">
        <v>5311</v>
      </c>
      <c r="Y249" s="967" t="s">
        <v>5312</v>
      </c>
      <c r="Z249" s="966" t="s">
        <v>5313</v>
      </c>
      <c r="AA249" s="967" t="s">
        <v>5314</v>
      </c>
      <c r="AB249" s="966" t="s">
        <v>5315</v>
      </c>
      <c r="AC249" s="967" t="s">
        <v>5316</v>
      </c>
      <c r="AD249" s="966" t="s">
        <v>5317</v>
      </c>
      <c r="AE249" s="967" t="s">
        <v>5318</v>
      </c>
      <c r="AF249" s="966" t="s">
        <v>5319</v>
      </c>
      <c r="AG249" s="967" t="s">
        <v>5320</v>
      </c>
      <c r="AH249" s="966" t="s">
        <v>5321</v>
      </c>
      <c r="AI249" s="967" t="s">
        <v>5322</v>
      </c>
      <c r="AJ249" s="966" t="s">
        <v>5323</v>
      </c>
      <c r="AK249" s="967" t="s">
        <v>5324</v>
      </c>
      <c r="AL249" s="966" t="s">
        <v>5325</v>
      </c>
      <c r="AM249" s="967" t="s">
        <v>5326</v>
      </c>
      <c r="AN249" s="966" t="s">
        <v>5327</v>
      </c>
      <c r="AO249" s="967" t="s">
        <v>5328</v>
      </c>
      <c r="AP249" s="984" t="s">
        <v>5329</v>
      </c>
      <c r="AQ249" s="981" t="s">
        <v>5330</v>
      </c>
      <c r="AR249" s="933" t="s">
        <v>5331</v>
      </c>
      <c r="AS249" s="934" t="s">
        <v>5332</v>
      </c>
      <c r="AT249" s="972" t="s">
        <v>5333</v>
      </c>
      <c r="AU249" s="966" t="s">
        <v>5334</v>
      </c>
      <c r="AV249" s="966" t="s">
        <v>5335</v>
      </c>
      <c r="AW249" s="973" t="s">
        <v>5336</v>
      </c>
      <c r="AX249" s="973" t="s">
        <v>5337</v>
      </c>
      <c r="AY249" s="965" t="s">
        <v>5338</v>
      </c>
      <c r="AZ249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49" s="2783"/>
      <c r="CY249" s="1723" t="str">
        <f t="shared" si="226"/>
        <v xml:space="preserve"> * La variable Usuarios con discapacidad No puede ser mayor al Total.</v>
      </c>
      <c r="CZ249" s="1723" t="str">
        <f t="shared" si="227"/>
        <v xml:space="preserve"> * La variable Usuarios oncológicos No puede ser mayor al Total.</v>
      </c>
      <c r="DA249" s="2783"/>
      <c r="DB249" s="1723" t="str">
        <f t="shared" si="229"/>
        <v/>
      </c>
      <c r="DC249" s="1723" t="str">
        <f t="shared" si="230"/>
        <v>* Migrantes no puede ser mayor al Total</v>
      </c>
      <c r="DD249"/>
      <c r="DE249"/>
      <c r="DF249"/>
      <c r="DH249" s="2783"/>
      <c r="DI249" s="1725">
        <f t="shared" si="232"/>
        <v>1</v>
      </c>
      <c r="DJ249" s="1725">
        <f t="shared" si="233"/>
        <v>1</v>
      </c>
      <c r="DK249" s="2783"/>
      <c r="DL249" s="1725">
        <f t="shared" si="235"/>
        <v>0</v>
      </c>
      <c r="DM249" s="1725">
        <f t="shared" si="236"/>
        <v>1</v>
      </c>
      <c r="DN249"/>
    </row>
    <row r="250" spans="1:118" ht="15" customHeight="1" x14ac:dyDescent="0.3">
      <c r="A250" s="6269" t="s">
        <v>5108</v>
      </c>
      <c r="B250" s="7363"/>
      <c r="C250" s="7463" t="s">
        <v>916</v>
      </c>
      <c r="D250" s="7463"/>
      <c r="E250" s="974" t="s">
        <v>5292</v>
      </c>
      <c r="F250" s="95" t="s">
        <v>5293</v>
      </c>
      <c r="G250" s="95" t="s">
        <v>5294</v>
      </c>
      <c r="H250" s="938" t="s">
        <v>5295</v>
      </c>
      <c r="I250" s="939" t="s">
        <v>5296</v>
      </c>
      <c r="J250" s="940" t="s">
        <v>5297</v>
      </c>
      <c r="K250" s="939" t="s">
        <v>5298</v>
      </c>
      <c r="L250" s="940" t="s">
        <v>5299</v>
      </c>
      <c r="M250" s="939" t="s">
        <v>5300</v>
      </c>
      <c r="N250" s="940" t="s">
        <v>5301</v>
      </c>
      <c r="O250" s="939" t="s">
        <v>5302</v>
      </c>
      <c r="P250" s="940" t="s">
        <v>5303</v>
      </c>
      <c r="Q250" s="939" t="s">
        <v>5304</v>
      </c>
      <c r="R250" s="940" t="s">
        <v>5305</v>
      </c>
      <c r="S250" s="939" t="s">
        <v>5306</v>
      </c>
      <c r="T250" s="940" t="s">
        <v>5307</v>
      </c>
      <c r="U250" s="939" t="s">
        <v>5308</v>
      </c>
      <c r="V250" s="940" t="s">
        <v>5309</v>
      </c>
      <c r="W250" s="941" t="s">
        <v>5310</v>
      </c>
      <c r="X250" s="940" t="s">
        <v>5311</v>
      </c>
      <c r="Y250" s="941" t="s">
        <v>5312</v>
      </c>
      <c r="Z250" s="940" t="s">
        <v>5313</v>
      </c>
      <c r="AA250" s="941" t="s">
        <v>5314</v>
      </c>
      <c r="AB250" s="940" t="s">
        <v>5315</v>
      </c>
      <c r="AC250" s="941" t="s">
        <v>5316</v>
      </c>
      <c r="AD250" s="940" t="s">
        <v>5317</v>
      </c>
      <c r="AE250" s="941" t="s">
        <v>5318</v>
      </c>
      <c r="AF250" s="940" t="s">
        <v>5319</v>
      </c>
      <c r="AG250" s="941" t="s">
        <v>5320</v>
      </c>
      <c r="AH250" s="940" t="s">
        <v>5321</v>
      </c>
      <c r="AI250" s="941" t="s">
        <v>5322</v>
      </c>
      <c r="AJ250" s="940" t="s">
        <v>5323</v>
      </c>
      <c r="AK250" s="941" t="s">
        <v>5324</v>
      </c>
      <c r="AL250" s="940" t="s">
        <v>5325</v>
      </c>
      <c r="AM250" s="941" t="s">
        <v>5326</v>
      </c>
      <c r="AN250" s="940" t="s">
        <v>5327</v>
      </c>
      <c r="AO250" s="941" t="s">
        <v>5328</v>
      </c>
      <c r="AP250" s="985" t="s">
        <v>5329</v>
      </c>
      <c r="AQ250" s="982" t="s">
        <v>5330</v>
      </c>
      <c r="AR250" s="975" t="s">
        <v>5331</v>
      </c>
      <c r="AS250" s="976" t="s">
        <v>5332</v>
      </c>
      <c r="AT250" s="977" t="s">
        <v>5333</v>
      </c>
      <c r="AU250" s="940" t="s">
        <v>5334</v>
      </c>
      <c r="AV250" s="940" t="s">
        <v>5335</v>
      </c>
      <c r="AW250" s="944" t="s">
        <v>5336</v>
      </c>
      <c r="AX250" s="944" t="s">
        <v>5337</v>
      </c>
      <c r="AY250" s="939" t="s">
        <v>5338</v>
      </c>
      <c r="AZ250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0" s="2783"/>
      <c r="CY250" s="1723" t="str">
        <f t="shared" si="226"/>
        <v xml:space="preserve"> * La variable Usuarios con discapacidad No puede ser mayor al Total.</v>
      </c>
      <c r="CZ250" s="1723" t="str">
        <f t="shared" si="227"/>
        <v xml:space="preserve"> * La variable Usuarios oncológicos No puede ser mayor al Total.</v>
      </c>
      <c r="DA250" s="2783"/>
      <c r="DB250" s="1723" t="str">
        <f t="shared" si="229"/>
        <v/>
      </c>
      <c r="DC250" s="1723" t="str">
        <f t="shared" si="230"/>
        <v>* Migrantes no puede ser mayor al Total</v>
      </c>
      <c r="DD250"/>
      <c r="DE250"/>
      <c r="DF250"/>
      <c r="DH250" s="2783"/>
      <c r="DI250" s="1725">
        <f t="shared" si="232"/>
        <v>1</v>
      </c>
      <c r="DJ250" s="1725">
        <f t="shared" si="233"/>
        <v>1</v>
      </c>
      <c r="DK250" s="2783"/>
      <c r="DL250" s="1725">
        <f t="shared" si="235"/>
        <v>0</v>
      </c>
      <c r="DM250" s="1725">
        <f t="shared" si="236"/>
        <v>1</v>
      </c>
      <c r="DN250"/>
    </row>
    <row r="251" spans="1:118" ht="15" customHeight="1" x14ac:dyDescent="0.3">
      <c r="A251" s="6269" t="s">
        <v>5109</v>
      </c>
      <c r="B251" s="7423" t="s">
        <v>919</v>
      </c>
      <c r="C251" s="7460" t="s">
        <v>911</v>
      </c>
      <c r="D251" s="7460"/>
      <c r="E251" s="905" t="s">
        <v>5292</v>
      </c>
      <c r="F251" s="213" t="s">
        <v>5293</v>
      </c>
      <c r="G251" s="946" t="s">
        <v>5294</v>
      </c>
      <c r="H251" s="947" t="s">
        <v>5295</v>
      </c>
      <c r="I251" s="948" t="s">
        <v>5296</v>
      </c>
      <c r="J251" s="949" t="s">
        <v>5297</v>
      </c>
      <c r="K251" s="948" t="s">
        <v>5298</v>
      </c>
      <c r="L251" s="949" t="s">
        <v>5299</v>
      </c>
      <c r="M251" s="948" t="s">
        <v>5300</v>
      </c>
      <c r="N251" s="949" t="s">
        <v>5301</v>
      </c>
      <c r="O251" s="948" t="s">
        <v>5302</v>
      </c>
      <c r="P251" s="949" t="s">
        <v>5303</v>
      </c>
      <c r="Q251" s="948" t="s">
        <v>5304</v>
      </c>
      <c r="R251" s="949" t="s">
        <v>5305</v>
      </c>
      <c r="S251" s="948" t="s">
        <v>5306</v>
      </c>
      <c r="T251" s="949" t="s">
        <v>5307</v>
      </c>
      <c r="U251" s="948" t="s">
        <v>5308</v>
      </c>
      <c r="V251" s="949" t="s">
        <v>5309</v>
      </c>
      <c r="W251" s="950" t="s">
        <v>5310</v>
      </c>
      <c r="X251" s="949" t="s">
        <v>5311</v>
      </c>
      <c r="Y251" s="950" t="s">
        <v>5312</v>
      </c>
      <c r="Z251" s="949" t="s">
        <v>5313</v>
      </c>
      <c r="AA251" s="950" t="s">
        <v>5314</v>
      </c>
      <c r="AB251" s="949" t="s">
        <v>5315</v>
      </c>
      <c r="AC251" s="950" t="s">
        <v>5316</v>
      </c>
      <c r="AD251" s="949" t="s">
        <v>5317</v>
      </c>
      <c r="AE251" s="950" t="s">
        <v>5318</v>
      </c>
      <c r="AF251" s="949" t="s">
        <v>5319</v>
      </c>
      <c r="AG251" s="950" t="s">
        <v>5320</v>
      </c>
      <c r="AH251" s="949" t="s">
        <v>5321</v>
      </c>
      <c r="AI251" s="930" t="s">
        <v>5322</v>
      </c>
      <c r="AJ251" s="929" t="s">
        <v>5323</v>
      </c>
      <c r="AK251" s="930" t="s">
        <v>5324</v>
      </c>
      <c r="AL251" s="929" t="s">
        <v>5325</v>
      </c>
      <c r="AM251" s="930" t="s">
        <v>5326</v>
      </c>
      <c r="AN251" s="929" t="s">
        <v>5327</v>
      </c>
      <c r="AO251" s="930" t="s">
        <v>5328</v>
      </c>
      <c r="AP251" s="986" t="s">
        <v>5329</v>
      </c>
      <c r="AQ251" s="987" t="s">
        <v>5330</v>
      </c>
      <c r="AR251" s="927" t="s">
        <v>5331</v>
      </c>
      <c r="AS251" s="948" t="s">
        <v>5332</v>
      </c>
      <c r="AT251" s="929" t="s">
        <v>5333</v>
      </c>
      <c r="AU251" s="949" t="s">
        <v>5334</v>
      </c>
      <c r="AV251" s="949" t="s">
        <v>5335</v>
      </c>
      <c r="AW251" s="953" t="s">
        <v>5336</v>
      </c>
      <c r="AX251" s="953" t="s">
        <v>5337</v>
      </c>
      <c r="AY251" s="948" t="s">
        <v>5338</v>
      </c>
      <c r="AZ251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1" s="2783"/>
      <c r="CY251" s="1723" t="str">
        <f t="shared" si="226"/>
        <v xml:space="preserve"> * La variable Usuarios con discapacidad No puede ser mayor al Total.</v>
      </c>
      <c r="CZ251" s="1723" t="str">
        <f t="shared" si="227"/>
        <v xml:space="preserve"> * La variable Usuarios oncológicos No puede ser mayor al Total.</v>
      </c>
      <c r="DA251" s="2783"/>
      <c r="DB251" s="1723" t="str">
        <f t="shared" si="229"/>
        <v/>
      </c>
      <c r="DC251" s="1723" t="str">
        <f t="shared" si="230"/>
        <v>* Migrantes no puede ser mayor al Total</v>
      </c>
      <c r="DD251"/>
      <c r="DE251"/>
      <c r="DF251"/>
      <c r="DH251" s="2783"/>
      <c r="DI251" s="1725">
        <f t="shared" si="232"/>
        <v>1</v>
      </c>
      <c r="DJ251" s="1725">
        <f t="shared" si="233"/>
        <v>1</v>
      </c>
      <c r="DK251" s="2783"/>
      <c r="DL251" s="1725">
        <f t="shared" si="235"/>
        <v>0</v>
      </c>
      <c r="DM251" s="1725">
        <f t="shared" si="236"/>
        <v>1</v>
      </c>
      <c r="DN251"/>
    </row>
    <row r="252" spans="1:118" ht="15" customHeight="1" x14ac:dyDescent="0.3">
      <c r="A252" s="6269" t="s">
        <v>5110</v>
      </c>
      <c r="B252" s="7424"/>
      <c r="C252" s="7461" t="s">
        <v>912</v>
      </c>
      <c r="D252" s="7461"/>
      <c r="E252" s="954" t="s">
        <v>5292</v>
      </c>
      <c r="F252" s="955" t="s">
        <v>5293</v>
      </c>
      <c r="G252" s="956" t="s">
        <v>5294</v>
      </c>
      <c r="H252" s="957" t="s">
        <v>5295</v>
      </c>
      <c r="I252" s="958" t="s">
        <v>5296</v>
      </c>
      <c r="J252" s="959" t="s">
        <v>5297</v>
      </c>
      <c r="K252" s="958" t="s">
        <v>5298</v>
      </c>
      <c r="L252" s="959" t="s">
        <v>5299</v>
      </c>
      <c r="M252" s="958" t="s">
        <v>5300</v>
      </c>
      <c r="N252" s="959" t="s">
        <v>5301</v>
      </c>
      <c r="O252" s="958" t="s">
        <v>5302</v>
      </c>
      <c r="P252" s="959" t="s">
        <v>5303</v>
      </c>
      <c r="Q252" s="958" t="s">
        <v>5304</v>
      </c>
      <c r="R252" s="959" t="s">
        <v>5305</v>
      </c>
      <c r="S252" s="958" t="s">
        <v>5306</v>
      </c>
      <c r="T252" s="959" t="s">
        <v>5307</v>
      </c>
      <c r="U252" s="958" t="s">
        <v>5308</v>
      </c>
      <c r="V252" s="959" t="s">
        <v>5309</v>
      </c>
      <c r="W252" s="960" t="s">
        <v>5310</v>
      </c>
      <c r="X252" s="959" t="s">
        <v>5311</v>
      </c>
      <c r="Y252" s="960" t="s">
        <v>5312</v>
      </c>
      <c r="Z252" s="959" t="s">
        <v>5313</v>
      </c>
      <c r="AA252" s="960" t="s">
        <v>5314</v>
      </c>
      <c r="AB252" s="959" t="s">
        <v>5315</v>
      </c>
      <c r="AC252" s="960" t="s">
        <v>5316</v>
      </c>
      <c r="AD252" s="959" t="s">
        <v>5317</v>
      </c>
      <c r="AE252" s="960" t="s">
        <v>5318</v>
      </c>
      <c r="AF252" s="959" t="s">
        <v>5319</v>
      </c>
      <c r="AG252" s="960" t="s">
        <v>5320</v>
      </c>
      <c r="AH252" s="959" t="s">
        <v>5321</v>
      </c>
      <c r="AI252" s="960" t="s">
        <v>5322</v>
      </c>
      <c r="AJ252" s="959" t="s">
        <v>5323</v>
      </c>
      <c r="AK252" s="960" t="s">
        <v>5324</v>
      </c>
      <c r="AL252" s="959" t="s">
        <v>5325</v>
      </c>
      <c r="AM252" s="960" t="s">
        <v>5326</v>
      </c>
      <c r="AN252" s="959" t="s">
        <v>5327</v>
      </c>
      <c r="AO252" s="960" t="s">
        <v>5328</v>
      </c>
      <c r="AP252" s="988" t="s">
        <v>5329</v>
      </c>
      <c r="AQ252" s="989" t="s">
        <v>5330</v>
      </c>
      <c r="AR252" s="933" t="s">
        <v>5331</v>
      </c>
      <c r="AS252" s="934" t="s">
        <v>5332</v>
      </c>
      <c r="AT252" s="949" t="s">
        <v>5333</v>
      </c>
      <c r="AU252" s="959" t="s">
        <v>5334</v>
      </c>
      <c r="AV252" s="959" t="s">
        <v>5335</v>
      </c>
      <c r="AW252" s="963" t="s">
        <v>5336</v>
      </c>
      <c r="AX252" s="963" t="s">
        <v>5337</v>
      </c>
      <c r="AY252" s="958" t="s">
        <v>5338</v>
      </c>
      <c r="AZ252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2" s="2783"/>
      <c r="CY252" s="1723" t="str">
        <f t="shared" si="226"/>
        <v xml:space="preserve"> * La variable Usuarios con discapacidad No puede ser mayor al Total.</v>
      </c>
      <c r="CZ252" s="1723" t="str">
        <f t="shared" si="227"/>
        <v xml:space="preserve"> * La variable Usuarios oncológicos No puede ser mayor al Total.</v>
      </c>
      <c r="DA252" s="2783"/>
      <c r="DB252" s="1723" t="str">
        <f t="shared" si="229"/>
        <v/>
      </c>
      <c r="DC252" s="1723" t="str">
        <f t="shared" si="230"/>
        <v>* Migrantes no puede ser mayor al Total</v>
      </c>
      <c r="DD252"/>
      <c r="DE252"/>
      <c r="DF252"/>
      <c r="DH252" s="2783"/>
      <c r="DI252" s="1725">
        <f t="shared" si="232"/>
        <v>1</v>
      </c>
      <c r="DJ252" s="1725">
        <f t="shared" si="233"/>
        <v>1</v>
      </c>
      <c r="DK252" s="2783"/>
      <c r="DL252" s="1725">
        <f t="shared" si="235"/>
        <v>0</v>
      </c>
      <c r="DM252" s="1725">
        <f t="shared" si="236"/>
        <v>1</v>
      </c>
      <c r="DN252"/>
    </row>
    <row r="253" spans="1:118" ht="15" customHeight="1" x14ac:dyDescent="0.3">
      <c r="A253" s="6269" t="s">
        <v>5111</v>
      </c>
      <c r="B253" s="7424"/>
      <c r="C253" s="7461" t="s">
        <v>913</v>
      </c>
      <c r="D253" s="7461"/>
      <c r="E253" s="954" t="s">
        <v>5292</v>
      </c>
      <c r="F253" s="955" t="s">
        <v>5293</v>
      </c>
      <c r="G253" s="956" t="s">
        <v>5294</v>
      </c>
      <c r="H253" s="957" t="s">
        <v>5295</v>
      </c>
      <c r="I253" s="958" t="s">
        <v>5296</v>
      </c>
      <c r="J253" s="959" t="s">
        <v>5297</v>
      </c>
      <c r="K253" s="958" t="s">
        <v>5298</v>
      </c>
      <c r="L253" s="959" t="s">
        <v>5299</v>
      </c>
      <c r="M253" s="958" t="s">
        <v>5300</v>
      </c>
      <c r="N253" s="959" t="s">
        <v>5301</v>
      </c>
      <c r="O253" s="958" t="s">
        <v>5302</v>
      </c>
      <c r="P253" s="959" t="s">
        <v>5303</v>
      </c>
      <c r="Q253" s="958" t="s">
        <v>5304</v>
      </c>
      <c r="R253" s="959" t="s">
        <v>5305</v>
      </c>
      <c r="S253" s="958" t="s">
        <v>5306</v>
      </c>
      <c r="T253" s="959" t="s">
        <v>5307</v>
      </c>
      <c r="U253" s="958" t="s">
        <v>5308</v>
      </c>
      <c r="V253" s="959" t="s">
        <v>5309</v>
      </c>
      <c r="W253" s="960" t="s">
        <v>5310</v>
      </c>
      <c r="X253" s="959" t="s">
        <v>5311</v>
      </c>
      <c r="Y253" s="960" t="s">
        <v>5312</v>
      </c>
      <c r="Z253" s="959" t="s">
        <v>5313</v>
      </c>
      <c r="AA253" s="960" t="s">
        <v>5314</v>
      </c>
      <c r="AB253" s="959" t="s">
        <v>5315</v>
      </c>
      <c r="AC253" s="960" t="s">
        <v>5316</v>
      </c>
      <c r="AD253" s="959" t="s">
        <v>5317</v>
      </c>
      <c r="AE253" s="960" t="s">
        <v>5318</v>
      </c>
      <c r="AF253" s="959" t="s">
        <v>5319</v>
      </c>
      <c r="AG253" s="960" t="s">
        <v>5320</v>
      </c>
      <c r="AH253" s="959" t="s">
        <v>5321</v>
      </c>
      <c r="AI253" s="960" t="s">
        <v>5322</v>
      </c>
      <c r="AJ253" s="959" t="s">
        <v>5323</v>
      </c>
      <c r="AK253" s="960" t="s">
        <v>5324</v>
      </c>
      <c r="AL253" s="959" t="s">
        <v>5325</v>
      </c>
      <c r="AM253" s="960" t="s">
        <v>5326</v>
      </c>
      <c r="AN253" s="959" t="s">
        <v>5327</v>
      </c>
      <c r="AO253" s="960" t="s">
        <v>5328</v>
      </c>
      <c r="AP253" s="988" t="s">
        <v>5329</v>
      </c>
      <c r="AQ253" s="989" t="s">
        <v>5330</v>
      </c>
      <c r="AR253" s="933" t="s">
        <v>5331</v>
      </c>
      <c r="AS253" s="934" t="s">
        <v>5332</v>
      </c>
      <c r="AT253" s="979" t="s">
        <v>5333</v>
      </c>
      <c r="AU253" s="959" t="s">
        <v>5334</v>
      </c>
      <c r="AV253" s="959" t="s">
        <v>5335</v>
      </c>
      <c r="AW253" s="963" t="s">
        <v>5336</v>
      </c>
      <c r="AX253" s="963" t="s">
        <v>5337</v>
      </c>
      <c r="AY253" s="958" t="s">
        <v>5338</v>
      </c>
      <c r="AZ253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3" s="2783"/>
      <c r="CY253" s="1723" t="str">
        <f t="shared" si="226"/>
        <v xml:space="preserve"> * La variable Usuarios con discapacidad No puede ser mayor al Total.</v>
      </c>
      <c r="CZ253" s="1723" t="str">
        <f t="shared" si="227"/>
        <v xml:space="preserve"> * La variable Usuarios oncológicos No puede ser mayor al Total.</v>
      </c>
      <c r="DA253" s="2783"/>
      <c r="DB253" s="1723" t="str">
        <f t="shared" si="229"/>
        <v/>
      </c>
      <c r="DC253" s="1723" t="str">
        <f t="shared" si="230"/>
        <v>* Migrantes no puede ser mayor al Total</v>
      </c>
      <c r="DD253"/>
      <c r="DE253"/>
      <c r="DF253"/>
      <c r="DH253" s="2783"/>
      <c r="DI253" s="1725">
        <f t="shared" si="232"/>
        <v>1</v>
      </c>
      <c r="DJ253" s="1725">
        <f t="shared" si="233"/>
        <v>1</v>
      </c>
      <c r="DK253" s="2783"/>
      <c r="DL253" s="1725">
        <f t="shared" si="235"/>
        <v>0</v>
      </c>
      <c r="DM253" s="1725">
        <f t="shared" si="236"/>
        <v>1</v>
      </c>
      <c r="DN253"/>
    </row>
    <row r="254" spans="1:118" ht="15" customHeight="1" x14ac:dyDescent="0.3">
      <c r="A254" s="6269" t="s">
        <v>5112</v>
      </c>
      <c r="B254" s="7424"/>
      <c r="C254" s="7462" t="s">
        <v>914</v>
      </c>
      <c r="D254" s="7400"/>
      <c r="E254" s="954" t="s">
        <v>5292</v>
      </c>
      <c r="F254" s="955" t="s">
        <v>5293</v>
      </c>
      <c r="G254" s="956" t="s">
        <v>5294</v>
      </c>
      <c r="H254" s="964" t="s">
        <v>5295</v>
      </c>
      <c r="I254" s="965" t="s">
        <v>5296</v>
      </c>
      <c r="J254" s="966" t="s">
        <v>5297</v>
      </c>
      <c r="K254" s="965" t="s">
        <v>5298</v>
      </c>
      <c r="L254" s="966" t="s">
        <v>5299</v>
      </c>
      <c r="M254" s="965" t="s">
        <v>5300</v>
      </c>
      <c r="N254" s="966" t="s">
        <v>5301</v>
      </c>
      <c r="O254" s="965" t="s">
        <v>5302</v>
      </c>
      <c r="P254" s="966" t="s">
        <v>5303</v>
      </c>
      <c r="Q254" s="965" t="s">
        <v>5304</v>
      </c>
      <c r="R254" s="966" t="s">
        <v>5305</v>
      </c>
      <c r="S254" s="965" t="s">
        <v>5306</v>
      </c>
      <c r="T254" s="966" t="s">
        <v>5307</v>
      </c>
      <c r="U254" s="965" t="s">
        <v>5308</v>
      </c>
      <c r="V254" s="966" t="s">
        <v>5309</v>
      </c>
      <c r="W254" s="967" t="s">
        <v>5310</v>
      </c>
      <c r="X254" s="966" t="s">
        <v>5311</v>
      </c>
      <c r="Y254" s="967" t="s">
        <v>5312</v>
      </c>
      <c r="Z254" s="959" t="s">
        <v>5313</v>
      </c>
      <c r="AA254" s="960" t="s">
        <v>5314</v>
      </c>
      <c r="AB254" s="959" t="s">
        <v>5315</v>
      </c>
      <c r="AC254" s="960" t="s">
        <v>5316</v>
      </c>
      <c r="AD254" s="959" t="s">
        <v>5317</v>
      </c>
      <c r="AE254" s="960" t="s">
        <v>5318</v>
      </c>
      <c r="AF254" s="959" t="s">
        <v>5319</v>
      </c>
      <c r="AG254" s="960" t="s">
        <v>5320</v>
      </c>
      <c r="AH254" s="959" t="s">
        <v>5321</v>
      </c>
      <c r="AI254" s="960" t="s">
        <v>5322</v>
      </c>
      <c r="AJ254" s="959" t="s">
        <v>5323</v>
      </c>
      <c r="AK254" s="960" t="s">
        <v>5324</v>
      </c>
      <c r="AL254" s="959" t="s">
        <v>5325</v>
      </c>
      <c r="AM254" s="960" t="s">
        <v>5326</v>
      </c>
      <c r="AN254" s="959" t="s">
        <v>5327</v>
      </c>
      <c r="AO254" s="960" t="s">
        <v>5328</v>
      </c>
      <c r="AP254" s="988" t="s">
        <v>5329</v>
      </c>
      <c r="AQ254" s="989" t="s">
        <v>5330</v>
      </c>
      <c r="AR254" s="933" t="s">
        <v>5331</v>
      </c>
      <c r="AS254" s="934" t="s">
        <v>5332</v>
      </c>
      <c r="AT254" s="979" t="s">
        <v>5333</v>
      </c>
      <c r="AU254" s="959" t="s">
        <v>5334</v>
      </c>
      <c r="AV254" s="959" t="s">
        <v>5335</v>
      </c>
      <c r="AW254" s="963" t="s">
        <v>5336</v>
      </c>
      <c r="AX254" s="963" t="s">
        <v>5337</v>
      </c>
      <c r="AY254" s="958" t="s">
        <v>5338</v>
      </c>
      <c r="AZ254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4" s="2783"/>
      <c r="CY254" s="1723" t="str">
        <f t="shared" si="226"/>
        <v xml:space="preserve"> * La variable Usuarios con discapacidad No puede ser mayor al Total.</v>
      </c>
      <c r="CZ254" s="1723" t="str">
        <f t="shared" si="227"/>
        <v xml:space="preserve"> * La variable Usuarios oncológicos No puede ser mayor al Total.</v>
      </c>
      <c r="DA254" s="2783"/>
      <c r="DB254" s="1723" t="str">
        <f t="shared" si="229"/>
        <v/>
      </c>
      <c r="DC254" s="1723" t="str">
        <f t="shared" si="230"/>
        <v>* Migrantes no puede ser mayor al Total</v>
      </c>
      <c r="DD254"/>
      <c r="DE254"/>
      <c r="DF254"/>
      <c r="DH254" s="2783"/>
      <c r="DI254" s="1725">
        <f t="shared" si="232"/>
        <v>1</v>
      </c>
      <c r="DJ254" s="1725">
        <f t="shared" si="233"/>
        <v>1</v>
      </c>
      <c r="DK254" s="2783"/>
      <c r="DL254" s="1725">
        <f t="shared" si="235"/>
        <v>0</v>
      </c>
      <c r="DM254" s="1725">
        <f t="shared" si="236"/>
        <v>1</v>
      </c>
      <c r="DN254"/>
    </row>
    <row r="255" spans="1:118" ht="15" customHeight="1" x14ac:dyDescent="0.3">
      <c r="A255" s="6269" t="s">
        <v>5113</v>
      </c>
      <c r="B255" s="7424"/>
      <c r="C255" s="7462" t="s">
        <v>915</v>
      </c>
      <c r="D255" s="7400"/>
      <c r="E255" s="954" t="s">
        <v>5292</v>
      </c>
      <c r="F255" s="955" t="s">
        <v>5293</v>
      </c>
      <c r="G255" s="956" t="s">
        <v>5294</v>
      </c>
      <c r="H255" s="964" t="s">
        <v>5295</v>
      </c>
      <c r="I255" s="965" t="s">
        <v>5296</v>
      </c>
      <c r="J255" s="966" t="s">
        <v>5297</v>
      </c>
      <c r="K255" s="965" t="s">
        <v>5298</v>
      </c>
      <c r="L255" s="966" t="s">
        <v>5299</v>
      </c>
      <c r="M255" s="965" t="s">
        <v>5300</v>
      </c>
      <c r="N255" s="966" t="s">
        <v>5301</v>
      </c>
      <c r="O255" s="965" t="s">
        <v>5302</v>
      </c>
      <c r="P255" s="966" t="s">
        <v>5303</v>
      </c>
      <c r="Q255" s="965" t="s">
        <v>5304</v>
      </c>
      <c r="R255" s="966" t="s">
        <v>5305</v>
      </c>
      <c r="S255" s="965" t="s">
        <v>5306</v>
      </c>
      <c r="T255" s="966" t="s">
        <v>5307</v>
      </c>
      <c r="U255" s="965" t="s">
        <v>5308</v>
      </c>
      <c r="V255" s="966" t="s">
        <v>5309</v>
      </c>
      <c r="W255" s="967" t="s">
        <v>5310</v>
      </c>
      <c r="X255" s="966" t="s">
        <v>5311</v>
      </c>
      <c r="Y255" s="967" t="s">
        <v>5312</v>
      </c>
      <c r="Z255" s="959" t="s">
        <v>5313</v>
      </c>
      <c r="AA255" s="960" t="s">
        <v>5314</v>
      </c>
      <c r="AB255" s="959" t="s">
        <v>5315</v>
      </c>
      <c r="AC255" s="960" t="s">
        <v>5316</v>
      </c>
      <c r="AD255" s="959" t="s">
        <v>5317</v>
      </c>
      <c r="AE255" s="960" t="s">
        <v>5318</v>
      </c>
      <c r="AF255" s="959" t="s">
        <v>5319</v>
      </c>
      <c r="AG255" s="960" t="s">
        <v>5320</v>
      </c>
      <c r="AH255" s="959" t="s">
        <v>5321</v>
      </c>
      <c r="AI255" s="960" t="s">
        <v>5322</v>
      </c>
      <c r="AJ255" s="959" t="s">
        <v>5323</v>
      </c>
      <c r="AK255" s="960" t="s">
        <v>5324</v>
      </c>
      <c r="AL255" s="959" t="s">
        <v>5325</v>
      </c>
      <c r="AM255" s="960" t="s">
        <v>5326</v>
      </c>
      <c r="AN255" s="959" t="s">
        <v>5327</v>
      </c>
      <c r="AO255" s="960" t="s">
        <v>5328</v>
      </c>
      <c r="AP255" s="988" t="s">
        <v>5329</v>
      </c>
      <c r="AQ255" s="989" t="s">
        <v>5330</v>
      </c>
      <c r="AR255" s="933" t="s">
        <v>5331</v>
      </c>
      <c r="AS255" s="934" t="s">
        <v>5332</v>
      </c>
      <c r="AT255" s="972" t="s">
        <v>5333</v>
      </c>
      <c r="AU255" s="959" t="s">
        <v>5334</v>
      </c>
      <c r="AV255" s="959" t="s">
        <v>5335</v>
      </c>
      <c r="AW255" s="963" t="s">
        <v>5336</v>
      </c>
      <c r="AX255" s="963" t="s">
        <v>5337</v>
      </c>
      <c r="AY255" s="958" t="s">
        <v>5338</v>
      </c>
      <c r="AZ255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5" s="2783"/>
      <c r="CY255" s="1723" t="str">
        <f t="shared" si="226"/>
        <v xml:space="preserve"> * La variable Usuarios con discapacidad No puede ser mayor al Total.</v>
      </c>
      <c r="CZ255" s="1723" t="str">
        <f t="shared" si="227"/>
        <v xml:space="preserve"> * La variable Usuarios oncológicos No puede ser mayor al Total.</v>
      </c>
      <c r="DA255" s="2783"/>
      <c r="DB255" s="1723" t="str">
        <f t="shared" si="229"/>
        <v/>
      </c>
      <c r="DC255" s="1723" t="str">
        <f t="shared" si="230"/>
        <v>* Migrantes no puede ser mayor al Total</v>
      </c>
      <c r="DD255"/>
      <c r="DE255"/>
      <c r="DF255"/>
      <c r="DH255" s="2783"/>
      <c r="DI255" s="1725">
        <f t="shared" si="232"/>
        <v>1</v>
      </c>
      <c r="DJ255" s="1725">
        <f t="shared" si="233"/>
        <v>1</v>
      </c>
      <c r="DK255" s="2783"/>
      <c r="DL255" s="1725">
        <f t="shared" si="235"/>
        <v>0</v>
      </c>
      <c r="DM255" s="1725">
        <f t="shared" si="236"/>
        <v>1</v>
      </c>
      <c r="DN255"/>
    </row>
    <row r="256" spans="1:118" ht="15" customHeight="1" x14ac:dyDescent="0.3">
      <c r="A256" s="6269" t="s">
        <v>5114</v>
      </c>
      <c r="B256" s="7425"/>
      <c r="C256" s="7463" t="s">
        <v>916</v>
      </c>
      <c r="D256" s="7463"/>
      <c r="E256" s="990" t="s">
        <v>5292</v>
      </c>
      <c r="F256" s="991" t="s">
        <v>5293</v>
      </c>
      <c r="G256" s="992" t="s">
        <v>5294</v>
      </c>
      <c r="H256" s="938" t="s">
        <v>5295</v>
      </c>
      <c r="I256" s="939" t="s">
        <v>5296</v>
      </c>
      <c r="J256" s="940" t="s">
        <v>5297</v>
      </c>
      <c r="K256" s="939" t="s">
        <v>5298</v>
      </c>
      <c r="L256" s="940" t="s">
        <v>5299</v>
      </c>
      <c r="M256" s="939" t="s">
        <v>5300</v>
      </c>
      <c r="N256" s="940" t="s">
        <v>5301</v>
      </c>
      <c r="O256" s="939" t="s">
        <v>5302</v>
      </c>
      <c r="P256" s="940" t="s">
        <v>5303</v>
      </c>
      <c r="Q256" s="939" t="s">
        <v>5304</v>
      </c>
      <c r="R256" s="940" t="s">
        <v>5305</v>
      </c>
      <c r="S256" s="939" t="s">
        <v>5306</v>
      </c>
      <c r="T256" s="940" t="s">
        <v>5307</v>
      </c>
      <c r="U256" s="939" t="s">
        <v>5308</v>
      </c>
      <c r="V256" s="940" t="s">
        <v>5309</v>
      </c>
      <c r="W256" s="941" t="s">
        <v>5310</v>
      </c>
      <c r="X256" s="940" t="s">
        <v>5311</v>
      </c>
      <c r="Y256" s="941" t="s">
        <v>5312</v>
      </c>
      <c r="Z256" s="940" t="s">
        <v>5313</v>
      </c>
      <c r="AA256" s="941" t="s">
        <v>5314</v>
      </c>
      <c r="AB256" s="940" t="s">
        <v>5315</v>
      </c>
      <c r="AC256" s="941" t="s">
        <v>5316</v>
      </c>
      <c r="AD256" s="993" t="s">
        <v>5317</v>
      </c>
      <c r="AE256" s="994" t="s">
        <v>5318</v>
      </c>
      <c r="AF256" s="993" t="s">
        <v>5319</v>
      </c>
      <c r="AG256" s="994" t="s">
        <v>5320</v>
      </c>
      <c r="AH256" s="993" t="s">
        <v>5321</v>
      </c>
      <c r="AI256" s="994" t="s">
        <v>5322</v>
      </c>
      <c r="AJ256" s="993" t="s">
        <v>5323</v>
      </c>
      <c r="AK256" s="994" t="s">
        <v>5324</v>
      </c>
      <c r="AL256" s="993" t="s">
        <v>5325</v>
      </c>
      <c r="AM256" s="994" t="s">
        <v>5326</v>
      </c>
      <c r="AN256" s="993" t="s">
        <v>5327</v>
      </c>
      <c r="AO256" s="994" t="s">
        <v>5328</v>
      </c>
      <c r="AP256" s="995" t="s">
        <v>5329</v>
      </c>
      <c r="AQ256" s="996" t="s">
        <v>5330</v>
      </c>
      <c r="AR256" s="997" t="s">
        <v>5331</v>
      </c>
      <c r="AS256" s="998" t="s">
        <v>5332</v>
      </c>
      <c r="AT256" s="977" t="s">
        <v>5333</v>
      </c>
      <c r="AU256" s="993" t="s">
        <v>5334</v>
      </c>
      <c r="AV256" s="993" t="s">
        <v>5335</v>
      </c>
      <c r="AW256" s="999" t="s">
        <v>5336</v>
      </c>
      <c r="AX256" s="999" t="s">
        <v>5337</v>
      </c>
      <c r="AY256" s="1000" t="s">
        <v>5338</v>
      </c>
      <c r="AZ256" t="str">
        <f t="shared" si="224"/>
        <v xml:space="preserve"> * La variable Usuarios con discapacidad No puede ser mayor al Total. * La variable Usuarios oncológicos No puede ser mayor al Total.* Migrantes no puede ser mayor al Total</v>
      </c>
      <c r="CX256" s="2783"/>
      <c r="CY256" s="1723" t="str">
        <f t="shared" si="226"/>
        <v xml:space="preserve"> * La variable Usuarios con discapacidad No puede ser mayor al Total.</v>
      </c>
      <c r="CZ256" s="1723" t="str">
        <f t="shared" si="227"/>
        <v xml:space="preserve"> * La variable Usuarios oncológicos No puede ser mayor al Total.</v>
      </c>
      <c r="DA256" s="2783"/>
      <c r="DB256" s="1723" t="str">
        <f t="shared" si="229"/>
        <v/>
      </c>
      <c r="DC256" s="1723" t="str">
        <f t="shared" si="230"/>
        <v>* Migrantes no puede ser mayor al Total</v>
      </c>
      <c r="DD256"/>
      <c r="DE256"/>
      <c r="DF256"/>
      <c r="DH256" s="2783"/>
      <c r="DI256" s="1725">
        <f t="shared" si="232"/>
        <v>1</v>
      </c>
      <c r="DJ256" s="1725">
        <f t="shared" si="233"/>
        <v>1</v>
      </c>
      <c r="DK256" s="2783"/>
      <c r="DL256" s="1725">
        <f t="shared" si="235"/>
        <v>0</v>
      </c>
      <c r="DM256" s="1725">
        <f t="shared" si="236"/>
        <v>1</v>
      </c>
      <c r="DN256"/>
    </row>
    <row r="257" spans="1:118" ht="15" customHeight="1" x14ac:dyDescent="0.3">
      <c r="A257" s="6269" t="s">
        <v>5115</v>
      </c>
      <c r="B257" s="7362" t="s">
        <v>756</v>
      </c>
      <c r="C257" s="7460" t="s">
        <v>911</v>
      </c>
      <c r="D257" s="7460"/>
      <c r="E257" s="907" t="s">
        <v>5292</v>
      </c>
      <c r="F257" s="945" t="s">
        <v>5293</v>
      </c>
      <c r="G257" s="946" t="s">
        <v>5294</v>
      </c>
      <c r="H257" s="947" t="s">
        <v>5295</v>
      </c>
      <c r="I257" s="948" t="s">
        <v>5296</v>
      </c>
      <c r="J257" s="949" t="s">
        <v>5297</v>
      </c>
      <c r="K257" s="948" t="s">
        <v>5298</v>
      </c>
      <c r="L257" s="949" t="s">
        <v>5299</v>
      </c>
      <c r="M257" s="948" t="s">
        <v>5300</v>
      </c>
      <c r="N257" s="949" t="s">
        <v>5301</v>
      </c>
      <c r="O257" s="948" t="s">
        <v>5302</v>
      </c>
      <c r="P257" s="949" t="s">
        <v>5303</v>
      </c>
      <c r="Q257" s="948" t="s">
        <v>5304</v>
      </c>
      <c r="R257" s="949" t="s">
        <v>5305</v>
      </c>
      <c r="S257" s="948" t="s">
        <v>5306</v>
      </c>
      <c r="T257" s="949" t="s">
        <v>5307</v>
      </c>
      <c r="U257" s="948" t="s">
        <v>5308</v>
      </c>
      <c r="V257" s="949" t="s">
        <v>5309</v>
      </c>
      <c r="W257" s="950" t="s">
        <v>5310</v>
      </c>
      <c r="X257" s="949" t="s">
        <v>5311</v>
      </c>
      <c r="Y257" s="950" t="s">
        <v>5312</v>
      </c>
      <c r="Z257" s="949" t="s">
        <v>5313</v>
      </c>
      <c r="AA257" s="950" t="s">
        <v>5314</v>
      </c>
      <c r="AB257" s="949" t="s">
        <v>5315</v>
      </c>
      <c r="AC257" s="950" t="s">
        <v>5316</v>
      </c>
      <c r="AD257" s="949" t="s">
        <v>5317</v>
      </c>
      <c r="AE257" s="950" t="s">
        <v>5318</v>
      </c>
      <c r="AF257" s="949" t="s">
        <v>5319</v>
      </c>
      <c r="AG257" s="950" t="s">
        <v>5320</v>
      </c>
      <c r="AH257" s="949" t="s">
        <v>5321</v>
      </c>
      <c r="AI257" s="950" t="s">
        <v>5322</v>
      </c>
      <c r="AJ257" s="949" t="s">
        <v>5323</v>
      </c>
      <c r="AK257" s="950" t="s">
        <v>5324</v>
      </c>
      <c r="AL257" s="949" t="s">
        <v>5325</v>
      </c>
      <c r="AM257" s="950" t="s">
        <v>5326</v>
      </c>
      <c r="AN257" s="949" t="s">
        <v>5327</v>
      </c>
      <c r="AO257" s="950" t="s">
        <v>5328</v>
      </c>
      <c r="AP257" s="951" t="s">
        <v>5329</v>
      </c>
      <c r="AQ257" s="952" t="s">
        <v>5330</v>
      </c>
      <c r="AR257" s="947" t="s">
        <v>5331</v>
      </c>
      <c r="AS257" s="948" t="s">
        <v>5332</v>
      </c>
      <c r="AT257" s="929" t="s">
        <v>5333</v>
      </c>
      <c r="AU257" s="949" t="s">
        <v>5334</v>
      </c>
      <c r="AV257" s="949" t="s">
        <v>5335</v>
      </c>
      <c r="AW257" s="953" t="s">
        <v>5336</v>
      </c>
      <c r="AX257" s="953" t="s">
        <v>5337</v>
      </c>
      <c r="AY257" s="948" t="s">
        <v>5338</v>
      </c>
      <c r="AZ257" t="e">
        <f t="shared" si="224"/>
        <v>#VALUE!</v>
      </c>
      <c r="CX257" s="1723" t="str">
        <f t="shared" si="225"/>
        <v xml:space="preserve"> * Las Embarazadas no pueden superar el Total Mujeres.</v>
      </c>
      <c r="CY257" s="1723" t="str">
        <f t="shared" si="226"/>
        <v xml:space="preserve"> * La variable Usuarios con discapacidad No puede ser mayor al Total.</v>
      </c>
      <c r="CZ257" s="1723" t="str">
        <f t="shared" si="227"/>
        <v xml:space="preserve"> * La variable Usuarios oncológicos No puede ser mayor al Total.</v>
      </c>
      <c r="DA257" s="1723" t="e">
        <f t="shared" si="228"/>
        <v>#VALUE!</v>
      </c>
      <c r="DB257" s="1723" t="str">
        <f t="shared" si="229"/>
        <v/>
      </c>
      <c r="DC257" s="1723" t="str">
        <f t="shared" si="230"/>
        <v>* Migrantes no puede ser mayor al Total</v>
      </c>
      <c r="DD257"/>
      <c r="DE257"/>
      <c r="DF257"/>
      <c r="DH257" s="1725">
        <f t="shared" si="231"/>
        <v>1</v>
      </c>
      <c r="DI257" s="1725">
        <f t="shared" si="232"/>
        <v>1</v>
      </c>
      <c r="DJ257" s="1725">
        <f t="shared" si="233"/>
        <v>1</v>
      </c>
      <c r="DK257" s="1725" t="e">
        <f t="shared" si="234"/>
        <v>#VALUE!</v>
      </c>
      <c r="DL257" s="1725">
        <f t="shared" si="235"/>
        <v>0</v>
      </c>
      <c r="DM257" s="1725">
        <f t="shared" si="236"/>
        <v>1</v>
      </c>
      <c r="DN257"/>
    </row>
    <row r="258" spans="1:118" ht="15" customHeight="1" x14ac:dyDescent="0.3">
      <c r="A258" s="6269" t="s">
        <v>5116</v>
      </c>
      <c r="B258" s="7267"/>
      <c r="C258" s="7461" t="s">
        <v>912</v>
      </c>
      <c r="D258" s="7461"/>
      <c r="E258" s="954" t="s">
        <v>5292</v>
      </c>
      <c r="F258" s="955" t="s">
        <v>5293</v>
      </c>
      <c r="G258" s="956" t="s">
        <v>5294</v>
      </c>
      <c r="H258" s="957" t="s">
        <v>5295</v>
      </c>
      <c r="I258" s="958" t="s">
        <v>5296</v>
      </c>
      <c r="J258" s="959" t="s">
        <v>5297</v>
      </c>
      <c r="K258" s="958" t="s">
        <v>5298</v>
      </c>
      <c r="L258" s="959" t="s">
        <v>5299</v>
      </c>
      <c r="M258" s="958" t="s">
        <v>5300</v>
      </c>
      <c r="N258" s="959" t="s">
        <v>5301</v>
      </c>
      <c r="O258" s="958" t="s">
        <v>5302</v>
      </c>
      <c r="P258" s="959" t="s">
        <v>5303</v>
      </c>
      <c r="Q258" s="958" t="s">
        <v>5304</v>
      </c>
      <c r="R258" s="959" t="s">
        <v>5305</v>
      </c>
      <c r="S258" s="958" t="s">
        <v>5306</v>
      </c>
      <c r="T258" s="959" t="s">
        <v>5307</v>
      </c>
      <c r="U258" s="958" t="s">
        <v>5308</v>
      </c>
      <c r="V258" s="959" t="s">
        <v>5309</v>
      </c>
      <c r="W258" s="960" t="s">
        <v>5310</v>
      </c>
      <c r="X258" s="959" t="s">
        <v>5311</v>
      </c>
      <c r="Y258" s="960" t="s">
        <v>5312</v>
      </c>
      <c r="Z258" s="959" t="s">
        <v>5313</v>
      </c>
      <c r="AA258" s="960" t="s">
        <v>5314</v>
      </c>
      <c r="AB258" s="959" t="s">
        <v>5315</v>
      </c>
      <c r="AC258" s="960" t="s">
        <v>5316</v>
      </c>
      <c r="AD258" s="959" t="s">
        <v>5317</v>
      </c>
      <c r="AE258" s="960" t="s">
        <v>5318</v>
      </c>
      <c r="AF258" s="959" t="s">
        <v>5319</v>
      </c>
      <c r="AG258" s="960" t="s">
        <v>5320</v>
      </c>
      <c r="AH258" s="959" t="s">
        <v>5321</v>
      </c>
      <c r="AI258" s="960" t="s">
        <v>5322</v>
      </c>
      <c r="AJ258" s="959" t="s">
        <v>5323</v>
      </c>
      <c r="AK258" s="960" t="s">
        <v>5324</v>
      </c>
      <c r="AL258" s="959" t="s">
        <v>5325</v>
      </c>
      <c r="AM258" s="960" t="s">
        <v>5326</v>
      </c>
      <c r="AN258" s="959" t="s">
        <v>5327</v>
      </c>
      <c r="AO258" s="960" t="s">
        <v>5328</v>
      </c>
      <c r="AP258" s="961" t="s">
        <v>5329</v>
      </c>
      <c r="AQ258" s="962" t="s">
        <v>5330</v>
      </c>
      <c r="AR258" s="933" t="s">
        <v>5331</v>
      </c>
      <c r="AS258" s="934" t="s">
        <v>5332</v>
      </c>
      <c r="AT258" s="949" t="s">
        <v>5333</v>
      </c>
      <c r="AU258" s="959" t="s">
        <v>5334</v>
      </c>
      <c r="AV258" s="959" t="s">
        <v>5335</v>
      </c>
      <c r="AW258" s="963" t="s">
        <v>5336</v>
      </c>
      <c r="AX258" s="963" t="s">
        <v>5337</v>
      </c>
      <c r="AY258" s="958" t="s">
        <v>5338</v>
      </c>
      <c r="AZ258" t="e">
        <f t="shared" si="224"/>
        <v>#VALUE!</v>
      </c>
      <c r="CX258" s="1723" t="str">
        <f t="shared" si="225"/>
        <v xml:space="preserve"> * Las Embarazadas no pueden superar el Total Mujeres.</v>
      </c>
      <c r="CY258" s="1723" t="str">
        <f t="shared" si="226"/>
        <v xml:space="preserve"> * La variable Usuarios con discapacidad No puede ser mayor al Total.</v>
      </c>
      <c r="CZ258" s="1723" t="str">
        <f t="shared" si="227"/>
        <v xml:space="preserve"> * La variable Usuarios oncológicos No puede ser mayor al Total.</v>
      </c>
      <c r="DA258" s="1723" t="e">
        <f t="shared" si="228"/>
        <v>#VALUE!</v>
      </c>
      <c r="DB258" s="1723" t="str">
        <f t="shared" si="229"/>
        <v/>
      </c>
      <c r="DC258" s="1723" t="str">
        <f t="shared" si="230"/>
        <v>* Migrantes no puede ser mayor al Total</v>
      </c>
      <c r="DD258"/>
      <c r="DE258"/>
      <c r="DF258"/>
      <c r="DH258" s="1725">
        <f t="shared" si="231"/>
        <v>1</v>
      </c>
      <c r="DI258" s="1725">
        <f t="shared" si="232"/>
        <v>1</v>
      </c>
      <c r="DJ258" s="1725">
        <f t="shared" si="233"/>
        <v>1</v>
      </c>
      <c r="DK258" s="1725" t="e">
        <f t="shared" si="234"/>
        <v>#VALUE!</v>
      </c>
      <c r="DL258" s="1725">
        <f t="shared" si="235"/>
        <v>0</v>
      </c>
      <c r="DM258" s="1725">
        <f t="shared" si="236"/>
        <v>1</v>
      </c>
      <c r="DN258"/>
    </row>
    <row r="259" spans="1:118" ht="15" customHeight="1" x14ac:dyDescent="0.3">
      <c r="A259" s="6269" t="s">
        <v>5117</v>
      </c>
      <c r="B259" s="7267"/>
      <c r="C259" s="7461" t="s">
        <v>913</v>
      </c>
      <c r="D259" s="7461"/>
      <c r="E259" s="954" t="s">
        <v>5292</v>
      </c>
      <c r="F259" s="955" t="s">
        <v>5293</v>
      </c>
      <c r="G259" s="956" t="s">
        <v>5294</v>
      </c>
      <c r="H259" s="957" t="s">
        <v>5295</v>
      </c>
      <c r="I259" s="958" t="s">
        <v>5296</v>
      </c>
      <c r="J259" s="959" t="s">
        <v>5297</v>
      </c>
      <c r="K259" s="958" t="s">
        <v>5298</v>
      </c>
      <c r="L259" s="959" t="s">
        <v>5299</v>
      </c>
      <c r="M259" s="958" t="s">
        <v>5300</v>
      </c>
      <c r="N259" s="959" t="s">
        <v>5301</v>
      </c>
      <c r="O259" s="958" t="s">
        <v>5302</v>
      </c>
      <c r="P259" s="959" t="s">
        <v>5303</v>
      </c>
      <c r="Q259" s="958" t="s">
        <v>5304</v>
      </c>
      <c r="R259" s="959" t="s">
        <v>5305</v>
      </c>
      <c r="S259" s="958" t="s">
        <v>5306</v>
      </c>
      <c r="T259" s="959" t="s">
        <v>5307</v>
      </c>
      <c r="U259" s="958" t="s">
        <v>5308</v>
      </c>
      <c r="V259" s="959" t="s">
        <v>5309</v>
      </c>
      <c r="W259" s="960" t="s">
        <v>5310</v>
      </c>
      <c r="X259" s="959" t="s">
        <v>5311</v>
      </c>
      <c r="Y259" s="960" t="s">
        <v>5312</v>
      </c>
      <c r="Z259" s="959" t="s">
        <v>5313</v>
      </c>
      <c r="AA259" s="960" t="s">
        <v>5314</v>
      </c>
      <c r="AB259" s="959" t="s">
        <v>5315</v>
      </c>
      <c r="AC259" s="960" t="s">
        <v>5316</v>
      </c>
      <c r="AD259" s="959" t="s">
        <v>5317</v>
      </c>
      <c r="AE259" s="960" t="s">
        <v>5318</v>
      </c>
      <c r="AF259" s="959" t="s">
        <v>5319</v>
      </c>
      <c r="AG259" s="960" t="s">
        <v>5320</v>
      </c>
      <c r="AH259" s="959" t="s">
        <v>5321</v>
      </c>
      <c r="AI259" s="960" t="s">
        <v>5322</v>
      </c>
      <c r="AJ259" s="959" t="s">
        <v>5323</v>
      </c>
      <c r="AK259" s="960" t="s">
        <v>5324</v>
      </c>
      <c r="AL259" s="959" t="s">
        <v>5325</v>
      </c>
      <c r="AM259" s="960" t="s">
        <v>5326</v>
      </c>
      <c r="AN259" s="959" t="s">
        <v>5327</v>
      </c>
      <c r="AO259" s="960" t="s">
        <v>5328</v>
      </c>
      <c r="AP259" s="961" t="s">
        <v>5329</v>
      </c>
      <c r="AQ259" s="962" t="s">
        <v>5330</v>
      </c>
      <c r="AR259" s="933" t="s">
        <v>5331</v>
      </c>
      <c r="AS259" s="934" t="s">
        <v>5332</v>
      </c>
      <c r="AT259" s="979" t="s">
        <v>5333</v>
      </c>
      <c r="AU259" s="959" t="s">
        <v>5334</v>
      </c>
      <c r="AV259" s="959" t="s">
        <v>5335</v>
      </c>
      <c r="AW259" s="963" t="s">
        <v>5336</v>
      </c>
      <c r="AX259" s="963" t="s">
        <v>5337</v>
      </c>
      <c r="AY259" s="958" t="s">
        <v>5338</v>
      </c>
      <c r="AZ259" t="e">
        <f t="shared" si="224"/>
        <v>#VALUE!</v>
      </c>
      <c r="CX259" s="1723" t="str">
        <f t="shared" si="225"/>
        <v xml:space="preserve"> * Las Embarazadas no pueden superar el Total Mujeres.</v>
      </c>
      <c r="CY259" s="1723" t="str">
        <f t="shared" si="226"/>
        <v xml:space="preserve"> * La variable Usuarios con discapacidad No puede ser mayor al Total.</v>
      </c>
      <c r="CZ259" s="1723" t="str">
        <f t="shared" si="227"/>
        <v xml:space="preserve"> * La variable Usuarios oncológicos No puede ser mayor al Total.</v>
      </c>
      <c r="DA259" s="1723" t="e">
        <f t="shared" si="228"/>
        <v>#VALUE!</v>
      </c>
      <c r="DB259" s="1723" t="str">
        <f t="shared" si="229"/>
        <v/>
      </c>
      <c r="DC259" s="1723" t="str">
        <f t="shared" si="230"/>
        <v>* Migrantes no puede ser mayor al Total</v>
      </c>
      <c r="DD259"/>
      <c r="DE259"/>
      <c r="DF259"/>
      <c r="DH259" s="1725">
        <f t="shared" si="231"/>
        <v>1</v>
      </c>
      <c r="DI259" s="1725">
        <f t="shared" si="232"/>
        <v>1</v>
      </c>
      <c r="DJ259" s="1725">
        <f t="shared" si="233"/>
        <v>1</v>
      </c>
      <c r="DK259" s="1725" t="e">
        <f t="shared" si="234"/>
        <v>#VALUE!</v>
      </c>
      <c r="DL259" s="1725">
        <f t="shared" si="235"/>
        <v>0</v>
      </c>
      <c r="DM259" s="1725">
        <f t="shared" si="236"/>
        <v>1</v>
      </c>
      <c r="DN259"/>
    </row>
    <row r="260" spans="1:118" ht="15" customHeight="1" x14ac:dyDescent="0.3">
      <c r="A260" s="6269" t="s">
        <v>5118</v>
      </c>
      <c r="B260" s="7267"/>
      <c r="C260" s="7462" t="s">
        <v>914</v>
      </c>
      <c r="D260" s="7400"/>
      <c r="E260" s="954" t="s">
        <v>5292</v>
      </c>
      <c r="F260" s="955" t="s">
        <v>5293</v>
      </c>
      <c r="G260" s="956" t="s">
        <v>5294</v>
      </c>
      <c r="H260" s="964" t="s">
        <v>5295</v>
      </c>
      <c r="I260" s="965" t="s">
        <v>5296</v>
      </c>
      <c r="J260" s="966" t="s">
        <v>5297</v>
      </c>
      <c r="K260" s="965" t="s">
        <v>5298</v>
      </c>
      <c r="L260" s="966" t="s">
        <v>5299</v>
      </c>
      <c r="M260" s="965" t="s">
        <v>5300</v>
      </c>
      <c r="N260" s="966" t="s">
        <v>5301</v>
      </c>
      <c r="O260" s="965" t="s">
        <v>5302</v>
      </c>
      <c r="P260" s="966" t="s">
        <v>5303</v>
      </c>
      <c r="Q260" s="965" t="s">
        <v>5304</v>
      </c>
      <c r="R260" s="966" t="s">
        <v>5305</v>
      </c>
      <c r="S260" s="965" t="s">
        <v>5306</v>
      </c>
      <c r="T260" s="966" t="s">
        <v>5307</v>
      </c>
      <c r="U260" s="965" t="s">
        <v>5308</v>
      </c>
      <c r="V260" s="966" t="s">
        <v>5309</v>
      </c>
      <c r="W260" s="967" t="s">
        <v>5310</v>
      </c>
      <c r="X260" s="966" t="s">
        <v>5311</v>
      </c>
      <c r="Y260" s="967" t="s">
        <v>5312</v>
      </c>
      <c r="Z260" s="966" t="s">
        <v>5313</v>
      </c>
      <c r="AA260" s="967" t="s">
        <v>5314</v>
      </c>
      <c r="AB260" s="966" t="s">
        <v>5315</v>
      </c>
      <c r="AC260" s="967" t="s">
        <v>5316</v>
      </c>
      <c r="AD260" s="966" t="s">
        <v>5317</v>
      </c>
      <c r="AE260" s="967" t="s">
        <v>5318</v>
      </c>
      <c r="AF260" s="966" t="s">
        <v>5319</v>
      </c>
      <c r="AG260" s="967" t="s">
        <v>5320</v>
      </c>
      <c r="AH260" s="966" t="s">
        <v>5321</v>
      </c>
      <c r="AI260" s="967" t="s">
        <v>5322</v>
      </c>
      <c r="AJ260" s="966" t="s">
        <v>5323</v>
      </c>
      <c r="AK260" s="967" t="s">
        <v>5324</v>
      </c>
      <c r="AL260" s="966" t="s">
        <v>5325</v>
      </c>
      <c r="AM260" s="967" t="s">
        <v>5326</v>
      </c>
      <c r="AN260" s="966" t="s">
        <v>5327</v>
      </c>
      <c r="AO260" s="967" t="s">
        <v>5328</v>
      </c>
      <c r="AP260" s="968" t="s">
        <v>5329</v>
      </c>
      <c r="AQ260" s="969" t="s">
        <v>5330</v>
      </c>
      <c r="AR260" s="970" t="s">
        <v>5331</v>
      </c>
      <c r="AS260" s="971" t="s">
        <v>5332</v>
      </c>
      <c r="AT260" s="979" t="s">
        <v>5333</v>
      </c>
      <c r="AU260" s="966" t="s">
        <v>5334</v>
      </c>
      <c r="AV260" s="966" t="s">
        <v>5335</v>
      </c>
      <c r="AW260" s="973" t="s">
        <v>5336</v>
      </c>
      <c r="AX260" s="973" t="s">
        <v>5337</v>
      </c>
      <c r="AY260" s="965" t="s">
        <v>5338</v>
      </c>
      <c r="AZ260" t="e">
        <f t="shared" si="224"/>
        <v>#VALUE!</v>
      </c>
      <c r="CX260" s="1723" t="str">
        <f t="shared" si="225"/>
        <v xml:space="preserve"> * Las Embarazadas no pueden superar el Total Mujeres.</v>
      </c>
      <c r="CY260" s="1723" t="str">
        <f t="shared" si="226"/>
        <v xml:space="preserve"> * La variable Usuarios con discapacidad No puede ser mayor al Total.</v>
      </c>
      <c r="CZ260" s="1723" t="str">
        <f t="shared" si="227"/>
        <v xml:space="preserve"> * La variable Usuarios oncológicos No puede ser mayor al Total.</v>
      </c>
      <c r="DA260" s="1723" t="e">
        <f t="shared" si="228"/>
        <v>#VALUE!</v>
      </c>
      <c r="DB260" s="1723" t="str">
        <f t="shared" si="229"/>
        <v/>
      </c>
      <c r="DC260" s="1723" t="str">
        <f t="shared" si="230"/>
        <v>* Migrantes no puede ser mayor al Total</v>
      </c>
      <c r="DD260"/>
      <c r="DE260"/>
      <c r="DF260"/>
      <c r="DH260" s="1725">
        <f t="shared" si="231"/>
        <v>1</v>
      </c>
      <c r="DI260" s="1725">
        <f t="shared" si="232"/>
        <v>1</v>
      </c>
      <c r="DJ260" s="1725">
        <f t="shared" si="233"/>
        <v>1</v>
      </c>
      <c r="DK260" s="1725" t="e">
        <f t="shared" si="234"/>
        <v>#VALUE!</v>
      </c>
      <c r="DL260" s="1725">
        <f t="shared" si="235"/>
        <v>0</v>
      </c>
      <c r="DM260" s="1725">
        <f t="shared" si="236"/>
        <v>1</v>
      </c>
      <c r="DN260"/>
    </row>
    <row r="261" spans="1:118" ht="15" customHeight="1" x14ac:dyDescent="0.3">
      <c r="A261" s="6269" t="s">
        <v>5119</v>
      </c>
      <c r="B261" s="7267"/>
      <c r="C261" s="7462" t="s">
        <v>915</v>
      </c>
      <c r="D261" s="7400"/>
      <c r="E261" s="954" t="s">
        <v>5292</v>
      </c>
      <c r="F261" s="955" t="s">
        <v>5293</v>
      </c>
      <c r="G261" s="956" t="s">
        <v>5294</v>
      </c>
      <c r="H261" s="964" t="s">
        <v>5295</v>
      </c>
      <c r="I261" s="965" t="s">
        <v>5296</v>
      </c>
      <c r="J261" s="966" t="s">
        <v>5297</v>
      </c>
      <c r="K261" s="965" t="s">
        <v>5298</v>
      </c>
      <c r="L261" s="966" t="s">
        <v>5299</v>
      </c>
      <c r="M261" s="965" t="s">
        <v>5300</v>
      </c>
      <c r="N261" s="966" t="s">
        <v>5301</v>
      </c>
      <c r="O261" s="965" t="s">
        <v>5302</v>
      </c>
      <c r="P261" s="966" t="s">
        <v>5303</v>
      </c>
      <c r="Q261" s="965" t="s">
        <v>5304</v>
      </c>
      <c r="R261" s="966" t="s">
        <v>5305</v>
      </c>
      <c r="S261" s="965" t="s">
        <v>5306</v>
      </c>
      <c r="T261" s="966" t="s">
        <v>5307</v>
      </c>
      <c r="U261" s="965" t="s">
        <v>5308</v>
      </c>
      <c r="V261" s="966" t="s">
        <v>5309</v>
      </c>
      <c r="W261" s="967" t="s">
        <v>5310</v>
      </c>
      <c r="X261" s="966" t="s">
        <v>5311</v>
      </c>
      <c r="Y261" s="967" t="s">
        <v>5312</v>
      </c>
      <c r="Z261" s="966" t="s">
        <v>5313</v>
      </c>
      <c r="AA261" s="967" t="s">
        <v>5314</v>
      </c>
      <c r="AB261" s="966" t="s">
        <v>5315</v>
      </c>
      <c r="AC261" s="967" t="s">
        <v>5316</v>
      </c>
      <c r="AD261" s="966" t="s">
        <v>5317</v>
      </c>
      <c r="AE261" s="967" t="s">
        <v>5318</v>
      </c>
      <c r="AF261" s="966" t="s">
        <v>5319</v>
      </c>
      <c r="AG261" s="967" t="s">
        <v>5320</v>
      </c>
      <c r="AH261" s="966" t="s">
        <v>5321</v>
      </c>
      <c r="AI261" s="967" t="s">
        <v>5322</v>
      </c>
      <c r="AJ261" s="966" t="s">
        <v>5323</v>
      </c>
      <c r="AK261" s="967" t="s">
        <v>5324</v>
      </c>
      <c r="AL261" s="966" t="s">
        <v>5325</v>
      </c>
      <c r="AM261" s="967" t="s">
        <v>5326</v>
      </c>
      <c r="AN261" s="966" t="s">
        <v>5327</v>
      </c>
      <c r="AO261" s="967" t="s">
        <v>5328</v>
      </c>
      <c r="AP261" s="968" t="s">
        <v>5329</v>
      </c>
      <c r="AQ261" s="969" t="s">
        <v>5330</v>
      </c>
      <c r="AR261" s="970" t="s">
        <v>5331</v>
      </c>
      <c r="AS261" s="971" t="s">
        <v>5332</v>
      </c>
      <c r="AT261" s="972" t="s">
        <v>5333</v>
      </c>
      <c r="AU261" s="966" t="s">
        <v>5334</v>
      </c>
      <c r="AV261" s="966" t="s">
        <v>5335</v>
      </c>
      <c r="AW261" s="973" t="s">
        <v>5336</v>
      </c>
      <c r="AX261" s="973" t="s">
        <v>5337</v>
      </c>
      <c r="AY261" s="965" t="s">
        <v>5338</v>
      </c>
      <c r="AZ261" t="e">
        <f t="shared" si="224"/>
        <v>#VALUE!</v>
      </c>
      <c r="CX261" s="1723" t="str">
        <f t="shared" si="225"/>
        <v xml:space="preserve"> * Las Embarazadas no pueden superar el Total Mujeres.</v>
      </c>
      <c r="CY261" s="1723" t="str">
        <f t="shared" si="226"/>
        <v xml:space="preserve"> * La variable Usuarios con discapacidad No puede ser mayor al Total.</v>
      </c>
      <c r="CZ261" s="1723" t="str">
        <f t="shared" si="227"/>
        <v xml:space="preserve"> * La variable Usuarios oncológicos No puede ser mayor al Total.</v>
      </c>
      <c r="DA261" s="1723" t="e">
        <f t="shared" si="228"/>
        <v>#VALUE!</v>
      </c>
      <c r="DB261" s="1723" t="str">
        <f t="shared" si="229"/>
        <v/>
      </c>
      <c r="DC261" s="1723" t="str">
        <f t="shared" si="230"/>
        <v>* Migrantes no puede ser mayor al Total</v>
      </c>
      <c r="DD261"/>
      <c r="DE261"/>
      <c r="DF261"/>
      <c r="DH261" s="1725">
        <f t="shared" si="231"/>
        <v>1</v>
      </c>
      <c r="DI261" s="1725">
        <f t="shared" si="232"/>
        <v>1</v>
      </c>
      <c r="DJ261" s="1725">
        <f t="shared" si="233"/>
        <v>1</v>
      </c>
      <c r="DK261" s="1725" t="e">
        <f t="shared" si="234"/>
        <v>#VALUE!</v>
      </c>
      <c r="DL261" s="1725">
        <f t="shared" si="235"/>
        <v>0</v>
      </c>
      <c r="DM261" s="1725">
        <f t="shared" si="236"/>
        <v>1</v>
      </c>
      <c r="DN261"/>
    </row>
    <row r="262" spans="1:118" ht="15" customHeight="1" x14ac:dyDescent="0.3">
      <c r="A262" s="6269" t="s">
        <v>5120</v>
      </c>
      <c r="B262" s="7363"/>
      <c r="C262" s="7463" t="s">
        <v>916</v>
      </c>
      <c r="D262" s="7463"/>
      <c r="E262" s="1001" t="s">
        <v>5292</v>
      </c>
      <c r="F262" s="88" t="s">
        <v>5293</v>
      </c>
      <c r="G262" s="206" t="s">
        <v>5294</v>
      </c>
      <c r="H262" s="964" t="s">
        <v>5295</v>
      </c>
      <c r="I262" s="965" t="s">
        <v>5296</v>
      </c>
      <c r="J262" s="966" t="s">
        <v>5297</v>
      </c>
      <c r="K262" s="965" t="s">
        <v>5298</v>
      </c>
      <c r="L262" s="966" t="s">
        <v>5299</v>
      </c>
      <c r="M262" s="965" t="s">
        <v>5300</v>
      </c>
      <c r="N262" s="966" t="s">
        <v>5301</v>
      </c>
      <c r="O262" s="965" t="s">
        <v>5302</v>
      </c>
      <c r="P262" s="966" t="s">
        <v>5303</v>
      </c>
      <c r="Q262" s="965" t="s">
        <v>5304</v>
      </c>
      <c r="R262" s="966" t="s">
        <v>5305</v>
      </c>
      <c r="S262" s="965" t="s">
        <v>5306</v>
      </c>
      <c r="T262" s="966" t="s">
        <v>5307</v>
      </c>
      <c r="U262" s="965" t="s">
        <v>5308</v>
      </c>
      <c r="V262" s="966" t="s">
        <v>5309</v>
      </c>
      <c r="W262" s="967" t="s">
        <v>5310</v>
      </c>
      <c r="X262" s="966" t="s">
        <v>5311</v>
      </c>
      <c r="Y262" s="967" t="s">
        <v>5312</v>
      </c>
      <c r="Z262" s="966" t="s">
        <v>5313</v>
      </c>
      <c r="AA262" s="967" t="s">
        <v>5314</v>
      </c>
      <c r="AB262" s="966" t="s">
        <v>5315</v>
      </c>
      <c r="AC262" s="967" t="s">
        <v>5316</v>
      </c>
      <c r="AD262" s="966" t="s">
        <v>5317</v>
      </c>
      <c r="AE262" s="967" t="s">
        <v>5318</v>
      </c>
      <c r="AF262" s="966" t="s">
        <v>5319</v>
      </c>
      <c r="AG262" s="967" t="s">
        <v>5320</v>
      </c>
      <c r="AH262" s="966" t="s">
        <v>5321</v>
      </c>
      <c r="AI262" s="967" t="s">
        <v>5322</v>
      </c>
      <c r="AJ262" s="966" t="s">
        <v>5323</v>
      </c>
      <c r="AK262" s="967" t="s">
        <v>5324</v>
      </c>
      <c r="AL262" s="966" t="s">
        <v>5325</v>
      </c>
      <c r="AM262" s="967" t="s">
        <v>5326</v>
      </c>
      <c r="AN262" s="966" t="s">
        <v>5327</v>
      </c>
      <c r="AO262" s="967" t="s">
        <v>5328</v>
      </c>
      <c r="AP262" s="942" t="s">
        <v>5329</v>
      </c>
      <c r="AQ262" s="943" t="s">
        <v>5330</v>
      </c>
      <c r="AR262" s="975" t="s">
        <v>5331</v>
      </c>
      <c r="AS262" s="976" t="s">
        <v>5332</v>
      </c>
      <c r="AT262" s="977" t="s">
        <v>5333</v>
      </c>
      <c r="AU262" s="940" t="s">
        <v>5334</v>
      </c>
      <c r="AV262" s="940" t="s">
        <v>5335</v>
      </c>
      <c r="AW262" s="944" t="s">
        <v>5336</v>
      </c>
      <c r="AX262" s="944" t="s">
        <v>5337</v>
      </c>
      <c r="AY262" s="939" t="s">
        <v>5338</v>
      </c>
      <c r="AZ262" t="e">
        <f t="shared" si="224"/>
        <v>#VALUE!</v>
      </c>
      <c r="CX262" s="1723" t="str">
        <f t="shared" si="225"/>
        <v xml:space="preserve"> * Las Embarazadas no pueden superar el Total Mujeres.</v>
      </c>
      <c r="CY262" s="1723" t="str">
        <f t="shared" si="226"/>
        <v xml:space="preserve"> * La variable Usuarios con discapacidad No puede ser mayor al Total.</v>
      </c>
      <c r="CZ262" s="1723" t="str">
        <f t="shared" si="227"/>
        <v xml:space="preserve"> * La variable Usuarios oncológicos No puede ser mayor al Total.</v>
      </c>
      <c r="DA262" s="1723" t="e">
        <f t="shared" si="228"/>
        <v>#VALUE!</v>
      </c>
      <c r="DB262" s="1723" t="str">
        <f t="shared" si="229"/>
        <v/>
      </c>
      <c r="DC262" s="1723" t="str">
        <f t="shared" si="230"/>
        <v>* Migrantes no puede ser mayor al Total</v>
      </c>
      <c r="DD262"/>
      <c r="DE262"/>
      <c r="DF262"/>
      <c r="DH262" s="1725">
        <f t="shared" si="231"/>
        <v>1</v>
      </c>
      <c r="DI262" s="1725">
        <f t="shared" si="232"/>
        <v>1</v>
      </c>
      <c r="DJ262" s="1725">
        <f t="shared" si="233"/>
        <v>1</v>
      </c>
      <c r="DK262" s="1725" t="e">
        <f t="shared" si="234"/>
        <v>#VALUE!</v>
      </c>
      <c r="DL262" s="1725">
        <f t="shared" si="235"/>
        <v>0</v>
      </c>
      <c r="DM262" s="1725">
        <f t="shared" si="236"/>
        <v>1</v>
      </c>
      <c r="DN262"/>
    </row>
    <row r="263" spans="1:118" ht="15" customHeight="1" x14ac:dyDescent="0.3">
      <c r="A263" s="6269" t="s">
        <v>5121</v>
      </c>
      <c r="B263" s="7362" t="s">
        <v>920</v>
      </c>
      <c r="C263" s="7460" t="s">
        <v>911</v>
      </c>
      <c r="D263" s="7460"/>
      <c r="E263" s="905" t="s">
        <v>5292</v>
      </c>
      <c r="F263" s="213" t="s">
        <v>5293</v>
      </c>
      <c r="G263" s="978" t="s">
        <v>5294</v>
      </c>
      <c r="H263" s="1002" t="s">
        <v>5295</v>
      </c>
      <c r="I263" s="1003" t="s">
        <v>5296</v>
      </c>
      <c r="J263" s="1004" t="s">
        <v>5297</v>
      </c>
      <c r="K263" s="1003" t="s">
        <v>5298</v>
      </c>
      <c r="L263" s="1004" t="s">
        <v>5299</v>
      </c>
      <c r="M263" s="1003" t="s">
        <v>5300</v>
      </c>
      <c r="N263" s="1005" t="s">
        <v>5301</v>
      </c>
      <c r="O263" s="1006" t="s">
        <v>5302</v>
      </c>
      <c r="P263" s="1007" t="s">
        <v>5303</v>
      </c>
      <c r="Q263" s="1006" t="s">
        <v>5304</v>
      </c>
      <c r="R263" s="1004" t="s">
        <v>5305</v>
      </c>
      <c r="S263" s="1003" t="s">
        <v>5306</v>
      </c>
      <c r="T263" s="1004" t="s">
        <v>5307</v>
      </c>
      <c r="U263" s="1003" t="s">
        <v>5308</v>
      </c>
      <c r="V263" s="1005" t="s">
        <v>5309</v>
      </c>
      <c r="W263" s="1006" t="s">
        <v>5310</v>
      </c>
      <c r="X263" s="1007" t="s">
        <v>5311</v>
      </c>
      <c r="Y263" s="1006" t="s">
        <v>5312</v>
      </c>
      <c r="Z263" s="929" t="s">
        <v>5313</v>
      </c>
      <c r="AA263" s="930" t="s">
        <v>5314</v>
      </c>
      <c r="AB263" s="929" t="s">
        <v>5315</v>
      </c>
      <c r="AC263" s="930" t="s">
        <v>5316</v>
      </c>
      <c r="AD263" s="929" t="s">
        <v>5317</v>
      </c>
      <c r="AE263" s="930" t="s">
        <v>5318</v>
      </c>
      <c r="AF263" s="929" t="s">
        <v>5319</v>
      </c>
      <c r="AG263" s="930" t="s">
        <v>5320</v>
      </c>
      <c r="AH263" s="929" t="s">
        <v>5321</v>
      </c>
      <c r="AI263" s="930" t="s">
        <v>5322</v>
      </c>
      <c r="AJ263" s="929" t="s">
        <v>5323</v>
      </c>
      <c r="AK263" s="930" t="s">
        <v>5324</v>
      </c>
      <c r="AL263" s="929" t="s">
        <v>5325</v>
      </c>
      <c r="AM263" s="930" t="s">
        <v>5326</v>
      </c>
      <c r="AN263" s="929" t="s">
        <v>5327</v>
      </c>
      <c r="AO263" s="930" t="s">
        <v>5328</v>
      </c>
      <c r="AP263" s="951" t="s">
        <v>5329</v>
      </c>
      <c r="AQ263" s="952" t="s">
        <v>5330</v>
      </c>
      <c r="AR263" s="927" t="s">
        <v>5331</v>
      </c>
      <c r="AS263" s="948" t="s">
        <v>5332</v>
      </c>
      <c r="AT263" s="929" t="s">
        <v>5333</v>
      </c>
      <c r="AU263" s="949" t="s">
        <v>5334</v>
      </c>
      <c r="AV263" s="949" t="s">
        <v>5335</v>
      </c>
      <c r="AW263" s="953" t="s">
        <v>5336</v>
      </c>
      <c r="AX263" s="953" t="s">
        <v>5337</v>
      </c>
      <c r="AY263" s="948" t="s">
        <v>5338</v>
      </c>
      <c r="AZ263" t="e">
        <f t="shared" si="224"/>
        <v>#VALUE!</v>
      </c>
      <c r="CX263" s="1723" t="str">
        <f t="shared" si="225"/>
        <v xml:space="preserve"> * Las Embarazadas no pueden superar el Total Mujeres.</v>
      </c>
      <c r="CY263" s="1723" t="str">
        <f t="shared" si="226"/>
        <v xml:space="preserve"> * La variable Usuarios con discapacidad No puede ser mayor al Total.</v>
      </c>
      <c r="CZ263" s="1723" t="str">
        <f t="shared" si="227"/>
        <v xml:space="preserve"> * La variable Usuarios oncológicos No puede ser mayor al Total.</v>
      </c>
      <c r="DA263" s="1723" t="e">
        <f t="shared" si="228"/>
        <v>#VALUE!</v>
      </c>
      <c r="DB263" s="1723" t="str">
        <f t="shared" si="229"/>
        <v/>
      </c>
      <c r="DC263" s="1723" t="str">
        <f t="shared" si="230"/>
        <v>* Migrantes no puede ser mayor al Total</v>
      </c>
      <c r="DD263"/>
      <c r="DE263"/>
      <c r="DF263"/>
      <c r="DH263" s="1725">
        <f t="shared" si="231"/>
        <v>1</v>
      </c>
      <c r="DI263" s="1725">
        <f t="shared" si="232"/>
        <v>1</v>
      </c>
      <c r="DJ263" s="1725">
        <f t="shared" si="233"/>
        <v>1</v>
      </c>
      <c r="DK263" s="1725" t="e">
        <f t="shared" si="234"/>
        <v>#VALUE!</v>
      </c>
      <c r="DL263" s="1725">
        <f t="shared" si="235"/>
        <v>0</v>
      </c>
      <c r="DM263" s="1725">
        <f t="shared" si="236"/>
        <v>1</v>
      </c>
      <c r="DN263"/>
    </row>
    <row r="264" spans="1:118" ht="15" customHeight="1" x14ac:dyDescent="0.3">
      <c r="A264" s="6269" t="s">
        <v>5122</v>
      </c>
      <c r="B264" s="7267"/>
      <c r="C264" s="7461" t="s">
        <v>912</v>
      </c>
      <c r="D264" s="7461"/>
      <c r="E264" s="954" t="s">
        <v>5292</v>
      </c>
      <c r="F264" s="1008" t="s">
        <v>5293</v>
      </c>
      <c r="G264" s="1009" t="s">
        <v>5294</v>
      </c>
      <c r="H264" s="1010" t="s">
        <v>5295</v>
      </c>
      <c r="I264" s="1011" t="s">
        <v>5296</v>
      </c>
      <c r="J264" s="1012" t="s">
        <v>5297</v>
      </c>
      <c r="K264" s="1011" t="s">
        <v>5298</v>
      </c>
      <c r="L264" s="1012" t="s">
        <v>5299</v>
      </c>
      <c r="M264" s="1011" t="s">
        <v>5300</v>
      </c>
      <c r="N264" s="979" t="s">
        <v>5301</v>
      </c>
      <c r="O264" s="934" t="s">
        <v>5302</v>
      </c>
      <c r="P264" s="979" t="s">
        <v>5303</v>
      </c>
      <c r="Q264" s="934" t="s">
        <v>5304</v>
      </c>
      <c r="R264" s="1012" t="s">
        <v>5305</v>
      </c>
      <c r="S264" s="1011" t="s">
        <v>5306</v>
      </c>
      <c r="T264" s="1012" t="s">
        <v>5307</v>
      </c>
      <c r="U264" s="1011" t="s">
        <v>5308</v>
      </c>
      <c r="V264" s="979" t="s">
        <v>5309</v>
      </c>
      <c r="W264" s="934" t="s">
        <v>5310</v>
      </c>
      <c r="X264" s="979" t="s">
        <v>5311</v>
      </c>
      <c r="Y264" s="934" t="s">
        <v>5312</v>
      </c>
      <c r="Z264" s="959" t="s">
        <v>5313</v>
      </c>
      <c r="AA264" s="960" t="s">
        <v>5314</v>
      </c>
      <c r="AB264" s="959" t="s">
        <v>5315</v>
      </c>
      <c r="AC264" s="960" t="s">
        <v>5316</v>
      </c>
      <c r="AD264" s="959" t="s">
        <v>5317</v>
      </c>
      <c r="AE264" s="960" t="s">
        <v>5318</v>
      </c>
      <c r="AF264" s="959" t="s">
        <v>5319</v>
      </c>
      <c r="AG264" s="960" t="s">
        <v>5320</v>
      </c>
      <c r="AH264" s="959" t="s">
        <v>5321</v>
      </c>
      <c r="AI264" s="960" t="s">
        <v>5322</v>
      </c>
      <c r="AJ264" s="959" t="s">
        <v>5323</v>
      </c>
      <c r="AK264" s="960" t="s">
        <v>5324</v>
      </c>
      <c r="AL264" s="959" t="s">
        <v>5325</v>
      </c>
      <c r="AM264" s="960" t="s">
        <v>5326</v>
      </c>
      <c r="AN264" s="959" t="s">
        <v>5327</v>
      </c>
      <c r="AO264" s="960" t="s">
        <v>5328</v>
      </c>
      <c r="AP264" s="961" t="s">
        <v>5329</v>
      </c>
      <c r="AQ264" s="962" t="s">
        <v>5330</v>
      </c>
      <c r="AR264" s="933" t="s">
        <v>5331</v>
      </c>
      <c r="AS264" s="934" t="s">
        <v>5332</v>
      </c>
      <c r="AT264" s="949" t="s">
        <v>5333</v>
      </c>
      <c r="AU264" s="959" t="s">
        <v>5334</v>
      </c>
      <c r="AV264" s="959" t="s">
        <v>5335</v>
      </c>
      <c r="AW264" s="963" t="s">
        <v>5336</v>
      </c>
      <c r="AX264" s="963" t="s">
        <v>5337</v>
      </c>
      <c r="AY264" s="958" t="s">
        <v>5338</v>
      </c>
      <c r="AZ264" t="e">
        <f t="shared" si="224"/>
        <v>#VALUE!</v>
      </c>
      <c r="CX264" s="1723" t="str">
        <f t="shared" si="225"/>
        <v xml:space="preserve"> * Las Embarazadas no pueden superar el Total Mujeres.</v>
      </c>
      <c r="CY264" s="1723" t="str">
        <f t="shared" si="226"/>
        <v xml:space="preserve"> * La variable Usuarios con discapacidad No puede ser mayor al Total.</v>
      </c>
      <c r="CZ264" s="1723" t="str">
        <f t="shared" si="227"/>
        <v xml:space="preserve"> * La variable Usuarios oncológicos No puede ser mayor al Total.</v>
      </c>
      <c r="DA264" s="1723" t="e">
        <f t="shared" si="228"/>
        <v>#VALUE!</v>
      </c>
      <c r="DB264" s="1723" t="str">
        <f t="shared" si="229"/>
        <v/>
      </c>
      <c r="DC264" s="1723" t="str">
        <f t="shared" si="230"/>
        <v>* Migrantes no puede ser mayor al Total</v>
      </c>
      <c r="DD264"/>
      <c r="DE264"/>
      <c r="DF264"/>
      <c r="DH264" s="1725">
        <f t="shared" si="231"/>
        <v>1</v>
      </c>
      <c r="DI264" s="1725">
        <f t="shared" si="232"/>
        <v>1</v>
      </c>
      <c r="DJ264" s="1725">
        <f t="shared" si="233"/>
        <v>1</v>
      </c>
      <c r="DK264" s="1725" t="e">
        <f t="shared" si="234"/>
        <v>#VALUE!</v>
      </c>
      <c r="DL264" s="1725">
        <f t="shared" si="235"/>
        <v>0</v>
      </c>
      <c r="DM264" s="1725">
        <f t="shared" si="236"/>
        <v>1</v>
      </c>
      <c r="DN264"/>
    </row>
    <row r="265" spans="1:118" ht="15" customHeight="1" x14ac:dyDescent="0.3">
      <c r="A265" s="6269" t="s">
        <v>5123</v>
      </c>
      <c r="B265" s="7267"/>
      <c r="C265" s="7461" t="s">
        <v>913</v>
      </c>
      <c r="D265" s="7461"/>
      <c r="E265" s="954" t="s">
        <v>5292</v>
      </c>
      <c r="F265" s="1008" t="s">
        <v>5293</v>
      </c>
      <c r="G265" s="1009" t="s">
        <v>5294</v>
      </c>
      <c r="H265" s="1010" t="s">
        <v>5295</v>
      </c>
      <c r="I265" s="1011" t="s">
        <v>5296</v>
      </c>
      <c r="J265" s="1012" t="s">
        <v>5297</v>
      </c>
      <c r="K265" s="1011" t="s">
        <v>5298</v>
      </c>
      <c r="L265" s="1012" t="s">
        <v>5299</v>
      </c>
      <c r="M265" s="1011" t="s">
        <v>5300</v>
      </c>
      <c r="N265" s="979" t="s">
        <v>5301</v>
      </c>
      <c r="O265" s="934" t="s">
        <v>5302</v>
      </c>
      <c r="P265" s="979" t="s">
        <v>5303</v>
      </c>
      <c r="Q265" s="934" t="s">
        <v>5304</v>
      </c>
      <c r="R265" s="1012" t="s">
        <v>5305</v>
      </c>
      <c r="S265" s="1011" t="s">
        <v>5306</v>
      </c>
      <c r="T265" s="1012" t="s">
        <v>5307</v>
      </c>
      <c r="U265" s="1011" t="s">
        <v>5308</v>
      </c>
      <c r="V265" s="979" t="s">
        <v>5309</v>
      </c>
      <c r="W265" s="934" t="s">
        <v>5310</v>
      </c>
      <c r="X265" s="979" t="s">
        <v>5311</v>
      </c>
      <c r="Y265" s="934" t="s">
        <v>5312</v>
      </c>
      <c r="Z265" s="959" t="s">
        <v>5313</v>
      </c>
      <c r="AA265" s="960" t="s">
        <v>5314</v>
      </c>
      <c r="AB265" s="959" t="s">
        <v>5315</v>
      </c>
      <c r="AC265" s="960" t="s">
        <v>5316</v>
      </c>
      <c r="AD265" s="959" t="s">
        <v>5317</v>
      </c>
      <c r="AE265" s="960" t="s">
        <v>5318</v>
      </c>
      <c r="AF265" s="959" t="s">
        <v>5319</v>
      </c>
      <c r="AG265" s="960" t="s">
        <v>5320</v>
      </c>
      <c r="AH265" s="959" t="s">
        <v>5321</v>
      </c>
      <c r="AI265" s="960" t="s">
        <v>5322</v>
      </c>
      <c r="AJ265" s="959" t="s">
        <v>5323</v>
      </c>
      <c r="AK265" s="960" t="s">
        <v>5324</v>
      </c>
      <c r="AL265" s="959" t="s">
        <v>5325</v>
      </c>
      <c r="AM265" s="960" t="s">
        <v>5326</v>
      </c>
      <c r="AN265" s="959" t="s">
        <v>5327</v>
      </c>
      <c r="AO265" s="960" t="s">
        <v>5328</v>
      </c>
      <c r="AP265" s="961" t="s">
        <v>5329</v>
      </c>
      <c r="AQ265" s="962" t="s">
        <v>5330</v>
      </c>
      <c r="AR265" s="933" t="s">
        <v>5331</v>
      </c>
      <c r="AS265" s="934" t="s">
        <v>5332</v>
      </c>
      <c r="AT265" s="979" t="s">
        <v>5333</v>
      </c>
      <c r="AU265" s="959" t="s">
        <v>5334</v>
      </c>
      <c r="AV265" s="959" t="s">
        <v>5335</v>
      </c>
      <c r="AW265" s="963" t="s">
        <v>5336</v>
      </c>
      <c r="AX265" s="963" t="s">
        <v>5337</v>
      </c>
      <c r="AY265" s="958" t="s">
        <v>5338</v>
      </c>
      <c r="AZ265" t="e">
        <f t="shared" si="224"/>
        <v>#VALUE!</v>
      </c>
      <c r="CX265" s="1723" t="str">
        <f t="shared" si="225"/>
        <v xml:space="preserve"> * Las Embarazadas no pueden superar el Total Mujeres.</v>
      </c>
      <c r="CY265" s="1723" t="str">
        <f t="shared" si="226"/>
        <v xml:space="preserve"> * La variable Usuarios con discapacidad No puede ser mayor al Total.</v>
      </c>
      <c r="CZ265" s="1723" t="str">
        <f t="shared" si="227"/>
        <v xml:space="preserve"> * La variable Usuarios oncológicos No puede ser mayor al Total.</v>
      </c>
      <c r="DA265" s="1723" t="e">
        <f t="shared" si="228"/>
        <v>#VALUE!</v>
      </c>
      <c r="DB265" s="1723" t="str">
        <f t="shared" si="229"/>
        <v/>
      </c>
      <c r="DC265" s="1723" t="str">
        <f t="shared" si="230"/>
        <v>* Migrantes no puede ser mayor al Total</v>
      </c>
      <c r="DD265"/>
      <c r="DE265"/>
      <c r="DF265"/>
      <c r="DH265" s="1725">
        <f t="shared" si="231"/>
        <v>1</v>
      </c>
      <c r="DI265" s="1725">
        <f t="shared" si="232"/>
        <v>1</v>
      </c>
      <c r="DJ265" s="1725">
        <f t="shared" si="233"/>
        <v>1</v>
      </c>
      <c r="DK265" s="1725" t="e">
        <f t="shared" si="234"/>
        <v>#VALUE!</v>
      </c>
      <c r="DL265" s="1725">
        <f t="shared" si="235"/>
        <v>0</v>
      </c>
      <c r="DM265" s="1725">
        <f t="shared" si="236"/>
        <v>1</v>
      </c>
      <c r="DN265"/>
    </row>
    <row r="266" spans="1:118" ht="15" customHeight="1" x14ac:dyDescent="0.3">
      <c r="A266" s="6269" t="s">
        <v>5124</v>
      </c>
      <c r="B266" s="7267"/>
      <c r="C266" s="7462" t="s">
        <v>914</v>
      </c>
      <c r="D266" s="7400"/>
      <c r="E266" s="954" t="s">
        <v>5292</v>
      </c>
      <c r="F266" s="1008" t="s">
        <v>5293</v>
      </c>
      <c r="G266" s="1009" t="s">
        <v>5294</v>
      </c>
      <c r="H266" s="1013" t="s">
        <v>5295</v>
      </c>
      <c r="I266" s="1014" t="s">
        <v>5296</v>
      </c>
      <c r="J266" s="1015" t="s">
        <v>5297</v>
      </c>
      <c r="K266" s="1014" t="s">
        <v>5298</v>
      </c>
      <c r="L266" s="1015" t="s">
        <v>5299</v>
      </c>
      <c r="M266" s="1014" t="s">
        <v>5300</v>
      </c>
      <c r="N266" s="933" t="s">
        <v>5301</v>
      </c>
      <c r="O266" s="934" t="s">
        <v>5302</v>
      </c>
      <c r="P266" s="933" t="s">
        <v>5303</v>
      </c>
      <c r="Q266" s="934" t="s">
        <v>5304</v>
      </c>
      <c r="R266" s="1015" t="s">
        <v>5305</v>
      </c>
      <c r="S266" s="1014" t="s">
        <v>5306</v>
      </c>
      <c r="T266" s="1015" t="s">
        <v>5307</v>
      </c>
      <c r="U266" s="1014" t="s">
        <v>5308</v>
      </c>
      <c r="V266" s="933" t="s">
        <v>5309</v>
      </c>
      <c r="W266" s="934" t="s">
        <v>5310</v>
      </c>
      <c r="X266" s="933" t="s">
        <v>5311</v>
      </c>
      <c r="Y266" s="934" t="s">
        <v>5312</v>
      </c>
      <c r="Z266" s="966" t="s">
        <v>5313</v>
      </c>
      <c r="AA266" s="967" t="s">
        <v>5314</v>
      </c>
      <c r="AB266" s="966" t="s">
        <v>5315</v>
      </c>
      <c r="AC266" s="967" t="s">
        <v>5316</v>
      </c>
      <c r="AD266" s="966" t="s">
        <v>5317</v>
      </c>
      <c r="AE266" s="967" t="s">
        <v>5318</v>
      </c>
      <c r="AF266" s="966" t="s">
        <v>5319</v>
      </c>
      <c r="AG266" s="967" t="s">
        <v>5320</v>
      </c>
      <c r="AH266" s="966" t="s">
        <v>5321</v>
      </c>
      <c r="AI266" s="967" t="s">
        <v>5322</v>
      </c>
      <c r="AJ266" s="966" t="s">
        <v>5323</v>
      </c>
      <c r="AK266" s="967" t="s">
        <v>5324</v>
      </c>
      <c r="AL266" s="966" t="s">
        <v>5325</v>
      </c>
      <c r="AM266" s="967" t="s">
        <v>5326</v>
      </c>
      <c r="AN266" s="966" t="s">
        <v>5327</v>
      </c>
      <c r="AO266" s="967" t="s">
        <v>5328</v>
      </c>
      <c r="AP266" s="968" t="s">
        <v>5329</v>
      </c>
      <c r="AQ266" s="969" t="s">
        <v>5330</v>
      </c>
      <c r="AR266" s="933" t="s">
        <v>5331</v>
      </c>
      <c r="AS266" s="934" t="s">
        <v>5332</v>
      </c>
      <c r="AT266" s="979" t="s">
        <v>5333</v>
      </c>
      <c r="AU266" s="966" t="s">
        <v>5334</v>
      </c>
      <c r="AV266" s="966" t="s">
        <v>5335</v>
      </c>
      <c r="AW266" s="973" t="s">
        <v>5336</v>
      </c>
      <c r="AX266" s="973" t="s">
        <v>5337</v>
      </c>
      <c r="AY266" s="965" t="s">
        <v>5338</v>
      </c>
      <c r="AZ266" t="e">
        <f t="shared" si="224"/>
        <v>#VALUE!</v>
      </c>
      <c r="CX266" s="1723" t="str">
        <f t="shared" si="225"/>
        <v xml:space="preserve"> * Las Embarazadas no pueden superar el Total Mujeres.</v>
      </c>
      <c r="CY266" s="1723" t="str">
        <f t="shared" si="226"/>
        <v xml:space="preserve"> * La variable Usuarios con discapacidad No puede ser mayor al Total.</v>
      </c>
      <c r="CZ266" s="1723" t="str">
        <f t="shared" si="227"/>
        <v xml:space="preserve"> * La variable Usuarios oncológicos No puede ser mayor al Total.</v>
      </c>
      <c r="DA266" s="1723" t="e">
        <f t="shared" si="228"/>
        <v>#VALUE!</v>
      </c>
      <c r="DB266" s="1723" t="str">
        <f t="shared" si="229"/>
        <v/>
      </c>
      <c r="DC266" s="1723" t="str">
        <f t="shared" si="230"/>
        <v>* Migrantes no puede ser mayor al Total</v>
      </c>
      <c r="DD266"/>
      <c r="DE266"/>
      <c r="DF266"/>
      <c r="DH266" s="1725">
        <f t="shared" si="231"/>
        <v>1</v>
      </c>
      <c r="DI266" s="1725">
        <f t="shared" si="232"/>
        <v>1</v>
      </c>
      <c r="DJ266" s="1725">
        <f t="shared" si="233"/>
        <v>1</v>
      </c>
      <c r="DK266" s="1725" t="e">
        <f t="shared" si="234"/>
        <v>#VALUE!</v>
      </c>
      <c r="DL266" s="1725">
        <f t="shared" si="235"/>
        <v>0</v>
      </c>
      <c r="DM266" s="1725">
        <f t="shared" si="236"/>
        <v>1</v>
      </c>
      <c r="DN266"/>
    </row>
    <row r="267" spans="1:118" ht="15" customHeight="1" x14ac:dyDescent="0.3">
      <c r="A267" s="6269" t="s">
        <v>5125</v>
      </c>
      <c r="B267" s="7267"/>
      <c r="C267" s="7462" t="s">
        <v>915</v>
      </c>
      <c r="D267" s="7400"/>
      <c r="E267" s="954" t="s">
        <v>5292</v>
      </c>
      <c r="F267" s="1008" t="s">
        <v>5293</v>
      </c>
      <c r="G267" s="1009" t="s">
        <v>5294</v>
      </c>
      <c r="H267" s="1013" t="s">
        <v>5295</v>
      </c>
      <c r="I267" s="1014" t="s">
        <v>5296</v>
      </c>
      <c r="J267" s="1015" t="s">
        <v>5297</v>
      </c>
      <c r="K267" s="1014" t="s">
        <v>5298</v>
      </c>
      <c r="L267" s="1015" t="s">
        <v>5299</v>
      </c>
      <c r="M267" s="1014" t="s">
        <v>5300</v>
      </c>
      <c r="N267" s="970" t="s">
        <v>5301</v>
      </c>
      <c r="O267" s="971" t="s">
        <v>5302</v>
      </c>
      <c r="P267" s="970" t="s">
        <v>5303</v>
      </c>
      <c r="Q267" s="971" t="s">
        <v>5304</v>
      </c>
      <c r="R267" s="1015" t="s">
        <v>5305</v>
      </c>
      <c r="S267" s="1014" t="s">
        <v>5306</v>
      </c>
      <c r="T267" s="1015" t="s">
        <v>5307</v>
      </c>
      <c r="U267" s="1014" t="s">
        <v>5308</v>
      </c>
      <c r="V267" s="970" t="s">
        <v>5309</v>
      </c>
      <c r="W267" s="971" t="s">
        <v>5310</v>
      </c>
      <c r="X267" s="970" t="s">
        <v>5311</v>
      </c>
      <c r="Y267" s="971" t="s">
        <v>5312</v>
      </c>
      <c r="Z267" s="966" t="s">
        <v>5313</v>
      </c>
      <c r="AA267" s="967" t="s">
        <v>5314</v>
      </c>
      <c r="AB267" s="966" t="s">
        <v>5315</v>
      </c>
      <c r="AC267" s="967" t="s">
        <v>5316</v>
      </c>
      <c r="AD267" s="966" t="s">
        <v>5317</v>
      </c>
      <c r="AE267" s="967" t="s">
        <v>5318</v>
      </c>
      <c r="AF267" s="966" t="s">
        <v>5319</v>
      </c>
      <c r="AG267" s="967" t="s">
        <v>5320</v>
      </c>
      <c r="AH267" s="966" t="s">
        <v>5321</v>
      </c>
      <c r="AI267" s="967" t="s">
        <v>5322</v>
      </c>
      <c r="AJ267" s="966" t="s">
        <v>5323</v>
      </c>
      <c r="AK267" s="967" t="s">
        <v>5324</v>
      </c>
      <c r="AL267" s="966" t="s">
        <v>5325</v>
      </c>
      <c r="AM267" s="967" t="s">
        <v>5326</v>
      </c>
      <c r="AN267" s="966" t="s">
        <v>5327</v>
      </c>
      <c r="AO267" s="967" t="s">
        <v>5328</v>
      </c>
      <c r="AP267" s="968" t="s">
        <v>5329</v>
      </c>
      <c r="AQ267" s="969" t="s">
        <v>5330</v>
      </c>
      <c r="AR267" s="970" t="s">
        <v>5331</v>
      </c>
      <c r="AS267" s="971" t="s">
        <v>5332</v>
      </c>
      <c r="AT267" s="972" t="s">
        <v>5333</v>
      </c>
      <c r="AU267" s="966" t="s">
        <v>5334</v>
      </c>
      <c r="AV267" s="966" t="s">
        <v>5335</v>
      </c>
      <c r="AW267" s="973" t="s">
        <v>5336</v>
      </c>
      <c r="AX267" s="973" t="s">
        <v>5337</v>
      </c>
      <c r="AY267" s="965" t="s">
        <v>5338</v>
      </c>
      <c r="AZ267" t="e">
        <f t="shared" si="224"/>
        <v>#VALUE!</v>
      </c>
      <c r="CX267" s="1723" t="str">
        <f t="shared" si="225"/>
        <v xml:space="preserve"> * Las Embarazadas no pueden superar el Total Mujeres.</v>
      </c>
      <c r="CY267" s="1723" t="str">
        <f t="shared" si="226"/>
        <v xml:space="preserve"> * La variable Usuarios con discapacidad No puede ser mayor al Total.</v>
      </c>
      <c r="CZ267" s="1723" t="str">
        <f t="shared" si="227"/>
        <v xml:space="preserve"> * La variable Usuarios oncológicos No puede ser mayor al Total.</v>
      </c>
      <c r="DA267" s="1723" t="e">
        <f t="shared" si="228"/>
        <v>#VALUE!</v>
      </c>
      <c r="DB267" s="1723" t="str">
        <f t="shared" si="229"/>
        <v/>
      </c>
      <c r="DC267" s="1723" t="str">
        <f t="shared" si="230"/>
        <v>* Migrantes no puede ser mayor al Total</v>
      </c>
      <c r="DD267"/>
      <c r="DE267"/>
      <c r="DF267"/>
      <c r="DH267" s="1725">
        <f t="shared" si="231"/>
        <v>1</v>
      </c>
      <c r="DI267" s="1725">
        <f t="shared" si="232"/>
        <v>1</v>
      </c>
      <c r="DJ267" s="1725">
        <f t="shared" si="233"/>
        <v>1</v>
      </c>
      <c r="DK267" s="1725" t="e">
        <f t="shared" si="234"/>
        <v>#VALUE!</v>
      </c>
      <c r="DL267" s="1725">
        <f t="shared" si="235"/>
        <v>0</v>
      </c>
      <c r="DM267" s="1725">
        <f t="shared" si="236"/>
        <v>1</v>
      </c>
      <c r="DN267"/>
    </row>
    <row r="268" spans="1:118" ht="15" customHeight="1" x14ac:dyDescent="0.3">
      <c r="A268" s="6269" t="s">
        <v>5126</v>
      </c>
      <c r="B268" s="7363"/>
      <c r="C268" s="7463" t="s">
        <v>916</v>
      </c>
      <c r="D268" s="7463"/>
      <c r="E268" s="974" t="s">
        <v>5292</v>
      </c>
      <c r="F268" s="1016" t="s">
        <v>5293</v>
      </c>
      <c r="G268" s="1017" t="s">
        <v>5294</v>
      </c>
      <c r="H268" s="1018" t="s">
        <v>5295</v>
      </c>
      <c r="I268" s="1019" t="s">
        <v>5296</v>
      </c>
      <c r="J268" s="1020" t="s">
        <v>5297</v>
      </c>
      <c r="K268" s="1019" t="s">
        <v>5298</v>
      </c>
      <c r="L268" s="1020" t="s">
        <v>5299</v>
      </c>
      <c r="M268" s="1019" t="s">
        <v>5300</v>
      </c>
      <c r="N268" s="1018" t="s">
        <v>5301</v>
      </c>
      <c r="O268" s="1019" t="s">
        <v>5302</v>
      </c>
      <c r="P268" s="1018" t="s">
        <v>5303</v>
      </c>
      <c r="Q268" s="1019" t="s">
        <v>5304</v>
      </c>
      <c r="R268" s="1020" t="s">
        <v>5305</v>
      </c>
      <c r="S268" s="1019" t="s">
        <v>5306</v>
      </c>
      <c r="T268" s="1020" t="s">
        <v>5307</v>
      </c>
      <c r="U268" s="1019" t="s">
        <v>5308</v>
      </c>
      <c r="V268" s="1018" t="s">
        <v>5309</v>
      </c>
      <c r="W268" s="1019" t="s">
        <v>5310</v>
      </c>
      <c r="X268" s="1018" t="s">
        <v>5311</v>
      </c>
      <c r="Y268" s="1019" t="s">
        <v>5312</v>
      </c>
      <c r="Z268" s="940" t="s">
        <v>5313</v>
      </c>
      <c r="AA268" s="941" t="s">
        <v>5314</v>
      </c>
      <c r="AB268" s="940" t="s">
        <v>5315</v>
      </c>
      <c r="AC268" s="941" t="s">
        <v>5316</v>
      </c>
      <c r="AD268" s="940" t="s">
        <v>5317</v>
      </c>
      <c r="AE268" s="941" t="s">
        <v>5318</v>
      </c>
      <c r="AF268" s="940" t="s">
        <v>5319</v>
      </c>
      <c r="AG268" s="941" t="s">
        <v>5320</v>
      </c>
      <c r="AH268" s="940" t="s">
        <v>5321</v>
      </c>
      <c r="AI268" s="941" t="s">
        <v>5322</v>
      </c>
      <c r="AJ268" s="940" t="s">
        <v>5323</v>
      </c>
      <c r="AK268" s="941" t="s">
        <v>5324</v>
      </c>
      <c r="AL268" s="940" t="s">
        <v>5325</v>
      </c>
      <c r="AM268" s="941" t="s">
        <v>5326</v>
      </c>
      <c r="AN268" s="940" t="s">
        <v>5327</v>
      </c>
      <c r="AO268" s="941" t="s">
        <v>5328</v>
      </c>
      <c r="AP268" s="942" t="s">
        <v>5329</v>
      </c>
      <c r="AQ268" s="943" t="s">
        <v>5330</v>
      </c>
      <c r="AR268" s="975" t="s">
        <v>5331</v>
      </c>
      <c r="AS268" s="976" t="s">
        <v>5332</v>
      </c>
      <c r="AT268" s="977" t="s">
        <v>5333</v>
      </c>
      <c r="AU268" s="940" t="s">
        <v>5334</v>
      </c>
      <c r="AV268" s="940" t="s">
        <v>5335</v>
      </c>
      <c r="AW268" s="944" t="s">
        <v>5336</v>
      </c>
      <c r="AX268" s="944" t="s">
        <v>5337</v>
      </c>
      <c r="AY268" s="939" t="s">
        <v>5338</v>
      </c>
      <c r="AZ268" t="e">
        <f t="shared" si="224"/>
        <v>#VALUE!</v>
      </c>
      <c r="CX268" s="1723" t="str">
        <f t="shared" si="225"/>
        <v xml:space="preserve"> * Las Embarazadas no pueden superar el Total Mujeres.</v>
      </c>
      <c r="CY268" s="1723" t="str">
        <f t="shared" si="226"/>
        <v xml:space="preserve"> * La variable Usuarios con discapacidad No puede ser mayor al Total.</v>
      </c>
      <c r="CZ268" s="1723" t="str">
        <f t="shared" si="227"/>
        <v xml:space="preserve"> * La variable Usuarios oncológicos No puede ser mayor al Total.</v>
      </c>
      <c r="DA268" s="1723" t="e">
        <f t="shared" si="228"/>
        <v>#VALUE!</v>
      </c>
      <c r="DB268" s="1723" t="str">
        <f t="shared" si="229"/>
        <v/>
      </c>
      <c r="DC268" s="1723" t="str">
        <f t="shared" si="230"/>
        <v>* Migrantes no puede ser mayor al Total</v>
      </c>
      <c r="DD268"/>
      <c r="DE268"/>
      <c r="DF268"/>
      <c r="DH268" s="1725">
        <f t="shared" si="231"/>
        <v>1</v>
      </c>
      <c r="DI268" s="1725">
        <f t="shared" si="232"/>
        <v>1</v>
      </c>
      <c r="DJ268" s="1725">
        <f t="shared" si="233"/>
        <v>1</v>
      </c>
      <c r="DK268" s="1725" t="e">
        <f t="shared" si="234"/>
        <v>#VALUE!</v>
      </c>
      <c r="DL268" s="1725">
        <f t="shared" si="235"/>
        <v>0</v>
      </c>
      <c r="DM268" s="1725">
        <f t="shared" si="236"/>
        <v>1</v>
      </c>
      <c r="DN268"/>
    </row>
    <row r="269" spans="1:118" ht="15" customHeight="1" x14ac:dyDescent="0.3">
      <c r="A269" s="6269" t="s">
        <v>5127</v>
      </c>
      <c r="B269" s="7464" t="s">
        <v>921</v>
      </c>
      <c r="C269" s="7460" t="s">
        <v>911</v>
      </c>
      <c r="D269" s="7460"/>
      <c r="E269" s="907" t="s">
        <v>5292</v>
      </c>
      <c r="F269" s="1021" t="s">
        <v>5293</v>
      </c>
      <c r="G269" s="1022" t="s">
        <v>5294</v>
      </c>
      <c r="H269" s="1023" t="s">
        <v>5295</v>
      </c>
      <c r="I269" s="1024" t="s">
        <v>5296</v>
      </c>
      <c r="J269" s="1025" t="s">
        <v>5297</v>
      </c>
      <c r="K269" s="1024" t="s">
        <v>5298</v>
      </c>
      <c r="L269" s="1025" t="s">
        <v>5299</v>
      </c>
      <c r="M269" s="1024" t="s">
        <v>5300</v>
      </c>
      <c r="N269" s="1026" t="s">
        <v>5301</v>
      </c>
      <c r="O269" s="1027" t="s">
        <v>5302</v>
      </c>
      <c r="P269" s="1026" t="s">
        <v>5303</v>
      </c>
      <c r="Q269" s="1027" t="s">
        <v>5304</v>
      </c>
      <c r="R269" s="1025" t="s">
        <v>5305</v>
      </c>
      <c r="S269" s="1024" t="s">
        <v>5306</v>
      </c>
      <c r="T269" s="1025" t="s">
        <v>5307</v>
      </c>
      <c r="U269" s="1024" t="s">
        <v>5308</v>
      </c>
      <c r="V269" s="1026" t="s">
        <v>5309</v>
      </c>
      <c r="W269" s="1027" t="s">
        <v>5310</v>
      </c>
      <c r="X269" s="1026" t="s">
        <v>5311</v>
      </c>
      <c r="Y269" s="1027" t="s">
        <v>5312</v>
      </c>
      <c r="Z269" s="949" t="s">
        <v>5313</v>
      </c>
      <c r="AA269" s="950" t="s">
        <v>5314</v>
      </c>
      <c r="AB269" s="949" t="s">
        <v>5315</v>
      </c>
      <c r="AC269" s="950" t="s">
        <v>5316</v>
      </c>
      <c r="AD269" s="949" t="s">
        <v>5317</v>
      </c>
      <c r="AE269" s="950" t="s">
        <v>5318</v>
      </c>
      <c r="AF269" s="949" t="s">
        <v>5319</v>
      </c>
      <c r="AG269" s="950" t="s">
        <v>5320</v>
      </c>
      <c r="AH269" s="949" t="s">
        <v>5321</v>
      </c>
      <c r="AI269" s="950" t="s">
        <v>5322</v>
      </c>
      <c r="AJ269" s="949" t="s">
        <v>5323</v>
      </c>
      <c r="AK269" s="950" t="s">
        <v>5324</v>
      </c>
      <c r="AL269" s="949" t="s">
        <v>5325</v>
      </c>
      <c r="AM269" s="950" t="s">
        <v>5326</v>
      </c>
      <c r="AN269" s="949" t="s">
        <v>5327</v>
      </c>
      <c r="AO269" s="950" t="s">
        <v>5328</v>
      </c>
      <c r="AP269" s="951" t="s">
        <v>5329</v>
      </c>
      <c r="AQ269" s="952" t="s">
        <v>5330</v>
      </c>
      <c r="AR269" s="947" t="s">
        <v>5331</v>
      </c>
      <c r="AS269" s="948" t="s">
        <v>5332</v>
      </c>
      <c r="AT269" s="929" t="s">
        <v>5333</v>
      </c>
      <c r="AU269" s="949" t="s">
        <v>5334</v>
      </c>
      <c r="AV269" s="949" t="s">
        <v>5335</v>
      </c>
      <c r="AW269" s="953" t="s">
        <v>5336</v>
      </c>
      <c r="AX269" s="953" t="s">
        <v>5337</v>
      </c>
      <c r="AY269" s="948" t="s">
        <v>5338</v>
      </c>
      <c r="AZ269" t="e">
        <f t="shared" si="224"/>
        <v>#VALUE!</v>
      </c>
      <c r="CX269" s="1723" t="str">
        <f t="shared" si="225"/>
        <v xml:space="preserve"> * Las Embarazadas no pueden superar el Total Mujeres.</v>
      </c>
      <c r="CY269" s="1723" t="str">
        <f t="shared" si="226"/>
        <v xml:space="preserve"> * La variable Usuarios con discapacidad No puede ser mayor al Total.</v>
      </c>
      <c r="CZ269" s="1723" t="str">
        <f t="shared" si="227"/>
        <v xml:space="preserve"> * La variable Usuarios oncológicos No puede ser mayor al Total.</v>
      </c>
      <c r="DA269" s="1723" t="e">
        <f t="shared" si="228"/>
        <v>#VALUE!</v>
      </c>
      <c r="DB269" s="1723" t="str">
        <f t="shared" si="229"/>
        <v/>
      </c>
      <c r="DC269" s="1723" t="str">
        <f t="shared" si="230"/>
        <v>* Migrantes no puede ser mayor al Total</v>
      </c>
      <c r="DD269"/>
      <c r="DE269"/>
      <c r="DF269"/>
      <c r="DH269" s="1725">
        <f t="shared" si="231"/>
        <v>1</v>
      </c>
      <c r="DI269" s="1725">
        <f t="shared" si="232"/>
        <v>1</v>
      </c>
      <c r="DJ269" s="1725">
        <f t="shared" si="233"/>
        <v>1</v>
      </c>
      <c r="DK269" s="1725" t="e">
        <f t="shared" si="234"/>
        <v>#VALUE!</v>
      </c>
      <c r="DL269" s="1725">
        <f t="shared" si="235"/>
        <v>0</v>
      </c>
      <c r="DM269" s="1725">
        <f t="shared" si="236"/>
        <v>1</v>
      </c>
      <c r="DN269"/>
    </row>
    <row r="270" spans="1:118" ht="15" customHeight="1" x14ac:dyDescent="0.3">
      <c r="A270" s="6269" t="s">
        <v>5128</v>
      </c>
      <c r="B270" s="7267"/>
      <c r="C270" s="7461" t="s">
        <v>912</v>
      </c>
      <c r="D270" s="7461"/>
      <c r="E270" s="954" t="s">
        <v>5292</v>
      </c>
      <c r="F270" s="1008" t="s">
        <v>5293</v>
      </c>
      <c r="G270" s="1009" t="s">
        <v>5294</v>
      </c>
      <c r="H270" s="1010" t="s">
        <v>5295</v>
      </c>
      <c r="I270" s="1011" t="s">
        <v>5296</v>
      </c>
      <c r="J270" s="1012" t="s">
        <v>5297</v>
      </c>
      <c r="K270" s="1011" t="s">
        <v>5298</v>
      </c>
      <c r="L270" s="1012" t="s">
        <v>5299</v>
      </c>
      <c r="M270" s="1011" t="s">
        <v>5300</v>
      </c>
      <c r="N270" s="979" t="s">
        <v>5301</v>
      </c>
      <c r="O270" s="934" t="s">
        <v>5302</v>
      </c>
      <c r="P270" s="979" t="s">
        <v>5303</v>
      </c>
      <c r="Q270" s="934" t="s">
        <v>5304</v>
      </c>
      <c r="R270" s="1012" t="s">
        <v>5305</v>
      </c>
      <c r="S270" s="1011" t="s">
        <v>5306</v>
      </c>
      <c r="T270" s="1012" t="s">
        <v>5307</v>
      </c>
      <c r="U270" s="1011" t="s">
        <v>5308</v>
      </c>
      <c r="V270" s="979" t="s">
        <v>5309</v>
      </c>
      <c r="W270" s="934" t="s">
        <v>5310</v>
      </c>
      <c r="X270" s="979" t="s">
        <v>5311</v>
      </c>
      <c r="Y270" s="934" t="s">
        <v>5312</v>
      </c>
      <c r="Z270" s="959" t="s">
        <v>5313</v>
      </c>
      <c r="AA270" s="960" t="s">
        <v>5314</v>
      </c>
      <c r="AB270" s="959" t="s">
        <v>5315</v>
      </c>
      <c r="AC270" s="960" t="s">
        <v>5316</v>
      </c>
      <c r="AD270" s="959" t="s">
        <v>5317</v>
      </c>
      <c r="AE270" s="960" t="s">
        <v>5318</v>
      </c>
      <c r="AF270" s="959" t="s">
        <v>5319</v>
      </c>
      <c r="AG270" s="960" t="s">
        <v>5320</v>
      </c>
      <c r="AH270" s="959" t="s">
        <v>5321</v>
      </c>
      <c r="AI270" s="960" t="s">
        <v>5322</v>
      </c>
      <c r="AJ270" s="959" t="s">
        <v>5323</v>
      </c>
      <c r="AK270" s="960" t="s">
        <v>5324</v>
      </c>
      <c r="AL270" s="959" t="s">
        <v>5325</v>
      </c>
      <c r="AM270" s="960" t="s">
        <v>5326</v>
      </c>
      <c r="AN270" s="959" t="s">
        <v>5327</v>
      </c>
      <c r="AO270" s="960" t="s">
        <v>5328</v>
      </c>
      <c r="AP270" s="961" t="s">
        <v>5329</v>
      </c>
      <c r="AQ270" s="962" t="s">
        <v>5330</v>
      </c>
      <c r="AR270" s="933" t="s">
        <v>5331</v>
      </c>
      <c r="AS270" s="934" t="s">
        <v>5332</v>
      </c>
      <c r="AT270" s="949" t="s">
        <v>5333</v>
      </c>
      <c r="AU270" s="959" t="s">
        <v>5334</v>
      </c>
      <c r="AV270" s="959" t="s">
        <v>5335</v>
      </c>
      <c r="AW270" s="963" t="s">
        <v>5336</v>
      </c>
      <c r="AX270" s="963" t="s">
        <v>5337</v>
      </c>
      <c r="AY270" s="958" t="s">
        <v>5338</v>
      </c>
      <c r="AZ270" t="e">
        <f t="shared" si="224"/>
        <v>#VALUE!</v>
      </c>
      <c r="CX270" s="1723" t="str">
        <f t="shared" si="225"/>
        <v xml:space="preserve"> * Las Embarazadas no pueden superar el Total Mujeres.</v>
      </c>
      <c r="CY270" s="1723" t="str">
        <f t="shared" si="226"/>
        <v xml:space="preserve"> * La variable Usuarios con discapacidad No puede ser mayor al Total.</v>
      </c>
      <c r="CZ270" s="1723" t="str">
        <f t="shared" si="227"/>
        <v xml:space="preserve"> * La variable Usuarios oncológicos No puede ser mayor al Total.</v>
      </c>
      <c r="DA270" s="1723" t="e">
        <f t="shared" si="228"/>
        <v>#VALUE!</v>
      </c>
      <c r="DB270" s="1723" t="str">
        <f t="shared" si="229"/>
        <v/>
      </c>
      <c r="DC270" s="1723" t="str">
        <f t="shared" si="230"/>
        <v>* Migrantes no puede ser mayor al Total</v>
      </c>
      <c r="DD270"/>
      <c r="DE270"/>
      <c r="DF270"/>
      <c r="DH270" s="1725">
        <f t="shared" si="231"/>
        <v>1</v>
      </c>
      <c r="DI270" s="1725">
        <f t="shared" si="232"/>
        <v>1</v>
      </c>
      <c r="DJ270" s="1725">
        <f t="shared" si="233"/>
        <v>1</v>
      </c>
      <c r="DK270" s="1725" t="e">
        <f t="shared" si="234"/>
        <v>#VALUE!</v>
      </c>
      <c r="DL270" s="1725">
        <f t="shared" si="235"/>
        <v>0</v>
      </c>
      <c r="DM270" s="1725">
        <f t="shared" si="236"/>
        <v>1</v>
      </c>
      <c r="DN270"/>
    </row>
    <row r="271" spans="1:118" ht="15" customHeight="1" x14ac:dyDescent="0.3">
      <c r="A271" s="6269" t="s">
        <v>5129</v>
      </c>
      <c r="B271" s="7267"/>
      <c r="C271" s="7461" t="s">
        <v>913</v>
      </c>
      <c r="D271" s="7461"/>
      <c r="E271" s="954" t="s">
        <v>5292</v>
      </c>
      <c r="F271" s="1008" t="s">
        <v>5293</v>
      </c>
      <c r="G271" s="1009" t="s">
        <v>5294</v>
      </c>
      <c r="H271" s="1010" t="s">
        <v>5295</v>
      </c>
      <c r="I271" s="1011" t="s">
        <v>5296</v>
      </c>
      <c r="J271" s="1012" t="s">
        <v>5297</v>
      </c>
      <c r="K271" s="1011" t="s">
        <v>5298</v>
      </c>
      <c r="L271" s="1012" t="s">
        <v>5299</v>
      </c>
      <c r="M271" s="1011" t="s">
        <v>5300</v>
      </c>
      <c r="N271" s="979" t="s">
        <v>5301</v>
      </c>
      <c r="O271" s="934" t="s">
        <v>5302</v>
      </c>
      <c r="P271" s="979" t="s">
        <v>5303</v>
      </c>
      <c r="Q271" s="934" t="s">
        <v>5304</v>
      </c>
      <c r="R271" s="1012" t="s">
        <v>5305</v>
      </c>
      <c r="S271" s="1011" t="s">
        <v>5306</v>
      </c>
      <c r="T271" s="1012" t="s">
        <v>5307</v>
      </c>
      <c r="U271" s="1011" t="s">
        <v>5308</v>
      </c>
      <c r="V271" s="979" t="s">
        <v>5309</v>
      </c>
      <c r="W271" s="934" t="s">
        <v>5310</v>
      </c>
      <c r="X271" s="979" t="s">
        <v>5311</v>
      </c>
      <c r="Y271" s="934" t="s">
        <v>5312</v>
      </c>
      <c r="Z271" s="959" t="s">
        <v>5313</v>
      </c>
      <c r="AA271" s="960" t="s">
        <v>5314</v>
      </c>
      <c r="AB271" s="959" t="s">
        <v>5315</v>
      </c>
      <c r="AC271" s="960" t="s">
        <v>5316</v>
      </c>
      <c r="AD271" s="959" t="s">
        <v>5317</v>
      </c>
      <c r="AE271" s="960" t="s">
        <v>5318</v>
      </c>
      <c r="AF271" s="959" t="s">
        <v>5319</v>
      </c>
      <c r="AG271" s="960" t="s">
        <v>5320</v>
      </c>
      <c r="AH271" s="959" t="s">
        <v>5321</v>
      </c>
      <c r="AI271" s="960" t="s">
        <v>5322</v>
      </c>
      <c r="AJ271" s="959" t="s">
        <v>5323</v>
      </c>
      <c r="AK271" s="960" t="s">
        <v>5324</v>
      </c>
      <c r="AL271" s="959" t="s">
        <v>5325</v>
      </c>
      <c r="AM271" s="960" t="s">
        <v>5326</v>
      </c>
      <c r="AN271" s="959" t="s">
        <v>5327</v>
      </c>
      <c r="AO271" s="960" t="s">
        <v>5328</v>
      </c>
      <c r="AP271" s="961" t="s">
        <v>5329</v>
      </c>
      <c r="AQ271" s="962" t="s">
        <v>5330</v>
      </c>
      <c r="AR271" s="933" t="s">
        <v>5331</v>
      </c>
      <c r="AS271" s="934" t="s">
        <v>5332</v>
      </c>
      <c r="AT271" s="979" t="s">
        <v>5333</v>
      </c>
      <c r="AU271" s="959" t="s">
        <v>5334</v>
      </c>
      <c r="AV271" s="959" t="s">
        <v>5335</v>
      </c>
      <c r="AW271" s="963" t="s">
        <v>5336</v>
      </c>
      <c r="AX271" s="963" t="s">
        <v>5337</v>
      </c>
      <c r="AY271" s="958" t="s">
        <v>5338</v>
      </c>
      <c r="AZ271" t="e">
        <f t="shared" si="224"/>
        <v>#VALUE!</v>
      </c>
      <c r="CX271" s="1723" t="str">
        <f t="shared" si="225"/>
        <v xml:space="preserve"> * Las Embarazadas no pueden superar el Total Mujeres.</v>
      </c>
      <c r="CY271" s="1723" t="str">
        <f t="shared" si="226"/>
        <v xml:space="preserve"> * La variable Usuarios con discapacidad No puede ser mayor al Total.</v>
      </c>
      <c r="CZ271" s="1723" t="str">
        <f t="shared" si="227"/>
        <v xml:space="preserve"> * La variable Usuarios oncológicos No puede ser mayor al Total.</v>
      </c>
      <c r="DA271" s="1723" t="e">
        <f t="shared" si="228"/>
        <v>#VALUE!</v>
      </c>
      <c r="DB271" s="1723" t="str">
        <f t="shared" si="229"/>
        <v/>
      </c>
      <c r="DC271" s="1723" t="str">
        <f t="shared" si="230"/>
        <v>* Migrantes no puede ser mayor al Total</v>
      </c>
      <c r="DD271"/>
      <c r="DE271"/>
      <c r="DF271"/>
      <c r="DH271" s="1725">
        <f t="shared" si="231"/>
        <v>1</v>
      </c>
      <c r="DI271" s="1725">
        <f t="shared" si="232"/>
        <v>1</v>
      </c>
      <c r="DJ271" s="1725">
        <f t="shared" si="233"/>
        <v>1</v>
      </c>
      <c r="DK271" s="1725" t="e">
        <f t="shared" si="234"/>
        <v>#VALUE!</v>
      </c>
      <c r="DL271" s="1725">
        <f t="shared" si="235"/>
        <v>0</v>
      </c>
      <c r="DM271" s="1725">
        <f t="shared" si="236"/>
        <v>1</v>
      </c>
      <c r="DN271"/>
    </row>
    <row r="272" spans="1:118" ht="15" customHeight="1" x14ac:dyDescent="0.3">
      <c r="A272" s="6269" t="s">
        <v>5130</v>
      </c>
      <c r="B272" s="7267"/>
      <c r="C272" s="7462" t="s">
        <v>914</v>
      </c>
      <c r="D272" s="7400"/>
      <c r="E272" s="954" t="s">
        <v>5292</v>
      </c>
      <c r="F272" s="1008" t="s">
        <v>5293</v>
      </c>
      <c r="G272" s="1009" t="s">
        <v>5294</v>
      </c>
      <c r="H272" s="1013" t="s">
        <v>5295</v>
      </c>
      <c r="I272" s="1014" t="s">
        <v>5296</v>
      </c>
      <c r="J272" s="1015" t="s">
        <v>5297</v>
      </c>
      <c r="K272" s="1014" t="s">
        <v>5298</v>
      </c>
      <c r="L272" s="1015" t="s">
        <v>5299</v>
      </c>
      <c r="M272" s="1014" t="s">
        <v>5300</v>
      </c>
      <c r="N272" s="933" t="s">
        <v>5301</v>
      </c>
      <c r="O272" s="934" t="s">
        <v>5302</v>
      </c>
      <c r="P272" s="933" t="s">
        <v>5303</v>
      </c>
      <c r="Q272" s="934" t="s">
        <v>5304</v>
      </c>
      <c r="R272" s="1015" t="s">
        <v>5305</v>
      </c>
      <c r="S272" s="1014" t="s">
        <v>5306</v>
      </c>
      <c r="T272" s="1015" t="s">
        <v>5307</v>
      </c>
      <c r="U272" s="1014" t="s">
        <v>5308</v>
      </c>
      <c r="V272" s="933" t="s">
        <v>5309</v>
      </c>
      <c r="W272" s="934" t="s">
        <v>5310</v>
      </c>
      <c r="X272" s="933" t="s">
        <v>5311</v>
      </c>
      <c r="Y272" s="934" t="s">
        <v>5312</v>
      </c>
      <c r="Z272" s="966" t="s">
        <v>5313</v>
      </c>
      <c r="AA272" s="967" t="s">
        <v>5314</v>
      </c>
      <c r="AB272" s="966" t="s">
        <v>5315</v>
      </c>
      <c r="AC272" s="967" t="s">
        <v>5316</v>
      </c>
      <c r="AD272" s="966" t="s">
        <v>5317</v>
      </c>
      <c r="AE272" s="967" t="s">
        <v>5318</v>
      </c>
      <c r="AF272" s="966" t="s">
        <v>5319</v>
      </c>
      <c r="AG272" s="967" t="s">
        <v>5320</v>
      </c>
      <c r="AH272" s="966" t="s">
        <v>5321</v>
      </c>
      <c r="AI272" s="967" t="s">
        <v>5322</v>
      </c>
      <c r="AJ272" s="966" t="s">
        <v>5323</v>
      </c>
      <c r="AK272" s="967" t="s">
        <v>5324</v>
      </c>
      <c r="AL272" s="966" t="s">
        <v>5325</v>
      </c>
      <c r="AM272" s="967" t="s">
        <v>5326</v>
      </c>
      <c r="AN272" s="966" t="s">
        <v>5327</v>
      </c>
      <c r="AO272" s="967" t="s">
        <v>5328</v>
      </c>
      <c r="AP272" s="968" t="s">
        <v>5329</v>
      </c>
      <c r="AQ272" s="969" t="s">
        <v>5330</v>
      </c>
      <c r="AR272" s="933" t="s">
        <v>5331</v>
      </c>
      <c r="AS272" s="934" t="s">
        <v>5332</v>
      </c>
      <c r="AT272" s="979" t="s">
        <v>5333</v>
      </c>
      <c r="AU272" s="966" t="s">
        <v>5334</v>
      </c>
      <c r="AV272" s="966" t="s">
        <v>5335</v>
      </c>
      <c r="AW272" s="973" t="s">
        <v>5336</v>
      </c>
      <c r="AX272" s="973" t="s">
        <v>5337</v>
      </c>
      <c r="AY272" s="965" t="s">
        <v>5338</v>
      </c>
      <c r="AZ272" t="e">
        <f t="shared" si="224"/>
        <v>#VALUE!</v>
      </c>
      <c r="CX272" s="1723" t="str">
        <f t="shared" si="225"/>
        <v xml:space="preserve"> * Las Embarazadas no pueden superar el Total Mujeres.</v>
      </c>
      <c r="CY272" s="1723" t="str">
        <f t="shared" si="226"/>
        <v xml:space="preserve"> * La variable Usuarios con discapacidad No puede ser mayor al Total.</v>
      </c>
      <c r="CZ272" s="1723" t="str">
        <f t="shared" si="227"/>
        <v xml:space="preserve"> * La variable Usuarios oncológicos No puede ser mayor al Total.</v>
      </c>
      <c r="DA272" s="1723" t="e">
        <f t="shared" si="228"/>
        <v>#VALUE!</v>
      </c>
      <c r="DB272" s="1723" t="str">
        <f t="shared" si="229"/>
        <v/>
      </c>
      <c r="DC272" s="1723" t="str">
        <f t="shared" si="230"/>
        <v>* Migrantes no puede ser mayor al Total</v>
      </c>
      <c r="DD272"/>
      <c r="DE272"/>
      <c r="DF272"/>
      <c r="DH272" s="1725">
        <f t="shared" si="231"/>
        <v>1</v>
      </c>
      <c r="DI272" s="1725">
        <f t="shared" si="232"/>
        <v>1</v>
      </c>
      <c r="DJ272" s="1725">
        <f t="shared" si="233"/>
        <v>1</v>
      </c>
      <c r="DK272" s="1725" t="e">
        <f t="shared" si="234"/>
        <v>#VALUE!</v>
      </c>
      <c r="DL272" s="1725">
        <f t="shared" si="235"/>
        <v>0</v>
      </c>
      <c r="DM272" s="1725">
        <f t="shared" si="236"/>
        <v>1</v>
      </c>
      <c r="DN272"/>
    </row>
    <row r="273" spans="1:118" ht="15" customHeight="1" x14ac:dyDescent="0.3">
      <c r="A273" s="6269" t="s">
        <v>5131</v>
      </c>
      <c r="B273" s="7267"/>
      <c r="C273" s="7462" t="s">
        <v>915</v>
      </c>
      <c r="D273" s="7400"/>
      <c r="E273" s="954" t="s">
        <v>5292</v>
      </c>
      <c r="F273" s="1008" t="s">
        <v>5293</v>
      </c>
      <c r="G273" s="1009" t="s">
        <v>5294</v>
      </c>
      <c r="H273" s="1013" t="s">
        <v>5295</v>
      </c>
      <c r="I273" s="1014" t="s">
        <v>5296</v>
      </c>
      <c r="J273" s="1015" t="s">
        <v>5297</v>
      </c>
      <c r="K273" s="1014" t="s">
        <v>5298</v>
      </c>
      <c r="L273" s="1015" t="s">
        <v>5299</v>
      </c>
      <c r="M273" s="1014" t="s">
        <v>5300</v>
      </c>
      <c r="N273" s="970" t="s">
        <v>5301</v>
      </c>
      <c r="O273" s="971" t="s">
        <v>5302</v>
      </c>
      <c r="P273" s="970" t="s">
        <v>5303</v>
      </c>
      <c r="Q273" s="971" t="s">
        <v>5304</v>
      </c>
      <c r="R273" s="1015" t="s">
        <v>5305</v>
      </c>
      <c r="S273" s="1014" t="s">
        <v>5306</v>
      </c>
      <c r="T273" s="1015" t="s">
        <v>5307</v>
      </c>
      <c r="U273" s="1014" t="s">
        <v>5308</v>
      </c>
      <c r="V273" s="970" t="s">
        <v>5309</v>
      </c>
      <c r="W273" s="971" t="s">
        <v>5310</v>
      </c>
      <c r="X273" s="970" t="s">
        <v>5311</v>
      </c>
      <c r="Y273" s="971" t="s">
        <v>5312</v>
      </c>
      <c r="Z273" s="966" t="s">
        <v>5313</v>
      </c>
      <c r="AA273" s="967" t="s">
        <v>5314</v>
      </c>
      <c r="AB273" s="966" t="s">
        <v>5315</v>
      </c>
      <c r="AC273" s="967" t="s">
        <v>5316</v>
      </c>
      <c r="AD273" s="966" t="s">
        <v>5317</v>
      </c>
      <c r="AE273" s="967" t="s">
        <v>5318</v>
      </c>
      <c r="AF273" s="966" t="s">
        <v>5319</v>
      </c>
      <c r="AG273" s="967" t="s">
        <v>5320</v>
      </c>
      <c r="AH273" s="966" t="s">
        <v>5321</v>
      </c>
      <c r="AI273" s="967" t="s">
        <v>5322</v>
      </c>
      <c r="AJ273" s="966" t="s">
        <v>5323</v>
      </c>
      <c r="AK273" s="967" t="s">
        <v>5324</v>
      </c>
      <c r="AL273" s="966" t="s">
        <v>5325</v>
      </c>
      <c r="AM273" s="967" t="s">
        <v>5326</v>
      </c>
      <c r="AN273" s="966" t="s">
        <v>5327</v>
      </c>
      <c r="AO273" s="967" t="s">
        <v>5328</v>
      </c>
      <c r="AP273" s="968" t="s">
        <v>5329</v>
      </c>
      <c r="AQ273" s="969" t="s">
        <v>5330</v>
      </c>
      <c r="AR273" s="970" t="s">
        <v>5331</v>
      </c>
      <c r="AS273" s="971" t="s">
        <v>5332</v>
      </c>
      <c r="AT273" s="972" t="s">
        <v>5333</v>
      </c>
      <c r="AU273" s="966" t="s">
        <v>5334</v>
      </c>
      <c r="AV273" s="966" t="s">
        <v>5335</v>
      </c>
      <c r="AW273" s="973" t="s">
        <v>5336</v>
      </c>
      <c r="AX273" s="973" t="s">
        <v>5337</v>
      </c>
      <c r="AY273" s="965" t="s">
        <v>5338</v>
      </c>
      <c r="AZ273" t="e">
        <f t="shared" si="224"/>
        <v>#VALUE!</v>
      </c>
      <c r="CX273" s="1723" t="str">
        <f t="shared" si="225"/>
        <v xml:space="preserve"> * Las Embarazadas no pueden superar el Total Mujeres.</v>
      </c>
      <c r="CY273" s="1723" t="str">
        <f t="shared" si="226"/>
        <v xml:space="preserve"> * La variable Usuarios con discapacidad No puede ser mayor al Total.</v>
      </c>
      <c r="CZ273" s="1723" t="str">
        <f t="shared" si="227"/>
        <v xml:space="preserve"> * La variable Usuarios oncológicos No puede ser mayor al Total.</v>
      </c>
      <c r="DA273" s="1723" t="e">
        <f t="shared" si="228"/>
        <v>#VALUE!</v>
      </c>
      <c r="DB273" s="1723" t="str">
        <f t="shared" si="229"/>
        <v/>
      </c>
      <c r="DC273" s="1723" t="str">
        <f t="shared" si="230"/>
        <v>* Migrantes no puede ser mayor al Total</v>
      </c>
      <c r="DD273"/>
      <c r="DE273"/>
      <c r="DF273"/>
      <c r="DH273" s="1725">
        <f t="shared" si="231"/>
        <v>1</v>
      </c>
      <c r="DI273" s="1725">
        <f t="shared" si="232"/>
        <v>1</v>
      </c>
      <c r="DJ273" s="1725">
        <f t="shared" si="233"/>
        <v>1</v>
      </c>
      <c r="DK273" s="1725" t="e">
        <f t="shared" si="234"/>
        <v>#VALUE!</v>
      </c>
      <c r="DL273" s="1725">
        <f t="shared" si="235"/>
        <v>0</v>
      </c>
      <c r="DM273" s="1725">
        <f t="shared" si="236"/>
        <v>1</v>
      </c>
      <c r="DN273"/>
    </row>
    <row r="274" spans="1:118" ht="15" customHeight="1" x14ac:dyDescent="0.3">
      <c r="A274" s="6269" t="s">
        <v>5132</v>
      </c>
      <c r="B274" s="7465"/>
      <c r="C274" s="7463" t="s">
        <v>916</v>
      </c>
      <c r="D274" s="7463"/>
      <c r="E274" s="974" t="s">
        <v>5292</v>
      </c>
      <c r="F274" s="1016" t="s">
        <v>5293</v>
      </c>
      <c r="G274" s="1017" t="s">
        <v>5294</v>
      </c>
      <c r="H274" s="1018" t="s">
        <v>5295</v>
      </c>
      <c r="I274" s="1019" t="s">
        <v>5296</v>
      </c>
      <c r="J274" s="1020" t="s">
        <v>5297</v>
      </c>
      <c r="K274" s="1019" t="s">
        <v>5298</v>
      </c>
      <c r="L274" s="1020" t="s">
        <v>5299</v>
      </c>
      <c r="M274" s="1019" t="s">
        <v>5300</v>
      </c>
      <c r="N274" s="1018" t="s">
        <v>5301</v>
      </c>
      <c r="O274" s="1019" t="s">
        <v>5302</v>
      </c>
      <c r="P274" s="1018" t="s">
        <v>5303</v>
      </c>
      <c r="Q274" s="1019" t="s">
        <v>5304</v>
      </c>
      <c r="R274" s="1020" t="s">
        <v>5305</v>
      </c>
      <c r="S274" s="1019" t="s">
        <v>5306</v>
      </c>
      <c r="T274" s="1020" t="s">
        <v>5307</v>
      </c>
      <c r="U274" s="1019" t="s">
        <v>5308</v>
      </c>
      <c r="V274" s="1018" t="s">
        <v>5309</v>
      </c>
      <c r="W274" s="1019" t="s">
        <v>5310</v>
      </c>
      <c r="X274" s="1018" t="s">
        <v>5311</v>
      </c>
      <c r="Y274" s="1019" t="s">
        <v>5312</v>
      </c>
      <c r="Z274" s="940" t="s">
        <v>5313</v>
      </c>
      <c r="AA274" s="941" t="s">
        <v>5314</v>
      </c>
      <c r="AB274" s="940" t="s">
        <v>5315</v>
      </c>
      <c r="AC274" s="941" t="s">
        <v>5316</v>
      </c>
      <c r="AD274" s="940" t="s">
        <v>5317</v>
      </c>
      <c r="AE274" s="941" t="s">
        <v>5318</v>
      </c>
      <c r="AF274" s="940" t="s">
        <v>5319</v>
      </c>
      <c r="AG274" s="941" t="s">
        <v>5320</v>
      </c>
      <c r="AH274" s="940" t="s">
        <v>5321</v>
      </c>
      <c r="AI274" s="941" t="s">
        <v>5322</v>
      </c>
      <c r="AJ274" s="940" t="s">
        <v>5323</v>
      </c>
      <c r="AK274" s="941" t="s">
        <v>5324</v>
      </c>
      <c r="AL274" s="940" t="s">
        <v>5325</v>
      </c>
      <c r="AM274" s="941" t="s">
        <v>5326</v>
      </c>
      <c r="AN274" s="940" t="s">
        <v>5327</v>
      </c>
      <c r="AO274" s="941" t="s">
        <v>5328</v>
      </c>
      <c r="AP274" s="942" t="s">
        <v>5329</v>
      </c>
      <c r="AQ274" s="943" t="s">
        <v>5330</v>
      </c>
      <c r="AR274" s="975" t="s">
        <v>5331</v>
      </c>
      <c r="AS274" s="976" t="s">
        <v>5332</v>
      </c>
      <c r="AT274" s="977" t="s">
        <v>5333</v>
      </c>
      <c r="AU274" s="940" t="s">
        <v>5334</v>
      </c>
      <c r="AV274" s="940" t="s">
        <v>5335</v>
      </c>
      <c r="AW274" s="944" t="s">
        <v>5336</v>
      </c>
      <c r="AX274" s="944" t="s">
        <v>5337</v>
      </c>
      <c r="AY274" s="939" t="s">
        <v>5338</v>
      </c>
      <c r="AZ274" t="e">
        <f t="shared" si="224"/>
        <v>#VALUE!</v>
      </c>
      <c r="CX274" s="1723" t="str">
        <f t="shared" si="225"/>
        <v xml:space="preserve"> * Las Embarazadas no pueden superar el Total Mujeres.</v>
      </c>
      <c r="CY274" s="1723" t="str">
        <f t="shared" si="226"/>
        <v xml:space="preserve"> * La variable Usuarios con discapacidad No puede ser mayor al Total.</v>
      </c>
      <c r="CZ274" s="1723" t="str">
        <f t="shared" si="227"/>
        <v xml:space="preserve"> * La variable Usuarios oncológicos No puede ser mayor al Total.</v>
      </c>
      <c r="DA274" s="1723" t="e">
        <f t="shared" si="228"/>
        <v>#VALUE!</v>
      </c>
      <c r="DB274" s="1723" t="str">
        <f t="shared" si="229"/>
        <v/>
      </c>
      <c r="DC274" s="1723" t="str">
        <f t="shared" si="230"/>
        <v>* Migrantes no puede ser mayor al Total</v>
      </c>
      <c r="DD274"/>
      <c r="DE274"/>
      <c r="DF274"/>
      <c r="DH274" s="1725">
        <f t="shared" si="231"/>
        <v>1</v>
      </c>
      <c r="DI274" s="1725">
        <f t="shared" si="232"/>
        <v>1</v>
      </c>
      <c r="DJ274" s="1725">
        <f t="shared" si="233"/>
        <v>1</v>
      </c>
      <c r="DK274" s="1725" t="e">
        <f t="shared" si="234"/>
        <v>#VALUE!</v>
      </c>
      <c r="DL274" s="1725">
        <f t="shared" si="235"/>
        <v>0</v>
      </c>
      <c r="DM274" s="1725">
        <f t="shared" si="236"/>
        <v>1</v>
      </c>
      <c r="DN274"/>
    </row>
    <row r="275" spans="1:118" ht="15" customHeight="1" x14ac:dyDescent="0.3">
      <c r="A275" s="6269" t="s">
        <v>5133</v>
      </c>
      <c r="B275" s="7466" t="s">
        <v>922</v>
      </c>
      <c r="C275" s="7460" t="s">
        <v>911</v>
      </c>
      <c r="D275" s="7460"/>
      <c r="E275" s="907" t="s">
        <v>5292</v>
      </c>
      <c r="F275" s="1021" t="s">
        <v>5293</v>
      </c>
      <c r="G275" s="1022" t="s">
        <v>5294</v>
      </c>
      <c r="H275" s="1028" t="s">
        <v>5295</v>
      </c>
      <c r="I275" s="1027" t="s">
        <v>5296</v>
      </c>
      <c r="J275" s="1026" t="s">
        <v>5297</v>
      </c>
      <c r="K275" s="1027" t="s">
        <v>5298</v>
      </c>
      <c r="L275" s="1026" t="s">
        <v>5299</v>
      </c>
      <c r="M275" s="1027" t="s">
        <v>5300</v>
      </c>
      <c r="N275" s="1026" t="s">
        <v>5301</v>
      </c>
      <c r="O275" s="1027" t="s">
        <v>5302</v>
      </c>
      <c r="P275" s="1026" t="s">
        <v>5303</v>
      </c>
      <c r="Q275" s="1027" t="s">
        <v>5304</v>
      </c>
      <c r="R275" s="1026" t="s">
        <v>5305</v>
      </c>
      <c r="S275" s="1027" t="s">
        <v>5306</v>
      </c>
      <c r="T275" s="1026" t="s">
        <v>5307</v>
      </c>
      <c r="U275" s="1027" t="s">
        <v>5308</v>
      </c>
      <c r="V275" s="1026" t="s">
        <v>5309</v>
      </c>
      <c r="W275" s="1027" t="s">
        <v>5310</v>
      </c>
      <c r="X275" s="1026" t="s">
        <v>5311</v>
      </c>
      <c r="Y275" s="1027" t="s">
        <v>5312</v>
      </c>
      <c r="Z275" s="949" t="s">
        <v>5313</v>
      </c>
      <c r="AA275" s="950" t="s">
        <v>5314</v>
      </c>
      <c r="AB275" s="949" t="s">
        <v>5315</v>
      </c>
      <c r="AC275" s="950" t="s">
        <v>5316</v>
      </c>
      <c r="AD275" s="949" t="s">
        <v>5317</v>
      </c>
      <c r="AE275" s="950" t="s">
        <v>5318</v>
      </c>
      <c r="AF275" s="949" t="s">
        <v>5319</v>
      </c>
      <c r="AG275" s="950" t="s">
        <v>5320</v>
      </c>
      <c r="AH275" s="949" t="s">
        <v>5321</v>
      </c>
      <c r="AI275" s="950" t="s">
        <v>5322</v>
      </c>
      <c r="AJ275" s="949" t="s">
        <v>5323</v>
      </c>
      <c r="AK275" s="950" t="s">
        <v>5324</v>
      </c>
      <c r="AL275" s="949" t="s">
        <v>5325</v>
      </c>
      <c r="AM275" s="950" t="s">
        <v>5326</v>
      </c>
      <c r="AN275" s="949" t="s">
        <v>5327</v>
      </c>
      <c r="AO275" s="950" t="s">
        <v>5328</v>
      </c>
      <c r="AP275" s="951" t="s">
        <v>5329</v>
      </c>
      <c r="AQ275" s="952" t="s">
        <v>5330</v>
      </c>
      <c r="AR275" s="947" t="s">
        <v>5331</v>
      </c>
      <c r="AS275" s="948" t="s">
        <v>5332</v>
      </c>
      <c r="AT275" s="929" t="s">
        <v>5333</v>
      </c>
      <c r="AU275" s="949" t="s">
        <v>5334</v>
      </c>
      <c r="AV275" s="949" t="s">
        <v>5335</v>
      </c>
      <c r="AW275" s="953" t="s">
        <v>5336</v>
      </c>
      <c r="AX275" s="953" t="s">
        <v>5337</v>
      </c>
      <c r="AY275" s="948" t="s">
        <v>5338</v>
      </c>
      <c r="AZ275" t="e">
        <f t="shared" si="224"/>
        <v>#VALUE!</v>
      </c>
      <c r="CX275" s="1723" t="str">
        <f t="shared" si="225"/>
        <v xml:space="preserve"> * Las Embarazadas no pueden superar el Total Mujeres.</v>
      </c>
      <c r="CY275" s="1723" t="str">
        <f t="shared" si="226"/>
        <v xml:space="preserve"> * La variable Usuarios con discapacidad No puede ser mayor al Total.</v>
      </c>
      <c r="CZ275" s="1723" t="str">
        <f t="shared" si="227"/>
        <v xml:space="preserve"> * La variable Usuarios oncológicos No puede ser mayor al Total.</v>
      </c>
      <c r="DA275" s="1723" t="e">
        <f t="shared" si="228"/>
        <v>#VALUE!</v>
      </c>
      <c r="DB275" s="1723" t="str">
        <f t="shared" si="229"/>
        <v/>
      </c>
      <c r="DC275" s="1723" t="str">
        <f t="shared" si="230"/>
        <v>* Migrantes no puede ser mayor al Total</v>
      </c>
      <c r="DD275"/>
      <c r="DE275"/>
      <c r="DF275"/>
      <c r="DH275" s="1725">
        <f t="shared" si="231"/>
        <v>1</v>
      </c>
      <c r="DI275" s="1725">
        <f t="shared" si="232"/>
        <v>1</v>
      </c>
      <c r="DJ275" s="1725">
        <f t="shared" si="233"/>
        <v>1</v>
      </c>
      <c r="DK275" s="1725" t="e">
        <f t="shared" si="234"/>
        <v>#VALUE!</v>
      </c>
      <c r="DL275" s="1725">
        <f t="shared" si="235"/>
        <v>0</v>
      </c>
      <c r="DM275" s="1725">
        <f t="shared" si="236"/>
        <v>1</v>
      </c>
      <c r="DN275"/>
    </row>
    <row r="276" spans="1:118" ht="15" customHeight="1" x14ac:dyDescent="0.3">
      <c r="A276" s="6269" t="s">
        <v>5134</v>
      </c>
      <c r="B276" s="7424"/>
      <c r="C276" s="7461" t="s">
        <v>912</v>
      </c>
      <c r="D276" s="7461"/>
      <c r="E276" s="954" t="s">
        <v>5292</v>
      </c>
      <c r="F276" s="1008" t="s">
        <v>5293</v>
      </c>
      <c r="G276" s="1009" t="s">
        <v>5294</v>
      </c>
      <c r="H276" s="933" t="s">
        <v>5295</v>
      </c>
      <c r="I276" s="934" t="s">
        <v>5296</v>
      </c>
      <c r="J276" s="979" t="s">
        <v>5297</v>
      </c>
      <c r="K276" s="934" t="s">
        <v>5298</v>
      </c>
      <c r="L276" s="979" t="s">
        <v>5299</v>
      </c>
      <c r="M276" s="934" t="s">
        <v>5300</v>
      </c>
      <c r="N276" s="979" t="s">
        <v>5301</v>
      </c>
      <c r="O276" s="934" t="s">
        <v>5302</v>
      </c>
      <c r="P276" s="979" t="s">
        <v>5303</v>
      </c>
      <c r="Q276" s="934" t="s">
        <v>5304</v>
      </c>
      <c r="R276" s="979" t="s">
        <v>5305</v>
      </c>
      <c r="S276" s="934" t="s">
        <v>5306</v>
      </c>
      <c r="T276" s="979" t="s">
        <v>5307</v>
      </c>
      <c r="U276" s="934" t="s">
        <v>5308</v>
      </c>
      <c r="V276" s="979" t="s">
        <v>5309</v>
      </c>
      <c r="W276" s="934" t="s">
        <v>5310</v>
      </c>
      <c r="X276" s="979" t="s">
        <v>5311</v>
      </c>
      <c r="Y276" s="934" t="s">
        <v>5312</v>
      </c>
      <c r="Z276" s="959" t="s">
        <v>5313</v>
      </c>
      <c r="AA276" s="960" t="s">
        <v>5314</v>
      </c>
      <c r="AB276" s="959" t="s">
        <v>5315</v>
      </c>
      <c r="AC276" s="960" t="s">
        <v>5316</v>
      </c>
      <c r="AD276" s="959" t="s">
        <v>5317</v>
      </c>
      <c r="AE276" s="960" t="s">
        <v>5318</v>
      </c>
      <c r="AF276" s="959" t="s">
        <v>5319</v>
      </c>
      <c r="AG276" s="960" t="s">
        <v>5320</v>
      </c>
      <c r="AH276" s="959" t="s">
        <v>5321</v>
      </c>
      <c r="AI276" s="960" t="s">
        <v>5322</v>
      </c>
      <c r="AJ276" s="959" t="s">
        <v>5323</v>
      </c>
      <c r="AK276" s="960" t="s">
        <v>5324</v>
      </c>
      <c r="AL276" s="959" t="s">
        <v>5325</v>
      </c>
      <c r="AM276" s="960" t="s">
        <v>5326</v>
      </c>
      <c r="AN276" s="959" t="s">
        <v>5327</v>
      </c>
      <c r="AO276" s="960" t="s">
        <v>5328</v>
      </c>
      <c r="AP276" s="961" t="s">
        <v>5329</v>
      </c>
      <c r="AQ276" s="962" t="s">
        <v>5330</v>
      </c>
      <c r="AR276" s="933" t="s">
        <v>5331</v>
      </c>
      <c r="AS276" s="934" t="s">
        <v>5332</v>
      </c>
      <c r="AT276" s="949" t="s">
        <v>5333</v>
      </c>
      <c r="AU276" s="959" t="s">
        <v>5334</v>
      </c>
      <c r="AV276" s="959" t="s">
        <v>5335</v>
      </c>
      <c r="AW276" s="963" t="s">
        <v>5336</v>
      </c>
      <c r="AX276" s="963" t="s">
        <v>5337</v>
      </c>
      <c r="AY276" s="958" t="s">
        <v>5338</v>
      </c>
      <c r="AZ276" t="e">
        <f t="shared" si="224"/>
        <v>#VALUE!</v>
      </c>
      <c r="CX276" s="1723" t="str">
        <f t="shared" si="225"/>
        <v xml:space="preserve"> * Las Embarazadas no pueden superar el Total Mujeres.</v>
      </c>
      <c r="CY276" s="1723" t="str">
        <f t="shared" si="226"/>
        <v xml:space="preserve"> * La variable Usuarios con discapacidad No puede ser mayor al Total.</v>
      </c>
      <c r="CZ276" s="1723" t="str">
        <f t="shared" si="227"/>
        <v xml:space="preserve"> * La variable Usuarios oncológicos No puede ser mayor al Total.</v>
      </c>
      <c r="DA276" s="1723" t="e">
        <f t="shared" si="228"/>
        <v>#VALUE!</v>
      </c>
      <c r="DB276" s="1723" t="str">
        <f t="shared" si="229"/>
        <v/>
      </c>
      <c r="DC276" s="1723" t="str">
        <f t="shared" si="230"/>
        <v>* Migrantes no puede ser mayor al Total</v>
      </c>
      <c r="DD276"/>
      <c r="DE276"/>
      <c r="DF276"/>
      <c r="DH276" s="1725">
        <f t="shared" si="231"/>
        <v>1</v>
      </c>
      <c r="DI276" s="1725">
        <f t="shared" si="232"/>
        <v>1</v>
      </c>
      <c r="DJ276" s="1725">
        <f t="shared" si="233"/>
        <v>1</v>
      </c>
      <c r="DK276" s="1725" t="e">
        <f t="shared" si="234"/>
        <v>#VALUE!</v>
      </c>
      <c r="DL276" s="1725">
        <f t="shared" si="235"/>
        <v>0</v>
      </c>
      <c r="DM276" s="1725">
        <f t="shared" si="236"/>
        <v>1</v>
      </c>
      <c r="DN276"/>
    </row>
    <row r="277" spans="1:118" ht="15" customHeight="1" x14ac:dyDescent="0.3">
      <c r="A277" s="6269" t="s">
        <v>5135</v>
      </c>
      <c r="B277" s="7424"/>
      <c r="C277" s="7461" t="s">
        <v>913</v>
      </c>
      <c r="D277" s="7461"/>
      <c r="E277" s="954" t="s">
        <v>5292</v>
      </c>
      <c r="F277" s="1008" t="s">
        <v>5293</v>
      </c>
      <c r="G277" s="1009" t="s">
        <v>5294</v>
      </c>
      <c r="H277" s="933" t="s">
        <v>5295</v>
      </c>
      <c r="I277" s="934" t="s">
        <v>5296</v>
      </c>
      <c r="J277" s="979" t="s">
        <v>5297</v>
      </c>
      <c r="K277" s="934" t="s">
        <v>5298</v>
      </c>
      <c r="L277" s="979" t="s">
        <v>5299</v>
      </c>
      <c r="M277" s="934" t="s">
        <v>5300</v>
      </c>
      <c r="N277" s="979" t="s">
        <v>5301</v>
      </c>
      <c r="O277" s="934" t="s">
        <v>5302</v>
      </c>
      <c r="P277" s="979" t="s">
        <v>5303</v>
      </c>
      <c r="Q277" s="934" t="s">
        <v>5304</v>
      </c>
      <c r="R277" s="979" t="s">
        <v>5305</v>
      </c>
      <c r="S277" s="934" t="s">
        <v>5306</v>
      </c>
      <c r="T277" s="979" t="s">
        <v>5307</v>
      </c>
      <c r="U277" s="934" t="s">
        <v>5308</v>
      </c>
      <c r="V277" s="979" t="s">
        <v>5309</v>
      </c>
      <c r="W277" s="934" t="s">
        <v>5310</v>
      </c>
      <c r="X277" s="979" t="s">
        <v>5311</v>
      </c>
      <c r="Y277" s="934" t="s">
        <v>5312</v>
      </c>
      <c r="Z277" s="959" t="s">
        <v>5313</v>
      </c>
      <c r="AA277" s="960" t="s">
        <v>5314</v>
      </c>
      <c r="AB277" s="959" t="s">
        <v>5315</v>
      </c>
      <c r="AC277" s="960" t="s">
        <v>5316</v>
      </c>
      <c r="AD277" s="959" t="s">
        <v>5317</v>
      </c>
      <c r="AE277" s="960" t="s">
        <v>5318</v>
      </c>
      <c r="AF277" s="959" t="s">
        <v>5319</v>
      </c>
      <c r="AG277" s="960" t="s">
        <v>5320</v>
      </c>
      <c r="AH277" s="959" t="s">
        <v>5321</v>
      </c>
      <c r="AI277" s="960" t="s">
        <v>5322</v>
      </c>
      <c r="AJ277" s="959" t="s">
        <v>5323</v>
      </c>
      <c r="AK277" s="960" t="s">
        <v>5324</v>
      </c>
      <c r="AL277" s="959" t="s">
        <v>5325</v>
      </c>
      <c r="AM277" s="960" t="s">
        <v>5326</v>
      </c>
      <c r="AN277" s="959" t="s">
        <v>5327</v>
      </c>
      <c r="AO277" s="960" t="s">
        <v>5328</v>
      </c>
      <c r="AP277" s="961" t="s">
        <v>5329</v>
      </c>
      <c r="AQ277" s="962" t="s">
        <v>5330</v>
      </c>
      <c r="AR277" s="933" t="s">
        <v>5331</v>
      </c>
      <c r="AS277" s="934" t="s">
        <v>5332</v>
      </c>
      <c r="AT277" s="979" t="s">
        <v>5333</v>
      </c>
      <c r="AU277" s="959" t="s">
        <v>5334</v>
      </c>
      <c r="AV277" s="959" t="s">
        <v>5335</v>
      </c>
      <c r="AW277" s="963" t="s">
        <v>5336</v>
      </c>
      <c r="AX277" s="963" t="s">
        <v>5337</v>
      </c>
      <c r="AY277" s="958" t="s">
        <v>5338</v>
      </c>
      <c r="AZ277" t="e">
        <f t="shared" si="224"/>
        <v>#VALUE!</v>
      </c>
      <c r="CX277" s="1723" t="str">
        <f t="shared" si="225"/>
        <v xml:space="preserve"> * Las Embarazadas no pueden superar el Total Mujeres.</v>
      </c>
      <c r="CY277" s="1723" t="str">
        <f t="shared" si="226"/>
        <v xml:space="preserve"> * La variable Usuarios con discapacidad No puede ser mayor al Total.</v>
      </c>
      <c r="CZ277" s="1723" t="str">
        <f t="shared" si="227"/>
        <v xml:space="preserve"> * La variable Usuarios oncológicos No puede ser mayor al Total.</v>
      </c>
      <c r="DA277" s="1723" t="e">
        <f t="shared" si="228"/>
        <v>#VALUE!</v>
      </c>
      <c r="DB277" s="1723" t="str">
        <f t="shared" si="229"/>
        <v/>
      </c>
      <c r="DC277" s="1723" t="str">
        <f t="shared" si="230"/>
        <v>* Migrantes no puede ser mayor al Total</v>
      </c>
      <c r="DD277"/>
      <c r="DE277"/>
      <c r="DF277"/>
      <c r="DH277" s="1725">
        <f t="shared" si="231"/>
        <v>1</v>
      </c>
      <c r="DI277" s="1725">
        <f t="shared" si="232"/>
        <v>1</v>
      </c>
      <c r="DJ277" s="1725">
        <f t="shared" si="233"/>
        <v>1</v>
      </c>
      <c r="DK277" s="1725" t="e">
        <f t="shared" si="234"/>
        <v>#VALUE!</v>
      </c>
      <c r="DL277" s="1725">
        <f t="shared" si="235"/>
        <v>0</v>
      </c>
      <c r="DM277" s="1725">
        <f t="shared" si="236"/>
        <v>1</v>
      </c>
      <c r="DN277"/>
    </row>
    <row r="278" spans="1:118" ht="15" customHeight="1" x14ac:dyDescent="0.3">
      <c r="A278" s="6269" t="s">
        <v>5136</v>
      </c>
      <c r="B278" s="7424"/>
      <c r="C278" s="7462" t="s">
        <v>914</v>
      </c>
      <c r="D278" s="7400"/>
      <c r="E278" s="954" t="s">
        <v>5292</v>
      </c>
      <c r="F278" s="1029" t="s">
        <v>5293</v>
      </c>
      <c r="G278" s="1030" t="s">
        <v>5294</v>
      </c>
      <c r="H278" s="933" t="s">
        <v>5295</v>
      </c>
      <c r="I278" s="934" t="s">
        <v>5296</v>
      </c>
      <c r="J278" s="979" t="s">
        <v>5297</v>
      </c>
      <c r="K278" s="934" t="s">
        <v>5298</v>
      </c>
      <c r="L278" s="979" t="s">
        <v>5299</v>
      </c>
      <c r="M278" s="934" t="s">
        <v>5300</v>
      </c>
      <c r="N278" s="979" t="s">
        <v>5301</v>
      </c>
      <c r="O278" s="934" t="s">
        <v>5302</v>
      </c>
      <c r="P278" s="979" t="s">
        <v>5303</v>
      </c>
      <c r="Q278" s="934" t="s">
        <v>5304</v>
      </c>
      <c r="R278" s="979" t="s">
        <v>5305</v>
      </c>
      <c r="S278" s="934" t="s">
        <v>5306</v>
      </c>
      <c r="T278" s="979" t="s">
        <v>5307</v>
      </c>
      <c r="U278" s="934" t="s">
        <v>5308</v>
      </c>
      <c r="V278" s="979" t="s">
        <v>5309</v>
      </c>
      <c r="W278" s="934" t="s">
        <v>5310</v>
      </c>
      <c r="X278" s="979" t="s">
        <v>5311</v>
      </c>
      <c r="Y278" s="934" t="s">
        <v>5312</v>
      </c>
      <c r="Z278" s="959" t="s">
        <v>5313</v>
      </c>
      <c r="AA278" s="960" t="s">
        <v>5314</v>
      </c>
      <c r="AB278" s="959" t="s">
        <v>5315</v>
      </c>
      <c r="AC278" s="960" t="s">
        <v>5316</v>
      </c>
      <c r="AD278" s="959" t="s">
        <v>5317</v>
      </c>
      <c r="AE278" s="960" t="s">
        <v>5318</v>
      </c>
      <c r="AF278" s="959" t="s">
        <v>5319</v>
      </c>
      <c r="AG278" s="960" t="s">
        <v>5320</v>
      </c>
      <c r="AH278" s="959" t="s">
        <v>5321</v>
      </c>
      <c r="AI278" s="960" t="s">
        <v>5322</v>
      </c>
      <c r="AJ278" s="959" t="s">
        <v>5323</v>
      </c>
      <c r="AK278" s="960" t="s">
        <v>5324</v>
      </c>
      <c r="AL278" s="959" t="s">
        <v>5325</v>
      </c>
      <c r="AM278" s="960" t="s">
        <v>5326</v>
      </c>
      <c r="AN278" s="959" t="s">
        <v>5327</v>
      </c>
      <c r="AO278" s="960" t="s">
        <v>5328</v>
      </c>
      <c r="AP278" s="968" t="s">
        <v>5329</v>
      </c>
      <c r="AQ278" s="969" t="s">
        <v>5330</v>
      </c>
      <c r="AR278" s="933" t="s">
        <v>5331</v>
      </c>
      <c r="AS278" s="934" t="s">
        <v>5332</v>
      </c>
      <c r="AT278" s="979" t="s">
        <v>5333</v>
      </c>
      <c r="AU278" s="966" t="s">
        <v>5334</v>
      </c>
      <c r="AV278" s="966" t="s">
        <v>5335</v>
      </c>
      <c r="AW278" s="973" t="s">
        <v>5336</v>
      </c>
      <c r="AX278" s="973" t="s">
        <v>5337</v>
      </c>
      <c r="AY278" s="965" t="s">
        <v>5338</v>
      </c>
      <c r="AZ278" t="e">
        <f t="shared" si="224"/>
        <v>#VALUE!</v>
      </c>
      <c r="CX278" s="1723" t="str">
        <f t="shared" si="225"/>
        <v xml:space="preserve"> * Las Embarazadas no pueden superar el Total Mujeres.</v>
      </c>
      <c r="CY278" s="1723" t="str">
        <f t="shared" si="226"/>
        <v xml:space="preserve"> * La variable Usuarios con discapacidad No puede ser mayor al Total.</v>
      </c>
      <c r="CZ278" s="1723" t="str">
        <f t="shared" si="227"/>
        <v xml:space="preserve"> * La variable Usuarios oncológicos No puede ser mayor al Total.</v>
      </c>
      <c r="DA278" s="1723" t="e">
        <f t="shared" si="228"/>
        <v>#VALUE!</v>
      </c>
      <c r="DB278" s="1723" t="str">
        <f t="shared" si="229"/>
        <v/>
      </c>
      <c r="DC278" s="1723" t="str">
        <f t="shared" si="230"/>
        <v>* Migrantes no puede ser mayor al Total</v>
      </c>
      <c r="DD278"/>
      <c r="DE278"/>
      <c r="DF278"/>
      <c r="DH278" s="1725">
        <f t="shared" si="231"/>
        <v>1</v>
      </c>
      <c r="DI278" s="1725">
        <f t="shared" si="232"/>
        <v>1</v>
      </c>
      <c r="DJ278" s="1725">
        <f t="shared" si="233"/>
        <v>1</v>
      </c>
      <c r="DK278" s="1725" t="e">
        <f t="shared" si="234"/>
        <v>#VALUE!</v>
      </c>
      <c r="DL278" s="1725">
        <f t="shared" si="235"/>
        <v>0</v>
      </c>
      <c r="DM278" s="1725">
        <f t="shared" si="236"/>
        <v>1</v>
      </c>
      <c r="DN278"/>
    </row>
    <row r="279" spans="1:118" ht="15" customHeight="1" x14ac:dyDescent="0.3">
      <c r="A279" s="6269" t="s">
        <v>5137</v>
      </c>
      <c r="B279" s="7424"/>
      <c r="C279" s="7462" t="s">
        <v>915</v>
      </c>
      <c r="D279" s="7400"/>
      <c r="E279" s="954" t="s">
        <v>5292</v>
      </c>
      <c r="F279" s="1029" t="s">
        <v>5293</v>
      </c>
      <c r="G279" s="1030" t="s">
        <v>5294</v>
      </c>
      <c r="H279" s="1031" t="s">
        <v>5295</v>
      </c>
      <c r="I279" s="1032" t="s">
        <v>5296</v>
      </c>
      <c r="J279" s="1033" t="s">
        <v>5297</v>
      </c>
      <c r="K279" s="1032" t="s">
        <v>5298</v>
      </c>
      <c r="L279" s="1033" t="s">
        <v>5299</v>
      </c>
      <c r="M279" s="1032" t="s">
        <v>5300</v>
      </c>
      <c r="N279" s="1033" t="s">
        <v>5301</v>
      </c>
      <c r="O279" s="1032" t="s">
        <v>5302</v>
      </c>
      <c r="P279" s="1033" t="s">
        <v>5303</v>
      </c>
      <c r="Q279" s="1032" t="s">
        <v>5304</v>
      </c>
      <c r="R279" s="1033" t="s">
        <v>5305</v>
      </c>
      <c r="S279" s="1032" t="s">
        <v>5306</v>
      </c>
      <c r="T279" s="1033" t="s">
        <v>5307</v>
      </c>
      <c r="U279" s="1032" t="s">
        <v>5308</v>
      </c>
      <c r="V279" s="1033" t="s">
        <v>5309</v>
      </c>
      <c r="W279" s="1032" t="s">
        <v>5310</v>
      </c>
      <c r="X279" s="1033" t="s">
        <v>5311</v>
      </c>
      <c r="Y279" s="1032" t="s">
        <v>5312</v>
      </c>
      <c r="Z279" s="966" t="s">
        <v>5313</v>
      </c>
      <c r="AA279" s="967" t="s">
        <v>5314</v>
      </c>
      <c r="AB279" s="966" t="s">
        <v>5315</v>
      </c>
      <c r="AC279" s="967" t="s">
        <v>5316</v>
      </c>
      <c r="AD279" s="966" t="s">
        <v>5317</v>
      </c>
      <c r="AE279" s="967" t="s">
        <v>5318</v>
      </c>
      <c r="AF279" s="966" t="s">
        <v>5319</v>
      </c>
      <c r="AG279" s="967" t="s">
        <v>5320</v>
      </c>
      <c r="AH279" s="966" t="s">
        <v>5321</v>
      </c>
      <c r="AI279" s="967" t="s">
        <v>5322</v>
      </c>
      <c r="AJ279" s="966" t="s">
        <v>5323</v>
      </c>
      <c r="AK279" s="967" t="s">
        <v>5324</v>
      </c>
      <c r="AL279" s="966" t="s">
        <v>5325</v>
      </c>
      <c r="AM279" s="967" t="s">
        <v>5326</v>
      </c>
      <c r="AN279" s="966" t="s">
        <v>5327</v>
      </c>
      <c r="AO279" s="967" t="s">
        <v>5328</v>
      </c>
      <c r="AP279" s="968" t="s">
        <v>5329</v>
      </c>
      <c r="AQ279" s="969" t="s">
        <v>5330</v>
      </c>
      <c r="AR279" s="970" t="s">
        <v>5331</v>
      </c>
      <c r="AS279" s="971" t="s">
        <v>5332</v>
      </c>
      <c r="AT279" s="972" t="s">
        <v>5333</v>
      </c>
      <c r="AU279" s="966" t="s">
        <v>5334</v>
      </c>
      <c r="AV279" s="966" t="s">
        <v>5335</v>
      </c>
      <c r="AW279" s="973" t="s">
        <v>5336</v>
      </c>
      <c r="AX279" s="973" t="s">
        <v>5337</v>
      </c>
      <c r="AY279" s="965" t="s">
        <v>5338</v>
      </c>
      <c r="AZ279" t="e">
        <f t="shared" si="224"/>
        <v>#VALUE!</v>
      </c>
      <c r="CX279" s="1723" t="str">
        <f t="shared" si="225"/>
        <v xml:space="preserve"> * Las Embarazadas no pueden superar el Total Mujeres.</v>
      </c>
      <c r="CY279" s="1723" t="str">
        <f t="shared" si="226"/>
        <v xml:space="preserve"> * La variable Usuarios con discapacidad No puede ser mayor al Total.</v>
      </c>
      <c r="CZ279" s="1723" t="str">
        <f t="shared" si="227"/>
        <v xml:space="preserve"> * La variable Usuarios oncológicos No puede ser mayor al Total.</v>
      </c>
      <c r="DA279" s="1723" t="e">
        <f t="shared" si="228"/>
        <v>#VALUE!</v>
      </c>
      <c r="DB279" s="1723" t="str">
        <f t="shared" si="229"/>
        <v/>
      </c>
      <c r="DC279" s="1723" t="str">
        <f t="shared" si="230"/>
        <v>* Migrantes no puede ser mayor al Total</v>
      </c>
      <c r="DD279"/>
      <c r="DE279"/>
      <c r="DF279"/>
      <c r="DH279" s="1725">
        <f t="shared" si="231"/>
        <v>1</v>
      </c>
      <c r="DI279" s="1725">
        <f t="shared" si="232"/>
        <v>1</v>
      </c>
      <c r="DJ279" s="1725">
        <f t="shared" si="233"/>
        <v>1</v>
      </c>
      <c r="DK279" s="1725" t="e">
        <f t="shared" si="234"/>
        <v>#VALUE!</v>
      </c>
      <c r="DL279" s="1725">
        <f t="shared" si="235"/>
        <v>0</v>
      </c>
      <c r="DM279" s="1725">
        <f t="shared" si="236"/>
        <v>1</v>
      </c>
      <c r="DN279"/>
    </row>
    <row r="280" spans="1:118" ht="15" customHeight="1" x14ac:dyDescent="0.3">
      <c r="A280" s="6269" t="s">
        <v>5138</v>
      </c>
      <c r="B280" s="7425"/>
      <c r="C280" s="7463" t="s">
        <v>916</v>
      </c>
      <c r="D280" s="7463"/>
      <c r="E280" s="990" t="s">
        <v>5292</v>
      </c>
      <c r="F280" s="1034" t="s">
        <v>5293</v>
      </c>
      <c r="G280" s="992" t="s">
        <v>5294</v>
      </c>
      <c r="H280" s="997" t="s">
        <v>5295</v>
      </c>
      <c r="I280" s="1035" t="s">
        <v>5296</v>
      </c>
      <c r="J280" s="1036" t="s">
        <v>5297</v>
      </c>
      <c r="K280" s="1035" t="s">
        <v>5298</v>
      </c>
      <c r="L280" s="1036" t="s">
        <v>5299</v>
      </c>
      <c r="M280" s="1035" t="s">
        <v>5300</v>
      </c>
      <c r="N280" s="1036" t="s">
        <v>5301</v>
      </c>
      <c r="O280" s="1035" t="s">
        <v>5302</v>
      </c>
      <c r="P280" s="1036" t="s">
        <v>5303</v>
      </c>
      <c r="Q280" s="1035" t="s">
        <v>5304</v>
      </c>
      <c r="R280" s="1036" t="s">
        <v>5305</v>
      </c>
      <c r="S280" s="1035" t="s">
        <v>5306</v>
      </c>
      <c r="T280" s="1036" t="s">
        <v>5307</v>
      </c>
      <c r="U280" s="1035" t="s">
        <v>5308</v>
      </c>
      <c r="V280" s="1036" t="s">
        <v>5309</v>
      </c>
      <c r="W280" s="1035" t="s">
        <v>5310</v>
      </c>
      <c r="X280" s="1036" t="s">
        <v>5311</v>
      </c>
      <c r="Y280" s="1035" t="s">
        <v>5312</v>
      </c>
      <c r="Z280" s="940" t="s">
        <v>5313</v>
      </c>
      <c r="AA280" s="941" t="s">
        <v>5314</v>
      </c>
      <c r="AB280" s="940" t="s">
        <v>5315</v>
      </c>
      <c r="AC280" s="941" t="s">
        <v>5316</v>
      </c>
      <c r="AD280" s="940" t="s">
        <v>5317</v>
      </c>
      <c r="AE280" s="941" t="s">
        <v>5318</v>
      </c>
      <c r="AF280" s="940" t="s">
        <v>5319</v>
      </c>
      <c r="AG280" s="941" t="s">
        <v>5320</v>
      </c>
      <c r="AH280" s="940" t="s">
        <v>5321</v>
      </c>
      <c r="AI280" s="941" t="s">
        <v>5322</v>
      </c>
      <c r="AJ280" s="940" t="s">
        <v>5323</v>
      </c>
      <c r="AK280" s="941" t="s">
        <v>5324</v>
      </c>
      <c r="AL280" s="940" t="s">
        <v>5325</v>
      </c>
      <c r="AM280" s="941" t="s">
        <v>5326</v>
      </c>
      <c r="AN280" s="940" t="s">
        <v>5327</v>
      </c>
      <c r="AO280" s="941" t="s">
        <v>5328</v>
      </c>
      <c r="AP280" s="942" t="s">
        <v>5329</v>
      </c>
      <c r="AQ280" s="943" t="s">
        <v>5330</v>
      </c>
      <c r="AR280" s="975" t="s">
        <v>5331</v>
      </c>
      <c r="AS280" s="976" t="s">
        <v>5332</v>
      </c>
      <c r="AT280" s="977" t="s">
        <v>5333</v>
      </c>
      <c r="AU280" s="940" t="s">
        <v>5334</v>
      </c>
      <c r="AV280" s="940" t="s">
        <v>5335</v>
      </c>
      <c r="AW280" s="944" t="s">
        <v>5336</v>
      </c>
      <c r="AX280" s="944" t="s">
        <v>5337</v>
      </c>
      <c r="AY280" s="939" t="s">
        <v>5338</v>
      </c>
      <c r="AZ280" t="e">
        <f t="shared" si="224"/>
        <v>#VALUE!</v>
      </c>
      <c r="CX280" s="1723" t="str">
        <f t="shared" si="225"/>
        <v xml:space="preserve"> * Las Embarazadas no pueden superar el Total Mujeres.</v>
      </c>
      <c r="CY280" s="1723" t="str">
        <f t="shared" si="226"/>
        <v xml:space="preserve"> * La variable Usuarios con discapacidad No puede ser mayor al Total.</v>
      </c>
      <c r="CZ280" s="1723" t="str">
        <f t="shared" si="227"/>
        <v xml:space="preserve"> * La variable Usuarios oncológicos No puede ser mayor al Total.</v>
      </c>
      <c r="DA280" s="1723" t="e">
        <f t="shared" si="228"/>
        <v>#VALUE!</v>
      </c>
      <c r="DB280" s="1723" t="str">
        <f t="shared" si="229"/>
        <v/>
      </c>
      <c r="DC280" s="1723" t="str">
        <f t="shared" si="230"/>
        <v>* Migrantes no puede ser mayor al Total</v>
      </c>
      <c r="DD280"/>
      <c r="DE280"/>
      <c r="DF280"/>
      <c r="DH280" s="1725">
        <f t="shared" si="231"/>
        <v>1</v>
      </c>
      <c r="DI280" s="1725">
        <f t="shared" si="232"/>
        <v>1</v>
      </c>
      <c r="DJ280" s="1725">
        <f t="shared" si="233"/>
        <v>1</v>
      </c>
      <c r="DK280" s="1725" t="e">
        <f t="shared" si="234"/>
        <v>#VALUE!</v>
      </c>
      <c r="DL280" s="1725">
        <f t="shared" si="235"/>
        <v>0</v>
      </c>
      <c r="DM280" s="1725">
        <f t="shared" si="236"/>
        <v>1</v>
      </c>
      <c r="DN280"/>
    </row>
    <row r="281" spans="1:118" ht="15" customHeight="1" x14ac:dyDescent="0.3">
      <c r="A281" s="6269" t="s">
        <v>5139</v>
      </c>
      <c r="B281" s="7464" t="s">
        <v>923</v>
      </c>
      <c r="C281" s="7460" t="s">
        <v>911</v>
      </c>
      <c r="D281" s="7460"/>
      <c r="E281" s="907" t="s">
        <v>5292</v>
      </c>
      <c r="F281" s="945" t="s">
        <v>5293</v>
      </c>
      <c r="G281" s="946" t="s">
        <v>5294</v>
      </c>
      <c r="H281" s="947" t="s">
        <v>5295</v>
      </c>
      <c r="I281" s="948" t="s">
        <v>5296</v>
      </c>
      <c r="J281" s="949" t="s">
        <v>5297</v>
      </c>
      <c r="K281" s="948" t="s">
        <v>5298</v>
      </c>
      <c r="L281" s="949" t="s">
        <v>5299</v>
      </c>
      <c r="M281" s="948" t="s">
        <v>5300</v>
      </c>
      <c r="N281" s="949" t="s">
        <v>5301</v>
      </c>
      <c r="O281" s="948" t="s">
        <v>5302</v>
      </c>
      <c r="P281" s="949" t="s">
        <v>5303</v>
      </c>
      <c r="Q281" s="948" t="s">
        <v>5304</v>
      </c>
      <c r="R281" s="949" t="s">
        <v>5305</v>
      </c>
      <c r="S281" s="948" t="s">
        <v>5306</v>
      </c>
      <c r="T281" s="949" t="s">
        <v>5307</v>
      </c>
      <c r="U281" s="948" t="s">
        <v>5308</v>
      </c>
      <c r="V281" s="949" t="s">
        <v>5309</v>
      </c>
      <c r="W281" s="950" t="s">
        <v>5310</v>
      </c>
      <c r="X281" s="949" t="s">
        <v>5311</v>
      </c>
      <c r="Y281" s="950" t="s">
        <v>5312</v>
      </c>
      <c r="Z281" s="949" t="s">
        <v>5313</v>
      </c>
      <c r="AA281" s="950" t="s">
        <v>5314</v>
      </c>
      <c r="AB281" s="949" t="s">
        <v>5315</v>
      </c>
      <c r="AC281" s="950" t="s">
        <v>5316</v>
      </c>
      <c r="AD281" s="949" t="s">
        <v>5317</v>
      </c>
      <c r="AE281" s="950" t="s">
        <v>5318</v>
      </c>
      <c r="AF281" s="949" t="s">
        <v>5319</v>
      </c>
      <c r="AG281" s="950" t="s">
        <v>5320</v>
      </c>
      <c r="AH281" s="949" t="s">
        <v>5321</v>
      </c>
      <c r="AI281" s="950" t="s">
        <v>5322</v>
      </c>
      <c r="AJ281" s="949" t="s">
        <v>5323</v>
      </c>
      <c r="AK281" s="950" t="s">
        <v>5324</v>
      </c>
      <c r="AL281" s="949" t="s">
        <v>5325</v>
      </c>
      <c r="AM281" s="950" t="s">
        <v>5326</v>
      </c>
      <c r="AN281" s="949" t="s">
        <v>5327</v>
      </c>
      <c r="AO281" s="950" t="s">
        <v>5328</v>
      </c>
      <c r="AP281" s="951" t="s">
        <v>5329</v>
      </c>
      <c r="AQ281" s="952" t="s">
        <v>5330</v>
      </c>
      <c r="AR281" s="947" t="s">
        <v>5331</v>
      </c>
      <c r="AS281" s="948" t="s">
        <v>5332</v>
      </c>
      <c r="AT281" s="929" t="s">
        <v>5333</v>
      </c>
      <c r="AU281" s="949" t="s">
        <v>5334</v>
      </c>
      <c r="AV281" s="949" t="s">
        <v>5335</v>
      </c>
      <c r="AW281" s="953" t="s">
        <v>5336</v>
      </c>
      <c r="AX281" s="953" t="s">
        <v>5337</v>
      </c>
      <c r="AY281" s="948" t="s">
        <v>5338</v>
      </c>
      <c r="AZ281" t="e">
        <f t="shared" si="224"/>
        <v>#VALUE!</v>
      </c>
      <c r="CX281" s="1723" t="str">
        <f t="shared" si="225"/>
        <v xml:space="preserve"> * Las Embarazadas no pueden superar el Total Mujeres.</v>
      </c>
      <c r="CY281" s="1723" t="str">
        <f t="shared" si="226"/>
        <v xml:space="preserve"> * La variable Usuarios con discapacidad No puede ser mayor al Total.</v>
      </c>
      <c r="CZ281" s="1723" t="str">
        <f t="shared" si="227"/>
        <v xml:space="preserve"> * La variable Usuarios oncológicos No puede ser mayor al Total.</v>
      </c>
      <c r="DA281" s="1723" t="e">
        <f t="shared" si="228"/>
        <v>#VALUE!</v>
      </c>
      <c r="DB281" s="1723" t="str">
        <f t="shared" si="229"/>
        <v/>
      </c>
      <c r="DC281" s="1723" t="str">
        <f t="shared" si="230"/>
        <v>* Migrantes no puede ser mayor al Total</v>
      </c>
      <c r="DD281"/>
      <c r="DE281"/>
      <c r="DF281"/>
      <c r="DH281" s="1725">
        <f t="shared" si="231"/>
        <v>1</v>
      </c>
      <c r="DI281" s="1725">
        <f t="shared" si="232"/>
        <v>1</v>
      </c>
      <c r="DJ281" s="1725">
        <f t="shared" si="233"/>
        <v>1</v>
      </c>
      <c r="DK281" s="1725" t="e">
        <f t="shared" si="234"/>
        <v>#VALUE!</v>
      </c>
      <c r="DL281" s="1725">
        <f t="shared" si="235"/>
        <v>0</v>
      </c>
      <c r="DM281" s="1725">
        <f t="shared" si="236"/>
        <v>1</v>
      </c>
      <c r="DN281"/>
    </row>
    <row r="282" spans="1:118" ht="15" customHeight="1" x14ac:dyDescent="0.3">
      <c r="A282" s="6269" t="s">
        <v>5140</v>
      </c>
      <c r="B282" s="7267"/>
      <c r="C282" s="7461" t="s">
        <v>912</v>
      </c>
      <c r="D282" s="7461"/>
      <c r="E282" s="954" t="s">
        <v>5292</v>
      </c>
      <c r="F282" s="955" t="s">
        <v>5293</v>
      </c>
      <c r="G282" s="956" t="s">
        <v>5294</v>
      </c>
      <c r="H282" s="957" t="s">
        <v>5295</v>
      </c>
      <c r="I282" s="958" t="s">
        <v>5296</v>
      </c>
      <c r="J282" s="959" t="s">
        <v>5297</v>
      </c>
      <c r="K282" s="958" t="s">
        <v>5298</v>
      </c>
      <c r="L282" s="959" t="s">
        <v>5299</v>
      </c>
      <c r="M282" s="958" t="s">
        <v>5300</v>
      </c>
      <c r="N282" s="959" t="s">
        <v>5301</v>
      </c>
      <c r="O282" s="958" t="s">
        <v>5302</v>
      </c>
      <c r="P282" s="959" t="s">
        <v>5303</v>
      </c>
      <c r="Q282" s="958" t="s">
        <v>5304</v>
      </c>
      <c r="R282" s="959" t="s">
        <v>5305</v>
      </c>
      <c r="S282" s="958" t="s">
        <v>5306</v>
      </c>
      <c r="T282" s="959" t="s">
        <v>5307</v>
      </c>
      <c r="U282" s="958" t="s">
        <v>5308</v>
      </c>
      <c r="V282" s="959" t="s">
        <v>5309</v>
      </c>
      <c r="W282" s="960" t="s">
        <v>5310</v>
      </c>
      <c r="X282" s="959" t="s">
        <v>5311</v>
      </c>
      <c r="Y282" s="960" t="s">
        <v>5312</v>
      </c>
      <c r="Z282" s="959" t="s">
        <v>5313</v>
      </c>
      <c r="AA282" s="960" t="s">
        <v>5314</v>
      </c>
      <c r="AB282" s="959" t="s">
        <v>5315</v>
      </c>
      <c r="AC282" s="960" t="s">
        <v>5316</v>
      </c>
      <c r="AD282" s="959" t="s">
        <v>5317</v>
      </c>
      <c r="AE282" s="960" t="s">
        <v>5318</v>
      </c>
      <c r="AF282" s="959" t="s">
        <v>5319</v>
      </c>
      <c r="AG282" s="960" t="s">
        <v>5320</v>
      </c>
      <c r="AH282" s="959" t="s">
        <v>5321</v>
      </c>
      <c r="AI282" s="960" t="s">
        <v>5322</v>
      </c>
      <c r="AJ282" s="959" t="s">
        <v>5323</v>
      </c>
      <c r="AK282" s="960" t="s">
        <v>5324</v>
      </c>
      <c r="AL282" s="959" t="s">
        <v>5325</v>
      </c>
      <c r="AM282" s="960" t="s">
        <v>5326</v>
      </c>
      <c r="AN282" s="959" t="s">
        <v>5327</v>
      </c>
      <c r="AO282" s="960" t="s">
        <v>5328</v>
      </c>
      <c r="AP282" s="961" t="s">
        <v>5329</v>
      </c>
      <c r="AQ282" s="962" t="s">
        <v>5330</v>
      </c>
      <c r="AR282" s="933" t="s">
        <v>5331</v>
      </c>
      <c r="AS282" s="934" t="s">
        <v>5332</v>
      </c>
      <c r="AT282" s="949" t="s">
        <v>5333</v>
      </c>
      <c r="AU282" s="959" t="s">
        <v>5334</v>
      </c>
      <c r="AV282" s="959" t="s">
        <v>5335</v>
      </c>
      <c r="AW282" s="963" t="s">
        <v>5336</v>
      </c>
      <c r="AX282" s="963" t="s">
        <v>5337</v>
      </c>
      <c r="AY282" s="958" t="s">
        <v>5338</v>
      </c>
      <c r="AZ282" t="e">
        <f t="shared" si="224"/>
        <v>#VALUE!</v>
      </c>
      <c r="CX282" s="1723" t="str">
        <f t="shared" si="225"/>
        <v xml:space="preserve"> * Las Embarazadas no pueden superar el Total Mujeres.</v>
      </c>
      <c r="CY282" s="1723" t="str">
        <f t="shared" si="226"/>
        <v xml:space="preserve"> * La variable Usuarios con discapacidad No puede ser mayor al Total.</v>
      </c>
      <c r="CZ282" s="1723" t="str">
        <f t="shared" si="227"/>
        <v xml:space="preserve"> * La variable Usuarios oncológicos No puede ser mayor al Total.</v>
      </c>
      <c r="DA282" s="1723" t="e">
        <f t="shared" si="228"/>
        <v>#VALUE!</v>
      </c>
      <c r="DB282" s="1723" t="str">
        <f t="shared" si="229"/>
        <v/>
      </c>
      <c r="DC282" s="1723" t="str">
        <f t="shared" si="230"/>
        <v>* Migrantes no puede ser mayor al Total</v>
      </c>
      <c r="DD282"/>
      <c r="DE282"/>
      <c r="DF282"/>
      <c r="DH282" s="1725">
        <f t="shared" si="231"/>
        <v>1</v>
      </c>
      <c r="DI282" s="1725">
        <f t="shared" si="232"/>
        <v>1</v>
      </c>
      <c r="DJ282" s="1725">
        <f t="shared" si="233"/>
        <v>1</v>
      </c>
      <c r="DK282" s="1725" t="e">
        <f t="shared" si="234"/>
        <v>#VALUE!</v>
      </c>
      <c r="DL282" s="1725">
        <f t="shared" si="235"/>
        <v>0</v>
      </c>
      <c r="DM282" s="1725">
        <f t="shared" si="236"/>
        <v>1</v>
      </c>
      <c r="DN282"/>
    </row>
    <row r="283" spans="1:118" ht="15" customHeight="1" x14ac:dyDescent="0.3">
      <c r="A283" s="6269" t="s">
        <v>5141</v>
      </c>
      <c r="B283" s="7267"/>
      <c r="C283" s="7461" t="s">
        <v>913</v>
      </c>
      <c r="D283" s="7461"/>
      <c r="E283" s="954" t="s">
        <v>5292</v>
      </c>
      <c r="F283" s="955" t="s">
        <v>5293</v>
      </c>
      <c r="G283" s="956" t="s">
        <v>5294</v>
      </c>
      <c r="H283" s="957" t="s">
        <v>5295</v>
      </c>
      <c r="I283" s="958" t="s">
        <v>5296</v>
      </c>
      <c r="J283" s="959" t="s">
        <v>5297</v>
      </c>
      <c r="K283" s="958" t="s">
        <v>5298</v>
      </c>
      <c r="L283" s="959" t="s">
        <v>5299</v>
      </c>
      <c r="M283" s="958" t="s">
        <v>5300</v>
      </c>
      <c r="N283" s="959" t="s">
        <v>5301</v>
      </c>
      <c r="O283" s="958" t="s">
        <v>5302</v>
      </c>
      <c r="P283" s="959" t="s">
        <v>5303</v>
      </c>
      <c r="Q283" s="958" t="s">
        <v>5304</v>
      </c>
      <c r="R283" s="959" t="s">
        <v>5305</v>
      </c>
      <c r="S283" s="958" t="s">
        <v>5306</v>
      </c>
      <c r="T283" s="959" t="s">
        <v>5307</v>
      </c>
      <c r="U283" s="958" t="s">
        <v>5308</v>
      </c>
      <c r="V283" s="959" t="s">
        <v>5309</v>
      </c>
      <c r="W283" s="960" t="s">
        <v>5310</v>
      </c>
      <c r="X283" s="959" t="s">
        <v>5311</v>
      </c>
      <c r="Y283" s="960" t="s">
        <v>5312</v>
      </c>
      <c r="Z283" s="959" t="s">
        <v>5313</v>
      </c>
      <c r="AA283" s="960" t="s">
        <v>5314</v>
      </c>
      <c r="AB283" s="959" t="s">
        <v>5315</v>
      </c>
      <c r="AC283" s="960" t="s">
        <v>5316</v>
      </c>
      <c r="AD283" s="959" t="s">
        <v>5317</v>
      </c>
      <c r="AE283" s="960" t="s">
        <v>5318</v>
      </c>
      <c r="AF283" s="959" t="s">
        <v>5319</v>
      </c>
      <c r="AG283" s="960" t="s">
        <v>5320</v>
      </c>
      <c r="AH283" s="959" t="s">
        <v>5321</v>
      </c>
      <c r="AI283" s="960" t="s">
        <v>5322</v>
      </c>
      <c r="AJ283" s="959" t="s">
        <v>5323</v>
      </c>
      <c r="AK283" s="960" t="s">
        <v>5324</v>
      </c>
      <c r="AL283" s="959" t="s">
        <v>5325</v>
      </c>
      <c r="AM283" s="960" t="s">
        <v>5326</v>
      </c>
      <c r="AN283" s="959" t="s">
        <v>5327</v>
      </c>
      <c r="AO283" s="960" t="s">
        <v>5328</v>
      </c>
      <c r="AP283" s="961" t="s">
        <v>5329</v>
      </c>
      <c r="AQ283" s="962" t="s">
        <v>5330</v>
      </c>
      <c r="AR283" s="933" t="s">
        <v>5331</v>
      </c>
      <c r="AS283" s="934" t="s">
        <v>5332</v>
      </c>
      <c r="AT283" s="979" t="s">
        <v>5333</v>
      </c>
      <c r="AU283" s="959" t="s">
        <v>5334</v>
      </c>
      <c r="AV283" s="959" t="s">
        <v>5335</v>
      </c>
      <c r="AW283" s="963" t="s">
        <v>5336</v>
      </c>
      <c r="AX283" s="963" t="s">
        <v>5337</v>
      </c>
      <c r="AY283" s="958" t="s">
        <v>5338</v>
      </c>
      <c r="AZ283" t="e">
        <f t="shared" si="224"/>
        <v>#VALUE!</v>
      </c>
      <c r="CX283" s="1723" t="str">
        <f t="shared" si="225"/>
        <v xml:space="preserve"> * Las Embarazadas no pueden superar el Total Mujeres.</v>
      </c>
      <c r="CY283" s="1723" t="str">
        <f t="shared" si="226"/>
        <v xml:space="preserve"> * La variable Usuarios con discapacidad No puede ser mayor al Total.</v>
      </c>
      <c r="CZ283" s="1723" t="str">
        <f t="shared" si="227"/>
        <v xml:space="preserve"> * La variable Usuarios oncológicos No puede ser mayor al Total.</v>
      </c>
      <c r="DA283" s="1723" t="e">
        <f t="shared" si="228"/>
        <v>#VALUE!</v>
      </c>
      <c r="DB283" s="1723" t="str">
        <f t="shared" si="229"/>
        <v/>
      </c>
      <c r="DC283" s="1723" t="str">
        <f t="shared" si="230"/>
        <v>* Migrantes no puede ser mayor al Total</v>
      </c>
      <c r="DD283"/>
      <c r="DE283"/>
      <c r="DF283"/>
      <c r="DH283" s="1725">
        <f t="shared" si="231"/>
        <v>1</v>
      </c>
      <c r="DI283" s="1725">
        <f t="shared" si="232"/>
        <v>1</v>
      </c>
      <c r="DJ283" s="1725">
        <f t="shared" si="233"/>
        <v>1</v>
      </c>
      <c r="DK283" s="1725" t="e">
        <f t="shared" si="234"/>
        <v>#VALUE!</v>
      </c>
      <c r="DL283" s="1725">
        <f t="shared" si="235"/>
        <v>0</v>
      </c>
      <c r="DM283" s="1725">
        <f t="shared" si="236"/>
        <v>1</v>
      </c>
      <c r="DN283"/>
    </row>
    <row r="284" spans="1:118" ht="15" customHeight="1" x14ac:dyDescent="0.3">
      <c r="A284" s="6269" t="s">
        <v>5142</v>
      </c>
      <c r="B284" s="7267"/>
      <c r="C284" s="7462" t="s">
        <v>914</v>
      </c>
      <c r="D284" s="7400"/>
      <c r="E284" s="954" t="s">
        <v>5292</v>
      </c>
      <c r="F284" s="955" t="s">
        <v>5293</v>
      </c>
      <c r="G284" s="956" t="s">
        <v>5294</v>
      </c>
      <c r="H284" s="964" t="s">
        <v>5295</v>
      </c>
      <c r="I284" s="965" t="s">
        <v>5296</v>
      </c>
      <c r="J284" s="966" t="s">
        <v>5297</v>
      </c>
      <c r="K284" s="965" t="s">
        <v>5298</v>
      </c>
      <c r="L284" s="966" t="s">
        <v>5299</v>
      </c>
      <c r="M284" s="965" t="s">
        <v>5300</v>
      </c>
      <c r="N284" s="966" t="s">
        <v>5301</v>
      </c>
      <c r="O284" s="965" t="s">
        <v>5302</v>
      </c>
      <c r="P284" s="966" t="s">
        <v>5303</v>
      </c>
      <c r="Q284" s="965" t="s">
        <v>5304</v>
      </c>
      <c r="R284" s="966" t="s">
        <v>5305</v>
      </c>
      <c r="S284" s="965" t="s">
        <v>5306</v>
      </c>
      <c r="T284" s="966" t="s">
        <v>5307</v>
      </c>
      <c r="U284" s="965" t="s">
        <v>5308</v>
      </c>
      <c r="V284" s="966" t="s">
        <v>5309</v>
      </c>
      <c r="W284" s="967" t="s">
        <v>5310</v>
      </c>
      <c r="X284" s="966" t="s">
        <v>5311</v>
      </c>
      <c r="Y284" s="967" t="s">
        <v>5312</v>
      </c>
      <c r="Z284" s="966" t="s">
        <v>5313</v>
      </c>
      <c r="AA284" s="967" t="s">
        <v>5314</v>
      </c>
      <c r="AB284" s="966" t="s">
        <v>5315</v>
      </c>
      <c r="AC284" s="967" t="s">
        <v>5316</v>
      </c>
      <c r="AD284" s="966" t="s">
        <v>5317</v>
      </c>
      <c r="AE284" s="967" t="s">
        <v>5318</v>
      </c>
      <c r="AF284" s="966" t="s">
        <v>5319</v>
      </c>
      <c r="AG284" s="967" t="s">
        <v>5320</v>
      </c>
      <c r="AH284" s="966" t="s">
        <v>5321</v>
      </c>
      <c r="AI284" s="967" t="s">
        <v>5322</v>
      </c>
      <c r="AJ284" s="966" t="s">
        <v>5323</v>
      </c>
      <c r="AK284" s="967" t="s">
        <v>5324</v>
      </c>
      <c r="AL284" s="966" t="s">
        <v>5325</v>
      </c>
      <c r="AM284" s="967" t="s">
        <v>5326</v>
      </c>
      <c r="AN284" s="966" t="s">
        <v>5327</v>
      </c>
      <c r="AO284" s="967" t="s">
        <v>5328</v>
      </c>
      <c r="AP284" s="968" t="s">
        <v>5329</v>
      </c>
      <c r="AQ284" s="969" t="s">
        <v>5330</v>
      </c>
      <c r="AR284" s="933" t="s">
        <v>5331</v>
      </c>
      <c r="AS284" s="934" t="s">
        <v>5332</v>
      </c>
      <c r="AT284" s="979" t="s">
        <v>5333</v>
      </c>
      <c r="AU284" s="966" t="s">
        <v>5334</v>
      </c>
      <c r="AV284" s="966" t="s">
        <v>5335</v>
      </c>
      <c r="AW284" s="973" t="s">
        <v>5336</v>
      </c>
      <c r="AX284" s="973" t="s">
        <v>5337</v>
      </c>
      <c r="AY284" s="965" t="s">
        <v>5338</v>
      </c>
      <c r="AZ284" t="e">
        <f t="shared" ref="AZ284:AZ298" si="237">CX284&amp;CY284&amp;CZ284&amp;DA284&amp;DB284&amp;DC284&amp;DD284</f>
        <v>#VALUE!</v>
      </c>
      <c r="CX284" s="1723" t="str">
        <f t="shared" ref="CX284:CX298" si="238">IF(AND(G284&gt;0,AP284=""),"  * No olvide digitar Embarazadas. Digite Cero si no tiene.",IF(AP284&gt;G284," * Las Embarazadas no pueden superar el Total Mujeres.",""))</f>
        <v xml:space="preserve"> * Las Embarazadas no pueden superar el Total Mujeres.</v>
      </c>
      <c r="CY284" s="1723" t="str">
        <f t="shared" ref="CY284:CY298" si="239">IF(AND(E284&gt;0,AW284="")," * No olvide ingresar datos en Usuarios con Discapacidad. (Digite cero si no tiene).",IF(AW284&gt;E284," * La variable Usuarios con discapacidad No puede ser mayor al Total.",""))</f>
        <v xml:space="preserve"> * La variable Usuarios con discapacidad No puede ser mayor al Total.</v>
      </c>
      <c r="CZ284" s="1723" t="str">
        <f t="shared" ref="CZ284:CZ298" si="240">IF(AND(E284&gt;0,AX284="")," * No olvide ingresar datos en Usuarios Oncológicos. (Digite cero si no tiene).",IF(AX284&gt;E284," * La variable Usuarios oncológicos No puede ser mayor al Total.",""))</f>
        <v xml:space="preserve"> * La variable Usuarios oncológicos No puede ser mayor al Total.</v>
      </c>
      <c r="DA284" s="1723" t="e">
        <f t="shared" ref="DA284:DA298" si="241">IF(AND((AJ284+AK284)&gt;0,AQ284="")," * No olvide digitar la variable 60 años. Si no tiene digite Cero.",IF(AQ284&gt;(AJ284+AK284), "* El número de pacientes de 60 años NO DEBE ser mayor a lo registrado en el grupo etario de 60 a 64 años.",""))</f>
        <v>#VALUE!</v>
      </c>
      <c r="DB284" s="1723" t="str">
        <f t="shared" ref="DB284:DB298" si="242">IF(AND(E284&gt;0,AY284="")," * No olvide ingresar datos en Usuarios Migrantes. (Digite cero si no tiene).","")</f>
        <v/>
      </c>
      <c r="DC284" s="1723" t="str">
        <f t="shared" ref="DC284:DC298" si="243">IF(AY284&gt;E284, "* Migrantes no puede ser mayor al Total","")</f>
        <v>* Migrantes no puede ser mayor al Total</v>
      </c>
      <c r="DD284"/>
      <c r="DE284"/>
      <c r="DF284"/>
      <c r="DH284" s="1725">
        <f t="shared" ref="DH284:DH298" si="244">IF(AND(G284&gt;0,AP284=""),1,IF(AP284&gt;G284,1,0))</f>
        <v>1</v>
      </c>
      <c r="DI284" s="1725">
        <f t="shared" ref="DI284:DI298" si="245">IF(AND(E284&gt;0,AW284=""),1,IF(AW284&gt;E284,1,0))</f>
        <v>1</v>
      </c>
      <c r="DJ284" s="1725">
        <f t="shared" ref="DJ284:DJ298" si="246">IF(AND(E284&gt;0,AX284=""),1,IF(AX284&gt;E284,1,0))</f>
        <v>1</v>
      </c>
      <c r="DK284" s="1725" t="e">
        <f t="shared" ref="DK284:DK298" si="247">IF(AND((AJ284+AK284)&gt;0,AQ284=""),1,IF(AQ284&gt;(AJ284+AK284),1,0))</f>
        <v>#VALUE!</v>
      </c>
      <c r="DL284" s="1725">
        <f t="shared" ref="DL284:DL298" si="248">IF(AND(E284&gt;0,AY284=""),1,0)</f>
        <v>0</v>
      </c>
      <c r="DM284" s="1725">
        <f t="shared" ref="DM284:DM298" si="249">IF(AY284&gt;E284,1,0)</f>
        <v>1</v>
      </c>
      <c r="DN284"/>
    </row>
    <row r="285" spans="1:118" ht="15" customHeight="1" x14ac:dyDescent="0.3">
      <c r="A285" s="6269" t="s">
        <v>5143</v>
      </c>
      <c r="B285" s="7267"/>
      <c r="C285" s="7462" t="s">
        <v>915</v>
      </c>
      <c r="D285" s="7400"/>
      <c r="E285" s="954" t="s">
        <v>5292</v>
      </c>
      <c r="F285" s="955" t="s">
        <v>5293</v>
      </c>
      <c r="G285" s="956" t="s">
        <v>5294</v>
      </c>
      <c r="H285" s="964" t="s">
        <v>5295</v>
      </c>
      <c r="I285" s="965" t="s">
        <v>5296</v>
      </c>
      <c r="J285" s="966" t="s">
        <v>5297</v>
      </c>
      <c r="K285" s="965" t="s">
        <v>5298</v>
      </c>
      <c r="L285" s="966" t="s">
        <v>5299</v>
      </c>
      <c r="M285" s="965" t="s">
        <v>5300</v>
      </c>
      <c r="N285" s="966" t="s">
        <v>5301</v>
      </c>
      <c r="O285" s="965" t="s">
        <v>5302</v>
      </c>
      <c r="P285" s="966" t="s">
        <v>5303</v>
      </c>
      <c r="Q285" s="965" t="s">
        <v>5304</v>
      </c>
      <c r="R285" s="966" t="s">
        <v>5305</v>
      </c>
      <c r="S285" s="965" t="s">
        <v>5306</v>
      </c>
      <c r="T285" s="966" t="s">
        <v>5307</v>
      </c>
      <c r="U285" s="965" t="s">
        <v>5308</v>
      </c>
      <c r="V285" s="966" t="s">
        <v>5309</v>
      </c>
      <c r="W285" s="967" t="s">
        <v>5310</v>
      </c>
      <c r="X285" s="966" t="s">
        <v>5311</v>
      </c>
      <c r="Y285" s="967" t="s">
        <v>5312</v>
      </c>
      <c r="Z285" s="966" t="s">
        <v>5313</v>
      </c>
      <c r="AA285" s="967" t="s">
        <v>5314</v>
      </c>
      <c r="AB285" s="966" t="s">
        <v>5315</v>
      </c>
      <c r="AC285" s="967" t="s">
        <v>5316</v>
      </c>
      <c r="AD285" s="966" t="s">
        <v>5317</v>
      </c>
      <c r="AE285" s="967" t="s">
        <v>5318</v>
      </c>
      <c r="AF285" s="966" t="s">
        <v>5319</v>
      </c>
      <c r="AG285" s="967" t="s">
        <v>5320</v>
      </c>
      <c r="AH285" s="966" t="s">
        <v>5321</v>
      </c>
      <c r="AI285" s="967" t="s">
        <v>5322</v>
      </c>
      <c r="AJ285" s="966" t="s">
        <v>5323</v>
      </c>
      <c r="AK285" s="967" t="s">
        <v>5324</v>
      </c>
      <c r="AL285" s="966" t="s">
        <v>5325</v>
      </c>
      <c r="AM285" s="967" t="s">
        <v>5326</v>
      </c>
      <c r="AN285" s="966" t="s">
        <v>5327</v>
      </c>
      <c r="AO285" s="967" t="s">
        <v>5328</v>
      </c>
      <c r="AP285" s="968" t="s">
        <v>5329</v>
      </c>
      <c r="AQ285" s="969" t="s">
        <v>5330</v>
      </c>
      <c r="AR285" s="970" t="s">
        <v>5331</v>
      </c>
      <c r="AS285" s="971" t="s">
        <v>5332</v>
      </c>
      <c r="AT285" s="972" t="s">
        <v>5333</v>
      </c>
      <c r="AU285" s="966" t="s">
        <v>5334</v>
      </c>
      <c r="AV285" s="966" t="s">
        <v>5335</v>
      </c>
      <c r="AW285" s="973" t="s">
        <v>5336</v>
      </c>
      <c r="AX285" s="973" t="s">
        <v>5337</v>
      </c>
      <c r="AY285" s="965" t="s">
        <v>5338</v>
      </c>
      <c r="AZ285" t="e">
        <f t="shared" si="237"/>
        <v>#VALUE!</v>
      </c>
      <c r="CX285" s="1723" t="str">
        <f t="shared" si="238"/>
        <v xml:space="preserve"> * Las Embarazadas no pueden superar el Total Mujeres.</v>
      </c>
      <c r="CY285" s="1723" t="str">
        <f t="shared" si="239"/>
        <v xml:space="preserve"> * La variable Usuarios con discapacidad No puede ser mayor al Total.</v>
      </c>
      <c r="CZ285" s="1723" t="str">
        <f t="shared" si="240"/>
        <v xml:space="preserve"> * La variable Usuarios oncológicos No puede ser mayor al Total.</v>
      </c>
      <c r="DA285" s="1723" t="e">
        <f t="shared" si="241"/>
        <v>#VALUE!</v>
      </c>
      <c r="DB285" s="1723" t="str">
        <f t="shared" si="242"/>
        <v/>
      </c>
      <c r="DC285" s="1723" t="str">
        <f t="shared" si="243"/>
        <v>* Migrantes no puede ser mayor al Total</v>
      </c>
      <c r="DD285"/>
      <c r="DE285"/>
      <c r="DF285"/>
      <c r="DH285" s="1725">
        <f t="shared" si="244"/>
        <v>1</v>
      </c>
      <c r="DI285" s="1725">
        <f t="shared" si="245"/>
        <v>1</v>
      </c>
      <c r="DJ285" s="1725">
        <f t="shared" si="246"/>
        <v>1</v>
      </c>
      <c r="DK285" s="1725" t="e">
        <f t="shared" si="247"/>
        <v>#VALUE!</v>
      </c>
      <c r="DL285" s="1725">
        <f t="shared" si="248"/>
        <v>0</v>
      </c>
      <c r="DM285" s="1725">
        <f t="shared" si="249"/>
        <v>1</v>
      </c>
      <c r="DN285"/>
    </row>
    <row r="286" spans="1:118" ht="15" customHeight="1" x14ac:dyDescent="0.3">
      <c r="A286" s="6269" t="s">
        <v>5144</v>
      </c>
      <c r="B286" s="7363"/>
      <c r="C286" s="7463" t="s">
        <v>916</v>
      </c>
      <c r="D286" s="7463"/>
      <c r="E286" s="974" t="s">
        <v>5292</v>
      </c>
      <c r="F286" s="95" t="s">
        <v>5293</v>
      </c>
      <c r="G286" s="208" t="s">
        <v>5294</v>
      </c>
      <c r="H286" s="938" t="s">
        <v>5295</v>
      </c>
      <c r="I286" s="939" t="s">
        <v>5296</v>
      </c>
      <c r="J286" s="940" t="s">
        <v>5297</v>
      </c>
      <c r="K286" s="939" t="s">
        <v>5298</v>
      </c>
      <c r="L286" s="940" t="s">
        <v>5299</v>
      </c>
      <c r="M286" s="939" t="s">
        <v>5300</v>
      </c>
      <c r="N286" s="940" t="s">
        <v>5301</v>
      </c>
      <c r="O286" s="939" t="s">
        <v>5302</v>
      </c>
      <c r="P286" s="940" t="s">
        <v>5303</v>
      </c>
      <c r="Q286" s="939" t="s">
        <v>5304</v>
      </c>
      <c r="R286" s="940" t="s">
        <v>5305</v>
      </c>
      <c r="S286" s="939" t="s">
        <v>5306</v>
      </c>
      <c r="T286" s="940" t="s">
        <v>5307</v>
      </c>
      <c r="U286" s="939" t="s">
        <v>5308</v>
      </c>
      <c r="V286" s="940" t="s">
        <v>5309</v>
      </c>
      <c r="W286" s="941" t="s">
        <v>5310</v>
      </c>
      <c r="X286" s="940" t="s">
        <v>5311</v>
      </c>
      <c r="Y286" s="941" t="s">
        <v>5312</v>
      </c>
      <c r="Z286" s="940" t="s">
        <v>5313</v>
      </c>
      <c r="AA286" s="941" t="s">
        <v>5314</v>
      </c>
      <c r="AB286" s="940" t="s">
        <v>5315</v>
      </c>
      <c r="AC286" s="941" t="s">
        <v>5316</v>
      </c>
      <c r="AD286" s="940" t="s">
        <v>5317</v>
      </c>
      <c r="AE286" s="941" t="s">
        <v>5318</v>
      </c>
      <c r="AF286" s="940" t="s">
        <v>5319</v>
      </c>
      <c r="AG286" s="941" t="s">
        <v>5320</v>
      </c>
      <c r="AH286" s="940" t="s">
        <v>5321</v>
      </c>
      <c r="AI286" s="941" t="s">
        <v>5322</v>
      </c>
      <c r="AJ286" s="940" t="s">
        <v>5323</v>
      </c>
      <c r="AK286" s="941" t="s">
        <v>5324</v>
      </c>
      <c r="AL286" s="940" t="s">
        <v>5325</v>
      </c>
      <c r="AM286" s="941" t="s">
        <v>5326</v>
      </c>
      <c r="AN286" s="940" t="s">
        <v>5327</v>
      </c>
      <c r="AO286" s="941" t="s">
        <v>5328</v>
      </c>
      <c r="AP286" s="942" t="s">
        <v>5329</v>
      </c>
      <c r="AQ286" s="943" t="s">
        <v>5330</v>
      </c>
      <c r="AR286" s="975" t="s">
        <v>5331</v>
      </c>
      <c r="AS286" s="976" t="s">
        <v>5332</v>
      </c>
      <c r="AT286" s="977" t="s">
        <v>5333</v>
      </c>
      <c r="AU286" s="940" t="s">
        <v>5334</v>
      </c>
      <c r="AV286" s="940" t="s">
        <v>5335</v>
      </c>
      <c r="AW286" s="944" t="s">
        <v>5336</v>
      </c>
      <c r="AX286" s="944" t="s">
        <v>5337</v>
      </c>
      <c r="AY286" s="939" t="s">
        <v>5338</v>
      </c>
      <c r="AZ286" t="e">
        <f t="shared" si="237"/>
        <v>#VALUE!</v>
      </c>
      <c r="CX286" s="1723" t="str">
        <f t="shared" si="238"/>
        <v xml:space="preserve"> * Las Embarazadas no pueden superar el Total Mujeres.</v>
      </c>
      <c r="CY286" s="1723" t="str">
        <f t="shared" si="239"/>
        <v xml:space="preserve"> * La variable Usuarios con discapacidad No puede ser mayor al Total.</v>
      </c>
      <c r="CZ286" s="1723" t="str">
        <f t="shared" si="240"/>
        <v xml:space="preserve"> * La variable Usuarios oncológicos No puede ser mayor al Total.</v>
      </c>
      <c r="DA286" s="1723" t="e">
        <f t="shared" si="241"/>
        <v>#VALUE!</v>
      </c>
      <c r="DB286" s="1723" t="str">
        <f t="shared" si="242"/>
        <v/>
      </c>
      <c r="DC286" s="1723" t="str">
        <f t="shared" si="243"/>
        <v>* Migrantes no puede ser mayor al Total</v>
      </c>
      <c r="DD286"/>
      <c r="DE286"/>
      <c r="DF286"/>
      <c r="DH286" s="1725">
        <f t="shared" si="244"/>
        <v>1</v>
      </c>
      <c r="DI286" s="1725">
        <f t="shared" si="245"/>
        <v>1</v>
      </c>
      <c r="DJ286" s="1725">
        <f t="shared" si="246"/>
        <v>1</v>
      </c>
      <c r="DK286" s="1725" t="e">
        <f t="shared" si="247"/>
        <v>#VALUE!</v>
      </c>
      <c r="DL286" s="1725">
        <f t="shared" si="248"/>
        <v>0</v>
      </c>
      <c r="DM286" s="1725">
        <f t="shared" si="249"/>
        <v>1</v>
      </c>
      <c r="DN286"/>
    </row>
    <row r="287" spans="1:118" ht="15" customHeight="1" x14ac:dyDescent="0.3">
      <c r="A287" s="6269" t="s">
        <v>5145</v>
      </c>
      <c r="B287" s="7464" t="s">
        <v>757</v>
      </c>
      <c r="C287" s="7460" t="s">
        <v>911</v>
      </c>
      <c r="D287" s="7460"/>
      <c r="E287" s="907" t="s">
        <v>5292</v>
      </c>
      <c r="F287" s="945" t="s">
        <v>5293</v>
      </c>
      <c r="G287" s="946" t="s">
        <v>5294</v>
      </c>
      <c r="H287" s="947" t="s">
        <v>5295</v>
      </c>
      <c r="I287" s="948" t="s">
        <v>5296</v>
      </c>
      <c r="J287" s="949" t="s">
        <v>5297</v>
      </c>
      <c r="K287" s="948" t="s">
        <v>5298</v>
      </c>
      <c r="L287" s="949" t="s">
        <v>5299</v>
      </c>
      <c r="M287" s="948" t="s">
        <v>5300</v>
      </c>
      <c r="N287" s="949" t="s">
        <v>5301</v>
      </c>
      <c r="O287" s="948" t="s">
        <v>5302</v>
      </c>
      <c r="P287" s="949" t="s">
        <v>5303</v>
      </c>
      <c r="Q287" s="948" t="s">
        <v>5304</v>
      </c>
      <c r="R287" s="949" t="s">
        <v>5305</v>
      </c>
      <c r="S287" s="948" t="s">
        <v>5306</v>
      </c>
      <c r="T287" s="949" t="s">
        <v>5307</v>
      </c>
      <c r="U287" s="948" t="s">
        <v>5308</v>
      </c>
      <c r="V287" s="949" t="s">
        <v>5309</v>
      </c>
      <c r="W287" s="950" t="s">
        <v>5310</v>
      </c>
      <c r="X287" s="949" t="s">
        <v>5311</v>
      </c>
      <c r="Y287" s="950" t="s">
        <v>5312</v>
      </c>
      <c r="Z287" s="949" t="s">
        <v>5313</v>
      </c>
      <c r="AA287" s="950" t="s">
        <v>5314</v>
      </c>
      <c r="AB287" s="949" t="s">
        <v>5315</v>
      </c>
      <c r="AC287" s="950" t="s">
        <v>5316</v>
      </c>
      <c r="AD287" s="949" t="s">
        <v>5317</v>
      </c>
      <c r="AE287" s="950" t="s">
        <v>5318</v>
      </c>
      <c r="AF287" s="949" t="s">
        <v>5319</v>
      </c>
      <c r="AG287" s="950" t="s">
        <v>5320</v>
      </c>
      <c r="AH287" s="949" t="s">
        <v>5321</v>
      </c>
      <c r="AI287" s="950" t="s">
        <v>5322</v>
      </c>
      <c r="AJ287" s="949" t="s">
        <v>5323</v>
      </c>
      <c r="AK287" s="950" t="s">
        <v>5324</v>
      </c>
      <c r="AL287" s="949" t="s">
        <v>5325</v>
      </c>
      <c r="AM287" s="950" t="s">
        <v>5326</v>
      </c>
      <c r="AN287" s="949" t="s">
        <v>5327</v>
      </c>
      <c r="AO287" s="950" t="s">
        <v>5328</v>
      </c>
      <c r="AP287" s="951" t="s">
        <v>5329</v>
      </c>
      <c r="AQ287" s="952" t="s">
        <v>5330</v>
      </c>
      <c r="AR287" s="947" t="s">
        <v>5331</v>
      </c>
      <c r="AS287" s="948" t="s">
        <v>5332</v>
      </c>
      <c r="AT287" s="929" t="s">
        <v>5333</v>
      </c>
      <c r="AU287" s="949" t="s">
        <v>5334</v>
      </c>
      <c r="AV287" s="949" t="s">
        <v>5335</v>
      </c>
      <c r="AW287" s="953" t="s">
        <v>5336</v>
      </c>
      <c r="AX287" s="953" t="s">
        <v>5337</v>
      </c>
      <c r="AY287" s="948" t="s">
        <v>5338</v>
      </c>
      <c r="AZ287" t="e">
        <f t="shared" si="237"/>
        <v>#VALUE!</v>
      </c>
      <c r="CX287" s="1723" t="str">
        <f t="shared" si="238"/>
        <v xml:space="preserve"> * Las Embarazadas no pueden superar el Total Mujeres.</v>
      </c>
      <c r="CY287" s="1723" t="str">
        <f t="shared" si="239"/>
        <v xml:space="preserve"> * La variable Usuarios con discapacidad No puede ser mayor al Total.</v>
      </c>
      <c r="CZ287" s="1723" t="str">
        <f t="shared" si="240"/>
        <v xml:space="preserve"> * La variable Usuarios oncológicos No puede ser mayor al Total.</v>
      </c>
      <c r="DA287" s="1723" t="e">
        <f t="shared" si="241"/>
        <v>#VALUE!</v>
      </c>
      <c r="DB287" s="1723" t="str">
        <f t="shared" si="242"/>
        <v/>
      </c>
      <c r="DC287" s="1723" t="str">
        <f t="shared" si="243"/>
        <v>* Migrantes no puede ser mayor al Total</v>
      </c>
      <c r="DD287"/>
      <c r="DE287"/>
      <c r="DF287"/>
      <c r="DH287" s="1725">
        <f t="shared" si="244"/>
        <v>1</v>
      </c>
      <c r="DI287" s="1725">
        <f t="shared" si="245"/>
        <v>1</v>
      </c>
      <c r="DJ287" s="1725">
        <f t="shared" si="246"/>
        <v>1</v>
      </c>
      <c r="DK287" s="1725" t="e">
        <f t="shared" si="247"/>
        <v>#VALUE!</v>
      </c>
      <c r="DL287" s="1725">
        <f t="shared" si="248"/>
        <v>0</v>
      </c>
      <c r="DM287" s="1725">
        <f t="shared" si="249"/>
        <v>1</v>
      </c>
      <c r="DN287"/>
    </row>
    <row r="288" spans="1:118" ht="15" customHeight="1" x14ac:dyDescent="0.3">
      <c r="A288" s="6269" t="s">
        <v>5146</v>
      </c>
      <c r="B288" s="7267"/>
      <c r="C288" s="7461" t="s">
        <v>912</v>
      </c>
      <c r="D288" s="7461"/>
      <c r="E288" s="954" t="s">
        <v>5292</v>
      </c>
      <c r="F288" s="955" t="s">
        <v>5293</v>
      </c>
      <c r="G288" s="956" t="s">
        <v>5294</v>
      </c>
      <c r="H288" s="957" t="s">
        <v>5295</v>
      </c>
      <c r="I288" s="958" t="s">
        <v>5296</v>
      </c>
      <c r="J288" s="959" t="s">
        <v>5297</v>
      </c>
      <c r="K288" s="958" t="s">
        <v>5298</v>
      </c>
      <c r="L288" s="959" t="s">
        <v>5299</v>
      </c>
      <c r="M288" s="958" t="s">
        <v>5300</v>
      </c>
      <c r="N288" s="959" t="s">
        <v>5301</v>
      </c>
      <c r="O288" s="958" t="s">
        <v>5302</v>
      </c>
      <c r="P288" s="959" t="s">
        <v>5303</v>
      </c>
      <c r="Q288" s="958" t="s">
        <v>5304</v>
      </c>
      <c r="R288" s="959" t="s">
        <v>5305</v>
      </c>
      <c r="S288" s="958" t="s">
        <v>5306</v>
      </c>
      <c r="T288" s="959" t="s">
        <v>5307</v>
      </c>
      <c r="U288" s="958" t="s">
        <v>5308</v>
      </c>
      <c r="V288" s="959" t="s">
        <v>5309</v>
      </c>
      <c r="W288" s="960" t="s">
        <v>5310</v>
      </c>
      <c r="X288" s="959" t="s">
        <v>5311</v>
      </c>
      <c r="Y288" s="960" t="s">
        <v>5312</v>
      </c>
      <c r="Z288" s="959" t="s">
        <v>5313</v>
      </c>
      <c r="AA288" s="960" t="s">
        <v>5314</v>
      </c>
      <c r="AB288" s="959" t="s">
        <v>5315</v>
      </c>
      <c r="AC288" s="960" t="s">
        <v>5316</v>
      </c>
      <c r="AD288" s="959" t="s">
        <v>5317</v>
      </c>
      <c r="AE288" s="960" t="s">
        <v>5318</v>
      </c>
      <c r="AF288" s="959" t="s">
        <v>5319</v>
      </c>
      <c r="AG288" s="960" t="s">
        <v>5320</v>
      </c>
      <c r="AH288" s="959" t="s">
        <v>5321</v>
      </c>
      <c r="AI288" s="960" t="s">
        <v>5322</v>
      </c>
      <c r="AJ288" s="959" t="s">
        <v>5323</v>
      </c>
      <c r="AK288" s="960" t="s">
        <v>5324</v>
      </c>
      <c r="AL288" s="959" t="s">
        <v>5325</v>
      </c>
      <c r="AM288" s="960" t="s">
        <v>5326</v>
      </c>
      <c r="AN288" s="959" t="s">
        <v>5327</v>
      </c>
      <c r="AO288" s="960" t="s">
        <v>5328</v>
      </c>
      <c r="AP288" s="961" t="s">
        <v>5329</v>
      </c>
      <c r="AQ288" s="962" t="s">
        <v>5330</v>
      </c>
      <c r="AR288" s="933" t="s">
        <v>5331</v>
      </c>
      <c r="AS288" s="934" t="s">
        <v>5332</v>
      </c>
      <c r="AT288" s="949" t="s">
        <v>5333</v>
      </c>
      <c r="AU288" s="959" t="s">
        <v>5334</v>
      </c>
      <c r="AV288" s="959" t="s">
        <v>5335</v>
      </c>
      <c r="AW288" s="963" t="s">
        <v>5336</v>
      </c>
      <c r="AX288" s="963" t="s">
        <v>5337</v>
      </c>
      <c r="AY288" s="958" t="s">
        <v>5338</v>
      </c>
      <c r="AZ288" t="e">
        <f t="shared" si="237"/>
        <v>#VALUE!</v>
      </c>
      <c r="CX288" s="1723" t="str">
        <f t="shared" si="238"/>
        <v xml:space="preserve"> * Las Embarazadas no pueden superar el Total Mujeres.</v>
      </c>
      <c r="CY288" s="1723" t="str">
        <f t="shared" si="239"/>
        <v xml:space="preserve"> * La variable Usuarios con discapacidad No puede ser mayor al Total.</v>
      </c>
      <c r="CZ288" s="1723" t="str">
        <f t="shared" si="240"/>
        <v xml:space="preserve"> * La variable Usuarios oncológicos No puede ser mayor al Total.</v>
      </c>
      <c r="DA288" s="1723" t="e">
        <f t="shared" si="241"/>
        <v>#VALUE!</v>
      </c>
      <c r="DB288" s="1723" t="str">
        <f t="shared" si="242"/>
        <v/>
      </c>
      <c r="DC288" s="1723" t="str">
        <f t="shared" si="243"/>
        <v>* Migrantes no puede ser mayor al Total</v>
      </c>
      <c r="DD288"/>
      <c r="DE288"/>
      <c r="DF288"/>
      <c r="DH288" s="1725">
        <f t="shared" si="244"/>
        <v>1</v>
      </c>
      <c r="DI288" s="1725">
        <f t="shared" si="245"/>
        <v>1</v>
      </c>
      <c r="DJ288" s="1725">
        <f t="shared" si="246"/>
        <v>1</v>
      </c>
      <c r="DK288" s="1725" t="e">
        <f t="shared" si="247"/>
        <v>#VALUE!</v>
      </c>
      <c r="DL288" s="1725">
        <f t="shared" si="248"/>
        <v>0</v>
      </c>
      <c r="DM288" s="1725">
        <f t="shared" si="249"/>
        <v>1</v>
      </c>
      <c r="DN288"/>
    </row>
    <row r="289" spans="1:118" ht="15" customHeight="1" x14ac:dyDescent="0.3">
      <c r="A289" s="6269" t="s">
        <v>5147</v>
      </c>
      <c r="B289" s="7267"/>
      <c r="C289" s="7461" t="s">
        <v>913</v>
      </c>
      <c r="D289" s="7461"/>
      <c r="E289" s="954" t="s">
        <v>5292</v>
      </c>
      <c r="F289" s="955" t="s">
        <v>5293</v>
      </c>
      <c r="G289" s="956" t="s">
        <v>5294</v>
      </c>
      <c r="H289" s="957" t="s">
        <v>5295</v>
      </c>
      <c r="I289" s="958" t="s">
        <v>5296</v>
      </c>
      <c r="J289" s="959" t="s">
        <v>5297</v>
      </c>
      <c r="K289" s="958" t="s">
        <v>5298</v>
      </c>
      <c r="L289" s="959" t="s">
        <v>5299</v>
      </c>
      <c r="M289" s="958" t="s">
        <v>5300</v>
      </c>
      <c r="N289" s="959" t="s">
        <v>5301</v>
      </c>
      <c r="O289" s="958" t="s">
        <v>5302</v>
      </c>
      <c r="P289" s="959" t="s">
        <v>5303</v>
      </c>
      <c r="Q289" s="958" t="s">
        <v>5304</v>
      </c>
      <c r="R289" s="959" t="s">
        <v>5305</v>
      </c>
      <c r="S289" s="958" t="s">
        <v>5306</v>
      </c>
      <c r="T289" s="959" t="s">
        <v>5307</v>
      </c>
      <c r="U289" s="958" t="s">
        <v>5308</v>
      </c>
      <c r="V289" s="959" t="s">
        <v>5309</v>
      </c>
      <c r="W289" s="960" t="s">
        <v>5310</v>
      </c>
      <c r="X289" s="959" t="s">
        <v>5311</v>
      </c>
      <c r="Y289" s="960" t="s">
        <v>5312</v>
      </c>
      <c r="Z289" s="959" t="s">
        <v>5313</v>
      </c>
      <c r="AA289" s="960" t="s">
        <v>5314</v>
      </c>
      <c r="AB289" s="959" t="s">
        <v>5315</v>
      </c>
      <c r="AC289" s="960" t="s">
        <v>5316</v>
      </c>
      <c r="AD289" s="959" t="s">
        <v>5317</v>
      </c>
      <c r="AE289" s="960" t="s">
        <v>5318</v>
      </c>
      <c r="AF289" s="959" t="s">
        <v>5319</v>
      </c>
      <c r="AG289" s="960" t="s">
        <v>5320</v>
      </c>
      <c r="AH289" s="959" t="s">
        <v>5321</v>
      </c>
      <c r="AI289" s="960" t="s">
        <v>5322</v>
      </c>
      <c r="AJ289" s="959" t="s">
        <v>5323</v>
      </c>
      <c r="AK289" s="960" t="s">
        <v>5324</v>
      </c>
      <c r="AL289" s="959" t="s">
        <v>5325</v>
      </c>
      <c r="AM289" s="960" t="s">
        <v>5326</v>
      </c>
      <c r="AN289" s="959" t="s">
        <v>5327</v>
      </c>
      <c r="AO289" s="960" t="s">
        <v>5328</v>
      </c>
      <c r="AP289" s="961" t="s">
        <v>5329</v>
      </c>
      <c r="AQ289" s="962" t="s">
        <v>5330</v>
      </c>
      <c r="AR289" s="933" t="s">
        <v>5331</v>
      </c>
      <c r="AS289" s="934" t="s">
        <v>5332</v>
      </c>
      <c r="AT289" s="979" t="s">
        <v>5333</v>
      </c>
      <c r="AU289" s="959" t="s">
        <v>5334</v>
      </c>
      <c r="AV289" s="959" t="s">
        <v>5335</v>
      </c>
      <c r="AW289" s="963" t="s">
        <v>5336</v>
      </c>
      <c r="AX289" s="963" t="s">
        <v>5337</v>
      </c>
      <c r="AY289" s="958" t="s">
        <v>5338</v>
      </c>
      <c r="AZ289" t="e">
        <f t="shared" si="237"/>
        <v>#VALUE!</v>
      </c>
      <c r="CX289" s="1723" t="str">
        <f t="shared" si="238"/>
        <v xml:space="preserve"> * Las Embarazadas no pueden superar el Total Mujeres.</v>
      </c>
      <c r="CY289" s="1723" t="str">
        <f t="shared" si="239"/>
        <v xml:space="preserve"> * La variable Usuarios con discapacidad No puede ser mayor al Total.</v>
      </c>
      <c r="CZ289" s="1723" t="str">
        <f t="shared" si="240"/>
        <v xml:space="preserve"> * La variable Usuarios oncológicos No puede ser mayor al Total.</v>
      </c>
      <c r="DA289" s="1723" t="e">
        <f t="shared" si="241"/>
        <v>#VALUE!</v>
      </c>
      <c r="DB289" s="1723" t="str">
        <f t="shared" si="242"/>
        <v/>
      </c>
      <c r="DC289" s="1723" t="str">
        <f t="shared" si="243"/>
        <v>* Migrantes no puede ser mayor al Total</v>
      </c>
      <c r="DD289"/>
      <c r="DE289"/>
      <c r="DF289"/>
      <c r="DH289" s="1725">
        <f t="shared" si="244"/>
        <v>1</v>
      </c>
      <c r="DI289" s="1725">
        <f t="shared" si="245"/>
        <v>1</v>
      </c>
      <c r="DJ289" s="1725">
        <f t="shared" si="246"/>
        <v>1</v>
      </c>
      <c r="DK289" s="1725" t="e">
        <f t="shared" si="247"/>
        <v>#VALUE!</v>
      </c>
      <c r="DL289" s="1725">
        <f t="shared" si="248"/>
        <v>0</v>
      </c>
      <c r="DM289" s="1725">
        <f t="shared" si="249"/>
        <v>1</v>
      </c>
      <c r="DN289"/>
    </row>
    <row r="290" spans="1:118" ht="15" customHeight="1" x14ac:dyDescent="0.3">
      <c r="A290" s="6269" t="s">
        <v>5148</v>
      </c>
      <c r="B290" s="7267"/>
      <c r="C290" s="7462" t="s">
        <v>914</v>
      </c>
      <c r="D290" s="7400"/>
      <c r="E290" s="954" t="s">
        <v>5292</v>
      </c>
      <c r="F290" s="955" t="s">
        <v>5293</v>
      </c>
      <c r="G290" s="956" t="s">
        <v>5294</v>
      </c>
      <c r="H290" s="964" t="s">
        <v>5295</v>
      </c>
      <c r="I290" s="965" t="s">
        <v>5296</v>
      </c>
      <c r="J290" s="966" t="s">
        <v>5297</v>
      </c>
      <c r="K290" s="965" t="s">
        <v>5298</v>
      </c>
      <c r="L290" s="966" t="s">
        <v>5299</v>
      </c>
      <c r="M290" s="965" t="s">
        <v>5300</v>
      </c>
      <c r="N290" s="966" t="s">
        <v>5301</v>
      </c>
      <c r="O290" s="965" t="s">
        <v>5302</v>
      </c>
      <c r="P290" s="966" t="s">
        <v>5303</v>
      </c>
      <c r="Q290" s="965" t="s">
        <v>5304</v>
      </c>
      <c r="R290" s="966" t="s">
        <v>5305</v>
      </c>
      <c r="S290" s="965" t="s">
        <v>5306</v>
      </c>
      <c r="T290" s="966" t="s">
        <v>5307</v>
      </c>
      <c r="U290" s="965" t="s">
        <v>5308</v>
      </c>
      <c r="V290" s="966" t="s">
        <v>5309</v>
      </c>
      <c r="W290" s="967" t="s">
        <v>5310</v>
      </c>
      <c r="X290" s="966" t="s">
        <v>5311</v>
      </c>
      <c r="Y290" s="967" t="s">
        <v>5312</v>
      </c>
      <c r="Z290" s="966" t="s">
        <v>5313</v>
      </c>
      <c r="AA290" s="967" t="s">
        <v>5314</v>
      </c>
      <c r="AB290" s="966" t="s">
        <v>5315</v>
      </c>
      <c r="AC290" s="967" t="s">
        <v>5316</v>
      </c>
      <c r="AD290" s="966" t="s">
        <v>5317</v>
      </c>
      <c r="AE290" s="967" t="s">
        <v>5318</v>
      </c>
      <c r="AF290" s="966" t="s">
        <v>5319</v>
      </c>
      <c r="AG290" s="967" t="s">
        <v>5320</v>
      </c>
      <c r="AH290" s="966" t="s">
        <v>5321</v>
      </c>
      <c r="AI290" s="967" t="s">
        <v>5322</v>
      </c>
      <c r="AJ290" s="966" t="s">
        <v>5323</v>
      </c>
      <c r="AK290" s="967" t="s">
        <v>5324</v>
      </c>
      <c r="AL290" s="966" t="s">
        <v>5325</v>
      </c>
      <c r="AM290" s="967" t="s">
        <v>5326</v>
      </c>
      <c r="AN290" s="966" t="s">
        <v>5327</v>
      </c>
      <c r="AO290" s="967" t="s">
        <v>5328</v>
      </c>
      <c r="AP290" s="968" t="s">
        <v>5329</v>
      </c>
      <c r="AQ290" s="969" t="s">
        <v>5330</v>
      </c>
      <c r="AR290" s="933" t="s">
        <v>5331</v>
      </c>
      <c r="AS290" s="934" t="s">
        <v>5332</v>
      </c>
      <c r="AT290" s="979" t="s">
        <v>5333</v>
      </c>
      <c r="AU290" s="966" t="s">
        <v>5334</v>
      </c>
      <c r="AV290" s="966" t="s">
        <v>5335</v>
      </c>
      <c r="AW290" s="973" t="s">
        <v>5336</v>
      </c>
      <c r="AX290" s="973" t="s">
        <v>5337</v>
      </c>
      <c r="AY290" s="965" t="s">
        <v>5338</v>
      </c>
      <c r="AZ290" t="e">
        <f t="shared" si="237"/>
        <v>#VALUE!</v>
      </c>
      <c r="CX290" s="1723" t="str">
        <f t="shared" si="238"/>
        <v xml:space="preserve"> * Las Embarazadas no pueden superar el Total Mujeres.</v>
      </c>
      <c r="CY290" s="1723" t="str">
        <f t="shared" si="239"/>
        <v xml:space="preserve"> * La variable Usuarios con discapacidad No puede ser mayor al Total.</v>
      </c>
      <c r="CZ290" s="1723" t="str">
        <f t="shared" si="240"/>
        <v xml:space="preserve"> * La variable Usuarios oncológicos No puede ser mayor al Total.</v>
      </c>
      <c r="DA290" s="1723" t="e">
        <f t="shared" si="241"/>
        <v>#VALUE!</v>
      </c>
      <c r="DB290" s="1723" t="str">
        <f t="shared" si="242"/>
        <v/>
      </c>
      <c r="DC290" s="1723" t="str">
        <f t="shared" si="243"/>
        <v>* Migrantes no puede ser mayor al Total</v>
      </c>
      <c r="DD290"/>
      <c r="DE290"/>
      <c r="DF290"/>
      <c r="DH290" s="1725">
        <f t="shared" si="244"/>
        <v>1</v>
      </c>
      <c r="DI290" s="1725">
        <f t="shared" si="245"/>
        <v>1</v>
      </c>
      <c r="DJ290" s="1725">
        <f t="shared" si="246"/>
        <v>1</v>
      </c>
      <c r="DK290" s="1725" t="e">
        <f t="shared" si="247"/>
        <v>#VALUE!</v>
      </c>
      <c r="DL290" s="1725">
        <f t="shared" si="248"/>
        <v>0</v>
      </c>
      <c r="DM290" s="1725">
        <f t="shared" si="249"/>
        <v>1</v>
      </c>
      <c r="DN290"/>
    </row>
    <row r="291" spans="1:118" ht="15" customHeight="1" x14ac:dyDescent="0.3">
      <c r="A291" s="6269" t="s">
        <v>5149</v>
      </c>
      <c r="B291" s="7267"/>
      <c r="C291" s="7462" t="s">
        <v>915</v>
      </c>
      <c r="D291" s="7400"/>
      <c r="E291" s="954" t="s">
        <v>5292</v>
      </c>
      <c r="F291" s="955" t="s">
        <v>5293</v>
      </c>
      <c r="G291" s="956" t="s">
        <v>5294</v>
      </c>
      <c r="H291" s="964" t="s">
        <v>5295</v>
      </c>
      <c r="I291" s="965" t="s">
        <v>5296</v>
      </c>
      <c r="J291" s="966" t="s">
        <v>5297</v>
      </c>
      <c r="K291" s="965" t="s">
        <v>5298</v>
      </c>
      <c r="L291" s="966" t="s">
        <v>5299</v>
      </c>
      <c r="M291" s="965" t="s">
        <v>5300</v>
      </c>
      <c r="N291" s="966" t="s">
        <v>5301</v>
      </c>
      <c r="O291" s="965" t="s">
        <v>5302</v>
      </c>
      <c r="P291" s="966" t="s">
        <v>5303</v>
      </c>
      <c r="Q291" s="965" t="s">
        <v>5304</v>
      </c>
      <c r="R291" s="966" t="s">
        <v>5305</v>
      </c>
      <c r="S291" s="965" t="s">
        <v>5306</v>
      </c>
      <c r="T291" s="966" t="s">
        <v>5307</v>
      </c>
      <c r="U291" s="965" t="s">
        <v>5308</v>
      </c>
      <c r="V291" s="966" t="s">
        <v>5309</v>
      </c>
      <c r="W291" s="967" t="s">
        <v>5310</v>
      </c>
      <c r="X291" s="966" t="s">
        <v>5311</v>
      </c>
      <c r="Y291" s="967" t="s">
        <v>5312</v>
      </c>
      <c r="Z291" s="966" t="s">
        <v>5313</v>
      </c>
      <c r="AA291" s="967" t="s">
        <v>5314</v>
      </c>
      <c r="AB291" s="966" t="s">
        <v>5315</v>
      </c>
      <c r="AC291" s="967" t="s">
        <v>5316</v>
      </c>
      <c r="AD291" s="966" t="s">
        <v>5317</v>
      </c>
      <c r="AE291" s="967" t="s">
        <v>5318</v>
      </c>
      <c r="AF291" s="966" t="s">
        <v>5319</v>
      </c>
      <c r="AG291" s="967" t="s">
        <v>5320</v>
      </c>
      <c r="AH291" s="966" t="s">
        <v>5321</v>
      </c>
      <c r="AI291" s="967" t="s">
        <v>5322</v>
      </c>
      <c r="AJ291" s="966" t="s">
        <v>5323</v>
      </c>
      <c r="AK291" s="967" t="s">
        <v>5324</v>
      </c>
      <c r="AL291" s="966" t="s">
        <v>5325</v>
      </c>
      <c r="AM291" s="967" t="s">
        <v>5326</v>
      </c>
      <c r="AN291" s="966" t="s">
        <v>5327</v>
      </c>
      <c r="AO291" s="967" t="s">
        <v>5328</v>
      </c>
      <c r="AP291" s="968" t="s">
        <v>5329</v>
      </c>
      <c r="AQ291" s="969" t="s">
        <v>5330</v>
      </c>
      <c r="AR291" s="970" t="s">
        <v>5331</v>
      </c>
      <c r="AS291" s="971" t="s">
        <v>5332</v>
      </c>
      <c r="AT291" s="972" t="s">
        <v>5333</v>
      </c>
      <c r="AU291" s="966" t="s">
        <v>5334</v>
      </c>
      <c r="AV291" s="966" t="s">
        <v>5335</v>
      </c>
      <c r="AW291" s="973" t="s">
        <v>5336</v>
      </c>
      <c r="AX291" s="973" t="s">
        <v>5337</v>
      </c>
      <c r="AY291" s="965" t="s">
        <v>5338</v>
      </c>
      <c r="AZ291" t="e">
        <f t="shared" si="237"/>
        <v>#VALUE!</v>
      </c>
      <c r="CX291" s="1723" t="str">
        <f t="shared" si="238"/>
        <v xml:space="preserve"> * Las Embarazadas no pueden superar el Total Mujeres.</v>
      </c>
      <c r="CY291" s="1723" t="str">
        <f t="shared" si="239"/>
        <v xml:space="preserve"> * La variable Usuarios con discapacidad No puede ser mayor al Total.</v>
      </c>
      <c r="CZ291" s="1723" t="str">
        <f t="shared" si="240"/>
        <v xml:space="preserve"> * La variable Usuarios oncológicos No puede ser mayor al Total.</v>
      </c>
      <c r="DA291" s="1723" t="e">
        <f t="shared" si="241"/>
        <v>#VALUE!</v>
      </c>
      <c r="DB291" s="1723" t="str">
        <f t="shared" si="242"/>
        <v/>
      </c>
      <c r="DC291" s="1723" t="str">
        <f t="shared" si="243"/>
        <v>* Migrantes no puede ser mayor al Total</v>
      </c>
      <c r="DD291"/>
      <c r="DE291"/>
      <c r="DF291"/>
      <c r="DH291" s="1725">
        <f t="shared" si="244"/>
        <v>1</v>
      </c>
      <c r="DI291" s="1725">
        <f t="shared" si="245"/>
        <v>1</v>
      </c>
      <c r="DJ291" s="1725">
        <f t="shared" si="246"/>
        <v>1</v>
      </c>
      <c r="DK291" s="1725" t="e">
        <f t="shared" si="247"/>
        <v>#VALUE!</v>
      </c>
      <c r="DL291" s="1725">
        <f t="shared" si="248"/>
        <v>0</v>
      </c>
      <c r="DM291" s="1725">
        <f t="shared" si="249"/>
        <v>1</v>
      </c>
      <c r="DN291"/>
    </row>
    <row r="292" spans="1:118" ht="15" customHeight="1" x14ac:dyDescent="0.3">
      <c r="A292" s="6269" t="s">
        <v>5150</v>
      </c>
      <c r="B292" s="7363"/>
      <c r="C292" s="7463" t="s">
        <v>916</v>
      </c>
      <c r="D292" s="7463"/>
      <c r="E292" s="974" t="s">
        <v>5292</v>
      </c>
      <c r="F292" s="95" t="s">
        <v>5293</v>
      </c>
      <c r="G292" s="208" t="s">
        <v>5294</v>
      </c>
      <c r="H292" s="938" t="s">
        <v>5295</v>
      </c>
      <c r="I292" s="939" t="s">
        <v>5296</v>
      </c>
      <c r="J292" s="940" t="s">
        <v>5297</v>
      </c>
      <c r="K292" s="939" t="s">
        <v>5298</v>
      </c>
      <c r="L292" s="940" t="s">
        <v>5299</v>
      </c>
      <c r="M292" s="939" t="s">
        <v>5300</v>
      </c>
      <c r="N292" s="940" t="s">
        <v>5301</v>
      </c>
      <c r="O292" s="939" t="s">
        <v>5302</v>
      </c>
      <c r="P292" s="940" t="s">
        <v>5303</v>
      </c>
      <c r="Q292" s="939" t="s">
        <v>5304</v>
      </c>
      <c r="R292" s="940" t="s">
        <v>5305</v>
      </c>
      <c r="S292" s="939" t="s">
        <v>5306</v>
      </c>
      <c r="T292" s="940" t="s">
        <v>5307</v>
      </c>
      <c r="U292" s="939" t="s">
        <v>5308</v>
      </c>
      <c r="V292" s="940" t="s">
        <v>5309</v>
      </c>
      <c r="W292" s="941" t="s">
        <v>5310</v>
      </c>
      <c r="X292" s="940" t="s">
        <v>5311</v>
      </c>
      <c r="Y292" s="941" t="s">
        <v>5312</v>
      </c>
      <c r="Z292" s="940" t="s">
        <v>5313</v>
      </c>
      <c r="AA292" s="941" t="s">
        <v>5314</v>
      </c>
      <c r="AB292" s="940" t="s">
        <v>5315</v>
      </c>
      <c r="AC292" s="941" t="s">
        <v>5316</v>
      </c>
      <c r="AD292" s="940" t="s">
        <v>5317</v>
      </c>
      <c r="AE292" s="941" t="s">
        <v>5318</v>
      </c>
      <c r="AF292" s="940" t="s">
        <v>5319</v>
      </c>
      <c r="AG292" s="941" t="s">
        <v>5320</v>
      </c>
      <c r="AH292" s="940" t="s">
        <v>5321</v>
      </c>
      <c r="AI292" s="941" t="s">
        <v>5322</v>
      </c>
      <c r="AJ292" s="940" t="s">
        <v>5323</v>
      </c>
      <c r="AK292" s="941" t="s">
        <v>5324</v>
      </c>
      <c r="AL292" s="940" t="s">
        <v>5325</v>
      </c>
      <c r="AM292" s="941" t="s">
        <v>5326</v>
      </c>
      <c r="AN292" s="940" t="s">
        <v>5327</v>
      </c>
      <c r="AO292" s="941" t="s">
        <v>5328</v>
      </c>
      <c r="AP292" s="942" t="s">
        <v>5329</v>
      </c>
      <c r="AQ292" s="943" t="s">
        <v>5330</v>
      </c>
      <c r="AR292" s="975" t="s">
        <v>5331</v>
      </c>
      <c r="AS292" s="976" t="s">
        <v>5332</v>
      </c>
      <c r="AT292" s="977" t="s">
        <v>5333</v>
      </c>
      <c r="AU292" s="940" t="s">
        <v>5334</v>
      </c>
      <c r="AV292" s="940" t="s">
        <v>5335</v>
      </c>
      <c r="AW292" s="944" t="s">
        <v>5336</v>
      </c>
      <c r="AX292" s="944" t="s">
        <v>5337</v>
      </c>
      <c r="AY292" s="939" t="s">
        <v>5338</v>
      </c>
      <c r="AZ292" t="e">
        <f t="shared" si="237"/>
        <v>#VALUE!</v>
      </c>
      <c r="CX292" s="1723" t="str">
        <f t="shared" si="238"/>
        <v xml:space="preserve"> * Las Embarazadas no pueden superar el Total Mujeres.</v>
      </c>
      <c r="CY292" s="1723" t="str">
        <f t="shared" si="239"/>
        <v xml:space="preserve"> * La variable Usuarios con discapacidad No puede ser mayor al Total.</v>
      </c>
      <c r="CZ292" s="1723" t="str">
        <f t="shared" si="240"/>
        <v xml:space="preserve"> * La variable Usuarios oncológicos No puede ser mayor al Total.</v>
      </c>
      <c r="DA292" s="1723" t="e">
        <f t="shared" si="241"/>
        <v>#VALUE!</v>
      </c>
      <c r="DB292" s="1723" t="str">
        <f t="shared" si="242"/>
        <v/>
      </c>
      <c r="DC292" s="1723" t="str">
        <f t="shared" si="243"/>
        <v>* Migrantes no puede ser mayor al Total</v>
      </c>
      <c r="DD292"/>
      <c r="DE292"/>
      <c r="DF292"/>
      <c r="DH292" s="1725">
        <f t="shared" si="244"/>
        <v>1</v>
      </c>
      <c r="DI292" s="1725">
        <f t="shared" si="245"/>
        <v>1</v>
      </c>
      <c r="DJ292" s="1725">
        <f t="shared" si="246"/>
        <v>1</v>
      </c>
      <c r="DK292" s="1725" t="e">
        <f t="shared" si="247"/>
        <v>#VALUE!</v>
      </c>
      <c r="DL292" s="1725">
        <f t="shared" si="248"/>
        <v>0</v>
      </c>
      <c r="DM292" s="1725">
        <f t="shared" si="249"/>
        <v>1</v>
      </c>
      <c r="DN292"/>
    </row>
    <row r="293" spans="1:118" ht="15" customHeight="1" x14ac:dyDescent="0.3">
      <c r="A293" s="6268" t="s">
        <v>5151</v>
      </c>
      <c r="B293" s="6632" t="s">
        <v>759</v>
      </c>
      <c r="C293" s="7468" t="s">
        <v>911</v>
      </c>
      <c r="D293" s="7468"/>
      <c r="E293" s="5237" t="s">
        <v>5292</v>
      </c>
      <c r="F293" s="5499" t="s">
        <v>5293</v>
      </c>
      <c r="G293" s="5500" t="s">
        <v>5294</v>
      </c>
      <c r="H293" s="5501" t="s">
        <v>5295</v>
      </c>
      <c r="I293" s="5502" t="s">
        <v>5296</v>
      </c>
      <c r="J293" s="5503" t="s">
        <v>5297</v>
      </c>
      <c r="K293" s="5502" t="s">
        <v>5298</v>
      </c>
      <c r="L293" s="5503" t="s">
        <v>5299</v>
      </c>
      <c r="M293" s="5502" t="s">
        <v>5300</v>
      </c>
      <c r="N293" s="5503" t="s">
        <v>5301</v>
      </c>
      <c r="O293" s="5502" t="s">
        <v>5302</v>
      </c>
      <c r="P293" s="5503" t="s">
        <v>5303</v>
      </c>
      <c r="Q293" s="5502" t="s">
        <v>5304</v>
      </c>
      <c r="R293" s="5503" t="s">
        <v>5305</v>
      </c>
      <c r="S293" s="5502" t="s">
        <v>5306</v>
      </c>
      <c r="T293" s="5503" t="s">
        <v>5307</v>
      </c>
      <c r="U293" s="5502" t="s">
        <v>5308</v>
      </c>
      <c r="V293" s="5503" t="s">
        <v>5309</v>
      </c>
      <c r="W293" s="5504" t="s">
        <v>5310</v>
      </c>
      <c r="X293" s="5503" t="s">
        <v>5311</v>
      </c>
      <c r="Y293" s="5504" t="s">
        <v>5312</v>
      </c>
      <c r="Z293" s="5503" t="s">
        <v>5313</v>
      </c>
      <c r="AA293" s="5504" t="s">
        <v>5314</v>
      </c>
      <c r="AB293" s="5503" t="s">
        <v>5315</v>
      </c>
      <c r="AC293" s="5504" t="s">
        <v>5316</v>
      </c>
      <c r="AD293" s="5503" t="s">
        <v>5317</v>
      </c>
      <c r="AE293" s="5504" t="s">
        <v>5318</v>
      </c>
      <c r="AF293" s="5503" t="s">
        <v>5319</v>
      </c>
      <c r="AG293" s="5504" t="s">
        <v>5320</v>
      </c>
      <c r="AH293" s="5503" t="s">
        <v>5321</v>
      </c>
      <c r="AI293" s="5504" t="s">
        <v>5322</v>
      </c>
      <c r="AJ293" s="5503" t="s">
        <v>5323</v>
      </c>
      <c r="AK293" s="5504" t="s">
        <v>5324</v>
      </c>
      <c r="AL293" s="5503" t="s">
        <v>5325</v>
      </c>
      <c r="AM293" s="5504" t="s">
        <v>5326</v>
      </c>
      <c r="AN293" s="5501" t="s">
        <v>5327</v>
      </c>
      <c r="AO293" s="5505" t="s">
        <v>5328</v>
      </c>
      <c r="AP293" s="5503" t="s">
        <v>5329</v>
      </c>
      <c r="AQ293" s="5506" t="s">
        <v>5330</v>
      </c>
      <c r="AR293" s="5501" t="s">
        <v>5331</v>
      </c>
      <c r="AS293" s="5507" t="s">
        <v>5332</v>
      </c>
      <c r="AT293" s="5508" t="s">
        <v>5333</v>
      </c>
      <c r="AU293" s="5508" t="s">
        <v>5334</v>
      </c>
      <c r="AV293" s="5508" t="s">
        <v>5335</v>
      </c>
      <c r="AW293" s="5509" t="s">
        <v>5336</v>
      </c>
      <c r="AX293" s="5509" t="s">
        <v>5337</v>
      </c>
      <c r="AY293" s="5510" t="s">
        <v>5338</v>
      </c>
      <c r="AZ293" t="e">
        <f t="shared" si="237"/>
        <v>#VALUE!</v>
      </c>
      <c r="CX293" s="1723" t="str">
        <f t="shared" si="238"/>
        <v xml:space="preserve"> * Las Embarazadas no pueden superar el Total Mujeres.</v>
      </c>
      <c r="CY293" s="1723" t="str">
        <f t="shared" si="239"/>
        <v xml:space="preserve"> * La variable Usuarios con discapacidad No puede ser mayor al Total.</v>
      </c>
      <c r="CZ293" s="1723" t="str">
        <f t="shared" si="240"/>
        <v xml:space="preserve"> * La variable Usuarios oncológicos No puede ser mayor al Total.</v>
      </c>
      <c r="DA293" s="1723" t="e">
        <f t="shared" si="241"/>
        <v>#VALUE!</v>
      </c>
      <c r="DB293" s="1723" t="str">
        <f t="shared" si="242"/>
        <v/>
      </c>
      <c r="DC293" s="1723" t="str">
        <f t="shared" si="243"/>
        <v>* Migrantes no puede ser mayor al Total</v>
      </c>
      <c r="DD293"/>
      <c r="DE293"/>
      <c r="DF293"/>
      <c r="DH293" s="1725">
        <f t="shared" si="244"/>
        <v>1</v>
      </c>
      <c r="DI293" s="1725">
        <f t="shared" si="245"/>
        <v>1</v>
      </c>
      <c r="DJ293" s="1725">
        <f t="shared" si="246"/>
        <v>1</v>
      </c>
      <c r="DK293" s="1725" t="e">
        <f t="shared" si="247"/>
        <v>#VALUE!</v>
      </c>
      <c r="DL293" s="1725">
        <f t="shared" si="248"/>
        <v>0</v>
      </c>
      <c r="DM293" s="1725">
        <f t="shared" si="249"/>
        <v>1</v>
      </c>
      <c r="DN293"/>
    </row>
    <row r="294" spans="1:118" ht="15" customHeight="1" x14ac:dyDescent="0.3">
      <c r="A294" s="6268" t="s">
        <v>5152</v>
      </c>
      <c r="B294" s="7467"/>
      <c r="C294" s="7469" t="s">
        <v>912</v>
      </c>
      <c r="D294" s="7469"/>
      <c r="E294" s="1037" t="s">
        <v>5292</v>
      </c>
      <c r="F294" s="5511" t="s">
        <v>5293</v>
      </c>
      <c r="G294" s="5512" t="s">
        <v>5294</v>
      </c>
      <c r="H294" s="5513" t="s">
        <v>5295</v>
      </c>
      <c r="I294" s="5514" t="s">
        <v>5296</v>
      </c>
      <c r="J294" s="5515" t="s">
        <v>5297</v>
      </c>
      <c r="K294" s="5514" t="s">
        <v>5298</v>
      </c>
      <c r="L294" s="5515" t="s">
        <v>5299</v>
      </c>
      <c r="M294" s="5514" t="s">
        <v>5300</v>
      </c>
      <c r="N294" s="5515" t="s">
        <v>5301</v>
      </c>
      <c r="O294" s="5514" t="s">
        <v>5302</v>
      </c>
      <c r="P294" s="5515" t="s">
        <v>5303</v>
      </c>
      <c r="Q294" s="5514" t="s">
        <v>5304</v>
      </c>
      <c r="R294" s="5515" t="s">
        <v>5305</v>
      </c>
      <c r="S294" s="5514" t="s">
        <v>5306</v>
      </c>
      <c r="T294" s="5515" t="s">
        <v>5307</v>
      </c>
      <c r="U294" s="5514" t="s">
        <v>5308</v>
      </c>
      <c r="V294" s="5515" t="s">
        <v>5309</v>
      </c>
      <c r="W294" s="5516" t="s">
        <v>5310</v>
      </c>
      <c r="X294" s="5515" t="s">
        <v>5311</v>
      </c>
      <c r="Y294" s="5516" t="s">
        <v>5312</v>
      </c>
      <c r="Z294" s="5515" t="s">
        <v>5313</v>
      </c>
      <c r="AA294" s="5516" t="s">
        <v>5314</v>
      </c>
      <c r="AB294" s="5515" t="s">
        <v>5315</v>
      </c>
      <c r="AC294" s="5516" t="s">
        <v>5316</v>
      </c>
      <c r="AD294" s="5515" t="s">
        <v>5317</v>
      </c>
      <c r="AE294" s="5516" t="s">
        <v>5318</v>
      </c>
      <c r="AF294" s="5515" t="s">
        <v>5319</v>
      </c>
      <c r="AG294" s="5516" t="s">
        <v>5320</v>
      </c>
      <c r="AH294" s="5515" t="s">
        <v>5321</v>
      </c>
      <c r="AI294" s="5516" t="s">
        <v>5322</v>
      </c>
      <c r="AJ294" s="5515" t="s">
        <v>5323</v>
      </c>
      <c r="AK294" s="5516" t="s">
        <v>5324</v>
      </c>
      <c r="AL294" s="5515" t="s">
        <v>5325</v>
      </c>
      <c r="AM294" s="5516" t="s">
        <v>5326</v>
      </c>
      <c r="AN294" s="5513" t="s">
        <v>5327</v>
      </c>
      <c r="AO294" s="5517" t="s">
        <v>5328</v>
      </c>
      <c r="AP294" s="5515" t="s">
        <v>5329</v>
      </c>
      <c r="AQ294" s="5518" t="s">
        <v>5330</v>
      </c>
      <c r="AR294" s="933" t="s">
        <v>5331</v>
      </c>
      <c r="AS294" s="5519" t="s">
        <v>5332</v>
      </c>
      <c r="AT294" s="949" t="s">
        <v>5333</v>
      </c>
      <c r="AU294" s="5520" t="s">
        <v>5334</v>
      </c>
      <c r="AV294" s="5520" t="s">
        <v>5335</v>
      </c>
      <c r="AW294" s="5521" t="s">
        <v>5336</v>
      </c>
      <c r="AX294" s="5521" t="s">
        <v>5337</v>
      </c>
      <c r="AY294" s="5522" t="s">
        <v>5338</v>
      </c>
      <c r="AZ294" t="e">
        <f t="shared" si="237"/>
        <v>#VALUE!</v>
      </c>
      <c r="CX294" s="1723" t="str">
        <f t="shared" si="238"/>
        <v xml:space="preserve"> * Las Embarazadas no pueden superar el Total Mujeres.</v>
      </c>
      <c r="CY294" s="1723" t="str">
        <f t="shared" si="239"/>
        <v xml:space="preserve"> * La variable Usuarios con discapacidad No puede ser mayor al Total.</v>
      </c>
      <c r="CZ294" s="1723" t="str">
        <f t="shared" si="240"/>
        <v xml:space="preserve"> * La variable Usuarios oncológicos No puede ser mayor al Total.</v>
      </c>
      <c r="DA294" s="1723" t="e">
        <f t="shared" si="241"/>
        <v>#VALUE!</v>
      </c>
      <c r="DB294" s="1723" t="str">
        <f t="shared" si="242"/>
        <v/>
      </c>
      <c r="DC294" s="1723" t="str">
        <f t="shared" si="243"/>
        <v>* Migrantes no puede ser mayor al Total</v>
      </c>
      <c r="DD294"/>
      <c r="DE294"/>
      <c r="DF294"/>
      <c r="DH294" s="1725">
        <f t="shared" si="244"/>
        <v>1</v>
      </c>
      <c r="DI294" s="1725">
        <f t="shared" si="245"/>
        <v>1</v>
      </c>
      <c r="DJ294" s="1725">
        <f t="shared" si="246"/>
        <v>1</v>
      </c>
      <c r="DK294" s="1725" t="e">
        <f t="shared" si="247"/>
        <v>#VALUE!</v>
      </c>
      <c r="DL294" s="1725">
        <f t="shared" si="248"/>
        <v>0</v>
      </c>
      <c r="DM294" s="1725">
        <f t="shared" si="249"/>
        <v>1</v>
      </c>
      <c r="DN294"/>
    </row>
    <row r="295" spans="1:118" ht="15" customHeight="1" x14ac:dyDescent="0.3">
      <c r="A295" s="6268" t="s">
        <v>5153</v>
      </c>
      <c r="B295" s="7467"/>
      <c r="C295" s="7469" t="s">
        <v>913</v>
      </c>
      <c r="D295" s="7469"/>
      <c r="E295" s="1037" t="s">
        <v>5292</v>
      </c>
      <c r="F295" s="5511" t="s">
        <v>5293</v>
      </c>
      <c r="G295" s="5512" t="s">
        <v>5294</v>
      </c>
      <c r="H295" s="5513" t="s">
        <v>5295</v>
      </c>
      <c r="I295" s="5514" t="s">
        <v>5296</v>
      </c>
      <c r="J295" s="5515" t="s">
        <v>5297</v>
      </c>
      <c r="K295" s="5514" t="s">
        <v>5298</v>
      </c>
      <c r="L295" s="5515" t="s">
        <v>5299</v>
      </c>
      <c r="M295" s="5514" t="s">
        <v>5300</v>
      </c>
      <c r="N295" s="5515" t="s">
        <v>5301</v>
      </c>
      <c r="O295" s="5514" t="s">
        <v>5302</v>
      </c>
      <c r="P295" s="5515" t="s">
        <v>5303</v>
      </c>
      <c r="Q295" s="5514" t="s">
        <v>5304</v>
      </c>
      <c r="R295" s="5515" t="s">
        <v>5305</v>
      </c>
      <c r="S295" s="5514" t="s">
        <v>5306</v>
      </c>
      <c r="T295" s="5515" t="s">
        <v>5307</v>
      </c>
      <c r="U295" s="5514" t="s">
        <v>5308</v>
      </c>
      <c r="V295" s="5515" t="s">
        <v>5309</v>
      </c>
      <c r="W295" s="5516" t="s">
        <v>5310</v>
      </c>
      <c r="X295" s="5515" t="s">
        <v>5311</v>
      </c>
      <c r="Y295" s="5516" t="s">
        <v>5312</v>
      </c>
      <c r="Z295" s="5515" t="s">
        <v>5313</v>
      </c>
      <c r="AA295" s="5516" t="s">
        <v>5314</v>
      </c>
      <c r="AB295" s="5515" t="s">
        <v>5315</v>
      </c>
      <c r="AC295" s="5516" t="s">
        <v>5316</v>
      </c>
      <c r="AD295" s="5515" t="s">
        <v>5317</v>
      </c>
      <c r="AE295" s="5516" t="s">
        <v>5318</v>
      </c>
      <c r="AF295" s="5515" t="s">
        <v>5319</v>
      </c>
      <c r="AG295" s="5516" t="s">
        <v>5320</v>
      </c>
      <c r="AH295" s="5515" t="s">
        <v>5321</v>
      </c>
      <c r="AI295" s="5516" t="s">
        <v>5322</v>
      </c>
      <c r="AJ295" s="5515" t="s">
        <v>5323</v>
      </c>
      <c r="AK295" s="5516" t="s">
        <v>5324</v>
      </c>
      <c r="AL295" s="5515" t="s">
        <v>5325</v>
      </c>
      <c r="AM295" s="5516" t="s">
        <v>5326</v>
      </c>
      <c r="AN295" s="5513" t="s">
        <v>5327</v>
      </c>
      <c r="AO295" s="5517" t="s">
        <v>5328</v>
      </c>
      <c r="AP295" s="5515" t="s">
        <v>5329</v>
      </c>
      <c r="AQ295" s="5518" t="s">
        <v>5330</v>
      </c>
      <c r="AR295" s="933" t="s">
        <v>5331</v>
      </c>
      <c r="AS295" s="5519" t="s">
        <v>5332</v>
      </c>
      <c r="AT295" s="5523" t="s">
        <v>5333</v>
      </c>
      <c r="AU295" s="5520" t="s">
        <v>5334</v>
      </c>
      <c r="AV295" s="5520" t="s">
        <v>5335</v>
      </c>
      <c r="AW295" s="5521" t="s">
        <v>5336</v>
      </c>
      <c r="AX295" s="5521" t="s">
        <v>5337</v>
      </c>
      <c r="AY295" s="5522" t="s">
        <v>5338</v>
      </c>
      <c r="AZ295" t="e">
        <f t="shared" si="237"/>
        <v>#VALUE!</v>
      </c>
      <c r="CX295" s="1723" t="str">
        <f t="shared" si="238"/>
        <v xml:space="preserve"> * Las Embarazadas no pueden superar el Total Mujeres.</v>
      </c>
      <c r="CY295" s="1723" t="str">
        <f t="shared" si="239"/>
        <v xml:space="preserve"> * La variable Usuarios con discapacidad No puede ser mayor al Total.</v>
      </c>
      <c r="CZ295" s="1723" t="str">
        <f t="shared" si="240"/>
        <v xml:space="preserve"> * La variable Usuarios oncológicos No puede ser mayor al Total.</v>
      </c>
      <c r="DA295" s="1723" t="e">
        <f t="shared" si="241"/>
        <v>#VALUE!</v>
      </c>
      <c r="DB295" s="1723" t="str">
        <f t="shared" si="242"/>
        <v/>
      </c>
      <c r="DC295" s="1723" t="str">
        <f t="shared" si="243"/>
        <v>* Migrantes no puede ser mayor al Total</v>
      </c>
      <c r="DD295"/>
      <c r="DE295"/>
      <c r="DF295"/>
      <c r="DH295" s="1725">
        <f t="shared" si="244"/>
        <v>1</v>
      </c>
      <c r="DI295" s="1725">
        <f t="shared" si="245"/>
        <v>1</v>
      </c>
      <c r="DJ295" s="1725">
        <f t="shared" si="246"/>
        <v>1</v>
      </c>
      <c r="DK295" s="1725" t="e">
        <f t="shared" si="247"/>
        <v>#VALUE!</v>
      </c>
      <c r="DL295" s="1725">
        <f t="shared" si="248"/>
        <v>0</v>
      </c>
      <c r="DM295" s="1725">
        <f t="shared" si="249"/>
        <v>1</v>
      </c>
      <c r="DN295"/>
    </row>
    <row r="296" spans="1:118" ht="15" customHeight="1" x14ac:dyDescent="0.3">
      <c r="A296" s="6268" t="s">
        <v>5154</v>
      </c>
      <c r="B296" s="7467"/>
      <c r="C296" s="7470" t="s">
        <v>914</v>
      </c>
      <c r="D296" s="7471"/>
      <c r="E296" s="1037" t="s">
        <v>5292</v>
      </c>
      <c r="F296" s="5511" t="s">
        <v>5293</v>
      </c>
      <c r="G296" s="5512" t="s">
        <v>5294</v>
      </c>
      <c r="H296" s="5524" t="s">
        <v>5295</v>
      </c>
      <c r="I296" s="5525" t="s">
        <v>5296</v>
      </c>
      <c r="J296" s="5526" t="s">
        <v>5297</v>
      </c>
      <c r="K296" s="5525" t="s">
        <v>5298</v>
      </c>
      <c r="L296" s="5526" t="s">
        <v>5299</v>
      </c>
      <c r="M296" s="5525" t="s">
        <v>5300</v>
      </c>
      <c r="N296" s="5526" t="s">
        <v>5301</v>
      </c>
      <c r="O296" s="5525" t="s">
        <v>5302</v>
      </c>
      <c r="P296" s="5526" t="s">
        <v>5303</v>
      </c>
      <c r="Q296" s="5525" t="s">
        <v>5304</v>
      </c>
      <c r="R296" s="5526" t="s">
        <v>5305</v>
      </c>
      <c r="S296" s="5525" t="s">
        <v>5306</v>
      </c>
      <c r="T296" s="5526" t="s">
        <v>5307</v>
      </c>
      <c r="U296" s="5525" t="s">
        <v>5308</v>
      </c>
      <c r="V296" s="5526" t="s">
        <v>5309</v>
      </c>
      <c r="W296" s="5525" t="s">
        <v>5310</v>
      </c>
      <c r="X296" s="5526" t="s">
        <v>5311</v>
      </c>
      <c r="Y296" s="5525" t="s">
        <v>5312</v>
      </c>
      <c r="Z296" s="5526" t="s">
        <v>5313</v>
      </c>
      <c r="AA296" s="5525" t="s">
        <v>5314</v>
      </c>
      <c r="AB296" s="5526" t="s">
        <v>5315</v>
      </c>
      <c r="AC296" s="5525" t="s">
        <v>5316</v>
      </c>
      <c r="AD296" s="5526" t="s">
        <v>5317</v>
      </c>
      <c r="AE296" s="5525" t="s">
        <v>5318</v>
      </c>
      <c r="AF296" s="5526" t="s">
        <v>5319</v>
      </c>
      <c r="AG296" s="5525" t="s">
        <v>5320</v>
      </c>
      <c r="AH296" s="5526" t="s">
        <v>5321</v>
      </c>
      <c r="AI296" s="5525" t="s">
        <v>5322</v>
      </c>
      <c r="AJ296" s="5526" t="s">
        <v>5323</v>
      </c>
      <c r="AK296" s="5525" t="s">
        <v>5324</v>
      </c>
      <c r="AL296" s="5526" t="s">
        <v>5325</v>
      </c>
      <c r="AM296" s="5525" t="s">
        <v>5326</v>
      </c>
      <c r="AN296" s="5524" t="s">
        <v>5327</v>
      </c>
      <c r="AO296" s="5527" t="s">
        <v>5328</v>
      </c>
      <c r="AP296" s="5528" t="s">
        <v>5329</v>
      </c>
      <c r="AQ296" s="5529" t="s">
        <v>5330</v>
      </c>
      <c r="AR296" s="933" t="s">
        <v>5331</v>
      </c>
      <c r="AS296" s="5519" t="s">
        <v>5332</v>
      </c>
      <c r="AT296" s="5523" t="s">
        <v>5333</v>
      </c>
      <c r="AU296" s="5528" t="s">
        <v>5334</v>
      </c>
      <c r="AV296" s="5528" t="s">
        <v>5335</v>
      </c>
      <c r="AW296" s="5530" t="s">
        <v>5336</v>
      </c>
      <c r="AX296" s="5530" t="s">
        <v>5337</v>
      </c>
      <c r="AY296" s="5531" t="s">
        <v>5338</v>
      </c>
      <c r="AZ296" t="e">
        <f t="shared" si="237"/>
        <v>#VALUE!</v>
      </c>
      <c r="CX296" s="1723" t="str">
        <f t="shared" si="238"/>
        <v xml:space="preserve"> * Las Embarazadas no pueden superar el Total Mujeres.</v>
      </c>
      <c r="CY296" s="1723" t="str">
        <f t="shared" si="239"/>
        <v xml:space="preserve"> * La variable Usuarios con discapacidad No puede ser mayor al Total.</v>
      </c>
      <c r="CZ296" s="1723" t="str">
        <f t="shared" si="240"/>
        <v xml:space="preserve"> * La variable Usuarios oncológicos No puede ser mayor al Total.</v>
      </c>
      <c r="DA296" s="1723" t="e">
        <f t="shared" si="241"/>
        <v>#VALUE!</v>
      </c>
      <c r="DB296" s="1723" t="str">
        <f t="shared" si="242"/>
        <v/>
      </c>
      <c r="DC296" s="1723" t="str">
        <f t="shared" si="243"/>
        <v>* Migrantes no puede ser mayor al Total</v>
      </c>
      <c r="DD296"/>
      <c r="DE296"/>
      <c r="DF296"/>
      <c r="DH296" s="1725">
        <f t="shared" si="244"/>
        <v>1</v>
      </c>
      <c r="DI296" s="1725">
        <f t="shared" si="245"/>
        <v>1</v>
      </c>
      <c r="DJ296" s="1725">
        <f t="shared" si="246"/>
        <v>1</v>
      </c>
      <c r="DK296" s="1725" t="e">
        <f t="shared" si="247"/>
        <v>#VALUE!</v>
      </c>
      <c r="DL296" s="1725">
        <f t="shared" si="248"/>
        <v>0</v>
      </c>
      <c r="DM296" s="1725">
        <f t="shared" si="249"/>
        <v>1</v>
      </c>
      <c r="DN296"/>
    </row>
    <row r="297" spans="1:118" ht="15" customHeight="1" x14ac:dyDescent="0.3">
      <c r="A297" s="6268" t="s">
        <v>5155</v>
      </c>
      <c r="B297" s="7467"/>
      <c r="C297" s="7470" t="s">
        <v>915</v>
      </c>
      <c r="D297" s="7471"/>
      <c r="E297" s="1037" t="s">
        <v>5292</v>
      </c>
      <c r="F297" s="5511" t="s">
        <v>5293</v>
      </c>
      <c r="G297" s="5512" t="s">
        <v>5294</v>
      </c>
      <c r="H297" s="5524" t="s">
        <v>5295</v>
      </c>
      <c r="I297" s="5525" t="s">
        <v>5296</v>
      </c>
      <c r="J297" s="5526" t="s">
        <v>5297</v>
      </c>
      <c r="K297" s="5525" t="s">
        <v>5298</v>
      </c>
      <c r="L297" s="5526" t="s">
        <v>5299</v>
      </c>
      <c r="M297" s="5525" t="s">
        <v>5300</v>
      </c>
      <c r="N297" s="5526" t="s">
        <v>5301</v>
      </c>
      <c r="O297" s="5525" t="s">
        <v>5302</v>
      </c>
      <c r="P297" s="5526" t="s">
        <v>5303</v>
      </c>
      <c r="Q297" s="5525" t="s">
        <v>5304</v>
      </c>
      <c r="R297" s="5526" t="s">
        <v>5305</v>
      </c>
      <c r="S297" s="5525" t="s">
        <v>5306</v>
      </c>
      <c r="T297" s="5526" t="s">
        <v>5307</v>
      </c>
      <c r="U297" s="5525" t="s">
        <v>5308</v>
      </c>
      <c r="V297" s="5526" t="s">
        <v>5309</v>
      </c>
      <c r="W297" s="5525" t="s">
        <v>5310</v>
      </c>
      <c r="X297" s="5526" t="s">
        <v>5311</v>
      </c>
      <c r="Y297" s="5525" t="s">
        <v>5312</v>
      </c>
      <c r="Z297" s="5526" t="s">
        <v>5313</v>
      </c>
      <c r="AA297" s="5525" t="s">
        <v>5314</v>
      </c>
      <c r="AB297" s="5526" t="s">
        <v>5315</v>
      </c>
      <c r="AC297" s="5525" t="s">
        <v>5316</v>
      </c>
      <c r="AD297" s="5526" t="s">
        <v>5317</v>
      </c>
      <c r="AE297" s="5525" t="s">
        <v>5318</v>
      </c>
      <c r="AF297" s="5526" t="s">
        <v>5319</v>
      </c>
      <c r="AG297" s="5525" t="s">
        <v>5320</v>
      </c>
      <c r="AH297" s="5526" t="s">
        <v>5321</v>
      </c>
      <c r="AI297" s="5525" t="s">
        <v>5322</v>
      </c>
      <c r="AJ297" s="5526" t="s">
        <v>5323</v>
      </c>
      <c r="AK297" s="5525" t="s">
        <v>5324</v>
      </c>
      <c r="AL297" s="5526" t="s">
        <v>5325</v>
      </c>
      <c r="AM297" s="5525" t="s">
        <v>5326</v>
      </c>
      <c r="AN297" s="5524" t="s">
        <v>5327</v>
      </c>
      <c r="AO297" s="5527" t="s">
        <v>5328</v>
      </c>
      <c r="AP297" s="5532" t="s">
        <v>5329</v>
      </c>
      <c r="AQ297" s="5533" t="s">
        <v>5330</v>
      </c>
      <c r="AR297" s="970" t="s">
        <v>5331</v>
      </c>
      <c r="AS297" s="971" t="s">
        <v>5332</v>
      </c>
      <c r="AT297" s="972" t="s">
        <v>5333</v>
      </c>
      <c r="AU297" s="5532" t="s">
        <v>5334</v>
      </c>
      <c r="AV297" s="5532" t="s">
        <v>5335</v>
      </c>
      <c r="AW297" s="5534" t="s">
        <v>5336</v>
      </c>
      <c r="AX297" s="5534" t="s">
        <v>5337</v>
      </c>
      <c r="AY297" s="5535" t="s">
        <v>5338</v>
      </c>
      <c r="AZ297" t="e">
        <f t="shared" si="237"/>
        <v>#VALUE!</v>
      </c>
      <c r="CX297" s="1723" t="str">
        <f t="shared" si="238"/>
        <v xml:space="preserve"> * Las Embarazadas no pueden superar el Total Mujeres.</v>
      </c>
      <c r="CY297" s="1723" t="str">
        <f t="shared" si="239"/>
        <v xml:space="preserve"> * La variable Usuarios con discapacidad No puede ser mayor al Total.</v>
      </c>
      <c r="CZ297" s="1723" t="str">
        <f t="shared" si="240"/>
        <v xml:space="preserve"> * La variable Usuarios oncológicos No puede ser mayor al Total.</v>
      </c>
      <c r="DA297" s="1723" t="e">
        <f t="shared" si="241"/>
        <v>#VALUE!</v>
      </c>
      <c r="DB297" s="1723" t="str">
        <f t="shared" si="242"/>
        <v/>
      </c>
      <c r="DC297" s="1723" t="str">
        <f t="shared" si="243"/>
        <v>* Migrantes no puede ser mayor al Total</v>
      </c>
      <c r="DD297"/>
      <c r="DE297"/>
      <c r="DF297"/>
      <c r="DH297" s="1725">
        <f t="shared" si="244"/>
        <v>1</v>
      </c>
      <c r="DI297" s="1725">
        <f t="shared" si="245"/>
        <v>1</v>
      </c>
      <c r="DJ297" s="1725">
        <f t="shared" si="246"/>
        <v>1</v>
      </c>
      <c r="DK297" s="1725" t="e">
        <f t="shared" si="247"/>
        <v>#VALUE!</v>
      </c>
      <c r="DL297" s="1725">
        <f t="shared" si="248"/>
        <v>0</v>
      </c>
      <c r="DM297" s="1725">
        <f t="shared" si="249"/>
        <v>1</v>
      </c>
      <c r="DN297"/>
    </row>
    <row r="298" spans="1:118" ht="15" customHeight="1" x14ac:dyDescent="0.3">
      <c r="A298" s="6268" t="s">
        <v>5156</v>
      </c>
      <c r="B298" s="6633"/>
      <c r="C298" s="7463" t="s">
        <v>916</v>
      </c>
      <c r="D298" s="7463"/>
      <c r="E298" s="3217" t="s">
        <v>5292</v>
      </c>
      <c r="F298" s="5536" t="s">
        <v>5293</v>
      </c>
      <c r="G298" s="5537" t="s">
        <v>5294</v>
      </c>
      <c r="H298" s="5538" t="s">
        <v>5295</v>
      </c>
      <c r="I298" s="5539" t="s">
        <v>5296</v>
      </c>
      <c r="J298" s="5540" t="s">
        <v>5297</v>
      </c>
      <c r="K298" s="5539" t="s">
        <v>5298</v>
      </c>
      <c r="L298" s="5540" t="s">
        <v>5299</v>
      </c>
      <c r="M298" s="5539" t="s">
        <v>5300</v>
      </c>
      <c r="N298" s="5540" t="s">
        <v>5301</v>
      </c>
      <c r="O298" s="5539" t="s">
        <v>5302</v>
      </c>
      <c r="P298" s="5540" t="s">
        <v>5303</v>
      </c>
      <c r="Q298" s="5539" t="s">
        <v>5304</v>
      </c>
      <c r="R298" s="5540" t="s">
        <v>5305</v>
      </c>
      <c r="S298" s="5539" t="s">
        <v>5306</v>
      </c>
      <c r="T298" s="5540" t="s">
        <v>5307</v>
      </c>
      <c r="U298" s="5539" t="s">
        <v>5308</v>
      </c>
      <c r="V298" s="5538" t="s">
        <v>5309</v>
      </c>
      <c r="W298" s="5539" t="s">
        <v>5310</v>
      </c>
      <c r="X298" s="5538" t="s">
        <v>5311</v>
      </c>
      <c r="Y298" s="5539" t="s">
        <v>5312</v>
      </c>
      <c r="Z298" s="5538" t="s">
        <v>5313</v>
      </c>
      <c r="AA298" s="5539" t="s">
        <v>5314</v>
      </c>
      <c r="AB298" s="5538" t="s">
        <v>5315</v>
      </c>
      <c r="AC298" s="5539" t="s">
        <v>5316</v>
      </c>
      <c r="AD298" s="5538" t="s">
        <v>5317</v>
      </c>
      <c r="AE298" s="5539" t="s">
        <v>5318</v>
      </c>
      <c r="AF298" s="5538" t="s">
        <v>5319</v>
      </c>
      <c r="AG298" s="5539" t="s">
        <v>5320</v>
      </c>
      <c r="AH298" s="5538" t="s">
        <v>5321</v>
      </c>
      <c r="AI298" s="5539" t="s">
        <v>5322</v>
      </c>
      <c r="AJ298" s="5538" t="s">
        <v>5323</v>
      </c>
      <c r="AK298" s="5539" t="s">
        <v>5324</v>
      </c>
      <c r="AL298" s="5538" t="s">
        <v>5325</v>
      </c>
      <c r="AM298" s="5539" t="s">
        <v>5326</v>
      </c>
      <c r="AN298" s="5538" t="s">
        <v>5327</v>
      </c>
      <c r="AO298" s="5541" t="s">
        <v>5328</v>
      </c>
      <c r="AP298" s="940" t="s">
        <v>5329</v>
      </c>
      <c r="AQ298" s="5542" t="s">
        <v>5330</v>
      </c>
      <c r="AR298" s="5543" t="s">
        <v>5331</v>
      </c>
      <c r="AS298" s="5544" t="s">
        <v>5332</v>
      </c>
      <c r="AT298" s="977" t="s">
        <v>5333</v>
      </c>
      <c r="AU298" s="940" t="s">
        <v>5334</v>
      </c>
      <c r="AV298" s="940" t="s">
        <v>5335</v>
      </c>
      <c r="AW298" s="3880" t="s">
        <v>5336</v>
      </c>
      <c r="AX298" s="3880" t="s">
        <v>5337</v>
      </c>
      <c r="AY298" s="5545" t="s">
        <v>5338</v>
      </c>
      <c r="AZ298" t="e">
        <f t="shared" si="237"/>
        <v>#VALUE!</v>
      </c>
      <c r="CX298" s="1723" t="str">
        <f t="shared" si="238"/>
        <v xml:space="preserve"> * Las Embarazadas no pueden superar el Total Mujeres.</v>
      </c>
      <c r="CY298" s="1723" t="str">
        <f t="shared" si="239"/>
        <v xml:space="preserve"> * La variable Usuarios con discapacidad No puede ser mayor al Total.</v>
      </c>
      <c r="CZ298" s="1723" t="str">
        <f t="shared" si="240"/>
        <v xml:space="preserve"> * La variable Usuarios oncológicos No puede ser mayor al Total.</v>
      </c>
      <c r="DA298" s="1723" t="e">
        <f t="shared" si="241"/>
        <v>#VALUE!</v>
      </c>
      <c r="DB298" s="1723" t="str">
        <f t="shared" si="242"/>
        <v/>
      </c>
      <c r="DC298" s="1723" t="str">
        <f t="shared" si="243"/>
        <v>* Migrantes no puede ser mayor al Total</v>
      </c>
      <c r="DD298"/>
      <c r="DE298"/>
      <c r="DF298"/>
      <c r="DH298" s="1725">
        <f t="shared" si="244"/>
        <v>1</v>
      </c>
      <c r="DI298" s="1725">
        <f t="shared" si="245"/>
        <v>1</v>
      </c>
      <c r="DJ298" s="1725">
        <f t="shared" si="246"/>
        <v>1</v>
      </c>
      <c r="DK298" s="1725" t="e">
        <f t="shared" si="247"/>
        <v>#VALUE!</v>
      </c>
      <c r="DL298" s="1725">
        <f t="shared" si="248"/>
        <v>0</v>
      </c>
      <c r="DM298" s="1725">
        <f t="shared" si="249"/>
        <v>1</v>
      </c>
      <c r="DN298"/>
    </row>
    <row r="299" spans="1:118" ht="15" customHeight="1" x14ac:dyDescent="0.3">
      <c r="A299" s="6238"/>
      <c r="B299" s="7518" t="s">
        <v>24</v>
      </c>
      <c r="C299" s="7460" t="s">
        <v>911</v>
      </c>
      <c r="D299" s="7460"/>
      <c r="E299" s="907" t="e">
        <f t="shared" ref="E265:E304" si="250">SUM(F299+G299)</f>
        <v>#VALUE!</v>
      </c>
      <c r="F299" s="4732" t="e">
        <f t="shared" ref="F299:G304" si="251">SUM(H299+J299+L299+N299+P299+R299+T299+V299+X299+Z299+AB299+AD299+AF299+AH299+AJ299+AL299+AN299)</f>
        <v>#VALUE!</v>
      </c>
      <c r="G299" s="5495" t="e">
        <f t="shared" si="251"/>
        <v>#VALUE!</v>
      </c>
      <c r="H299" s="907" t="e">
        <f t="shared" ref="H299:Y304" si="252">+H221+H227+H233+H239+H245+H251+H257+H281+H287+H293</f>
        <v>#VALUE!</v>
      </c>
      <c r="I299" s="5495" t="e">
        <f t="shared" si="252"/>
        <v>#VALUE!</v>
      </c>
      <c r="J299" s="907" t="e">
        <f t="shared" si="252"/>
        <v>#VALUE!</v>
      </c>
      <c r="K299" s="5495" t="e">
        <f t="shared" si="252"/>
        <v>#VALUE!</v>
      </c>
      <c r="L299" s="5495" t="e">
        <f t="shared" si="252"/>
        <v>#VALUE!</v>
      </c>
      <c r="M299" s="5495" t="e">
        <f t="shared" si="252"/>
        <v>#VALUE!</v>
      </c>
      <c r="N299" s="5495" t="e">
        <f t="shared" si="252"/>
        <v>#VALUE!</v>
      </c>
      <c r="O299" s="5495" t="e">
        <f t="shared" si="252"/>
        <v>#VALUE!</v>
      </c>
      <c r="P299" s="5495" t="e">
        <f t="shared" si="252"/>
        <v>#VALUE!</v>
      </c>
      <c r="Q299" s="5495" t="e">
        <f t="shared" si="252"/>
        <v>#VALUE!</v>
      </c>
      <c r="R299" s="5495" t="e">
        <f t="shared" si="252"/>
        <v>#VALUE!</v>
      </c>
      <c r="S299" s="5495" t="e">
        <f t="shared" si="252"/>
        <v>#VALUE!</v>
      </c>
      <c r="T299" s="5495" t="e">
        <f t="shared" si="252"/>
        <v>#VALUE!</v>
      </c>
      <c r="U299" s="5495" t="e">
        <f t="shared" si="252"/>
        <v>#VALUE!</v>
      </c>
      <c r="V299" s="5495" t="e">
        <f t="shared" si="252"/>
        <v>#VALUE!</v>
      </c>
      <c r="W299" s="5495" t="e">
        <f t="shared" si="252"/>
        <v>#VALUE!</v>
      </c>
      <c r="X299" s="5495" t="e">
        <f t="shared" si="252"/>
        <v>#VALUE!</v>
      </c>
      <c r="Y299" s="5495" t="e">
        <f t="shared" si="252"/>
        <v>#VALUE!</v>
      </c>
      <c r="Z299" s="907" t="e">
        <f>+Z221+Z227+Z233+Z239+Z245+Z251+Z257+Z263+Z269+Z275+Z281+Z287+Z293</f>
        <v>#VALUE!</v>
      </c>
      <c r="AA299" s="907" t="e">
        <f t="shared" ref="AA299:AO302" si="253">+AA221+AA227+AA233+AA239+AA245+AA251+AA257+AA263+AA269+AA275+AA281+AA287+AA293</f>
        <v>#VALUE!</v>
      </c>
      <c r="AB299" s="907" t="e">
        <f t="shared" si="253"/>
        <v>#VALUE!</v>
      </c>
      <c r="AC299" s="907" t="e">
        <f t="shared" si="253"/>
        <v>#VALUE!</v>
      </c>
      <c r="AD299" s="907" t="e">
        <f t="shared" si="253"/>
        <v>#VALUE!</v>
      </c>
      <c r="AE299" s="907" t="e">
        <f t="shared" si="253"/>
        <v>#VALUE!</v>
      </c>
      <c r="AF299" s="907" t="e">
        <f t="shared" si="253"/>
        <v>#VALUE!</v>
      </c>
      <c r="AG299" s="907" t="e">
        <f t="shared" si="253"/>
        <v>#VALUE!</v>
      </c>
      <c r="AH299" s="907" t="e">
        <f t="shared" si="253"/>
        <v>#VALUE!</v>
      </c>
      <c r="AI299" s="907" t="e">
        <f t="shared" si="253"/>
        <v>#VALUE!</v>
      </c>
      <c r="AJ299" s="907" t="e">
        <f t="shared" si="253"/>
        <v>#VALUE!</v>
      </c>
      <c r="AK299" s="907" t="e">
        <f t="shared" si="253"/>
        <v>#VALUE!</v>
      </c>
      <c r="AL299" s="907" t="e">
        <f t="shared" si="253"/>
        <v>#VALUE!</v>
      </c>
      <c r="AM299" s="907" t="e">
        <f t="shared" si="253"/>
        <v>#VALUE!</v>
      </c>
      <c r="AN299" s="907" t="e">
        <f t="shared" si="253"/>
        <v>#VALUE!</v>
      </c>
      <c r="AO299" s="5496" t="e">
        <f t="shared" si="253"/>
        <v>#VALUE!</v>
      </c>
      <c r="AP299" s="5497" t="e">
        <f t="shared" ref="AP299:AP304" si="254">+AP221+AP227+AP233+AP239+AP257+AP263+AP269+AP275+AP281+AP287+AP293</f>
        <v>#VALUE!</v>
      </c>
      <c r="AQ299" s="5498" t="e">
        <f>+AQ221+AQ227+AQ233+AQ257+AQ263+AQ269+AQ275+AQ281+AQ287+AQ293</f>
        <v>#VALUE!</v>
      </c>
      <c r="AR299" s="907" t="e">
        <f>SUM(AR221+AR227+AR233+AR239+AR245+AR251+AR257+AR263+AR269+AR275+AR281+AR287+AR293)</f>
        <v>#VALUE!</v>
      </c>
      <c r="AS299" s="4694" t="e">
        <f>SUM(AS221+AS227+AS233+AS239+AS245+AS251+AS257+AS263+AS269+AS275+AS281+AS287+AS293)</f>
        <v>#VALUE!</v>
      </c>
      <c r="AT299" s="5497" t="e">
        <f t="shared" ref="AT299:AY302" si="255">+AT221+AT227+AT233+AT239+AT245+AT251+AT257+AT263+AT269+AT275+AT281+AT287+AT293</f>
        <v>#VALUE!</v>
      </c>
      <c r="AU299" s="5497" t="e">
        <f t="shared" si="255"/>
        <v>#VALUE!</v>
      </c>
      <c r="AV299" s="5497" t="e">
        <f t="shared" si="255"/>
        <v>#VALUE!</v>
      </c>
      <c r="AW299" s="5497" t="e">
        <f t="shared" si="255"/>
        <v>#VALUE!</v>
      </c>
      <c r="AX299" s="5497" t="e">
        <f t="shared" si="255"/>
        <v>#VALUE!</v>
      </c>
      <c r="AY299" s="5495" t="e">
        <f t="shared" si="255"/>
        <v>#VALUE!</v>
      </c>
      <c r="CX299"/>
      <c r="CY299"/>
      <c r="CZ299"/>
      <c r="DA299"/>
      <c r="DB299"/>
      <c r="DC299"/>
      <c r="DD299"/>
      <c r="DE299"/>
      <c r="DF299"/>
      <c r="DH299"/>
      <c r="DI299"/>
      <c r="DJ299"/>
      <c r="DK299"/>
      <c r="DL299"/>
      <c r="DM299"/>
      <c r="DN299"/>
    </row>
    <row r="300" spans="1:118" ht="15" customHeight="1" x14ac:dyDescent="0.3">
      <c r="A300" s="6238"/>
      <c r="B300" s="7519"/>
      <c r="C300" s="7461" t="s">
        <v>912</v>
      </c>
      <c r="D300" s="7461"/>
      <c r="E300" s="907" t="e">
        <f t="shared" si="250"/>
        <v>#VALUE!</v>
      </c>
      <c r="F300" s="1038" t="e">
        <f t="shared" si="251"/>
        <v>#VALUE!</v>
      </c>
      <c r="G300" s="1039" t="e">
        <f t="shared" si="251"/>
        <v>#VALUE!</v>
      </c>
      <c r="H300" s="954" t="e">
        <f t="shared" si="252"/>
        <v>#VALUE!</v>
      </c>
      <c r="I300" s="1040" t="e">
        <f t="shared" si="252"/>
        <v>#VALUE!</v>
      </c>
      <c r="J300" s="954" t="e">
        <f t="shared" si="252"/>
        <v>#VALUE!</v>
      </c>
      <c r="K300" s="1040" t="e">
        <f t="shared" si="252"/>
        <v>#VALUE!</v>
      </c>
      <c r="L300" s="1040" t="e">
        <f t="shared" si="252"/>
        <v>#VALUE!</v>
      </c>
      <c r="M300" s="1040" t="e">
        <f t="shared" si="252"/>
        <v>#VALUE!</v>
      </c>
      <c r="N300" s="1040" t="e">
        <f t="shared" si="252"/>
        <v>#VALUE!</v>
      </c>
      <c r="O300" s="1040" t="e">
        <f t="shared" si="252"/>
        <v>#VALUE!</v>
      </c>
      <c r="P300" s="1040" t="e">
        <f t="shared" si="252"/>
        <v>#VALUE!</v>
      </c>
      <c r="Q300" s="1040" t="e">
        <f t="shared" si="252"/>
        <v>#VALUE!</v>
      </c>
      <c r="R300" s="1040" t="e">
        <f t="shared" si="252"/>
        <v>#VALUE!</v>
      </c>
      <c r="S300" s="1040" t="e">
        <f t="shared" si="252"/>
        <v>#VALUE!</v>
      </c>
      <c r="T300" s="1040" t="e">
        <f t="shared" si="252"/>
        <v>#VALUE!</v>
      </c>
      <c r="U300" s="1040" t="e">
        <f t="shared" si="252"/>
        <v>#VALUE!</v>
      </c>
      <c r="V300" s="1040" t="e">
        <f t="shared" si="252"/>
        <v>#VALUE!</v>
      </c>
      <c r="W300" s="1040" t="e">
        <f t="shared" si="252"/>
        <v>#VALUE!</v>
      </c>
      <c r="X300" s="1040" t="e">
        <f t="shared" si="252"/>
        <v>#VALUE!</v>
      </c>
      <c r="Y300" s="1040" t="e">
        <f t="shared" si="252"/>
        <v>#VALUE!</v>
      </c>
      <c r="Z300" s="954" t="e">
        <f>+Z222+Z228+Z234+Z240+Z246+Z252+Z258+Z264+Z270+Z276+Z282+Z288+Z294</f>
        <v>#VALUE!</v>
      </c>
      <c r="AA300" s="954" t="e">
        <f t="shared" si="253"/>
        <v>#VALUE!</v>
      </c>
      <c r="AB300" s="954" t="e">
        <f t="shared" si="253"/>
        <v>#VALUE!</v>
      </c>
      <c r="AC300" s="954" t="e">
        <f t="shared" si="253"/>
        <v>#VALUE!</v>
      </c>
      <c r="AD300" s="954" t="e">
        <f t="shared" si="253"/>
        <v>#VALUE!</v>
      </c>
      <c r="AE300" s="954" t="e">
        <f t="shared" si="253"/>
        <v>#VALUE!</v>
      </c>
      <c r="AF300" s="954" t="e">
        <f t="shared" si="253"/>
        <v>#VALUE!</v>
      </c>
      <c r="AG300" s="954" t="e">
        <f t="shared" si="253"/>
        <v>#VALUE!</v>
      </c>
      <c r="AH300" s="954" t="e">
        <f t="shared" si="253"/>
        <v>#VALUE!</v>
      </c>
      <c r="AI300" s="954" t="e">
        <f t="shared" si="253"/>
        <v>#VALUE!</v>
      </c>
      <c r="AJ300" s="954" t="e">
        <f t="shared" si="253"/>
        <v>#VALUE!</v>
      </c>
      <c r="AK300" s="954" t="e">
        <f t="shared" si="253"/>
        <v>#VALUE!</v>
      </c>
      <c r="AL300" s="954" t="e">
        <f t="shared" si="253"/>
        <v>#VALUE!</v>
      </c>
      <c r="AM300" s="954" t="e">
        <f t="shared" si="253"/>
        <v>#VALUE!</v>
      </c>
      <c r="AN300" s="954" t="e">
        <f t="shared" si="253"/>
        <v>#VALUE!</v>
      </c>
      <c r="AO300" s="1041" t="e">
        <f t="shared" si="253"/>
        <v>#VALUE!</v>
      </c>
      <c r="AP300" s="1042" t="e">
        <f t="shared" si="254"/>
        <v>#VALUE!</v>
      </c>
      <c r="AQ300" s="1043" t="e">
        <f>+AQ222+AQ228+AQ234+AQ258+AQ264+AQ270+AQ276+AQ282+AQ288+AQ294</f>
        <v>#VALUE!</v>
      </c>
      <c r="AR300" s="1044"/>
      <c r="AS300" s="1045"/>
      <c r="AT300" s="1042" t="e">
        <f t="shared" si="255"/>
        <v>#VALUE!</v>
      </c>
      <c r="AU300" s="1042" t="e">
        <f t="shared" si="255"/>
        <v>#VALUE!</v>
      </c>
      <c r="AV300" s="1042" t="e">
        <f t="shared" si="255"/>
        <v>#VALUE!</v>
      </c>
      <c r="AW300" s="1042" t="e">
        <f t="shared" si="255"/>
        <v>#VALUE!</v>
      </c>
      <c r="AX300" s="1042" t="e">
        <f t="shared" si="255"/>
        <v>#VALUE!</v>
      </c>
      <c r="AY300" s="1040" t="e">
        <f t="shared" si="255"/>
        <v>#VALUE!</v>
      </c>
      <c r="CX300"/>
      <c r="CY300"/>
      <c r="CZ300"/>
      <c r="DA300"/>
      <c r="DB300"/>
      <c r="DC300"/>
      <c r="DD300"/>
      <c r="DE300"/>
      <c r="DF300"/>
      <c r="DH300"/>
      <c r="DI300"/>
      <c r="DJ300"/>
      <c r="DK300"/>
      <c r="DL300"/>
      <c r="DM300"/>
      <c r="DN300"/>
    </row>
    <row r="301" spans="1:118" ht="15" customHeight="1" x14ac:dyDescent="0.3">
      <c r="A301" s="6238"/>
      <c r="B301" s="7519"/>
      <c r="C301" s="7461" t="s">
        <v>913</v>
      </c>
      <c r="D301" s="7461"/>
      <c r="E301" s="907" t="e">
        <f t="shared" si="250"/>
        <v>#VALUE!</v>
      </c>
      <c r="F301" s="1038" t="e">
        <f t="shared" si="251"/>
        <v>#VALUE!</v>
      </c>
      <c r="G301" s="1039" t="e">
        <f t="shared" si="251"/>
        <v>#VALUE!</v>
      </c>
      <c r="H301" s="954" t="e">
        <f t="shared" si="252"/>
        <v>#VALUE!</v>
      </c>
      <c r="I301" s="1040" t="e">
        <f t="shared" si="252"/>
        <v>#VALUE!</v>
      </c>
      <c r="J301" s="954" t="e">
        <f t="shared" si="252"/>
        <v>#VALUE!</v>
      </c>
      <c r="K301" s="1040" t="e">
        <f t="shared" si="252"/>
        <v>#VALUE!</v>
      </c>
      <c r="L301" s="1040" t="e">
        <f t="shared" si="252"/>
        <v>#VALUE!</v>
      </c>
      <c r="M301" s="1040" t="e">
        <f t="shared" si="252"/>
        <v>#VALUE!</v>
      </c>
      <c r="N301" s="1040" t="e">
        <f t="shared" si="252"/>
        <v>#VALUE!</v>
      </c>
      <c r="O301" s="1040" t="e">
        <f t="shared" si="252"/>
        <v>#VALUE!</v>
      </c>
      <c r="P301" s="1040" t="e">
        <f t="shared" si="252"/>
        <v>#VALUE!</v>
      </c>
      <c r="Q301" s="1040" t="e">
        <f t="shared" si="252"/>
        <v>#VALUE!</v>
      </c>
      <c r="R301" s="1040" t="e">
        <f t="shared" si="252"/>
        <v>#VALUE!</v>
      </c>
      <c r="S301" s="1040" t="e">
        <f t="shared" si="252"/>
        <v>#VALUE!</v>
      </c>
      <c r="T301" s="1040" t="e">
        <f t="shared" si="252"/>
        <v>#VALUE!</v>
      </c>
      <c r="U301" s="1040" t="e">
        <f t="shared" si="252"/>
        <v>#VALUE!</v>
      </c>
      <c r="V301" s="1040" t="e">
        <f t="shared" si="252"/>
        <v>#VALUE!</v>
      </c>
      <c r="W301" s="1040" t="e">
        <f t="shared" si="252"/>
        <v>#VALUE!</v>
      </c>
      <c r="X301" s="1040" t="e">
        <f t="shared" si="252"/>
        <v>#VALUE!</v>
      </c>
      <c r="Y301" s="1040" t="e">
        <f t="shared" si="252"/>
        <v>#VALUE!</v>
      </c>
      <c r="Z301" s="954" t="e">
        <f>+Z223+Z229+Z235+Z241+Z247+Z253+Z259+Z265+Z271+Z277+Z283+Z289+Z295</f>
        <v>#VALUE!</v>
      </c>
      <c r="AA301" s="954" t="e">
        <f t="shared" si="253"/>
        <v>#VALUE!</v>
      </c>
      <c r="AB301" s="954" t="e">
        <f t="shared" si="253"/>
        <v>#VALUE!</v>
      </c>
      <c r="AC301" s="954" t="e">
        <f t="shared" si="253"/>
        <v>#VALUE!</v>
      </c>
      <c r="AD301" s="954" t="e">
        <f t="shared" si="253"/>
        <v>#VALUE!</v>
      </c>
      <c r="AE301" s="954" t="e">
        <f t="shared" si="253"/>
        <v>#VALUE!</v>
      </c>
      <c r="AF301" s="954" t="e">
        <f t="shared" si="253"/>
        <v>#VALUE!</v>
      </c>
      <c r="AG301" s="954" t="e">
        <f t="shared" si="253"/>
        <v>#VALUE!</v>
      </c>
      <c r="AH301" s="954" t="e">
        <f t="shared" si="253"/>
        <v>#VALUE!</v>
      </c>
      <c r="AI301" s="954" t="e">
        <f t="shared" si="253"/>
        <v>#VALUE!</v>
      </c>
      <c r="AJ301" s="954" t="e">
        <f t="shared" si="253"/>
        <v>#VALUE!</v>
      </c>
      <c r="AK301" s="954" t="e">
        <f t="shared" si="253"/>
        <v>#VALUE!</v>
      </c>
      <c r="AL301" s="954" t="e">
        <f t="shared" si="253"/>
        <v>#VALUE!</v>
      </c>
      <c r="AM301" s="954" t="e">
        <f t="shared" si="253"/>
        <v>#VALUE!</v>
      </c>
      <c r="AN301" s="954" t="e">
        <f t="shared" si="253"/>
        <v>#VALUE!</v>
      </c>
      <c r="AO301" s="1041" t="e">
        <f t="shared" si="253"/>
        <v>#VALUE!</v>
      </c>
      <c r="AP301" s="1042" t="e">
        <f t="shared" si="254"/>
        <v>#VALUE!</v>
      </c>
      <c r="AQ301" s="1043" t="e">
        <f>+AQ223+AQ229+AQ235+AQ259+AQ265+AQ271+AQ277+AQ283+AQ289+AQ295</f>
        <v>#VALUE!</v>
      </c>
      <c r="AR301" s="1044"/>
      <c r="AS301" s="1045"/>
      <c r="AT301" s="979"/>
      <c r="AU301" s="1042" t="e">
        <f t="shared" si="255"/>
        <v>#VALUE!</v>
      </c>
      <c r="AV301" s="1042" t="e">
        <f t="shared" si="255"/>
        <v>#VALUE!</v>
      </c>
      <c r="AW301" s="1042" t="e">
        <f t="shared" si="255"/>
        <v>#VALUE!</v>
      </c>
      <c r="AX301" s="1042" t="e">
        <f t="shared" si="255"/>
        <v>#VALUE!</v>
      </c>
      <c r="AY301" s="1040" t="e">
        <f t="shared" si="255"/>
        <v>#VALUE!</v>
      </c>
      <c r="CX301"/>
      <c r="CY301"/>
      <c r="CZ301"/>
      <c r="DA301"/>
      <c r="DB301"/>
      <c r="DC301"/>
      <c r="DD301"/>
      <c r="DE301"/>
      <c r="DF301"/>
      <c r="DH301"/>
      <c r="DI301"/>
      <c r="DJ301"/>
      <c r="DK301"/>
      <c r="DL301"/>
      <c r="DM301"/>
      <c r="DN301"/>
    </row>
    <row r="302" spans="1:118" ht="15" customHeight="1" x14ac:dyDescent="0.3">
      <c r="A302" s="6238"/>
      <c r="B302" s="7519"/>
      <c r="C302" s="7462" t="s">
        <v>914</v>
      </c>
      <c r="D302" s="7400"/>
      <c r="E302" s="907" t="e">
        <f t="shared" si="250"/>
        <v>#VALUE!</v>
      </c>
      <c r="F302" s="1038" t="e">
        <f t="shared" si="251"/>
        <v>#VALUE!</v>
      </c>
      <c r="G302" s="1039" t="e">
        <f t="shared" si="251"/>
        <v>#VALUE!</v>
      </c>
      <c r="H302" s="954" t="e">
        <f t="shared" si="252"/>
        <v>#VALUE!</v>
      </c>
      <c r="I302" s="1040" t="e">
        <f t="shared" si="252"/>
        <v>#VALUE!</v>
      </c>
      <c r="J302" s="954" t="e">
        <f t="shared" si="252"/>
        <v>#VALUE!</v>
      </c>
      <c r="K302" s="1040" t="e">
        <f t="shared" si="252"/>
        <v>#VALUE!</v>
      </c>
      <c r="L302" s="1040" t="e">
        <f t="shared" si="252"/>
        <v>#VALUE!</v>
      </c>
      <c r="M302" s="1040" t="e">
        <f t="shared" si="252"/>
        <v>#VALUE!</v>
      </c>
      <c r="N302" s="1040" t="e">
        <f t="shared" si="252"/>
        <v>#VALUE!</v>
      </c>
      <c r="O302" s="1040" t="e">
        <f t="shared" si="252"/>
        <v>#VALUE!</v>
      </c>
      <c r="P302" s="1040" t="e">
        <f t="shared" si="252"/>
        <v>#VALUE!</v>
      </c>
      <c r="Q302" s="1040" t="e">
        <f t="shared" si="252"/>
        <v>#VALUE!</v>
      </c>
      <c r="R302" s="1040" t="e">
        <f t="shared" si="252"/>
        <v>#VALUE!</v>
      </c>
      <c r="S302" s="1040" t="e">
        <f t="shared" si="252"/>
        <v>#VALUE!</v>
      </c>
      <c r="T302" s="1040" t="e">
        <f t="shared" si="252"/>
        <v>#VALUE!</v>
      </c>
      <c r="U302" s="1040" t="e">
        <f t="shared" si="252"/>
        <v>#VALUE!</v>
      </c>
      <c r="V302" s="1040" t="e">
        <f t="shared" si="252"/>
        <v>#VALUE!</v>
      </c>
      <c r="W302" s="1040" t="e">
        <f t="shared" si="252"/>
        <v>#VALUE!</v>
      </c>
      <c r="X302" s="1040" t="e">
        <f t="shared" si="252"/>
        <v>#VALUE!</v>
      </c>
      <c r="Y302" s="1040" t="e">
        <f t="shared" si="252"/>
        <v>#VALUE!</v>
      </c>
      <c r="Z302" s="954" t="e">
        <f>+Z224+Z230+Z236+Z242+Z248+Z254+Z260+Z266+Z272+Z278+Z284+Z290+Z296</f>
        <v>#VALUE!</v>
      </c>
      <c r="AA302" s="954" t="e">
        <f t="shared" si="253"/>
        <v>#VALUE!</v>
      </c>
      <c r="AB302" s="954" t="e">
        <f t="shared" si="253"/>
        <v>#VALUE!</v>
      </c>
      <c r="AC302" s="954" t="e">
        <f t="shared" si="253"/>
        <v>#VALUE!</v>
      </c>
      <c r="AD302" s="954" t="e">
        <f t="shared" si="253"/>
        <v>#VALUE!</v>
      </c>
      <c r="AE302" s="954" t="e">
        <f t="shared" si="253"/>
        <v>#VALUE!</v>
      </c>
      <c r="AF302" s="954" t="e">
        <f t="shared" si="253"/>
        <v>#VALUE!</v>
      </c>
      <c r="AG302" s="954" t="e">
        <f t="shared" si="253"/>
        <v>#VALUE!</v>
      </c>
      <c r="AH302" s="954" t="e">
        <f t="shared" si="253"/>
        <v>#VALUE!</v>
      </c>
      <c r="AI302" s="954" t="e">
        <f t="shared" si="253"/>
        <v>#VALUE!</v>
      </c>
      <c r="AJ302" s="954" t="e">
        <f t="shared" si="253"/>
        <v>#VALUE!</v>
      </c>
      <c r="AK302" s="954" t="e">
        <f t="shared" si="253"/>
        <v>#VALUE!</v>
      </c>
      <c r="AL302" s="954" t="e">
        <f t="shared" si="253"/>
        <v>#VALUE!</v>
      </c>
      <c r="AM302" s="954" t="e">
        <f t="shared" si="253"/>
        <v>#VALUE!</v>
      </c>
      <c r="AN302" s="954" t="e">
        <f t="shared" si="253"/>
        <v>#VALUE!</v>
      </c>
      <c r="AO302" s="1041" t="e">
        <f t="shared" si="253"/>
        <v>#VALUE!</v>
      </c>
      <c r="AP302" s="1042" t="e">
        <f t="shared" si="254"/>
        <v>#VALUE!</v>
      </c>
      <c r="AQ302" s="1043" t="e">
        <f>+AQ224+AQ230+AQ236+AQ260+AQ266+AQ272+AQ278+AQ284+AQ290+AQ296</f>
        <v>#VALUE!</v>
      </c>
      <c r="AR302" s="1044"/>
      <c r="AS302" s="1045"/>
      <c r="AT302" s="979"/>
      <c r="AU302" s="1042" t="e">
        <f t="shared" si="255"/>
        <v>#VALUE!</v>
      </c>
      <c r="AV302" s="1042" t="e">
        <f t="shared" si="255"/>
        <v>#VALUE!</v>
      </c>
      <c r="AW302" s="1042" t="e">
        <f t="shared" si="255"/>
        <v>#VALUE!</v>
      </c>
      <c r="AX302" s="1042" t="e">
        <f t="shared" si="255"/>
        <v>#VALUE!</v>
      </c>
      <c r="AY302" s="1040" t="e">
        <f t="shared" si="255"/>
        <v>#VALUE!</v>
      </c>
      <c r="CX302"/>
      <c r="CY302"/>
      <c r="CZ302"/>
      <c r="DA302"/>
      <c r="DB302"/>
      <c r="DC302"/>
      <c r="DD302"/>
      <c r="DE302"/>
      <c r="DF302"/>
      <c r="DH302"/>
      <c r="DI302"/>
      <c r="DJ302"/>
      <c r="DK302"/>
      <c r="DL302"/>
      <c r="DM302"/>
      <c r="DN302"/>
    </row>
    <row r="303" spans="1:118" ht="15" customHeight="1" x14ac:dyDescent="0.3">
      <c r="A303" s="6238"/>
      <c r="B303" s="7519"/>
      <c r="C303" s="7462" t="s">
        <v>915</v>
      </c>
      <c r="D303" s="7400"/>
      <c r="E303" s="907" t="e">
        <f t="shared" si="250"/>
        <v>#VALUE!</v>
      </c>
      <c r="F303" s="1038" t="e">
        <f t="shared" si="251"/>
        <v>#VALUE!</v>
      </c>
      <c r="G303" s="1039" t="e">
        <f t="shared" si="251"/>
        <v>#VALUE!</v>
      </c>
      <c r="H303" s="954" t="e">
        <f t="shared" si="252"/>
        <v>#VALUE!</v>
      </c>
      <c r="I303" s="1040" t="e">
        <f t="shared" si="252"/>
        <v>#VALUE!</v>
      </c>
      <c r="J303" s="954" t="e">
        <f t="shared" si="252"/>
        <v>#VALUE!</v>
      </c>
      <c r="K303" s="1040" t="e">
        <f t="shared" si="252"/>
        <v>#VALUE!</v>
      </c>
      <c r="L303" s="1040" t="e">
        <f t="shared" si="252"/>
        <v>#VALUE!</v>
      </c>
      <c r="M303" s="1040" t="e">
        <f t="shared" si="252"/>
        <v>#VALUE!</v>
      </c>
      <c r="N303" s="1040" t="e">
        <f t="shared" si="252"/>
        <v>#VALUE!</v>
      </c>
      <c r="O303" s="1040" t="e">
        <f t="shared" si="252"/>
        <v>#VALUE!</v>
      </c>
      <c r="P303" s="1040" t="e">
        <f t="shared" si="252"/>
        <v>#VALUE!</v>
      </c>
      <c r="Q303" s="1040" t="e">
        <f t="shared" si="252"/>
        <v>#VALUE!</v>
      </c>
      <c r="R303" s="1040" t="e">
        <f t="shared" si="252"/>
        <v>#VALUE!</v>
      </c>
      <c r="S303" s="1040" t="e">
        <f t="shared" si="252"/>
        <v>#VALUE!</v>
      </c>
      <c r="T303" s="1040" t="e">
        <f t="shared" si="252"/>
        <v>#VALUE!</v>
      </c>
      <c r="U303" s="1040" t="e">
        <f t="shared" si="252"/>
        <v>#VALUE!</v>
      </c>
      <c r="V303" s="1040" t="e">
        <f t="shared" si="252"/>
        <v>#VALUE!</v>
      </c>
      <c r="W303" s="1040" t="e">
        <f t="shared" si="252"/>
        <v>#VALUE!</v>
      </c>
      <c r="X303" s="1040" t="e">
        <f t="shared" si="252"/>
        <v>#VALUE!</v>
      </c>
      <c r="Y303" s="1040" t="e">
        <f t="shared" si="252"/>
        <v>#VALUE!</v>
      </c>
      <c r="Z303" s="954" t="e">
        <f>+Z225+Z231+Z237+Z243+Z249+Z255+Z261+Z279+Z273+Z267+Z285+Z291+Z297</f>
        <v>#VALUE!</v>
      </c>
      <c r="AA303" s="954" t="e">
        <f t="shared" ref="AA303:AO303" si="256">+AA225+AA231+AA237+AA243+AA249+AA255+AA261+AA279+AA273+AA267+AA285+AA291+AA297</f>
        <v>#VALUE!</v>
      </c>
      <c r="AB303" s="954" t="e">
        <f t="shared" si="256"/>
        <v>#VALUE!</v>
      </c>
      <c r="AC303" s="954" t="e">
        <f t="shared" si="256"/>
        <v>#VALUE!</v>
      </c>
      <c r="AD303" s="954" t="e">
        <f t="shared" si="256"/>
        <v>#VALUE!</v>
      </c>
      <c r="AE303" s="954" t="e">
        <f t="shared" si="256"/>
        <v>#VALUE!</v>
      </c>
      <c r="AF303" s="954" t="e">
        <f t="shared" si="256"/>
        <v>#VALUE!</v>
      </c>
      <c r="AG303" s="954" t="e">
        <f t="shared" si="256"/>
        <v>#VALUE!</v>
      </c>
      <c r="AH303" s="954" t="e">
        <f t="shared" si="256"/>
        <v>#VALUE!</v>
      </c>
      <c r="AI303" s="954" t="e">
        <f t="shared" si="256"/>
        <v>#VALUE!</v>
      </c>
      <c r="AJ303" s="954" t="e">
        <f t="shared" si="256"/>
        <v>#VALUE!</v>
      </c>
      <c r="AK303" s="954" t="e">
        <f t="shared" si="256"/>
        <v>#VALUE!</v>
      </c>
      <c r="AL303" s="954" t="e">
        <f t="shared" si="256"/>
        <v>#VALUE!</v>
      </c>
      <c r="AM303" s="954" t="e">
        <f t="shared" si="256"/>
        <v>#VALUE!</v>
      </c>
      <c r="AN303" s="954" t="e">
        <f t="shared" si="256"/>
        <v>#VALUE!</v>
      </c>
      <c r="AO303" s="1041" t="e">
        <f t="shared" si="256"/>
        <v>#VALUE!</v>
      </c>
      <c r="AP303" s="1042" t="e">
        <f t="shared" si="254"/>
        <v>#VALUE!</v>
      </c>
      <c r="AQ303" s="1043" t="e">
        <f>+AQ225+AQ231+AQ237+AQ261+AQ279+AQ273+AQ267+AQ285+AQ291+AQ297</f>
        <v>#VALUE!</v>
      </c>
      <c r="AR303" s="1044"/>
      <c r="AS303" s="1045"/>
      <c r="AT303" s="972"/>
      <c r="AU303" s="1042" t="e">
        <f>+AU225+AU231+AU237+AU243+AU249+AU255+AU261+AU279+AU273+AU267+AU285+AU291+AU297</f>
        <v>#VALUE!</v>
      </c>
      <c r="AV303" s="1042" t="e">
        <f>+AV225+AV231+AV237+AV243+AV249+AV255+AV261+AV279+AV273+AV267+AV285+AV291+AV297</f>
        <v>#VALUE!</v>
      </c>
      <c r="AW303" s="1042" t="e">
        <f>+AW225+AW231+AW237+AW243+AW249+AW255+AW261+AW279+AW273+AW267+AW285+AW291+AW297</f>
        <v>#VALUE!</v>
      </c>
      <c r="AX303" s="1042" t="e">
        <f>+AX225+AX231+AX237+AX243+AX249+AX255+AX261+AX279+AX273+AX267+AX285+AX291+AX297</f>
        <v>#VALUE!</v>
      </c>
      <c r="AY303" s="1040" t="e">
        <f>+AY225+AY231+AY237+AY243+AY249+AY255+AY261+AY279+AY273+AY267+AY285+AY291+AY297</f>
        <v>#VALUE!</v>
      </c>
      <c r="CX303"/>
      <c r="CY303"/>
      <c r="CZ303"/>
      <c r="DA303"/>
      <c r="DB303"/>
      <c r="DC303"/>
      <c r="DD303"/>
      <c r="DE303"/>
      <c r="DF303"/>
      <c r="DH303"/>
      <c r="DI303"/>
      <c r="DJ303"/>
      <c r="DK303"/>
      <c r="DL303"/>
      <c r="DM303"/>
      <c r="DN303"/>
    </row>
    <row r="304" spans="1:118" ht="15" customHeight="1" x14ac:dyDescent="0.3">
      <c r="A304" s="6238"/>
      <c r="B304" s="7520"/>
      <c r="C304" s="7463" t="s">
        <v>916</v>
      </c>
      <c r="D304" s="7463"/>
      <c r="E304" s="974" t="e">
        <f t="shared" si="250"/>
        <v>#VALUE!</v>
      </c>
      <c r="F304" s="1046" t="e">
        <f t="shared" si="251"/>
        <v>#VALUE!</v>
      </c>
      <c r="G304" s="1047" t="e">
        <f t="shared" si="251"/>
        <v>#VALUE!</v>
      </c>
      <c r="H304" s="974" t="e">
        <f t="shared" si="252"/>
        <v>#VALUE!</v>
      </c>
      <c r="I304" s="1047" t="e">
        <f t="shared" si="252"/>
        <v>#VALUE!</v>
      </c>
      <c r="J304" s="974" t="e">
        <f t="shared" si="252"/>
        <v>#VALUE!</v>
      </c>
      <c r="K304" s="1047" t="e">
        <f t="shared" si="252"/>
        <v>#VALUE!</v>
      </c>
      <c r="L304" s="1047" t="e">
        <f t="shared" si="252"/>
        <v>#VALUE!</v>
      </c>
      <c r="M304" s="1047" t="e">
        <f t="shared" si="252"/>
        <v>#VALUE!</v>
      </c>
      <c r="N304" s="1047" t="e">
        <f t="shared" si="252"/>
        <v>#VALUE!</v>
      </c>
      <c r="O304" s="1047" t="e">
        <f t="shared" si="252"/>
        <v>#VALUE!</v>
      </c>
      <c r="P304" s="1047" t="e">
        <f t="shared" si="252"/>
        <v>#VALUE!</v>
      </c>
      <c r="Q304" s="1047" t="e">
        <f t="shared" si="252"/>
        <v>#VALUE!</v>
      </c>
      <c r="R304" s="1047" t="e">
        <f t="shared" si="252"/>
        <v>#VALUE!</v>
      </c>
      <c r="S304" s="1047" t="e">
        <f t="shared" si="252"/>
        <v>#VALUE!</v>
      </c>
      <c r="T304" s="1047" t="e">
        <f t="shared" si="252"/>
        <v>#VALUE!</v>
      </c>
      <c r="U304" s="1047" t="e">
        <f t="shared" si="252"/>
        <v>#VALUE!</v>
      </c>
      <c r="V304" s="1047" t="e">
        <f t="shared" si="252"/>
        <v>#VALUE!</v>
      </c>
      <c r="W304" s="1047" t="e">
        <f t="shared" si="252"/>
        <v>#VALUE!</v>
      </c>
      <c r="X304" s="1047" t="e">
        <f t="shared" si="252"/>
        <v>#VALUE!</v>
      </c>
      <c r="Y304" s="1047" t="e">
        <f t="shared" si="252"/>
        <v>#VALUE!</v>
      </c>
      <c r="Z304" s="974" t="e">
        <f>SUM(Z226+Z232+Z238+Z244+Z250+Z256+Z262+Z268+Z274+Z280+Z286+Z292+Z298)</f>
        <v>#VALUE!</v>
      </c>
      <c r="AA304" s="974" t="e">
        <f t="shared" ref="AA304:AO304" si="257">SUM(AA226+AA232+AA238+AA244+AA250+AA256+AA262+AA268+AA274+AA280+AA286+AA292+AA298)</f>
        <v>#VALUE!</v>
      </c>
      <c r="AB304" s="974" t="e">
        <f t="shared" si="257"/>
        <v>#VALUE!</v>
      </c>
      <c r="AC304" s="974" t="e">
        <f t="shared" si="257"/>
        <v>#VALUE!</v>
      </c>
      <c r="AD304" s="974" t="e">
        <f t="shared" si="257"/>
        <v>#VALUE!</v>
      </c>
      <c r="AE304" s="974" t="e">
        <f t="shared" si="257"/>
        <v>#VALUE!</v>
      </c>
      <c r="AF304" s="974" t="e">
        <f t="shared" si="257"/>
        <v>#VALUE!</v>
      </c>
      <c r="AG304" s="974" t="e">
        <f t="shared" si="257"/>
        <v>#VALUE!</v>
      </c>
      <c r="AH304" s="974" t="e">
        <f t="shared" si="257"/>
        <v>#VALUE!</v>
      </c>
      <c r="AI304" s="974" t="e">
        <f t="shared" si="257"/>
        <v>#VALUE!</v>
      </c>
      <c r="AJ304" s="974" t="e">
        <f t="shared" si="257"/>
        <v>#VALUE!</v>
      </c>
      <c r="AK304" s="974" t="e">
        <f t="shared" si="257"/>
        <v>#VALUE!</v>
      </c>
      <c r="AL304" s="974" t="e">
        <f t="shared" si="257"/>
        <v>#VALUE!</v>
      </c>
      <c r="AM304" s="974" t="e">
        <f t="shared" si="257"/>
        <v>#VALUE!</v>
      </c>
      <c r="AN304" s="974" t="e">
        <f t="shared" si="257"/>
        <v>#VALUE!</v>
      </c>
      <c r="AO304" s="1048" t="e">
        <f t="shared" si="257"/>
        <v>#VALUE!</v>
      </c>
      <c r="AP304" s="1049" t="e">
        <f t="shared" si="254"/>
        <v>#VALUE!</v>
      </c>
      <c r="AQ304" s="1050" t="e">
        <f>SUM(AQ226+AQ232+AQ238+AQ262+AQ268+AQ274+AQ280+AQ286+AQ292+AQ298)</f>
        <v>#VALUE!</v>
      </c>
      <c r="AR304" s="912"/>
      <c r="AS304" s="1051"/>
      <c r="AT304" s="977"/>
      <c r="AU304" s="1049" t="e">
        <f>SUM(AU226+AU232+AU238+AU244+AU250+AU256+AU262+AU268+AU274+AU280+AU286+AU292+AU298)</f>
        <v>#VALUE!</v>
      </c>
      <c r="AV304" s="1049" t="e">
        <f>SUM(AV226+AV232+AV238+AV244+AV250+AV256+AV262+AV268+AV274+AV280+AV286+AV292+AV298)</f>
        <v>#VALUE!</v>
      </c>
      <c r="AW304" s="1049" t="e">
        <f>SUM(AW226+AW232+AW238+AW244+AW250+AW256+AW262+AW268+AW274+AW280+AW286+AW292+AW298)</f>
        <v>#VALUE!</v>
      </c>
      <c r="AX304" s="1049" t="e">
        <f>SUM(AX226+AX232+AX238+AX244+AX250+AX256+AX262+AX268+AX274+AX280+AX286+AX292+AX298)</f>
        <v>#VALUE!</v>
      </c>
      <c r="AY304" s="1047" t="e">
        <f>SUM(AY226+AY232+AY238+AY244+AY250+AY256+AY262+AY268+AY274+AY280+AY286+AY292+AY298)</f>
        <v>#VALUE!</v>
      </c>
      <c r="CX304"/>
      <c r="CY304"/>
      <c r="CZ304"/>
      <c r="DA304"/>
      <c r="DB304"/>
      <c r="DC304"/>
      <c r="DD304"/>
      <c r="DE304"/>
      <c r="DF304"/>
      <c r="DH304"/>
      <c r="DI304"/>
      <c r="DJ304"/>
      <c r="DK304"/>
      <c r="DL304"/>
      <c r="DM304"/>
      <c r="DN304"/>
    </row>
    <row r="305" spans="1:118" x14ac:dyDescent="0.3">
      <c r="B305" s="122" t="s">
        <v>924</v>
      </c>
      <c r="C305" s="793"/>
      <c r="D305" s="793"/>
      <c r="E305" s="101"/>
      <c r="F305" s="101"/>
      <c r="G305" s="101"/>
      <c r="H305" s="101"/>
      <c r="I305" s="101"/>
      <c r="J305" s="101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103"/>
      <c r="AM305" s="775"/>
      <c r="AN305" s="775"/>
      <c r="AO305" s="103"/>
      <c r="AP305" s="103"/>
      <c r="AQ305" s="103"/>
      <c r="AR305" s="103"/>
      <c r="AS305" s="103"/>
      <c r="CX305"/>
      <c r="CY305"/>
      <c r="CZ305"/>
      <c r="DA305"/>
      <c r="DB305"/>
      <c r="DC305"/>
      <c r="DD305"/>
      <c r="DE305"/>
      <c r="DF305"/>
      <c r="DH305"/>
      <c r="DI305"/>
      <c r="DJ305"/>
      <c r="DK305"/>
      <c r="DL305"/>
      <c r="DM305"/>
      <c r="DN305"/>
    </row>
    <row r="306" spans="1:118" x14ac:dyDescent="0.3">
      <c r="B306" s="7475" t="s">
        <v>701</v>
      </c>
      <c r="C306" s="7476"/>
      <c r="D306" s="7477"/>
      <c r="E306" s="7478" t="s">
        <v>24</v>
      </c>
      <c r="F306" s="7479"/>
      <c r="G306" s="7480"/>
      <c r="H306" s="7472" t="s">
        <v>30</v>
      </c>
      <c r="I306" s="7483"/>
      <c r="J306" s="7483"/>
      <c r="K306" s="7483"/>
      <c r="L306" s="7483"/>
      <c r="M306" s="7483"/>
      <c r="N306" s="7483"/>
      <c r="O306" s="7483"/>
      <c r="P306" s="7483"/>
      <c r="Q306" s="7483"/>
      <c r="R306" s="7483"/>
      <c r="S306" s="7483"/>
      <c r="T306" s="7483"/>
      <c r="U306" s="7483"/>
      <c r="V306" s="7483"/>
      <c r="W306" s="7483"/>
      <c r="X306" s="7483"/>
      <c r="Y306" s="7483"/>
      <c r="Z306" s="7483"/>
      <c r="AA306" s="7483"/>
      <c r="AB306" s="7483"/>
      <c r="AC306" s="7483"/>
      <c r="AD306" s="7483"/>
      <c r="AE306" s="7483"/>
      <c r="AF306" s="7483"/>
      <c r="AG306" s="7483"/>
      <c r="AH306" s="7483"/>
      <c r="AI306" s="7483"/>
      <c r="AJ306" s="7483"/>
      <c r="AK306" s="7483"/>
      <c r="AL306" s="7483"/>
      <c r="AM306" s="7483"/>
      <c r="AN306" s="7483"/>
      <c r="AO306" s="7483"/>
      <c r="AP306" s="7483"/>
      <c r="AQ306" s="7484"/>
      <c r="AR306" s="7501" t="s">
        <v>327</v>
      </c>
      <c r="AS306" s="7515" t="s">
        <v>1466</v>
      </c>
      <c r="CX306"/>
      <c r="CY306"/>
      <c r="CZ306"/>
      <c r="DA306"/>
      <c r="DB306"/>
      <c r="DC306"/>
      <c r="DD306"/>
      <c r="DE306"/>
      <c r="DF306"/>
      <c r="DH306"/>
      <c r="DI306"/>
      <c r="DJ306"/>
      <c r="DK306"/>
      <c r="DL306"/>
      <c r="DM306"/>
      <c r="DN306"/>
    </row>
    <row r="307" spans="1:118" x14ac:dyDescent="0.3">
      <c r="B307" s="7224"/>
      <c r="C307" s="7283"/>
      <c r="D307" s="7247"/>
      <c r="E307" s="7481"/>
      <c r="F307" s="7482"/>
      <c r="G307" s="7303"/>
      <c r="H307" s="7516" t="s">
        <v>682</v>
      </c>
      <c r="I307" s="7517"/>
      <c r="J307" s="7472" t="s">
        <v>683</v>
      </c>
      <c r="K307" s="7474"/>
      <c r="L307" s="7483" t="s">
        <v>684</v>
      </c>
      <c r="M307" s="7474"/>
      <c r="N307" s="7472" t="s">
        <v>685</v>
      </c>
      <c r="O307" s="7474"/>
      <c r="P307" s="7472" t="s">
        <v>686</v>
      </c>
      <c r="Q307" s="7474"/>
      <c r="R307" s="7472" t="s">
        <v>687</v>
      </c>
      <c r="S307" s="7474"/>
      <c r="T307" s="7472" t="s">
        <v>688</v>
      </c>
      <c r="U307" s="7474"/>
      <c r="V307" s="7472" t="s">
        <v>689</v>
      </c>
      <c r="W307" s="7474"/>
      <c r="X307" s="7472" t="s">
        <v>690</v>
      </c>
      <c r="Y307" s="7474"/>
      <c r="Z307" s="7472" t="s">
        <v>554</v>
      </c>
      <c r="AA307" s="7473"/>
      <c r="AB307" s="7472" t="s">
        <v>568</v>
      </c>
      <c r="AC307" s="7473"/>
      <c r="AD307" s="7472" t="s">
        <v>893</v>
      </c>
      <c r="AE307" s="7473"/>
      <c r="AF307" s="7472" t="s">
        <v>494</v>
      </c>
      <c r="AG307" s="7473"/>
      <c r="AH307" s="7472" t="s">
        <v>495</v>
      </c>
      <c r="AI307" s="7473"/>
      <c r="AJ307" s="7472" t="s">
        <v>894</v>
      </c>
      <c r="AK307" s="7473"/>
      <c r="AL307" s="7472" t="s">
        <v>556</v>
      </c>
      <c r="AM307" s="7473"/>
      <c r="AN307" s="7472" t="s">
        <v>695</v>
      </c>
      <c r="AO307" s="7473"/>
      <c r="AP307" s="7472" t="s">
        <v>57</v>
      </c>
      <c r="AQ307" s="7473"/>
      <c r="AR307" s="6668"/>
      <c r="AS307" s="7213"/>
      <c r="CX307"/>
      <c r="CY307"/>
      <c r="CZ307"/>
      <c r="DA307"/>
      <c r="DB307"/>
      <c r="DC307"/>
      <c r="DD307"/>
      <c r="DE307"/>
      <c r="DF307"/>
      <c r="DH307"/>
      <c r="DI307"/>
      <c r="DJ307"/>
      <c r="DK307"/>
      <c r="DL307"/>
      <c r="DM307"/>
      <c r="DN307"/>
    </row>
    <row r="308" spans="1:118" x14ac:dyDescent="0.3">
      <c r="B308" s="7320"/>
      <c r="C308" s="7292"/>
      <c r="D308" s="7293"/>
      <c r="E308" s="4636" t="s">
        <v>26</v>
      </c>
      <c r="F308" s="4618" t="s">
        <v>22</v>
      </c>
      <c r="G308" s="602" t="s">
        <v>27</v>
      </c>
      <c r="H308" s="1054" t="s">
        <v>22</v>
      </c>
      <c r="I308" s="1053" t="s">
        <v>27</v>
      </c>
      <c r="J308" s="1055" t="s">
        <v>22</v>
      </c>
      <c r="K308" s="1053" t="s">
        <v>27</v>
      </c>
      <c r="L308" s="1055" t="s">
        <v>22</v>
      </c>
      <c r="M308" s="1053" t="s">
        <v>27</v>
      </c>
      <c r="N308" s="1055" t="s">
        <v>22</v>
      </c>
      <c r="O308" s="1053" t="s">
        <v>27</v>
      </c>
      <c r="P308" s="1055" t="s">
        <v>22</v>
      </c>
      <c r="Q308" s="1053" t="s">
        <v>27</v>
      </c>
      <c r="R308" s="1055" t="s">
        <v>22</v>
      </c>
      <c r="S308" s="1053" t="s">
        <v>27</v>
      </c>
      <c r="T308" s="1055" t="s">
        <v>22</v>
      </c>
      <c r="U308" s="1053" t="s">
        <v>27</v>
      </c>
      <c r="V308" s="1055" t="s">
        <v>22</v>
      </c>
      <c r="W308" s="1053" t="s">
        <v>27</v>
      </c>
      <c r="X308" s="1055" t="s">
        <v>22</v>
      </c>
      <c r="Y308" s="1053" t="s">
        <v>27</v>
      </c>
      <c r="Z308" s="1055" t="s">
        <v>22</v>
      </c>
      <c r="AA308" s="1053" t="s">
        <v>27</v>
      </c>
      <c r="AB308" s="1055" t="s">
        <v>22</v>
      </c>
      <c r="AC308" s="1053" t="s">
        <v>27</v>
      </c>
      <c r="AD308" s="1055" t="s">
        <v>22</v>
      </c>
      <c r="AE308" s="1053" t="s">
        <v>27</v>
      </c>
      <c r="AF308" s="1055" t="s">
        <v>22</v>
      </c>
      <c r="AG308" s="1053" t="s">
        <v>27</v>
      </c>
      <c r="AH308" s="1055" t="s">
        <v>22</v>
      </c>
      <c r="AI308" s="1053" t="s">
        <v>27</v>
      </c>
      <c r="AJ308" s="1055" t="s">
        <v>22</v>
      </c>
      <c r="AK308" s="1053" t="s">
        <v>27</v>
      </c>
      <c r="AL308" s="1055" t="s">
        <v>22</v>
      </c>
      <c r="AM308" s="1053" t="s">
        <v>27</v>
      </c>
      <c r="AN308" s="1055" t="s">
        <v>22</v>
      </c>
      <c r="AO308" s="1053" t="s">
        <v>27</v>
      </c>
      <c r="AP308" s="1055" t="s">
        <v>22</v>
      </c>
      <c r="AQ308" s="1053" t="s">
        <v>27</v>
      </c>
      <c r="AR308" s="7340"/>
      <c r="AS308" s="7300"/>
      <c r="CX308"/>
      <c r="CY308"/>
      <c r="CZ308"/>
      <c r="DA308"/>
      <c r="DB308"/>
      <c r="DC308"/>
      <c r="DD308"/>
      <c r="DE308"/>
      <c r="DF308"/>
      <c r="DH308"/>
      <c r="DI308"/>
      <c r="DJ308"/>
      <c r="DK308"/>
      <c r="DL308"/>
      <c r="DM308"/>
      <c r="DN308"/>
    </row>
    <row r="309" spans="1:118" ht="15" customHeight="1" x14ac:dyDescent="0.3">
      <c r="A309" s="6272" t="s">
        <v>5157</v>
      </c>
      <c r="B309" s="7494" t="s">
        <v>706</v>
      </c>
      <c r="C309" s="7495"/>
      <c r="D309" s="7496"/>
      <c r="E309" s="4698" t="s">
        <v>5292</v>
      </c>
      <c r="F309" s="4683" t="s">
        <v>5293</v>
      </c>
      <c r="G309" s="1056" t="s">
        <v>5294</v>
      </c>
      <c r="H309" s="1057" t="s">
        <v>5295</v>
      </c>
      <c r="I309" s="185" t="s">
        <v>5296</v>
      </c>
      <c r="J309" s="1057" t="s">
        <v>5297</v>
      </c>
      <c r="K309" s="185" t="s">
        <v>5298</v>
      </c>
      <c r="L309" s="1057" t="s">
        <v>5299</v>
      </c>
      <c r="M309" s="185" t="s">
        <v>5300</v>
      </c>
      <c r="N309" s="1057" t="s">
        <v>5301</v>
      </c>
      <c r="O309" s="185" t="s">
        <v>5302</v>
      </c>
      <c r="P309" s="1057" t="s">
        <v>5303</v>
      </c>
      <c r="Q309" s="185" t="s">
        <v>5304</v>
      </c>
      <c r="R309" s="1057" t="s">
        <v>5305</v>
      </c>
      <c r="S309" s="185" t="s">
        <v>5306</v>
      </c>
      <c r="T309" s="1057" t="s">
        <v>5307</v>
      </c>
      <c r="U309" s="185" t="s">
        <v>5308</v>
      </c>
      <c r="V309" s="1057" t="s">
        <v>5309</v>
      </c>
      <c r="W309" s="185" t="s">
        <v>5310</v>
      </c>
      <c r="X309" s="1057" t="s">
        <v>5311</v>
      </c>
      <c r="Y309" s="185" t="s">
        <v>5312</v>
      </c>
      <c r="Z309" s="1057" t="s">
        <v>5313</v>
      </c>
      <c r="AA309" s="185" t="s">
        <v>5314</v>
      </c>
      <c r="AB309" s="1057" t="s">
        <v>5315</v>
      </c>
      <c r="AC309" s="185" t="s">
        <v>5316</v>
      </c>
      <c r="AD309" s="1057" t="s">
        <v>5317</v>
      </c>
      <c r="AE309" s="185" t="s">
        <v>5318</v>
      </c>
      <c r="AF309" s="1057" t="s">
        <v>5319</v>
      </c>
      <c r="AG309" s="185" t="s">
        <v>5320</v>
      </c>
      <c r="AH309" s="1057" t="s">
        <v>5321</v>
      </c>
      <c r="AI309" s="185" t="s">
        <v>5322</v>
      </c>
      <c r="AJ309" s="1057" t="s">
        <v>5323</v>
      </c>
      <c r="AK309" s="185" t="s">
        <v>5324</v>
      </c>
      <c r="AL309" s="1057" t="s">
        <v>5325</v>
      </c>
      <c r="AM309" s="185" t="s">
        <v>5326</v>
      </c>
      <c r="AN309" s="1057" t="s">
        <v>5327</v>
      </c>
      <c r="AO309" s="185" t="s">
        <v>5328</v>
      </c>
      <c r="AP309" s="1057" t="s">
        <v>5329</v>
      </c>
      <c r="AQ309" s="321" t="s">
        <v>5330</v>
      </c>
      <c r="AR309" s="869" t="s">
        <v>5331</v>
      </c>
      <c r="AS309" s="566" t="s">
        <v>5332</v>
      </c>
      <c r="AT309" t="e">
        <f>CW309&amp;CX309&amp;CY309</f>
        <v>#VALUE!</v>
      </c>
      <c r="CW309" s="1723" t="str">
        <f>IF(AND(G309&gt;0,AR309="")," * No olvide digitar la variable Embarazadas. Digite cero si no tiene.","")</f>
        <v/>
      </c>
      <c r="CX309" s="1723" t="str">
        <f>IF(AR309&gt;G309," * Las Embarazadas NO DEBEN ser mayor al total de mujeres. ","")</f>
        <v xml:space="preserve"> * Las Embarazadas NO DEBEN ser mayor al total de mujeres. </v>
      </c>
      <c r="CY309" s="1723" t="e">
        <f>IF(AND((AL309+AM309)&gt;0,AS309="")," * No olvide digitar la variable 60 años. Si no tiene digite Cero.",IF(AS309&gt;(AL309+AM309)," * Las actividades de 60 años NO DEBEN ser mayor que las actividades registradas en el rango etario de 60 a 64 años",""))</f>
        <v>#VALUE!</v>
      </c>
      <c r="CZ309"/>
      <c r="DA309"/>
      <c r="DB309"/>
      <c r="DC309"/>
      <c r="DD309"/>
      <c r="DE309"/>
      <c r="DF309"/>
      <c r="DH309" s="1725">
        <f>IF(AND(G309&gt;0,AR309=""),1,0)</f>
        <v>0</v>
      </c>
      <c r="DI309" s="1725">
        <f>IF(AR309&gt;G309,1,0)</f>
        <v>1</v>
      </c>
      <c r="DJ309" s="1725" t="e">
        <f>IF(AND((AL309+AM309)&gt;0,AS309=""),1,IF(AS309&gt;(AL309+AM309),1,0))</f>
        <v>#VALUE!</v>
      </c>
      <c r="DK309"/>
      <c r="DL309"/>
      <c r="DM309"/>
      <c r="DN309"/>
    </row>
    <row r="310" spans="1:118" ht="15" customHeight="1" x14ac:dyDescent="0.3">
      <c r="A310" s="6269" t="s">
        <v>5158</v>
      </c>
      <c r="B310" s="7497" t="s">
        <v>925</v>
      </c>
      <c r="C310" s="7328"/>
      <c r="D310" s="7254"/>
      <c r="E310" s="1037" t="s">
        <v>5292</v>
      </c>
      <c r="F310" s="3191" t="s">
        <v>5293</v>
      </c>
      <c r="G310" s="1058" t="s">
        <v>5294</v>
      </c>
      <c r="H310" s="1059" t="s">
        <v>5295</v>
      </c>
      <c r="I310" s="1060" t="s">
        <v>5296</v>
      </c>
      <c r="J310" s="1059" t="s">
        <v>5297</v>
      </c>
      <c r="K310" s="1060" t="s">
        <v>5298</v>
      </c>
      <c r="L310" s="1059" t="s">
        <v>5299</v>
      </c>
      <c r="M310" s="1060" t="s">
        <v>5300</v>
      </c>
      <c r="N310" s="1059" t="s">
        <v>5301</v>
      </c>
      <c r="O310" s="1060" t="s">
        <v>5302</v>
      </c>
      <c r="P310" s="1059" t="s">
        <v>5303</v>
      </c>
      <c r="Q310" s="1060" t="s">
        <v>5304</v>
      </c>
      <c r="R310" s="1059" t="s">
        <v>5305</v>
      </c>
      <c r="S310" s="1060" t="s">
        <v>5306</v>
      </c>
      <c r="T310" s="1059" t="s">
        <v>5307</v>
      </c>
      <c r="U310" s="1060" t="s">
        <v>5308</v>
      </c>
      <c r="V310" s="1059" t="s">
        <v>5309</v>
      </c>
      <c r="W310" s="1060" t="s">
        <v>5310</v>
      </c>
      <c r="X310" s="1059" t="s">
        <v>5311</v>
      </c>
      <c r="Y310" s="1060" t="s">
        <v>5312</v>
      </c>
      <c r="Z310" s="1059" t="s">
        <v>5313</v>
      </c>
      <c r="AA310" s="1060" t="s">
        <v>5314</v>
      </c>
      <c r="AB310" s="1059" t="s">
        <v>5315</v>
      </c>
      <c r="AC310" s="1060" t="s">
        <v>5316</v>
      </c>
      <c r="AD310" s="1059" t="s">
        <v>5317</v>
      </c>
      <c r="AE310" s="1060" t="s">
        <v>5318</v>
      </c>
      <c r="AF310" s="1059" t="s">
        <v>5319</v>
      </c>
      <c r="AG310" s="1060" t="s">
        <v>5320</v>
      </c>
      <c r="AH310" s="1059" t="s">
        <v>5321</v>
      </c>
      <c r="AI310" s="1060" t="s">
        <v>5322</v>
      </c>
      <c r="AJ310" s="1059" t="s">
        <v>5323</v>
      </c>
      <c r="AK310" s="1060" t="s">
        <v>5324</v>
      </c>
      <c r="AL310" s="1059" t="s">
        <v>5325</v>
      </c>
      <c r="AM310" s="1060" t="s">
        <v>5326</v>
      </c>
      <c r="AN310" s="1059" t="s">
        <v>5327</v>
      </c>
      <c r="AO310" s="1060" t="s">
        <v>5328</v>
      </c>
      <c r="AP310" s="1059" t="s">
        <v>5329</v>
      </c>
      <c r="AQ310" s="1061" t="s">
        <v>5330</v>
      </c>
      <c r="AR310" s="1062" t="s">
        <v>5331</v>
      </c>
      <c r="AS310" s="1063" t="s">
        <v>5332</v>
      </c>
      <c r="AT310" t="e">
        <f t="shared" ref="AT310:AT313" si="258">CW310&amp;CX310&amp;CY310</f>
        <v>#VALUE!</v>
      </c>
      <c r="CW310" s="1723" t="str">
        <f t="shared" ref="CW310:CW313" si="259">IF(AND(G310&gt;0,AR310="")," * No olvide digitar la variable Embarazadas. Digite cero si no tiene.","")</f>
        <v/>
      </c>
      <c r="CX310" s="1723" t="str">
        <f t="shared" ref="CX310:CX313" si="260">IF(AR310&gt;G310," * Las Embarazadas NO DEBEN ser mayor al total de mujeres. ","")</f>
        <v xml:space="preserve"> * Las Embarazadas NO DEBEN ser mayor al total de mujeres. </v>
      </c>
      <c r="CY310" s="1723" t="e">
        <f t="shared" ref="CY310:CY313" si="261">IF(AND((AL310+AM310)&gt;0,AS310="")," * No olvide digitar la variable 60 años. Si no tiene digite Cero.",IF(AS310&gt;(AL310+AM310)," * Las actividades de 60 años NO DEBEN ser mayor que las actividades registradas en el rango etario de 60 a 64 años",""))</f>
        <v>#VALUE!</v>
      </c>
      <c r="CZ310"/>
      <c r="DA310"/>
      <c r="DB310"/>
      <c r="DC310"/>
      <c r="DD310"/>
      <c r="DE310"/>
      <c r="DF310"/>
      <c r="DH310" s="1725">
        <f t="shared" ref="DH310:DH313" si="262">IF(AND(G310&gt;0,AR310=""),1,0)</f>
        <v>0</v>
      </c>
      <c r="DI310" s="1725">
        <f t="shared" ref="DI310:DI313" si="263">IF(AR310&gt;G310,1,0)</f>
        <v>1</v>
      </c>
      <c r="DJ310" s="1725" t="e">
        <f t="shared" ref="DJ310:DJ313" si="264">IF(AND((AL310+AM310)&gt;0,AS310=""),1,IF(AS310&gt;(AL310+AM310),1,0))</f>
        <v>#VALUE!</v>
      </c>
      <c r="DK310"/>
      <c r="DL310"/>
      <c r="DM310"/>
      <c r="DN310"/>
    </row>
    <row r="311" spans="1:118" ht="15" customHeight="1" x14ac:dyDescent="0.3">
      <c r="A311" s="6269" t="s">
        <v>5159</v>
      </c>
      <c r="B311" s="7497" t="s">
        <v>926</v>
      </c>
      <c r="C311" s="7328"/>
      <c r="D311" s="7254"/>
      <c r="E311" s="1037" t="s">
        <v>5292</v>
      </c>
      <c r="F311" s="3191" t="s">
        <v>5293</v>
      </c>
      <c r="G311" s="1058" t="s">
        <v>5294</v>
      </c>
      <c r="H311" s="1059" t="s">
        <v>5295</v>
      </c>
      <c r="I311" s="1060" t="s">
        <v>5296</v>
      </c>
      <c r="J311" s="1059" t="s">
        <v>5297</v>
      </c>
      <c r="K311" s="1060" t="s">
        <v>5298</v>
      </c>
      <c r="L311" s="1059" t="s">
        <v>5299</v>
      </c>
      <c r="M311" s="1060" t="s">
        <v>5300</v>
      </c>
      <c r="N311" s="1059" t="s">
        <v>5301</v>
      </c>
      <c r="O311" s="1060" t="s">
        <v>5302</v>
      </c>
      <c r="P311" s="1059" t="s">
        <v>5303</v>
      </c>
      <c r="Q311" s="1060" t="s">
        <v>5304</v>
      </c>
      <c r="R311" s="1059" t="s">
        <v>5305</v>
      </c>
      <c r="S311" s="1060" t="s">
        <v>5306</v>
      </c>
      <c r="T311" s="1059" t="s">
        <v>5307</v>
      </c>
      <c r="U311" s="1060" t="s">
        <v>5308</v>
      </c>
      <c r="V311" s="1059" t="s">
        <v>5309</v>
      </c>
      <c r="W311" s="1060" t="s">
        <v>5310</v>
      </c>
      <c r="X311" s="1059" t="s">
        <v>5311</v>
      </c>
      <c r="Y311" s="1060" t="s">
        <v>5312</v>
      </c>
      <c r="Z311" s="1059" t="s">
        <v>5313</v>
      </c>
      <c r="AA311" s="1060" t="s">
        <v>5314</v>
      </c>
      <c r="AB311" s="1059" t="s">
        <v>5315</v>
      </c>
      <c r="AC311" s="1060" t="s">
        <v>5316</v>
      </c>
      <c r="AD311" s="1059" t="s">
        <v>5317</v>
      </c>
      <c r="AE311" s="1060" t="s">
        <v>5318</v>
      </c>
      <c r="AF311" s="1059" t="s">
        <v>5319</v>
      </c>
      <c r="AG311" s="1060" t="s">
        <v>5320</v>
      </c>
      <c r="AH311" s="1059" t="s">
        <v>5321</v>
      </c>
      <c r="AI311" s="1060" t="s">
        <v>5322</v>
      </c>
      <c r="AJ311" s="1059" t="s">
        <v>5323</v>
      </c>
      <c r="AK311" s="1060" t="s">
        <v>5324</v>
      </c>
      <c r="AL311" s="1059" t="s">
        <v>5325</v>
      </c>
      <c r="AM311" s="1060" t="s">
        <v>5326</v>
      </c>
      <c r="AN311" s="1059" t="s">
        <v>5327</v>
      </c>
      <c r="AO311" s="1060" t="s">
        <v>5328</v>
      </c>
      <c r="AP311" s="1059" t="s">
        <v>5329</v>
      </c>
      <c r="AQ311" s="1061" t="s">
        <v>5330</v>
      </c>
      <c r="AR311" s="1062" t="s">
        <v>5331</v>
      </c>
      <c r="AS311" s="1063" t="s">
        <v>5332</v>
      </c>
      <c r="AT311" t="e">
        <f t="shared" si="258"/>
        <v>#VALUE!</v>
      </c>
      <c r="CW311" s="1723" t="str">
        <f t="shared" si="259"/>
        <v/>
      </c>
      <c r="CX311" s="1723" t="str">
        <f t="shared" si="260"/>
        <v xml:space="preserve"> * Las Embarazadas NO DEBEN ser mayor al total de mujeres. </v>
      </c>
      <c r="CY311" s="1723" t="e">
        <f t="shared" si="261"/>
        <v>#VALUE!</v>
      </c>
      <c r="CZ311"/>
      <c r="DA311"/>
      <c r="DB311"/>
      <c r="DC311"/>
      <c r="DD311"/>
      <c r="DE311"/>
      <c r="DF311"/>
      <c r="DH311" s="1725">
        <f t="shared" si="262"/>
        <v>0</v>
      </c>
      <c r="DI311" s="1725">
        <f t="shared" si="263"/>
        <v>1</v>
      </c>
      <c r="DJ311" s="1725" t="e">
        <f t="shared" si="264"/>
        <v>#VALUE!</v>
      </c>
      <c r="DK311"/>
      <c r="DL311"/>
      <c r="DM311"/>
      <c r="DN311"/>
    </row>
    <row r="312" spans="1:118" ht="15" customHeight="1" x14ac:dyDescent="0.3">
      <c r="A312" s="6269" t="s">
        <v>5160</v>
      </c>
      <c r="B312" s="7498" t="s">
        <v>927</v>
      </c>
      <c r="C312" s="7499"/>
      <c r="D312" s="7500"/>
      <c r="E312" s="1037" t="s">
        <v>5292</v>
      </c>
      <c r="F312" s="3191" t="s">
        <v>5293</v>
      </c>
      <c r="G312" s="1058" t="s">
        <v>5294</v>
      </c>
      <c r="H312" s="1059" t="s">
        <v>5295</v>
      </c>
      <c r="I312" s="1060" t="s">
        <v>5296</v>
      </c>
      <c r="J312" s="1059" t="s">
        <v>5297</v>
      </c>
      <c r="K312" s="1060" t="s">
        <v>5298</v>
      </c>
      <c r="L312" s="1059" t="s">
        <v>5299</v>
      </c>
      <c r="M312" s="1060" t="s">
        <v>5300</v>
      </c>
      <c r="N312" s="1059" t="s">
        <v>5301</v>
      </c>
      <c r="O312" s="1060" t="s">
        <v>5302</v>
      </c>
      <c r="P312" s="1059" t="s">
        <v>5303</v>
      </c>
      <c r="Q312" s="1060" t="s">
        <v>5304</v>
      </c>
      <c r="R312" s="1059" t="s">
        <v>5305</v>
      </c>
      <c r="S312" s="1060" t="s">
        <v>5306</v>
      </c>
      <c r="T312" s="1059" t="s">
        <v>5307</v>
      </c>
      <c r="U312" s="1060" t="s">
        <v>5308</v>
      </c>
      <c r="V312" s="1059" t="s">
        <v>5309</v>
      </c>
      <c r="W312" s="1060" t="s">
        <v>5310</v>
      </c>
      <c r="X312" s="1059" t="s">
        <v>5311</v>
      </c>
      <c r="Y312" s="1060" t="s">
        <v>5312</v>
      </c>
      <c r="Z312" s="1059" t="s">
        <v>5313</v>
      </c>
      <c r="AA312" s="1060" t="s">
        <v>5314</v>
      </c>
      <c r="AB312" s="1059" t="s">
        <v>5315</v>
      </c>
      <c r="AC312" s="1060" t="s">
        <v>5316</v>
      </c>
      <c r="AD312" s="1059" t="s">
        <v>5317</v>
      </c>
      <c r="AE312" s="1060" t="s">
        <v>5318</v>
      </c>
      <c r="AF312" s="1059" t="s">
        <v>5319</v>
      </c>
      <c r="AG312" s="1060" t="s">
        <v>5320</v>
      </c>
      <c r="AH312" s="1059" t="s">
        <v>5321</v>
      </c>
      <c r="AI312" s="1060" t="s">
        <v>5322</v>
      </c>
      <c r="AJ312" s="1059" t="s">
        <v>5323</v>
      </c>
      <c r="AK312" s="1060" t="s">
        <v>5324</v>
      </c>
      <c r="AL312" s="1059" t="s">
        <v>5325</v>
      </c>
      <c r="AM312" s="1060" t="s">
        <v>5326</v>
      </c>
      <c r="AN312" s="1059" t="s">
        <v>5327</v>
      </c>
      <c r="AO312" s="1060" t="s">
        <v>5328</v>
      </c>
      <c r="AP312" s="1059" t="s">
        <v>5329</v>
      </c>
      <c r="AQ312" s="1061" t="s">
        <v>5330</v>
      </c>
      <c r="AR312" s="876" t="s">
        <v>5331</v>
      </c>
      <c r="AS312" s="158" t="s">
        <v>5332</v>
      </c>
      <c r="AT312" t="e">
        <f t="shared" si="258"/>
        <v>#VALUE!</v>
      </c>
      <c r="CW312" s="1723" t="str">
        <f t="shared" si="259"/>
        <v/>
      </c>
      <c r="CX312" s="1723" t="str">
        <f t="shared" si="260"/>
        <v xml:space="preserve"> * Las Embarazadas NO DEBEN ser mayor al total de mujeres. </v>
      </c>
      <c r="CY312" s="1723" t="e">
        <f t="shared" si="261"/>
        <v>#VALUE!</v>
      </c>
      <c r="CZ312"/>
      <c r="DA312"/>
      <c r="DB312"/>
      <c r="DC312"/>
      <c r="DD312"/>
      <c r="DE312"/>
      <c r="DF312"/>
      <c r="DH312" s="1725">
        <f t="shared" si="262"/>
        <v>0</v>
      </c>
      <c r="DI312" s="1725">
        <f t="shared" si="263"/>
        <v>1</v>
      </c>
      <c r="DJ312" s="1725" t="e">
        <f t="shared" si="264"/>
        <v>#VALUE!</v>
      </c>
      <c r="DK312"/>
      <c r="DL312"/>
      <c r="DM312"/>
      <c r="DN312"/>
    </row>
    <row r="313" spans="1:118" ht="15" customHeight="1" x14ac:dyDescent="0.3">
      <c r="A313" s="6269" t="s">
        <v>5161</v>
      </c>
      <c r="B313" s="7366" t="s">
        <v>928</v>
      </c>
      <c r="C313" s="6619"/>
      <c r="D313" s="6620"/>
      <c r="E313" s="3217" t="s">
        <v>5292</v>
      </c>
      <c r="F313" s="3868" t="s">
        <v>5293</v>
      </c>
      <c r="G313" s="150" t="s">
        <v>5294</v>
      </c>
      <c r="H313" s="121" t="s">
        <v>5295</v>
      </c>
      <c r="I313" s="116" t="s">
        <v>5296</v>
      </c>
      <c r="J313" s="121" t="s">
        <v>5297</v>
      </c>
      <c r="K313" s="116" t="s">
        <v>5298</v>
      </c>
      <c r="L313" s="121" t="s">
        <v>5299</v>
      </c>
      <c r="M313" s="116" t="s">
        <v>5300</v>
      </c>
      <c r="N313" s="121" t="s">
        <v>5301</v>
      </c>
      <c r="O313" s="116" t="s">
        <v>5302</v>
      </c>
      <c r="P313" s="121" t="s">
        <v>5303</v>
      </c>
      <c r="Q313" s="116" t="s">
        <v>5304</v>
      </c>
      <c r="R313" s="121" t="s">
        <v>5305</v>
      </c>
      <c r="S313" s="116" t="s">
        <v>5306</v>
      </c>
      <c r="T313" s="121" t="s">
        <v>5307</v>
      </c>
      <c r="U313" s="116" t="s">
        <v>5308</v>
      </c>
      <c r="V313" s="121" t="s">
        <v>5309</v>
      </c>
      <c r="W313" s="116" t="s">
        <v>5310</v>
      </c>
      <c r="X313" s="121" t="s">
        <v>5311</v>
      </c>
      <c r="Y313" s="116" t="s">
        <v>5312</v>
      </c>
      <c r="Z313" s="121" t="s">
        <v>5313</v>
      </c>
      <c r="AA313" s="116" t="s">
        <v>5314</v>
      </c>
      <c r="AB313" s="121" t="s">
        <v>5315</v>
      </c>
      <c r="AC313" s="116" t="s">
        <v>5316</v>
      </c>
      <c r="AD313" s="121" t="s">
        <v>5317</v>
      </c>
      <c r="AE313" s="116" t="s">
        <v>5318</v>
      </c>
      <c r="AF313" s="121" t="s">
        <v>5319</v>
      </c>
      <c r="AG313" s="116" t="s">
        <v>5320</v>
      </c>
      <c r="AH313" s="121" t="s">
        <v>5321</v>
      </c>
      <c r="AI313" s="116" t="s">
        <v>5322</v>
      </c>
      <c r="AJ313" s="121" t="s">
        <v>5323</v>
      </c>
      <c r="AK313" s="116" t="s">
        <v>5324</v>
      </c>
      <c r="AL313" s="121" t="s">
        <v>5325</v>
      </c>
      <c r="AM313" s="116" t="s">
        <v>5326</v>
      </c>
      <c r="AN313" s="121" t="s">
        <v>5327</v>
      </c>
      <c r="AO313" s="116" t="s">
        <v>5328</v>
      </c>
      <c r="AP313" s="121" t="s">
        <v>5329</v>
      </c>
      <c r="AQ313" s="162" t="s">
        <v>5330</v>
      </c>
      <c r="AR313" s="771" t="s">
        <v>5331</v>
      </c>
      <c r="AS313" s="153" t="s">
        <v>5332</v>
      </c>
      <c r="AT313" t="e">
        <f t="shared" si="258"/>
        <v>#VALUE!</v>
      </c>
      <c r="CW313" s="1723" t="str">
        <f t="shared" si="259"/>
        <v/>
      </c>
      <c r="CX313" s="1723" t="str">
        <f t="shared" si="260"/>
        <v xml:space="preserve"> * Las Embarazadas NO DEBEN ser mayor al total de mujeres. </v>
      </c>
      <c r="CY313" s="1723" t="e">
        <f t="shared" si="261"/>
        <v>#VALUE!</v>
      </c>
      <c r="CZ313"/>
      <c r="DA313"/>
      <c r="DB313"/>
      <c r="DC313"/>
      <c r="DD313"/>
      <c r="DE313"/>
      <c r="DF313"/>
      <c r="DH313" s="1725">
        <f t="shared" si="262"/>
        <v>0</v>
      </c>
      <c r="DI313" s="1725">
        <f t="shared" si="263"/>
        <v>1</v>
      </c>
      <c r="DJ313" s="1725" t="e">
        <f t="shared" si="264"/>
        <v>#VALUE!</v>
      </c>
      <c r="DK313"/>
      <c r="DL313"/>
      <c r="DM313"/>
      <c r="DN313"/>
    </row>
    <row r="314" spans="1:118" ht="18" customHeight="1" x14ac:dyDescent="0.3">
      <c r="B314" s="210" t="s">
        <v>929</v>
      </c>
      <c r="C314" s="1064"/>
      <c r="D314" s="1064"/>
      <c r="E314" s="1065"/>
      <c r="F314" s="419"/>
      <c r="CX314"/>
      <c r="CY314"/>
      <c r="CZ314"/>
      <c r="DA314"/>
      <c r="DB314"/>
      <c r="DC314"/>
      <c r="DD314"/>
      <c r="DE314"/>
      <c r="DF314"/>
      <c r="DH314"/>
      <c r="DI314"/>
      <c r="DJ314"/>
      <c r="DK314"/>
      <c r="DL314"/>
      <c r="DM314"/>
      <c r="DN314"/>
    </row>
    <row r="315" spans="1:118" ht="30.6" x14ac:dyDescent="0.3">
      <c r="B315" s="7472" t="s">
        <v>291</v>
      </c>
      <c r="C315" s="7487"/>
      <c r="D315" s="1066" t="s">
        <v>930</v>
      </c>
      <c r="E315" s="1066" t="s">
        <v>931</v>
      </c>
      <c r="F315" s="1066" t="s">
        <v>932</v>
      </c>
      <c r="CX315"/>
      <c r="CY315"/>
      <c r="CZ315"/>
      <c r="DA315"/>
      <c r="DB315"/>
      <c r="DC315"/>
      <c r="DD315"/>
      <c r="DE315"/>
      <c r="DF315"/>
      <c r="DH315"/>
      <c r="DI315"/>
      <c r="DJ315"/>
      <c r="DK315"/>
      <c r="DL315"/>
      <c r="DM315"/>
      <c r="DN315"/>
    </row>
    <row r="316" spans="1:118" ht="15" customHeight="1" x14ac:dyDescent="0.3">
      <c r="A316" s="6269" t="s">
        <v>5162</v>
      </c>
      <c r="B316" s="7488" t="s">
        <v>749</v>
      </c>
      <c r="C316" s="7489"/>
      <c r="D316" s="1067" t="s">
        <v>5292</v>
      </c>
      <c r="E316" s="1067" t="s">
        <v>5293</v>
      </c>
      <c r="F316" s="1067" t="s">
        <v>5294</v>
      </c>
      <c r="CX316"/>
      <c r="CY316"/>
      <c r="CZ316"/>
      <c r="DA316"/>
      <c r="DB316"/>
      <c r="DC316"/>
      <c r="DD316"/>
      <c r="DE316"/>
      <c r="DF316"/>
      <c r="DH316"/>
      <c r="DI316"/>
      <c r="DJ316"/>
      <c r="DK316"/>
      <c r="DL316"/>
      <c r="DM316"/>
      <c r="DN316"/>
    </row>
    <row r="317" spans="1:118" ht="15" customHeight="1" x14ac:dyDescent="0.3">
      <c r="A317" s="6268" t="s">
        <v>5163</v>
      </c>
      <c r="B317" s="7490" t="s">
        <v>933</v>
      </c>
      <c r="C317" s="7491"/>
      <c r="D317" s="1063" t="s">
        <v>5292</v>
      </c>
      <c r="E317" s="1063" t="s">
        <v>5293</v>
      </c>
      <c r="F317" s="1063" t="s">
        <v>5294</v>
      </c>
      <c r="CX317"/>
      <c r="CY317"/>
      <c r="CZ317"/>
      <c r="DA317"/>
      <c r="DB317"/>
      <c r="DC317"/>
      <c r="DD317"/>
      <c r="DE317"/>
      <c r="DF317"/>
      <c r="DH317"/>
      <c r="DI317"/>
      <c r="DJ317"/>
      <c r="DK317"/>
      <c r="DL317"/>
      <c r="DM317"/>
      <c r="DN317"/>
    </row>
    <row r="318" spans="1:118" ht="15" customHeight="1" x14ac:dyDescent="0.3">
      <c r="A318" s="6268" t="s">
        <v>5164</v>
      </c>
      <c r="B318" s="7492" t="s">
        <v>934</v>
      </c>
      <c r="C318" s="7493"/>
      <c r="D318" s="1063" t="s">
        <v>5292</v>
      </c>
      <c r="E318" s="1063" t="s">
        <v>5293</v>
      </c>
      <c r="F318" s="1063" t="s">
        <v>5294</v>
      </c>
      <c r="CX318"/>
      <c r="CY318"/>
      <c r="CZ318"/>
      <c r="DA318"/>
      <c r="DB318"/>
      <c r="DC318"/>
      <c r="DD318"/>
      <c r="DE318"/>
      <c r="DF318"/>
      <c r="DH318"/>
      <c r="DI318"/>
      <c r="DJ318"/>
      <c r="DK318"/>
      <c r="DL318"/>
      <c r="DM318"/>
      <c r="DN318"/>
    </row>
    <row r="319" spans="1:118" ht="15" customHeight="1" x14ac:dyDescent="0.3">
      <c r="A319" s="6268" t="s">
        <v>5165</v>
      </c>
      <c r="B319" s="7490" t="s">
        <v>754</v>
      </c>
      <c r="C319" s="7491"/>
      <c r="D319" s="1063" t="s">
        <v>5292</v>
      </c>
      <c r="E319" s="1063" t="s">
        <v>5293</v>
      </c>
      <c r="F319" s="1063" t="s">
        <v>5294</v>
      </c>
      <c r="CX319"/>
      <c r="CY319"/>
      <c r="CZ319"/>
      <c r="DA319"/>
      <c r="DB319"/>
      <c r="DC319"/>
      <c r="DD319"/>
      <c r="DE319"/>
      <c r="DF319"/>
      <c r="DH319"/>
      <c r="DI319"/>
      <c r="DJ319"/>
      <c r="DK319"/>
      <c r="DL319"/>
      <c r="DM319"/>
      <c r="DN319"/>
    </row>
    <row r="320" spans="1:118" ht="15" customHeight="1" x14ac:dyDescent="0.3">
      <c r="A320" s="6268" t="s">
        <v>5166</v>
      </c>
      <c r="B320" s="7490" t="s">
        <v>756</v>
      </c>
      <c r="C320" s="7491"/>
      <c r="D320" s="1063" t="s">
        <v>5292</v>
      </c>
      <c r="E320" s="1063" t="s">
        <v>5293</v>
      </c>
      <c r="F320" s="1063" t="s">
        <v>5294</v>
      </c>
      <c r="CX320"/>
      <c r="CY320"/>
      <c r="CZ320"/>
      <c r="DA320"/>
      <c r="DB320"/>
      <c r="DC320"/>
      <c r="DD320"/>
      <c r="DE320"/>
      <c r="DF320"/>
      <c r="DH320"/>
      <c r="DI320"/>
      <c r="DJ320"/>
      <c r="DK320"/>
      <c r="DL320"/>
      <c r="DM320"/>
      <c r="DN320"/>
    </row>
    <row r="321" spans="1:118" ht="15" customHeight="1" x14ac:dyDescent="0.3">
      <c r="A321" s="6269" t="s">
        <v>5167</v>
      </c>
      <c r="B321" s="7490" t="s">
        <v>935</v>
      </c>
      <c r="C321" s="7491"/>
      <c r="D321" s="1063" t="s">
        <v>5292</v>
      </c>
      <c r="E321" s="1063" t="s">
        <v>5293</v>
      </c>
      <c r="F321" s="1063" t="s">
        <v>5294</v>
      </c>
      <c r="CX321"/>
      <c r="CY321"/>
      <c r="CZ321"/>
      <c r="DA321"/>
      <c r="DB321"/>
      <c r="DC321"/>
      <c r="DD321"/>
      <c r="DE321"/>
      <c r="DF321"/>
      <c r="DH321"/>
      <c r="DI321"/>
      <c r="DJ321"/>
      <c r="DK321"/>
      <c r="DL321"/>
      <c r="DM321"/>
      <c r="DN321"/>
    </row>
    <row r="322" spans="1:118" ht="15" customHeight="1" x14ac:dyDescent="0.3">
      <c r="A322" s="6269" t="s">
        <v>5168</v>
      </c>
      <c r="B322" s="7511" t="s">
        <v>753</v>
      </c>
      <c r="C322" s="7512"/>
      <c r="D322" s="1063" t="s">
        <v>5292</v>
      </c>
      <c r="E322" s="1063" t="s">
        <v>5293</v>
      </c>
      <c r="F322" s="1063" t="s">
        <v>5294</v>
      </c>
      <c r="CX322"/>
      <c r="CY322"/>
      <c r="CZ322"/>
      <c r="DA322"/>
      <c r="DB322"/>
      <c r="DC322"/>
      <c r="DD322"/>
      <c r="DE322"/>
      <c r="DF322"/>
      <c r="DH322"/>
      <c r="DI322"/>
      <c r="DJ322"/>
      <c r="DK322"/>
      <c r="DL322"/>
      <c r="DM322"/>
      <c r="DN322"/>
    </row>
    <row r="323" spans="1:118" ht="15" customHeight="1" x14ac:dyDescent="0.3">
      <c r="A323" s="6269" t="s">
        <v>5169</v>
      </c>
      <c r="B323" s="7513" t="s">
        <v>936</v>
      </c>
      <c r="C323" s="7514"/>
      <c r="D323" s="1063" t="s">
        <v>5292</v>
      </c>
      <c r="E323" s="1063" t="s">
        <v>5293</v>
      </c>
      <c r="F323" s="1063" t="s">
        <v>5294</v>
      </c>
      <c r="CX323"/>
      <c r="CY323"/>
      <c r="CZ323"/>
      <c r="DA323"/>
      <c r="DB323"/>
      <c r="DC323"/>
      <c r="DD323"/>
      <c r="DE323"/>
      <c r="DF323"/>
      <c r="DH323"/>
      <c r="DI323"/>
      <c r="DJ323"/>
      <c r="DK323"/>
      <c r="DL323"/>
      <c r="DM323"/>
      <c r="DN323"/>
    </row>
    <row r="324" spans="1:118" ht="15" customHeight="1" x14ac:dyDescent="0.3">
      <c r="A324" s="6269" t="s">
        <v>5170</v>
      </c>
      <c r="B324" s="7513" t="s">
        <v>757</v>
      </c>
      <c r="C324" s="7514"/>
      <c r="D324" s="1063" t="s">
        <v>5292</v>
      </c>
      <c r="E324" s="1063" t="s">
        <v>5293</v>
      </c>
      <c r="F324" s="1063" t="s">
        <v>5294</v>
      </c>
      <c r="CX324"/>
      <c r="CY324"/>
      <c r="CZ324"/>
      <c r="DA324"/>
      <c r="DB324"/>
      <c r="DC324"/>
      <c r="DD324"/>
      <c r="DE324"/>
      <c r="DF324"/>
      <c r="DH324"/>
      <c r="DI324"/>
      <c r="DJ324"/>
      <c r="DK324"/>
      <c r="DL324"/>
      <c r="DM324"/>
      <c r="DN324"/>
    </row>
    <row r="325" spans="1:118" ht="15" customHeight="1" x14ac:dyDescent="0.3">
      <c r="A325" s="6269" t="s">
        <v>5171</v>
      </c>
      <c r="B325" s="7485" t="s">
        <v>758</v>
      </c>
      <c r="C325" s="7486"/>
      <c r="D325" s="153" t="s">
        <v>5292</v>
      </c>
      <c r="E325" s="153" t="s">
        <v>5293</v>
      </c>
      <c r="F325" s="153" t="s">
        <v>5294</v>
      </c>
      <c r="CX325"/>
      <c r="CY325"/>
      <c r="CZ325"/>
      <c r="DA325"/>
      <c r="DB325"/>
      <c r="DC325"/>
      <c r="DD325"/>
      <c r="DE325"/>
      <c r="DF325"/>
      <c r="DH325"/>
      <c r="DI325"/>
      <c r="DJ325"/>
      <c r="DK325"/>
      <c r="DL325"/>
      <c r="DM325"/>
      <c r="DN325"/>
    </row>
    <row r="326" spans="1:118" x14ac:dyDescent="0.3">
      <c r="CX326"/>
      <c r="CY326"/>
      <c r="CZ326"/>
      <c r="DA326"/>
      <c r="DB326"/>
      <c r="DC326"/>
      <c r="DD326"/>
      <c r="DE326"/>
      <c r="DF326"/>
      <c r="DH326"/>
      <c r="DI326"/>
      <c r="DJ326"/>
      <c r="DK326"/>
      <c r="DL326"/>
      <c r="DM326"/>
      <c r="DN326"/>
    </row>
    <row r="327" spans="1:118" x14ac:dyDescent="0.3">
      <c r="CX327"/>
      <c r="CY327"/>
      <c r="CZ327"/>
      <c r="DA327"/>
      <c r="DB327"/>
      <c r="DC327"/>
      <c r="DD327"/>
      <c r="DE327"/>
      <c r="DF327"/>
      <c r="DH327"/>
      <c r="DI327"/>
      <c r="DJ327"/>
      <c r="DK327"/>
      <c r="DL327"/>
      <c r="DM327"/>
      <c r="DN327"/>
    </row>
    <row r="328" spans="1:118" x14ac:dyDescent="0.3">
      <c r="A328" s="6273" t="s">
        <v>4625</v>
      </c>
      <c r="CX328"/>
      <c r="CY328"/>
      <c r="CZ328"/>
      <c r="DA328"/>
      <c r="DB328"/>
      <c r="DC328"/>
      <c r="DD328"/>
      <c r="DE328"/>
      <c r="DF328"/>
      <c r="DH328"/>
      <c r="DI328"/>
      <c r="DJ328"/>
      <c r="DK328"/>
      <c r="DL328"/>
      <c r="DM328"/>
      <c r="DN328"/>
    </row>
    <row r="329" spans="1:118" x14ac:dyDescent="0.3">
      <c r="A329" s="6269" t="s">
        <v>5172</v>
      </c>
      <c r="CX329"/>
      <c r="CY329"/>
      <c r="CZ329"/>
      <c r="DA329"/>
      <c r="DB329"/>
      <c r="DC329"/>
      <c r="DD329"/>
      <c r="DE329"/>
      <c r="DF329"/>
      <c r="DH329"/>
      <c r="DI329"/>
      <c r="DJ329"/>
      <c r="DK329"/>
      <c r="DL329"/>
      <c r="DM329"/>
      <c r="DN329"/>
    </row>
    <row r="330" spans="1:118" x14ac:dyDescent="0.3">
      <c r="A330" s="6269" t="s">
        <v>5173</v>
      </c>
      <c r="CX330"/>
      <c r="CY330"/>
      <c r="CZ330"/>
      <c r="DA330"/>
      <c r="DB330"/>
      <c r="DC330"/>
      <c r="DD330"/>
      <c r="DE330"/>
      <c r="DF330"/>
      <c r="DH330"/>
      <c r="DI330"/>
      <c r="DJ330"/>
      <c r="DK330"/>
      <c r="DL330"/>
      <c r="DM330"/>
      <c r="DN330"/>
    </row>
    <row r="331" spans="1:118" x14ac:dyDescent="0.3">
      <c r="CX331"/>
      <c r="CY331"/>
      <c r="CZ331"/>
      <c r="DA331"/>
      <c r="DB331"/>
      <c r="DC331"/>
      <c r="DD331"/>
      <c r="DE331"/>
      <c r="DF331"/>
      <c r="DH331"/>
      <c r="DI331"/>
      <c r="DJ331"/>
      <c r="DK331"/>
      <c r="DL331"/>
      <c r="DM331"/>
      <c r="DN331"/>
    </row>
    <row r="332" spans="1:118" x14ac:dyDescent="0.3">
      <c r="A332" t="s">
        <v>4637</v>
      </c>
      <c r="CX332"/>
      <c r="CY332"/>
      <c r="CZ332"/>
      <c r="DA332"/>
      <c r="DB332"/>
      <c r="DC332"/>
      <c r="DD332"/>
      <c r="DE332"/>
      <c r="DF332"/>
      <c r="DH332"/>
      <c r="DI332"/>
      <c r="DJ332"/>
      <c r="DK332"/>
      <c r="DL332"/>
      <c r="DM332"/>
      <c r="DN332"/>
    </row>
    <row r="333" spans="1:118" x14ac:dyDescent="0.3">
      <c r="A333" s="6270" t="s">
        <v>4970</v>
      </c>
      <c r="CX333"/>
      <c r="CY333"/>
      <c r="CZ333"/>
      <c r="DA333"/>
      <c r="DB333"/>
      <c r="DC333"/>
      <c r="DD333"/>
      <c r="DE333"/>
      <c r="DF333"/>
      <c r="DH333"/>
      <c r="DI333"/>
      <c r="DJ333"/>
      <c r="DK333"/>
      <c r="DL333"/>
      <c r="DM333"/>
      <c r="DN333"/>
    </row>
    <row r="334" spans="1:118" x14ac:dyDescent="0.3">
      <c r="A334" s="6270" t="s">
        <v>4971</v>
      </c>
      <c r="CX334"/>
      <c r="CY334"/>
      <c r="CZ334"/>
      <c r="DA334"/>
      <c r="DB334"/>
      <c r="DC334"/>
      <c r="DD334"/>
      <c r="DE334"/>
      <c r="DF334"/>
      <c r="DH334"/>
      <c r="DI334"/>
      <c r="DJ334"/>
      <c r="DK334"/>
      <c r="DL334"/>
      <c r="DM334"/>
      <c r="DN334"/>
    </row>
    <row r="335" spans="1:118" x14ac:dyDescent="0.3">
      <c r="CX335"/>
      <c r="CY335"/>
      <c r="CZ335"/>
      <c r="DA335"/>
      <c r="DB335"/>
      <c r="DC335"/>
      <c r="DD335"/>
      <c r="DE335"/>
      <c r="DF335"/>
      <c r="DH335"/>
      <c r="DI335"/>
      <c r="DJ335"/>
      <c r="DK335"/>
      <c r="DL335"/>
      <c r="DM335"/>
      <c r="DN335"/>
    </row>
    <row r="336" spans="1:118" x14ac:dyDescent="0.3">
      <c r="CX336"/>
      <c r="CY336"/>
      <c r="CZ336"/>
      <c r="DA336"/>
      <c r="DB336"/>
      <c r="DC336"/>
      <c r="DD336"/>
      <c r="DE336"/>
      <c r="DF336"/>
      <c r="DH336"/>
      <c r="DI336"/>
      <c r="DJ336"/>
      <c r="DK336"/>
      <c r="DL336"/>
      <c r="DM336"/>
      <c r="DN336"/>
    </row>
    <row r="337" spans="2:118" x14ac:dyDescent="0.3">
      <c r="CX337"/>
      <c r="CY337"/>
      <c r="CZ337"/>
      <c r="DA337"/>
      <c r="DB337"/>
      <c r="DC337"/>
      <c r="DD337"/>
      <c r="DE337"/>
      <c r="DF337"/>
      <c r="DH337"/>
      <c r="DI337"/>
      <c r="DJ337"/>
      <c r="DK337"/>
      <c r="DL337"/>
      <c r="DM337"/>
      <c r="DN337"/>
    </row>
    <row r="338" spans="2:118" x14ac:dyDescent="0.3">
      <c r="CX338"/>
      <c r="CY338"/>
      <c r="CZ338"/>
      <c r="DA338"/>
      <c r="DB338"/>
      <c r="DC338"/>
      <c r="DD338"/>
      <c r="DE338"/>
      <c r="DF338"/>
      <c r="DH338"/>
      <c r="DI338"/>
      <c r="DJ338"/>
      <c r="DK338"/>
      <c r="DL338"/>
      <c r="DM338"/>
      <c r="DN338"/>
    </row>
    <row r="339" spans="2:118" x14ac:dyDescent="0.3">
      <c r="CX339"/>
      <c r="CY339"/>
      <c r="CZ339"/>
      <c r="DA339"/>
      <c r="DB339"/>
      <c r="DC339"/>
      <c r="DD339"/>
      <c r="DE339"/>
      <c r="DF339"/>
      <c r="DH339"/>
      <c r="DI339"/>
      <c r="DJ339"/>
      <c r="DK339"/>
      <c r="DL339"/>
      <c r="DM339"/>
      <c r="DN339"/>
    </row>
    <row r="340" spans="2:118" x14ac:dyDescent="0.3">
      <c r="CX340"/>
      <c r="CY340"/>
      <c r="CZ340"/>
      <c r="DA340"/>
      <c r="DB340"/>
      <c r="DC340"/>
      <c r="DD340"/>
      <c r="DE340"/>
      <c r="DF340"/>
      <c r="DH340"/>
      <c r="DI340"/>
      <c r="DJ340"/>
      <c r="DK340"/>
      <c r="DL340"/>
      <c r="DM340"/>
      <c r="DN340"/>
    </row>
    <row r="341" spans="2:118" x14ac:dyDescent="0.3">
      <c r="CX341"/>
      <c r="CY341"/>
      <c r="CZ341"/>
      <c r="DA341"/>
      <c r="DB341"/>
      <c r="DC341"/>
      <c r="DD341"/>
      <c r="DE341"/>
      <c r="DF341"/>
      <c r="DH341"/>
      <c r="DI341"/>
      <c r="DJ341"/>
      <c r="DK341"/>
      <c r="DL341"/>
      <c r="DM341"/>
      <c r="DN341"/>
    </row>
    <row r="342" spans="2:118" x14ac:dyDescent="0.3">
      <c r="CX342"/>
      <c r="CY342"/>
      <c r="CZ342"/>
      <c r="DA342"/>
      <c r="DB342"/>
      <c r="DC342"/>
      <c r="DD342"/>
      <c r="DE342"/>
      <c r="DF342"/>
      <c r="DH342"/>
      <c r="DI342"/>
      <c r="DJ342"/>
      <c r="DK342"/>
      <c r="DL342"/>
      <c r="DM342"/>
      <c r="DN342"/>
    </row>
    <row r="343" spans="2:118" x14ac:dyDescent="0.3">
      <c r="CX343"/>
      <c r="CY343"/>
      <c r="CZ343"/>
      <c r="DA343"/>
      <c r="DB343"/>
      <c r="DC343"/>
      <c r="DD343"/>
      <c r="DE343"/>
      <c r="DF343"/>
      <c r="DH343"/>
      <c r="DI343"/>
      <c r="DJ343"/>
      <c r="DK343"/>
      <c r="DL343"/>
      <c r="DM343"/>
      <c r="DN343"/>
    </row>
    <row r="344" spans="2:118" x14ac:dyDescent="0.3">
      <c r="CX344"/>
      <c r="CY344"/>
      <c r="CZ344"/>
      <c r="DA344"/>
      <c r="DB344"/>
      <c r="DC344"/>
      <c r="DD344"/>
      <c r="DE344"/>
      <c r="DF344"/>
      <c r="DH344"/>
      <c r="DI344"/>
      <c r="DJ344"/>
      <c r="DK344"/>
      <c r="DL344"/>
      <c r="DM344"/>
      <c r="DN344"/>
    </row>
    <row r="345" spans="2:118" x14ac:dyDescent="0.3">
      <c r="CX345"/>
      <c r="CY345"/>
      <c r="CZ345"/>
      <c r="DA345"/>
      <c r="DB345"/>
      <c r="DC345"/>
      <c r="DD345"/>
      <c r="DE345"/>
      <c r="DF345"/>
      <c r="DH345"/>
      <c r="DI345"/>
      <c r="DJ345"/>
      <c r="DK345"/>
      <c r="DL345"/>
      <c r="DM345"/>
      <c r="DN345"/>
    </row>
    <row r="346" spans="2:118" x14ac:dyDescent="0.3">
      <c r="CX346"/>
      <c r="CY346"/>
      <c r="CZ346"/>
      <c r="DA346"/>
      <c r="DB346"/>
      <c r="DC346"/>
      <c r="DD346"/>
      <c r="DE346"/>
      <c r="DF346"/>
      <c r="DH346"/>
      <c r="DI346"/>
      <c r="DJ346"/>
      <c r="DK346"/>
      <c r="DL346"/>
      <c r="DM346"/>
      <c r="DN346"/>
    </row>
    <row r="347" spans="2:118" x14ac:dyDescent="0.3">
      <c r="CX347"/>
      <c r="CY347"/>
      <c r="CZ347"/>
      <c r="DA347"/>
      <c r="DB347"/>
      <c r="DC347"/>
      <c r="DD347"/>
      <c r="DE347"/>
      <c r="DF347"/>
      <c r="DH347"/>
      <c r="DI347"/>
      <c r="DJ347"/>
      <c r="DK347"/>
      <c r="DL347"/>
      <c r="DM347"/>
      <c r="DN347"/>
    </row>
    <row r="348" spans="2:118" x14ac:dyDescent="0.3">
      <c r="CX348"/>
      <c r="CY348"/>
      <c r="CZ348"/>
      <c r="DA348"/>
      <c r="DB348"/>
      <c r="DC348"/>
      <c r="DD348"/>
      <c r="DE348"/>
      <c r="DF348"/>
      <c r="DH348"/>
      <c r="DI348"/>
      <c r="DJ348"/>
      <c r="DK348"/>
      <c r="DL348"/>
      <c r="DM348"/>
      <c r="DN348"/>
    </row>
    <row r="349" spans="2:118" x14ac:dyDescent="0.3">
      <c r="CX349"/>
      <c r="CY349"/>
      <c r="CZ349"/>
      <c r="DA349"/>
      <c r="DB349"/>
      <c r="DC349"/>
      <c r="DD349"/>
      <c r="DE349"/>
      <c r="DF349"/>
      <c r="DH349"/>
      <c r="DI349"/>
      <c r="DJ349"/>
      <c r="DK349"/>
      <c r="DL349"/>
      <c r="DM349"/>
      <c r="DN349"/>
    </row>
    <row r="350" spans="2:118" hidden="1" x14ac:dyDescent="0.3">
      <c r="B350" s="4463" t="e">
        <f>SUM(E12:E15,E19:E36,E41:E64,E82:E83,E67:E78,E88:E141,E146:E155,E160:E196,E201:E204,E211:E214,E219:E304,E309:E313,D316:F325)</f>
        <v>#VALUE!</v>
      </c>
      <c r="C350" s="4437" t="e">
        <f>SUM(DH12:DP313)</f>
        <v>#VALUE!</v>
      </c>
      <c r="CX350"/>
      <c r="CY350"/>
      <c r="CZ350"/>
      <c r="DA350"/>
      <c r="DB350"/>
      <c r="DC350"/>
      <c r="DD350"/>
      <c r="DE350"/>
      <c r="DF350"/>
      <c r="DH350"/>
      <c r="DI350"/>
      <c r="DJ350"/>
      <c r="DK350"/>
      <c r="DL350"/>
      <c r="DM350"/>
      <c r="DN350"/>
    </row>
    <row r="351" spans="2:118" x14ac:dyDescent="0.3">
      <c r="CX351"/>
      <c r="CY351"/>
      <c r="CZ351"/>
      <c r="DA351"/>
      <c r="DB351"/>
      <c r="DC351"/>
      <c r="DD351"/>
      <c r="DE351"/>
      <c r="DF351"/>
      <c r="DH351"/>
      <c r="DI351"/>
      <c r="DJ351"/>
      <c r="DK351"/>
      <c r="DL351"/>
      <c r="DM351"/>
      <c r="DN351"/>
    </row>
    <row r="352" spans="2:118" x14ac:dyDescent="0.3">
      <c r="CX352"/>
      <c r="CY352"/>
      <c r="CZ352"/>
      <c r="DA352"/>
      <c r="DB352"/>
      <c r="DC352"/>
      <c r="DD352"/>
      <c r="DE352"/>
      <c r="DF352"/>
      <c r="DH352"/>
      <c r="DI352"/>
      <c r="DJ352"/>
      <c r="DK352"/>
      <c r="DL352"/>
      <c r="DM352"/>
      <c r="DN352"/>
    </row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</sheetData>
  <mergeCells count="536">
    <mergeCell ref="AR306:AR308"/>
    <mergeCell ref="H46:S46"/>
    <mergeCell ref="H64:Y64"/>
    <mergeCell ref="AV157:AV159"/>
    <mergeCell ref="B321:C321"/>
    <mergeCell ref="B322:C322"/>
    <mergeCell ref="B323:C323"/>
    <mergeCell ref="B324:C324"/>
    <mergeCell ref="AD307:AE307"/>
    <mergeCell ref="AF307:AG307"/>
    <mergeCell ref="AH307:AI307"/>
    <mergeCell ref="AJ307:AK307"/>
    <mergeCell ref="AS306:AS308"/>
    <mergeCell ref="H307:I307"/>
    <mergeCell ref="J307:K307"/>
    <mergeCell ref="L307:M307"/>
    <mergeCell ref="N307:O307"/>
    <mergeCell ref="P307:Q307"/>
    <mergeCell ref="B299:B304"/>
    <mergeCell ref="C299:D299"/>
    <mergeCell ref="C300:D300"/>
    <mergeCell ref="C301:D301"/>
    <mergeCell ref="C302:D302"/>
    <mergeCell ref="C303:D303"/>
    <mergeCell ref="B325:C325"/>
    <mergeCell ref="B315:C315"/>
    <mergeCell ref="B316:C316"/>
    <mergeCell ref="B317:C317"/>
    <mergeCell ref="B318:C318"/>
    <mergeCell ref="B319:C319"/>
    <mergeCell ref="B320:C320"/>
    <mergeCell ref="B309:D309"/>
    <mergeCell ref="B310:D310"/>
    <mergeCell ref="B311:D311"/>
    <mergeCell ref="B312:D312"/>
    <mergeCell ref="B313:D313"/>
    <mergeCell ref="C304:D304"/>
    <mergeCell ref="AP307:AQ307"/>
    <mergeCell ref="AL307:AM307"/>
    <mergeCell ref="AN307:AO307"/>
    <mergeCell ref="T307:U307"/>
    <mergeCell ref="V307:W307"/>
    <mergeCell ref="X307:Y307"/>
    <mergeCell ref="Z307:AA307"/>
    <mergeCell ref="AB307:AC307"/>
    <mergeCell ref="B306:D308"/>
    <mergeCell ref="E306:G307"/>
    <mergeCell ref="H306:AQ306"/>
    <mergeCell ref="R307:S307"/>
    <mergeCell ref="B293:B298"/>
    <mergeCell ref="C293:D293"/>
    <mergeCell ref="C294:D294"/>
    <mergeCell ref="C295:D295"/>
    <mergeCell ref="C296:D296"/>
    <mergeCell ref="C297:D297"/>
    <mergeCell ref="C298:D298"/>
    <mergeCell ref="B287:B292"/>
    <mergeCell ref="C287:D287"/>
    <mergeCell ref="C288:D288"/>
    <mergeCell ref="C289:D289"/>
    <mergeCell ref="C290:D290"/>
    <mergeCell ref="C291:D291"/>
    <mergeCell ref="C292:D292"/>
    <mergeCell ref="B281:B286"/>
    <mergeCell ref="C281:D281"/>
    <mergeCell ref="C282:D282"/>
    <mergeCell ref="C283:D283"/>
    <mergeCell ref="C284:D284"/>
    <mergeCell ref="C285:D285"/>
    <mergeCell ref="C286:D286"/>
    <mergeCell ref="B275:B280"/>
    <mergeCell ref="C275:D275"/>
    <mergeCell ref="C276:D276"/>
    <mergeCell ref="C277:D277"/>
    <mergeCell ref="C278:D278"/>
    <mergeCell ref="C279:D279"/>
    <mergeCell ref="C280:D280"/>
    <mergeCell ref="B269:B274"/>
    <mergeCell ref="C269:D269"/>
    <mergeCell ref="C270:D270"/>
    <mergeCell ref="C271:D271"/>
    <mergeCell ref="C272:D272"/>
    <mergeCell ref="C273:D273"/>
    <mergeCell ref="C274:D274"/>
    <mergeCell ref="B263:B268"/>
    <mergeCell ref="C263:D263"/>
    <mergeCell ref="C264:D264"/>
    <mergeCell ref="C265:D265"/>
    <mergeCell ref="C266:D266"/>
    <mergeCell ref="C267:D267"/>
    <mergeCell ref="C268:D268"/>
    <mergeCell ref="B257:B262"/>
    <mergeCell ref="C257:D257"/>
    <mergeCell ref="C258:D258"/>
    <mergeCell ref="C259:D259"/>
    <mergeCell ref="C260:D260"/>
    <mergeCell ref="C261:D261"/>
    <mergeCell ref="C262:D262"/>
    <mergeCell ref="B251:B256"/>
    <mergeCell ref="C251:D251"/>
    <mergeCell ref="C252:D252"/>
    <mergeCell ref="C253:D253"/>
    <mergeCell ref="C254:D254"/>
    <mergeCell ref="C255:D255"/>
    <mergeCell ref="C256:D256"/>
    <mergeCell ref="B245:B250"/>
    <mergeCell ref="C245:D245"/>
    <mergeCell ref="C246:D246"/>
    <mergeCell ref="C247:D247"/>
    <mergeCell ref="C248:D248"/>
    <mergeCell ref="C249:D249"/>
    <mergeCell ref="C250:D250"/>
    <mergeCell ref="B239:B244"/>
    <mergeCell ref="C239:D239"/>
    <mergeCell ref="C240:D240"/>
    <mergeCell ref="C241:D241"/>
    <mergeCell ref="C242:D242"/>
    <mergeCell ref="C243:D243"/>
    <mergeCell ref="C244:D244"/>
    <mergeCell ref="B233:B238"/>
    <mergeCell ref="C233:D233"/>
    <mergeCell ref="C234:D234"/>
    <mergeCell ref="C235:D235"/>
    <mergeCell ref="C236:D236"/>
    <mergeCell ref="C237:D237"/>
    <mergeCell ref="C238:D238"/>
    <mergeCell ref="B227:B232"/>
    <mergeCell ref="C227:D227"/>
    <mergeCell ref="C228:D228"/>
    <mergeCell ref="C229:D229"/>
    <mergeCell ref="C230:D230"/>
    <mergeCell ref="C231:D231"/>
    <mergeCell ref="C232:D232"/>
    <mergeCell ref="B221:B226"/>
    <mergeCell ref="C221:D221"/>
    <mergeCell ref="C222:D222"/>
    <mergeCell ref="C223:D223"/>
    <mergeCell ref="C224:D224"/>
    <mergeCell ref="C225:D225"/>
    <mergeCell ref="C226:D226"/>
    <mergeCell ref="B219:B220"/>
    <mergeCell ref="C219:D219"/>
    <mergeCell ref="C220:D220"/>
    <mergeCell ref="AB217:AC217"/>
    <mergeCell ref="AD217:AE217"/>
    <mergeCell ref="AF217:AG217"/>
    <mergeCell ref="AH217:AI217"/>
    <mergeCell ref="AJ217:AK217"/>
    <mergeCell ref="AL217:AM217"/>
    <mergeCell ref="AV216:AV218"/>
    <mergeCell ref="AW216:AW218"/>
    <mergeCell ref="AX216:AX218"/>
    <mergeCell ref="AY216:AY218"/>
    <mergeCell ref="H217:I217"/>
    <mergeCell ref="J217:K217"/>
    <mergeCell ref="L217:M217"/>
    <mergeCell ref="N217:O217"/>
    <mergeCell ref="P217:Q217"/>
    <mergeCell ref="R217:S217"/>
    <mergeCell ref="H216:AO216"/>
    <mergeCell ref="AP216:AP218"/>
    <mergeCell ref="AQ216:AQ218"/>
    <mergeCell ref="AR216:AS216"/>
    <mergeCell ref="AT216:AT218"/>
    <mergeCell ref="AU216:AU218"/>
    <mergeCell ref="T217:U217"/>
    <mergeCell ref="V217:W217"/>
    <mergeCell ref="X217:Y217"/>
    <mergeCell ref="Z217:AA217"/>
    <mergeCell ref="AN217:AO217"/>
    <mergeCell ref="AR217:AR218"/>
    <mergeCell ref="AS217:AS218"/>
    <mergeCell ref="B211:D211"/>
    <mergeCell ref="B212:D212"/>
    <mergeCell ref="B213:D213"/>
    <mergeCell ref="B214:D214"/>
    <mergeCell ref="B216:D218"/>
    <mergeCell ref="E216:G217"/>
    <mergeCell ref="AF209:AG209"/>
    <mergeCell ref="AH209:AI209"/>
    <mergeCell ref="AJ209:AK209"/>
    <mergeCell ref="B208:D210"/>
    <mergeCell ref="E208:G209"/>
    <mergeCell ref="H208:AQ208"/>
    <mergeCell ref="H209:I209"/>
    <mergeCell ref="J209:K209"/>
    <mergeCell ref="L209:M209"/>
    <mergeCell ref="N209:O209"/>
    <mergeCell ref="P209:Q209"/>
    <mergeCell ref="R209:S209"/>
    <mergeCell ref="AL209:AM209"/>
    <mergeCell ref="AN209:AO209"/>
    <mergeCell ref="AP209:AQ209"/>
    <mergeCell ref="T209:U209"/>
    <mergeCell ref="V209:W209"/>
    <mergeCell ref="X209:Y209"/>
    <mergeCell ref="Z209:AA209"/>
    <mergeCell ref="AB209:AC209"/>
    <mergeCell ref="AD209:AE209"/>
    <mergeCell ref="B201:D201"/>
    <mergeCell ref="B202:D202"/>
    <mergeCell ref="B203:D203"/>
    <mergeCell ref="B204:D204"/>
    <mergeCell ref="B205:D205"/>
    <mergeCell ref="AE198:AE200"/>
    <mergeCell ref="AF198:AF200"/>
    <mergeCell ref="AG198:AG200"/>
    <mergeCell ref="B206:D206"/>
    <mergeCell ref="AH198:AH200"/>
    <mergeCell ref="H199:I199"/>
    <mergeCell ref="J199:K199"/>
    <mergeCell ref="L199:M199"/>
    <mergeCell ref="N199:O199"/>
    <mergeCell ref="P199:Q199"/>
    <mergeCell ref="R199:S199"/>
    <mergeCell ref="B195:B196"/>
    <mergeCell ref="C195:C196"/>
    <mergeCell ref="B198:D200"/>
    <mergeCell ref="E198:G199"/>
    <mergeCell ref="H198:AC198"/>
    <mergeCell ref="AD198:AD200"/>
    <mergeCell ref="T199:U199"/>
    <mergeCell ref="V199:W199"/>
    <mergeCell ref="X199:Y199"/>
    <mergeCell ref="Z199:AA199"/>
    <mergeCell ref="AB199:AC199"/>
    <mergeCell ref="B187:B191"/>
    <mergeCell ref="C187:D187"/>
    <mergeCell ref="C188:C189"/>
    <mergeCell ref="C190:C191"/>
    <mergeCell ref="B192:B194"/>
    <mergeCell ref="C192:C194"/>
    <mergeCell ref="B171:B175"/>
    <mergeCell ref="C171:C175"/>
    <mergeCell ref="B176:B178"/>
    <mergeCell ref="C176:C178"/>
    <mergeCell ref="B179:B186"/>
    <mergeCell ref="C179:C181"/>
    <mergeCell ref="C182:C183"/>
    <mergeCell ref="C184:C186"/>
    <mergeCell ref="B160:B170"/>
    <mergeCell ref="C160:D160"/>
    <mergeCell ref="C161:D161"/>
    <mergeCell ref="C162:D162"/>
    <mergeCell ref="C163:D163"/>
    <mergeCell ref="C164:C170"/>
    <mergeCell ref="AD158:AE158"/>
    <mergeCell ref="AF158:AG158"/>
    <mergeCell ref="AH158:AI158"/>
    <mergeCell ref="B157:D159"/>
    <mergeCell ref="E157:G158"/>
    <mergeCell ref="AU157:AU159"/>
    <mergeCell ref="AW157:AW159"/>
    <mergeCell ref="AX157:AX159"/>
    <mergeCell ref="H158:I158"/>
    <mergeCell ref="J158:K158"/>
    <mergeCell ref="L158:M158"/>
    <mergeCell ref="N158:O158"/>
    <mergeCell ref="P158:Q158"/>
    <mergeCell ref="R158:S158"/>
    <mergeCell ref="T158:U158"/>
    <mergeCell ref="H157:AQ157"/>
    <mergeCell ref="AR157:AR159"/>
    <mergeCell ref="AS157:AS159"/>
    <mergeCell ref="AT157:AT159"/>
    <mergeCell ref="V158:W158"/>
    <mergeCell ref="X158:Y158"/>
    <mergeCell ref="Z158:AA158"/>
    <mergeCell ref="AB158:AC158"/>
    <mergeCell ref="AP158:AQ158"/>
    <mergeCell ref="AJ158:AK158"/>
    <mergeCell ref="AL158:AM158"/>
    <mergeCell ref="AN158:AO158"/>
    <mergeCell ref="B150:D150"/>
    <mergeCell ref="B151:D151"/>
    <mergeCell ref="B152:D152"/>
    <mergeCell ref="B153:D153"/>
    <mergeCell ref="B154:D154"/>
    <mergeCell ref="B155:D155"/>
    <mergeCell ref="AN144:AO144"/>
    <mergeCell ref="AP144:AQ144"/>
    <mergeCell ref="B146:D146"/>
    <mergeCell ref="B147:D147"/>
    <mergeCell ref="B148:D148"/>
    <mergeCell ref="B149:D149"/>
    <mergeCell ref="AB144:AC144"/>
    <mergeCell ref="AD144:AE144"/>
    <mergeCell ref="AF144:AG144"/>
    <mergeCell ref="AH144:AI144"/>
    <mergeCell ref="AJ144:AK144"/>
    <mergeCell ref="AL144:AM144"/>
    <mergeCell ref="P144:Q144"/>
    <mergeCell ref="R144:S144"/>
    <mergeCell ref="T144:U144"/>
    <mergeCell ref="V144:W144"/>
    <mergeCell ref="X144:Y144"/>
    <mergeCell ref="Z144:AA144"/>
    <mergeCell ref="AT143:AT145"/>
    <mergeCell ref="AU143:AU145"/>
    <mergeCell ref="AV143:AV145"/>
    <mergeCell ref="AW143:AW145"/>
    <mergeCell ref="AX143:AX145"/>
    <mergeCell ref="AY143:AY145"/>
    <mergeCell ref="B141:D141"/>
    <mergeCell ref="B143:D145"/>
    <mergeCell ref="E143:G144"/>
    <mergeCell ref="H143:AQ143"/>
    <mergeCell ref="AR143:AR145"/>
    <mergeCell ref="AS143:AS145"/>
    <mergeCell ref="H144:I144"/>
    <mergeCell ref="J144:K144"/>
    <mergeCell ref="L144:M144"/>
    <mergeCell ref="N144:O144"/>
    <mergeCell ref="B135:D135"/>
    <mergeCell ref="B136:D136"/>
    <mergeCell ref="B137:D137"/>
    <mergeCell ref="B138:D138"/>
    <mergeCell ref="B139:D139"/>
    <mergeCell ref="B140:D140"/>
    <mergeCell ref="B129:D129"/>
    <mergeCell ref="B130:D130"/>
    <mergeCell ref="B131:D131"/>
    <mergeCell ref="B132:D132"/>
    <mergeCell ref="B133:D133"/>
    <mergeCell ref="B134:D134"/>
    <mergeCell ref="B123:D123"/>
    <mergeCell ref="B124:D124"/>
    <mergeCell ref="B125:D125"/>
    <mergeCell ref="B126:D126"/>
    <mergeCell ref="B127:D127"/>
    <mergeCell ref="B128:D128"/>
    <mergeCell ref="B117:D117"/>
    <mergeCell ref="B118:D118"/>
    <mergeCell ref="B119:D119"/>
    <mergeCell ref="B120:D120"/>
    <mergeCell ref="B121:D121"/>
    <mergeCell ref="B122:D122"/>
    <mergeCell ref="B111:D111"/>
    <mergeCell ref="B112:D112"/>
    <mergeCell ref="B113:D113"/>
    <mergeCell ref="B114:D114"/>
    <mergeCell ref="B115:D115"/>
    <mergeCell ref="B116:D116"/>
    <mergeCell ref="B105:D105"/>
    <mergeCell ref="B106:D106"/>
    <mergeCell ref="B107:D107"/>
    <mergeCell ref="B108:D108"/>
    <mergeCell ref="B109:D109"/>
    <mergeCell ref="B110:D110"/>
    <mergeCell ref="B99:D99"/>
    <mergeCell ref="B100:D100"/>
    <mergeCell ref="B101:D101"/>
    <mergeCell ref="B102:D102"/>
    <mergeCell ref="B103:D103"/>
    <mergeCell ref="B104:D104"/>
    <mergeCell ref="B93:D93"/>
    <mergeCell ref="B94:D94"/>
    <mergeCell ref="B95:D95"/>
    <mergeCell ref="B96:D96"/>
    <mergeCell ref="B97:D97"/>
    <mergeCell ref="B98:D98"/>
    <mergeCell ref="B88:D88"/>
    <mergeCell ref="B89:D89"/>
    <mergeCell ref="B90:D90"/>
    <mergeCell ref="B91:D91"/>
    <mergeCell ref="B92:D92"/>
    <mergeCell ref="AB86:AC86"/>
    <mergeCell ref="AD86:AE86"/>
    <mergeCell ref="AF86:AG86"/>
    <mergeCell ref="AH86:AI86"/>
    <mergeCell ref="P86:Q86"/>
    <mergeCell ref="R86:S86"/>
    <mergeCell ref="T86:U86"/>
    <mergeCell ref="V86:W86"/>
    <mergeCell ref="X86:Y86"/>
    <mergeCell ref="Z86:AA86"/>
    <mergeCell ref="AS85:AS87"/>
    <mergeCell ref="AT85:AT87"/>
    <mergeCell ref="AU85:AU87"/>
    <mergeCell ref="AV85:AV87"/>
    <mergeCell ref="AW85:AW87"/>
    <mergeCell ref="AX85:AX87"/>
    <mergeCell ref="B85:D87"/>
    <mergeCell ref="E85:G86"/>
    <mergeCell ref="H85:AO85"/>
    <mergeCell ref="AP85:AP87"/>
    <mergeCell ref="AQ85:AQ87"/>
    <mergeCell ref="AR85:AR87"/>
    <mergeCell ref="H86:I86"/>
    <mergeCell ref="J86:K86"/>
    <mergeCell ref="L86:M86"/>
    <mergeCell ref="N86:O86"/>
    <mergeCell ref="AN86:AO86"/>
    <mergeCell ref="AJ86:AK86"/>
    <mergeCell ref="AL86:AM86"/>
    <mergeCell ref="B76:D76"/>
    <mergeCell ref="B77:D77"/>
    <mergeCell ref="B78:D78"/>
    <mergeCell ref="B80:D81"/>
    <mergeCell ref="E80:G80"/>
    <mergeCell ref="B82:B83"/>
    <mergeCell ref="C82:D82"/>
    <mergeCell ref="C83:D83"/>
    <mergeCell ref="B70:D70"/>
    <mergeCell ref="B71:D71"/>
    <mergeCell ref="B72:D72"/>
    <mergeCell ref="B74:D74"/>
    <mergeCell ref="B75:D75"/>
    <mergeCell ref="B73:D73"/>
    <mergeCell ref="B60:D60"/>
    <mergeCell ref="B61:C64"/>
    <mergeCell ref="B66:D66"/>
    <mergeCell ref="B67:D67"/>
    <mergeCell ref="B68:B69"/>
    <mergeCell ref="C68:D68"/>
    <mergeCell ref="C69:D69"/>
    <mergeCell ref="B45:D45"/>
    <mergeCell ref="B46:D46"/>
    <mergeCell ref="B47:D47"/>
    <mergeCell ref="B48:C53"/>
    <mergeCell ref="B54:D54"/>
    <mergeCell ref="B55:C59"/>
    <mergeCell ref="B41:D41"/>
    <mergeCell ref="B42:D42"/>
    <mergeCell ref="B43:D43"/>
    <mergeCell ref="B44:D44"/>
    <mergeCell ref="AB39:AC39"/>
    <mergeCell ref="AD39:AE39"/>
    <mergeCell ref="AF39:AG39"/>
    <mergeCell ref="AH39:AI39"/>
    <mergeCell ref="AJ39:AK39"/>
    <mergeCell ref="E38:G39"/>
    <mergeCell ref="AV38:AV40"/>
    <mergeCell ref="AW38:AW40"/>
    <mergeCell ref="AX38:AX40"/>
    <mergeCell ref="AY38:AY40"/>
    <mergeCell ref="H39:I39"/>
    <mergeCell ref="J39:K39"/>
    <mergeCell ref="L39:M39"/>
    <mergeCell ref="N39:O39"/>
    <mergeCell ref="P39:Q39"/>
    <mergeCell ref="R39:S39"/>
    <mergeCell ref="H38:AQ38"/>
    <mergeCell ref="AR38:AR40"/>
    <mergeCell ref="AS38:AS40"/>
    <mergeCell ref="AT38:AT40"/>
    <mergeCell ref="AU38:AU40"/>
    <mergeCell ref="T39:U39"/>
    <mergeCell ref="V39:W39"/>
    <mergeCell ref="X39:Y39"/>
    <mergeCell ref="Z39:AA39"/>
    <mergeCell ref="AN39:AO39"/>
    <mergeCell ref="AP39:AQ39"/>
    <mergeCell ref="AL39:AM39"/>
    <mergeCell ref="B32:D32"/>
    <mergeCell ref="B33:D33"/>
    <mergeCell ref="B34:D34"/>
    <mergeCell ref="B35:D35"/>
    <mergeCell ref="B36:D36"/>
    <mergeCell ref="B38:D40"/>
    <mergeCell ref="B26:D26"/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AU17:AU18"/>
    <mergeCell ref="AV17:AV18"/>
    <mergeCell ref="AW17:AW18"/>
    <mergeCell ref="B19:D19"/>
    <mergeCell ref="AL17:AM17"/>
    <mergeCell ref="AN17:AO17"/>
    <mergeCell ref="AP17:AQ17"/>
    <mergeCell ref="AR17:AR18"/>
    <mergeCell ref="AS17:AS18"/>
    <mergeCell ref="AT17:AT18"/>
    <mergeCell ref="Z17:AA17"/>
    <mergeCell ref="AB17:AC17"/>
    <mergeCell ref="AD17:AE17"/>
    <mergeCell ref="AF17:AG17"/>
    <mergeCell ref="AH17:AI17"/>
    <mergeCell ref="AJ17:AK17"/>
    <mergeCell ref="N17:O17"/>
    <mergeCell ref="P17:Q17"/>
    <mergeCell ref="AN10:AO10"/>
    <mergeCell ref="R10:S10"/>
    <mergeCell ref="T10:U10"/>
    <mergeCell ref="V10:W10"/>
    <mergeCell ref="X10:Y10"/>
    <mergeCell ref="Z10:AA10"/>
    <mergeCell ref="AB10:AC10"/>
    <mergeCell ref="B20:D20"/>
    <mergeCell ref="B21:D21"/>
    <mergeCell ref="AX17:AX18"/>
    <mergeCell ref="AY17:AY18"/>
    <mergeCell ref="B12:D12"/>
    <mergeCell ref="B13:D13"/>
    <mergeCell ref="B14:D14"/>
    <mergeCell ref="B15:D15"/>
    <mergeCell ref="B17:D18"/>
    <mergeCell ref="E17:G17"/>
    <mergeCell ref="H17:I17"/>
    <mergeCell ref="J17:K17"/>
    <mergeCell ref="L17:M17"/>
    <mergeCell ref="R17:S17"/>
    <mergeCell ref="T17:U17"/>
    <mergeCell ref="V17:W17"/>
    <mergeCell ref="X17:Y17"/>
    <mergeCell ref="B6:Q6"/>
    <mergeCell ref="DS6:EJ6"/>
    <mergeCell ref="B9:D11"/>
    <mergeCell ref="E9:G10"/>
    <mergeCell ref="H9:AQ9"/>
    <mergeCell ref="AR9:AR11"/>
    <mergeCell ref="AS9:AS11"/>
    <mergeCell ref="AT9:AT11"/>
    <mergeCell ref="AU9:AU11"/>
    <mergeCell ref="AV9:AV11"/>
    <mergeCell ref="AW9:AW11"/>
    <mergeCell ref="AX9:AX11"/>
    <mergeCell ref="AY9:AY11"/>
    <mergeCell ref="H10:I10"/>
    <mergeCell ref="J10:K10"/>
    <mergeCell ref="L10:M10"/>
    <mergeCell ref="N10:O10"/>
    <mergeCell ref="P10:Q10"/>
    <mergeCell ref="AP10:AQ10"/>
    <mergeCell ref="AD10:AE10"/>
    <mergeCell ref="AF10:AG10"/>
    <mergeCell ref="AH10:AI10"/>
    <mergeCell ref="AJ10:AK10"/>
    <mergeCell ref="AL10:AM10"/>
  </mergeCells>
  <dataValidations count="1">
    <dataValidation type="whole" operator="greaterThanOrEqual" allowBlank="1" showInputMessage="1" showErrorMessage="1" errorTitle="Error" error="Favor Ingrese sólo Números." sqref="H211:AQ214 H12:AY15 F82:G83 H146:AY154 D316:F325 H19:AY35 E67:K78 H88:AX140 Z179:AA191 H179:Y196 H160:AX175 Z192:AK196 H177:AA178 AB177:AK191 T41:Y63 H201:AH206 H219:AY298 H309:AS313 H41:H64 I47:S63 I41:S45 AL177:AX196 Z41:AY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G350"/>
  <sheetViews>
    <sheetView showGridLines="0" zoomScaleNormal="100" workbookViewId="0"/>
  </sheetViews>
  <sheetFormatPr baseColWidth="10" defaultColWidth="11.44140625" defaultRowHeight="14.4" x14ac:dyDescent="0.3"/>
  <cols>
    <col min="1" max="1" width="15.21875" customWidth="1"/>
    <col min="2" max="2" width="43.109375" customWidth="1"/>
    <col min="3" max="3" width="35.88671875" customWidth="1"/>
    <col min="4" max="4" width="16.88671875" customWidth="1"/>
    <col min="5" max="5" width="14.88671875" customWidth="1"/>
    <col min="6" max="6" width="14.5546875" customWidth="1"/>
    <col min="45" max="45" width="13.44140625" customWidth="1"/>
    <col min="47" max="47" width="12.88671875" customWidth="1"/>
    <col min="49" max="49" width="12.44140625" customWidth="1"/>
    <col min="51" max="51" width="12.109375" customWidth="1"/>
    <col min="77" max="78" width="8.109375" customWidth="1"/>
    <col min="79" max="79" width="9.44140625" hidden="1" customWidth="1"/>
    <col min="80" max="85" width="14" hidden="1" customWidth="1"/>
    <col min="86" max="91" width="11.44140625" hidden="1" customWidth="1"/>
    <col min="92" max="92" width="11.88671875" hidden="1" customWidth="1"/>
    <col min="93" max="135" width="11.44140625" hidden="1" customWidth="1"/>
    <col min="136" max="137" width="11.44140625" customWidth="1"/>
    <col min="138" max="138" width="9.44140625" customWidth="1"/>
    <col min="139" max="140" width="8.109375" customWidth="1"/>
  </cols>
  <sheetData>
    <row r="1" spans="1:137" x14ac:dyDescent="0.3">
      <c r="B1" s="774" t="s">
        <v>3879</v>
      </c>
    </row>
    <row r="2" spans="1:137" x14ac:dyDescent="0.3">
      <c r="B2" s="774" t="str">
        <f>CONCATENATE("COMUNA: ",NOMBRE!B2," - ","( ",NOMBRE!C2,NOMBRE!D2,NOMBRE!E2,NOMBRE!F2,NOMBRE!G2," )")</f>
        <v>COMUNA:  - (  )</v>
      </c>
    </row>
    <row r="3" spans="1:137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37" x14ac:dyDescent="0.3">
      <c r="B4" s="774" t="str">
        <f>CONCATENATE("MES: ",NOMBRE!B6," - ","( ",NOMBRE!C6,NOMBRE!D6," )")</f>
        <v>MES:  - (  )</v>
      </c>
    </row>
    <row r="5" spans="1:137" x14ac:dyDescent="0.3">
      <c r="B5" s="774" t="str">
        <f>CONCATENATE("AÑO: ",NOMBRE!B7)</f>
        <v>AÑO: 2024</v>
      </c>
    </row>
    <row r="6" spans="1:137" s="2630" customFormat="1" ht="18" customHeight="1" x14ac:dyDescent="0.3">
      <c r="B6" s="6396" t="s">
        <v>2652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3011"/>
      <c r="S6" s="3011"/>
      <c r="T6" s="3011"/>
      <c r="U6" s="3011"/>
      <c r="V6" s="3011"/>
      <c r="W6" s="3011"/>
      <c r="X6" s="3011"/>
      <c r="Y6" s="3011"/>
      <c r="Z6" s="3011"/>
      <c r="AA6" s="3011"/>
      <c r="AB6" s="3011"/>
      <c r="AC6" s="3011"/>
      <c r="AD6" s="3011"/>
      <c r="AE6" s="3011"/>
      <c r="AF6" s="3011"/>
      <c r="AG6" s="102"/>
      <c r="AH6" s="102"/>
      <c r="AI6" s="102"/>
      <c r="AJ6" s="102"/>
      <c r="AK6" s="102"/>
      <c r="AL6" s="102"/>
      <c r="AM6" s="102"/>
      <c r="AN6" s="599"/>
      <c r="AO6" s="599"/>
      <c r="AP6" s="599"/>
      <c r="AQ6" s="599"/>
      <c r="AR6" s="599"/>
      <c r="AS6" s="599"/>
      <c r="AT6" s="599"/>
      <c r="AU6" s="599"/>
      <c r="AV6" s="599"/>
      <c r="AW6" s="599"/>
      <c r="AX6" s="599"/>
      <c r="AY6" s="3472"/>
      <c r="AZ6" s="3472"/>
      <c r="BA6" s="3472"/>
      <c r="BB6" s="3472"/>
      <c r="BC6" s="3472"/>
      <c r="BD6" s="3472"/>
      <c r="BE6" s="3472"/>
      <c r="BF6" s="3472"/>
      <c r="BG6" s="3472"/>
      <c r="BH6" s="3472"/>
      <c r="BI6" s="3472"/>
      <c r="BJ6" s="3472"/>
      <c r="BK6" s="599"/>
      <c r="BL6" s="599"/>
      <c r="BM6" s="599"/>
      <c r="BN6" s="599"/>
      <c r="BO6" s="599"/>
      <c r="BP6" s="599"/>
      <c r="BQ6" s="599"/>
      <c r="BR6" s="599"/>
      <c r="BS6" s="599"/>
      <c r="BT6" s="599"/>
      <c r="BU6" s="599"/>
      <c r="BV6" s="599"/>
      <c r="BW6" s="3199"/>
      <c r="BX6" s="3199"/>
      <c r="BY6" s="3200"/>
      <c r="BZ6" s="3200"/>
      <c r="CA6" s="3200"/>
      <c r="CB6" s="3201"/>
      <c r="CC6" s="3201"/>
      <c r="CD6" s="3201"/>
      <c r="CE6" s="3201"/>
      <c r="CF6" s="3201"/>
      <c r="CG6" s="3201"/>
      <c r="CH6" s="3201"/>
      <c r="CI6" s="3201"/>
      <c r="CJ6" s="3201"/>
      <c r="CK6" s="3201"/>
      <c r="CL6" s="3201"/>
      <c r="CM6" s="3201"/>
      <c r="CN6" s="3201"/>
      <c r="CO6" s="3201"/>
      <c r="CP6" s="3201"/>
      <c r="CQ6" s="3201"/>
      <c r="CR6" s="3201"/>
      <c r="CS6" s="3201"/>
      <c r="CT6" s="3201"/>
      <c r="CU6" s="3201"/>
      <c r="CV6" s="3201"/>
      <c r="CW6" s="3201"/>
      <c r="CX6" s="3201"/>
      <c r="CY6" s="3201"/>
      <c r="CZ6" s="3201"/>
      <c r="DA6" s="3201"/>
      <c r="DB6" s="3201"/>
      <c r="DC6" s="3201"/>
      <c r="DD6" s="3201"/>
      <c r="DE6" s="3201"/>
      <c r="DF6" s="3201"/>
      <c r="DG6" s="3201"/>
      <c r="DH6" s="3201"/>
      <c r="DI6" s="3201"/>
      <c r="DJ6" s="3201"/>
      <c r="DK6" s="3201"/>
      <c r="DL6" s="3201"/>
      <c r="DM6" s="3201"/>
      <c r="DN6" s="3201"/>
      <c r="DO6" s="3201"/>
      <c r="DP6" s="3201"/>
      <c r="DQ6" s="3201"/>
      <c r="DR6" s="3201"/>
      <c r="DS6" s="3201"/>
      <c r="DT6" s="3201"/>
      <c r="DU6" s="3201"/>
      <c r="DV6" s="3201"/>
      <c r="DW6" s="3201"/>
      <c r="DX6" s="3201"/>
      <c r="DY6" s="3201"/>
      <c r="DZ6" s="3201"/>
      <c r="EA6" s="3201"/>
      <c r="EB6" s="3201"/>
      <c r="EC6" s="3201"/>
      <c r="ED6" s="3201"/>
      <c r="EE6" s="3201"/>
      <c r="EF6" s="3201"/>
      <c r="EG6" s="3201"/>
    </row>
    <row r="8" spans="1:137" s="600" customFormat="1" ht="18" customHeight="1" x14ac:dyDescent="0.3">
      <c r="B8" s="3473" t="s">
        <v>2653</v>
      </c>
      <c r="C8" s="3473"/>
      <c r="D8" s="3473"/>
      <c r="E8" s="3473"/>
      <c r="F8" s="3473"/>
      <c r="G8" s="3473"/>
      <c r="H8" s="3473"/>
      <c r="I8" s="3473"/>
      <c r="J8" s="3473"/>
      <c r="K8" s="3473"/>
      <c r="L8" s="3473"/>
      <c r="M8" s="3473"/>
      <c r="N8" s="3473"/>
      <c r="O8" s="3473"/>
      <c r="P8" s="3473"/>
      <c r="Q8" s="3473"/>
      <c r="R8" s="3473"/>
      <c r="S8" s="3473"/>
      <c r="T8" s="3473"/>
      <c r="U8" s="3473"/>
      <c r="V8" s="3473"/>
      <c r="W8" s="3473"/>
      <c r="X8" s="3473"/>
      <c r="Y8" s="3473"/>
      <c r="Z8" s="3473"/>
      <c r="AA8" s="3473"/>
      <c r="AB8" s="3473"/>
      <c r="AC8" s="3473"/>
      <c r="AD8" s="3473"/>
      <c r="AE8" s="3473"/>
      <c r="AF8" s="3473"/>
      <c r="AG8" s="3473"/>
      <c r="AH8" s="3473"/>
      <c r="AI8" s="3473"/>
      <c r="AJ8" s="3473"/>
      <c r="AK8" s="3473"/>
      <c r="AL8" s="3473"/>
      <c r="AM8" s="3473"/>
      <c r="AN8" s="3473"/>
      <c r="AO8" s="3473"/>
      <c r="AP8" s="3473"/>
      <c r="AQ8" s="3473"/>
      <c r="AR8" s="3473"/>
    </row>
    <row r="9" spans="1:137" ht="18" customHeight="1" x14ac:dyDescent="0.3">
      <c r="B9" s="3473" t="s">
        <v>2654</v>
      </c>
      <c r="C9" s="3473"/>
      <c r="D9" s="3473"/>
      <c r="E9" s="3473"/>
      <c r="F9" s="3473"/>
      <c r="G9" s="3473"/>
      <c r="H9" s="3473"/>
      <c r="I9" s="3473"/>
      <c r="J9" s="3473"/>
      <c r="K9" s="3473"/>
      <c r="L9" s="3473"/>
      <c r="M9" s="3473"/>
      <c r="N9" s="3473"/>
      <c r="O9" s="3473"/>
      <c r="P9" s="3473"/>
      <c r="Q9" s="3473"/>
      <c r="R9" s="3473"/>
      <c r="S9" s="3473"/>
      <c r="T9" s="3473"/>
      <c r="U9" s="3473"/>
      <c r="V9" s="3473"/>
      <c r="W9" s="3473"/>
      <c r="X9" s="3473"/>
      <c r="Y9" s="3473"/>
      <c r="Z9" s="3473"/>
      <c r="AA9" s="3473"/>
      <c r="AB9" s="3473"/>
      <c r="AC9" s="3473"/>
      <c r="AD9" s="3473"/>
      <c r="AE9" s="3473"/>
      <c r="AF9" s="3473"/>
      <c r="AG9" s="3473"/>
      <c r="AH9" s="3473"/>
      <c r="AI9" s="3473"/>
      <c r="AJ9" s="3473"/>
      <c r="AK9" s="3473"/>
      <c r="AL9" s="3473"/>
      <c r="AM9" s="3473"/>
      <c r="AN9" s="3473"/>
      <c r="AO9" s="3473"/>
      <c r="AP9" s="3473"/>
      <c r="AQ9" s="3473"/>
      <c r="AR9" s="3473"/>
    </row>
    <row r="10" spans="1:137" x14ac:dyDescent="0.3">
      <c r="B10" s="7521" t="s">
        <v>2655</v>
      </c>
      <c r="C10" s="7522" t="s">
        <v>24</v>
      </c>
      <c r="D10" s="7523"/>
      <c r="E10" s="7524" t="s">
        <v>12</v>
      </c>
      <c r="F10" s="7525"/>
      <c r="G10" s="7525"/>
      <c r="H10" s="7525"/>
      <c r="I10" s="7525"/>
      <c r="J10" s="7525"/>
      <c r="K10" s="7525"/>
      <c r="L10" s="7525"/>
      <c r="M10" s="7525"/>
      <c r="N10" s="7525"/>
      <c r="O10" s="7525"/>
      <c r="P10" s="7525"/>
      <c r="Q10" s="7525"/>
      <c r="R10" s="7525"/>
      <c r="S10" s="7525"/>
      <c r="T10" s="7525"/>
      <c r="U10" s="7525"/>
      <c r="V10" s="7525"/>
      <c r="W10" s="7525"/>
      <c r="X10" s="7525"/>
      <c r="Y10" s="7525"/>
      <c r="Z10" s="7525"/>
      <c r="AA10" s="7525"/>
      <c r="AB10" s="7525"/>
      <c r="AC10" s="7525"/>
      <c r="AD10" s="7525"/>
      <c r="AE10" s="7525"/>
      <c r="AF10" s="7525"/>
      <c r="AG10" s="7525"/>
      <c r="AH10" s="7525"/>
      <c r="AI10" s="7525"/>
      <c r="AJ10" s="7525"/>
      <c r="AK10" s="7525"/>
      <c r="AL10" s="7525"/>
      <c r="AM10" s="7525"/>
      <c r="AN10" s="7525"/>
      <c r="AO10" s="7525"/>
      <c r="AP10" s="7525"/>
      <c r="AQ10" s="7525"/>
      <c r="AR10" s="7526"/>
      <c r="AS10" s="7527" t="s">
        <v>2656</v>
      </c>
      <c r="AT10" s="7528"/>
      <c r="AU10" s="7529" t="s">
        <v>48</v>
      </c>
      <c r="AV10" s="7530"/>
      <c r="AW10" s="7535" t="s">
        <v>2</v>
      </c>
      <c r="AX10" s="7538" t="s">
        <v>3</v>
      </c>
    </row>
    <row r="11" spans="1:137" x14ac:dyDescent="0.3">
      <c r="B11" s="7108"/>
      <c r="C11" s="7149"/>
      <c r="D11" s="7150"/>
      <c r="E11" s="7533" t="s">
        <v>3778</v>
      </c>
      <c r="F11" s="7527"/>
      <c r="G11" s="7533" t="s">
        <v>3706</v>
      </c>
      <c r="H11" s="7527"/>
      <c r="I11" s="7533" t="s">
        <v>54</v>
      </c>
      <c r="J11" s="7534"/>
      <c r="K11" s="7527" t="s">
        <v>3705</v>
      </c>
      <c r="L11" s="7527"/>
      <c r="M11" s="7533" t="s">
        <v>37</v>
      </c>
      <c r="N11" s="7527"/>
      <c r="O11" s="7533" t="s">
        <v>38</v>
      </c>
      <c r="P11" s="7527"/>
      <c r="Q11" s="7533" t="s">
        <v>4</v>
      </c>
      <c r="R11" s="7527"/>
      <c r="S11" s="7533" t="s">
        <v>5</v>
      </c>
      <c r="T11" s="7527"/>
      <c r="U11" s="7533" t="s">
        <v>6</v>
      </c>
      <c r="V11" s="7534"/>
      <c r="W11" s="7533" t="s">
        <v>7</v>
      </c>
      <c r="X11" s="7534"/>
      <c r="Y11" s="7533" t="s">
        <v>8</v>
      </c>
      <c r="Z11" s="7534"/>
      <c r="AA11" s="7533" t="s">
        <v>9</v>
      </c>
      <c r="AB11" s="7534"/>
      <c r="AC11" s="7533" t="s">
        <v>10</v>
      </c>
      <c r="AD11" s="7534"/>
      <c r="AE11" s="7533" t="s">
        <v>11</v>
      </c>
      <c r="AF11" s="7534"/>
      <c r="AG11" s="7533" t="s">
        <v>18</v>
      </c>
      <c r="AH11" s="7534"/>
      <c r="AI11" s="7533" t="s">
        <v>19</v>
      </c>
      <c r="AJ11" s="7534"/>
      <c r="AK11" s="7533" t="s">
        <v>20</v>
      </c>
      <c r="AL11" s="7534"/>
      <c r="AM11" s="7533" t="s">
        <v>70</v>
      </c>
      <c r="AN11" s="7534"/>
      <c r="AO11" s="7533" t="s">
        <v>71</v>
      </c>
      <c r="AP11" s="7534"/>
      <c r="AQ11" s="7533" t="s">
        <v>32</v>
      </c>
      <c r="AR11" s="7528"/>
      <c r="AS11" s="7535" t="s">
        <v>22</v>
      </c>
      <c r="AT11" s="7539" t="s">
        <v>27</v>
      </c>
      <c r="AU11" s="7531"/>
      <c r="AV11" s="7532"/>
      <c r="AW11" s="7536"/>
      <c r="AX11" s="6324"/>
    </row>
    <row r="12" spans="1:137" x14ac:dyDescent="0.3">
      <c r="B12" s="7109"/>
      <c r="C12" s="5133" t="s">
        <v>2657</v>
      </c>
      <c r="D12" s="5132" t="s">
        <v>2658</v>
      </c>
      <c r="E12" s="5133" t="s">
        <v>2657</v>
      </c>
      <c r="F12" s="5134" t="s">
        <v>2658</v>
      </c>
      <c r="G12" s="5133" t="s">
        <v>2657</v>
      </c>
      <c r="H12" s="5134" t="s">
        <v>2658</v>
      </c>
      <c r="I12" s="5133" t="s">
        <v>2657</v>
      </c>
      <c r="J12" s="5135" t="s">
        <v>2658</v>
      </c>
      <c r="K12" s="5136" t="s">
        <v>2657</v>
      </c>
      <c r="L12" s="5134" t="s">
        <v>2658</v>
      </c>
      <c r="M12" s="5133" t="s">
        <v>2657</v>
      </c>
      <c r="N12" s="5135" t="s">
        <v>2658</v>
      </c>
      <c r="O12" s="5136" t="s">
        <v>2657</v>
      </c>
      <c r="P12" s="5134" t="s">
        <v>2658</v>
      </c>
      <c r="Q12" s="5133" t="s">
        <v>2657</v>
      </c>
      <c r="R12" s="5134" t="s">
        <v>2658</v>
      </c>
      <c r="S12" s="5133" t="s">
        <v>2657</v>
      </c>
      <c r="T12" s="5134" t="s">
        <v>2658</v>
      </c>
      <c r="U12" s="5133" t="s">
        <v>2657</v>
      </c>
      <c r="V12" s="5134" t="s">
        <v>2658</v>
      </c>
      <c r="W12" s="5133" t="s">
        <v>2657</v>
      </c>
      <c r="X12" s="5134" t="s">
        <v>2658</v>
      </c>
      <c r="Y12" s="5133" t="s">
        <v>2657</v>
      </c>
      <c r="Z12" s="5134" t="s">
        <v>2658</v>
      </c>
      <c r="AA12" s="5133" t="s">
        <v>2657</v>
      </c>
      <c r="AB12" s="5134" t="s">
        <v>2658</v>
      </c>
      <c r="AC12" s="5133" t="s">
        <v>2657</v>
      </c>
      <c r="AD12" s="5134" t="s">
        <v>2658</v>
      </c>
      <c r="AE12" s="5133" t="s">
        <v>2657</v>
      </c>
      <c r="AF12" s="5134" t="s">
        <v>2658</v>
      </c>
      <c r="AG12" s="5133" t="s">
        <v>2657</v>
      </c>
      <c r="AH12" s="5134" t="s">
        <v>2658</v>
      </c>
      <c r="AI12" s="5133" t="s">
        <v>2657</v>
      </c>
      <c r="AJ12" s="5134" t="s">
        <v>2658</v>
      </c>
      <c r="AK12" s="5133" t="s">
        <v>2657</v>
      </c>
      <c r="AL12" s="5134" t="s">
        <v>2658</v>
      </c>
      <c r="AM12" s="5133" t="s">
        <v>2657</v>
      </c>
      <c r="AN12" s="5134" t="s">
        <v>2658</v>
      </c>
      <c r="AO12" s="5133" t="s">
        <v>2657</v>
      </c>
      <c r="AP12" s="5134" t="s">
        <v>2658</v>
      </c>
      <c r="AQ12" s="5133" t="s">
        <v>2657</v>
      </c>
      <c r="AR12" s="5137" t="s">
        <v>2658</v>
      </c>
      <c r="AS12" s="7537"/>
      <c r="AT12" s="7540"/>
      <c r="AU12" s="4800" t="s">
        <v>41</v>
      </c>
      <c r="AV12" s="5138" t="s">
        <v>42</v>
      </c>
      <c r="AW12" s="7537"/>
      <c r="AX12" s="7146"/>
    </row>
    <row r="13" spans="1:137" x14ac:dyDescent="0.3">
      <c r="A13" s="6234">
        <v>11053700</v>
      </c>
      <c r="B13" s="5139" t="s">
        <v>2659</v>
      </c>
      <c r="C13" s="5140" t="s">
        <v>5292</v>
      </c>
      <c r="D13" s="5141" t="s">
        <v>5293</v>
      </c>
      <c r="E13" s="3722" t="s">
        <v>5294</v>
      </c>
      <c r="F13" s="5104" t="s">
        <v>5295</v>
      </c>
      <c r="G13" s="3722" t="s">
        <v>5296</v>
      </c>
      <c r="H13" s="5104" t="s">
        <v>5297</v>
      </c>
      <c r="I13" s="3722" t="s">
        <v>5298</v>
      </c>
      <c r="J13" s="5104" t="s">
        <v>5299</v>
      </c>
      <c r="K13" s="3722" t="s">
        <v>5300</v>
      </c>
      <c r="L13" s="5104" t="s">
        <v>5301</v>
      </c>
      <c r="M13" s="3722" t="s">
        <v>5302</v>
      </c>
      <c r="N13" s="5142" t="s">
        <v>5303</v>
      </c>
      <c r="O13" s="612" t="s">
        <v>5304</v>
      </c>
      <c r="P13" s="5143" t="s">
        <v>5305</v>
      </c>
      <c r="Q13" s="276" t="s">
        <v>5306</v>
      </c>
      <c r="R13" s="5143" t="s">
        <v>5307</v>
      </c>
      <c r="S13" s="276" t="s">
        <v>5308</v>
      </c>
      <c r="T13" s="5143" t="s">
        <v>5309</v>
      </c>
      <c r="U13" s="276" t="s">
        <v>5310</v>
      </c>
      <c r="V13" s="5143" t="s">
        <v>5311</v>
      </c>
      <c r="W13" s="276" t="s">
        <v>5312</v>
      </c>
      <c r="X13" s="5143" t="s">
        <v>5313</v>
      </c>
      <c r="Y13" s="276" t="s">
        <v>5314</v>
      </c>
      <c r="Z13" s="5143" t="s">
        <v>5315</v>
      </c>
      <c r="AA13" s="276" t="s">
        <v>5316</v>
      </c>
      <c r="AB13" s="5143" t="s">
        <v>5317</v>
      </c>
      <c r="AC13" s="276" t="s">
        <v>5318</v>
      </c>
      <c r="AD13" s="5143" t="s">
        <v>5319</v>
      </c>
      <c r="AE13" s="276" t="s">
        <v>5320</v>
      </c>
      <c r="AF13" s="5143" t="s">
        <v>5321</v>
      </c>
      <c r="AG13" s="276" t="s">
        <v>5322</v>
      </c>
      <c r="AH13" s="5143" t="s">
        <v>5323</v>
      </c>
      <c r="AI13" s="276" t="s">
        <v>5324</v>
      </c>
      <c r="AJ13" s="5143" t="s">
        <v>5325</v>
      </c>
      <c r="AK13" s="276" t="s">
        <v>5326</v>
      </c>
      <c r="AL13" s="5143" t="s">
        <v>5327</v>
      </c>
      <c r="AM13" s="276" t="s">
        <v>5328</v>
      </c>
      <c r="AN13" s="5143" t="s">
        <v>5329</v>
      </c>
      <c r="AO13" s="276" t="s">
        <v>5330</v>
      </c>
      <c r="AP13" s="5143" t="s">
        <v>5331</v>
      </c>
      <c r="AQ13" s="276" t="s">
        <v>5332</v>
      </c>
      <c r="AR13" s="5144" t="s">
        <v>5333</v>
      </c>
      <c r="AS13" s="3483" t="s">
        <v>5334</v>
      </c>
      <c r="AT13" s="5145" t="s">
        <v>5335</v>
      </c>
      <c r="AU13" s="5146" t="s">
        <v>5336</v>
      </c>
      <c r="AV13" s="5145" t="s">
        <v>5337</v>
      </c>
      <c r="AW13" s="3479" t="s">
        <v>5338</v>
      </c>
      <c r="AX13" s="5147" t="s">
        <v>5339</v>
      </c>
      <c r="AY13" s="1687" t="e">
        <f>$CC13&amp;CD13&amp;CE13&amp;$CF13&amp;CL13&amp;CM13&amp;CN13&amp;CO13&amp;CP13&amp;CQ13&amp;CR13&amp;CS13&amp;CT13&amp;CU13&amp;CV13&amp;CW13&amp;CX13&amp;CY13</f>
        <v>#VALUE!</v>
      </c>
      <c r="CB13" s="600"/>
      <c r="CC13" s="4747" t="str">
        <f>IF(C13&lt;&gt;(AT13)," * La suma de las columnas "&amp;AS$10&amp;""&amp;" DEBE SER IGUAL a los Exámenes Procesados. ","")</f>
        <v xml:space="preserve"> * La suma de las columnas POR SEXO (Procesados) DEBE SER IGUAL a los Exámenes Procesados. </v>
      </c>
      <c r="CD13" s="2784" t="e">
        <f>IF(AND($C13&gt;0,AND(AU13="",AV13="")),"* No olvide ingresar las columnas Trans Masculino o Femenino (Digite CERO si no tiene). ",IF((AU13+AV13)&gt;$C13,"* El Número de Trans Masculino o Femenino no puede superar el Total Procesados. ",""))</f>
        <v>#VALUE!</v>
      </c>
      <c r="CE13" s="2784" t="str">
        <f>IF(AND($C13&gt;0,AW13=""),"* No olvide ingresar la columna "&amp;AW$10&amp;""&amp;" *(Digite CERO si no tiene). ",IF(AW13&gt;$C13," *El Número de "&amp;AW$10&amp;""&amp;" no puede superar el Total Procesados. ",""))</f>
        <v xml:space="preserve"> *El Número de Pueblos Originarios no puede superar el Total Procesados. </v>
      </c>
      <c r="CF13" s="2784" t="str">
        <f>IF(AND($C13&gt;0,AX13=""),"* No olvide ingresar la columna "&amp;AX$10&amp;""&amp;" *(Digite CERO si no tiene). ",IF(AX13&gt;$C13," *El Número de "&amp;AX$10&amp;""&amp;" no puede superar el Total Procesados. ",""))</f>
        <v xml:space="preserve"> *El Número de Migrantes no puede superar el Total Procesados. </v>
      </c>
      <c r="CG13" s="3018"/>
      <c r="CH13" s="3018"/>
      <c r="CI13" s="3018"/>
      <c r="CJ13" s="3018"/>
      <c r="CK13" s="3018"/>
      <c r="CL13" s="2784" t="str">
        <f>IF(O13&lt;P13,CONCATENATE("* El total de Procesados debe ser mayor o igual al total de Reactivos en el grupo de edad ",$O$11),"")</f>
        <v>* El total de Procesados debe ser mayor o igual al total de Reactivos en el grupo de edad 10 - 14 años</v>
      </c>
      <c r="CM13" s="2784" t="str">
        <f t="shared" ref="CM13:CM21" si="0">IF(Q13&lt;R13,CONCATENATE("* El total de Procesados debe ser mayor o igual al total de Reactivos en el grupo de edad ",$Q$11),"")</f>
        <v>* El total de Procesados debe ser mayor o igual al total de Reactivos en el grupo de edad 15 - 19 años</v>
      </c>
      <c r="CN13" s="2784" t="str">
        <f t="shared" ref="CN13:CN21" si="1">IF(S13&lt;T13,CONCATENATE("* El total de Procesados debe ser mayor o igual al total de Reactivos en el grupo de edad ",$S$11),"")</f>
        <v>* El total de Procesados debe ser mayor o igual al total de Reactivos en el grupo de edad 20 - 24 años</v>
      </c>
      <c r="CO13" s="2784" t="str">
        <f>IF($U13&lt;$V13,CONCATENATE("* El total de Procesados debe ser mayor o igual al total de Reactivos en el grupo de edad ",$U$11),"")</f>
        <v>* El total de Procesados debe ser mayor o igual al total de Reactivos en el grupo de edad 25 - 29 años</v>
      </c>
      <c r="CP13" s="2784" t="str">
        <f t="shared" ref="CP13:CP21" si="2">IF(W13&lt;X13,CONCATENATE("* El total de Procesados debe ser mayor o igual al total de Reactivos en el grupo de edad ",$W$11),"")</f>
        <v>* El total de Procesados debe ser mayor o igual al total de Reactivos en el grupo de edad 30 - 34 años</v>
      </c>
      <c r="CQ13" s="2784" t="str">
        <f t="shared" ref="CQ13:CQ21" si="3">IF(Y13&lt;Z13,CONCATENATE("* El total de Procesados debe ser mayor o igual al total de Reactivos en el grupo de edad ",$Y$11),"")</f>
        <v>* El total de Procesados debe ser mayor o igual al total de Reactivos en el grupo de edad 35 - 39 años</v>
      </c>
      <c r="CR13" s="2784" t="str">
        <f t="shared" ref="CR13:CR21" si="4">IF(AA13&lt;AB13,CONCATENATE("* El total de Procesados debe ser mayor o igual al total de Reactivos en el grupo de edad ",$AA$11),"")</f>
        <v>* El total de Procesados debe ser mayor o igual al total de Reactivos en el grupo de edad 40 - 44 años</v>
      </c>
      <c r="CS13" s="2784" t="str">
        <f t="shared" ref="CS13:CS21" si="5">IF(AE13&lt;AF13,CONCATENATE("* El total de Procesados debe ser mayor o igual al total de Reactivos en el grupo de edad ",$AE$11),"")</f>
        <v>* El total de Procesados debe ser mayor o igual al total de Reactivos en el grupo de edad 50 - 54 años</v>
      </c>
      <c r="CT13" s="2784" t="str">
        <f t="shared" ref="CT13:CT21" si="6">IF(AG13&lt;AH13,CONCATENATE("* El total de Procesados debe ser mayor o igual al total de Reactivos en el grupo de edad ",$AG$11),"")</f>
        <v>* El total de Procesados debe ser mayor o igual al total de Reactivos en el grupo de edad 55 - 59 años</v>
      </c>
      <c r="CU13" s="2784" t="str">
        <f t="shared" ref="CU13:CU21" si="7">IF(AI13&lt;AJ13,CONCATENATE("* El total de Procesados debe ser mayor o igual al total de Reactivos en el grupo de edad ",$AI$11),"")</f>
        <v>* El total de Procesados debe ser mayor o igual al total de Reactivos en el grupo de edad 60 - 64 años</v>
      </c>
      <c r="CV13" s="2784" t="str">
        <f t="shared" ref="CV13:CV21" si="8">IF(AK13&lt;AL13,CONCATENATE("* El total de Procesados debe ser mayor o igual al total de Reactivos en el grupo de edad ",$AK$11),"")</f>
        <v>* El total de Procesados debe ser mayor o igual al total de Reactivos en el grupo de edad 65 - 69 años</v>
      </c>
      <c r="CW13" s="2784" t="str">
        <f t="shared" ref="CW13:CW21" si="9">IF(AM13&lt;AN13,CONCATENATE("* El total de Procesados debe ser mayor o igual al total de Reactivos en el grupo de edad ",$AM$11),"")</f>
        <v>* El total de Procesados debe ser mayor o igual al total de Reactivos en el grupo de edad 70 - 74 años</v>
      </c>
      <c r="CX13" s="2784" t="str">
        <f t="shared" ref="CX13:CX21" si="10">IF(AO13&lt;AP13,CONCATENATE("* El total de Procesados debe ser mayor o igual al total de Reactivos en el grupo de edad ",$AO$11),"")</f>
        <v>* El total de Procesados debe ser mayor o igual al total de Reactivos en el grupo de edad 75 - 79 años</v>
      </c>
      <c r="CY13" s="2784" t="str">
        <f t="shared" ref="CY13:CY21" si="11">IF(AQ13&lt;AR13,CONCATENATE("* El total de Procesados debe ser mayor o igual al total de Reactivos en el grupo de edad ",$AQ$11),"")</f>
        <v>* El total de Procesados debe ser mayor o igual al total de Reactivos en el grupo de edad 80 y más años</v>
      </c>
      <c r="CZ13" s="2630"/>
      <c r="DA13" s="600"/>
      <c r="DB13" s="600"/>
      <c r="DF13" s="2630"/>
      <c r="DG13" s="4747">
        <f>IF(C13&lt;&gt;(AT13),1,0)</f>
        <v>1</v>
      </c>
      <c r="DH13" s="2920" t="e">
        <f>IF(AND($C13&gt;0,AND(AU13="",AV13="")),1,IF((AU13+AV13)&gt;$C13,1,0))</f>
        <v>#VALUE!</v>
      </c>
      <c r="DI13" s="2920">
        <f t="shared" ref="DI13:DI30" si="12">IF(AND($C13&gt;0,AW13=""),1,IF(AW13&gt;$C13,1,0))</f>
        <v>1</v>
      </c>
      <c r="DJ13" s="2920">
        <f t="shared" ref="DJ13:DJ30" si="13">IF(AND($C13&gt;0,AX13=""),1,IF(AX13&gt;$C13,1,0))</f>
        <v>1</v>
      </c>
      <c r="DK13" s="3018"/>
      <c r="DL13" s="3018"/>
      <c r="DM13" s="3018"/>
      <c r="DN13" s="3018"/>
      <c r="DO13" s="3018"/>
      <c r="DP13" s="2920">
        <f t="shared" ref="DP13:DP21" si="14">IF(O13&lt;P13,1,0)</f>
        <v>1</v>
      </c>
      <c r="DQ13" s="2920">
        <f t="shared" ref="DQ13:DQ21" si="15">IF(Q13&lt;R13,1,0)</f>
        <v>1</v>
      </c>
      <c r="DR13" s="2920">
        <f t="shared" ref="DR13:DR21" si="16">IF(S13&lt;T13,1,0)</f>
        <v>1</v>
      </c>
      <c r="DS13" s="2920">
        <f>IF($U13&lt;$V13,1,0)</f>
        <v>1</v>
      </c>
      <c r="DT13" s="2920">
        <f t="shared" ref="DT13:DT21" si="17">IF(W13&lt;X13,1,0)</f>
        <v>1</v>
      </c>
      <c r="DU13" s="2920">
        <f t="shared" ref="DU13:DU21" si="18">IF(Y13&lt;Z13,1,0)</f>
        <v>1</v>
      </c>
      <c r="DV13" s="2920">
        <f t="shared" ref="DV13:DV21" si="19">IF(AA13&lt;AB13,1,0)</f>
        <v>1</v>
      </c>
      <c r="DW13" s="2920">
        <f t="shared" ref="DW13:DW21" si="20">IF(AE13&lt;AF13,1,0)</f>
        <v>1</v>
      </c>
      <c r="DX13" s="2920">
        <f t="shared" ref="DX13:DX21" si="21">IF(AG13&lt;AH13,1,0)</f>
        <v>1</v>
      </c>
      <c r="DY13" s="2920">
        <f t="shared" ref="DY13:DY21" si="22">IF(AI13&lt;AJ13,1,0)</f>
        <v>1</v>
      </c>
      <c r="DZ13" s="2920">
        <f t="shared" ref="DZ13:DZ21" si="23">IF(AK13&lt;AL13,1,0)</f>
        <v>1</v>
      </c>
      <c r="EA13" s="2920">
        <f t="shared" ref="EA13:EA21" si="24">IF(AM13&lt;AN13,1,0)</f>
        <v>1</v>
      </c>
      <c r="EB13" s="2920">
        <f t="shared" ref="EB13:EB21" si="25">IF(AO13&lt;AP13,1,0)</f>
        <v>1</v>
      </c>
      <c r="EC13" s="2920">
        <f t="shared" ref="EC13:EC21" si="26">IF(AQ13&lt;AR13,1,0)</f>
        <v>1</v>
      </c>
    </row>
    <row r="14" spans="1:137" x14ac:dyDescent="0.3">
      <c r="A14" s="6234">
        <v>11053800</v>
      </c>
      <c r="B14" s="3485" t="s">
        <v>2660</v>
      </c>
      <c r="C14" s="1928" t="s">
        <v>5292</v>
      </c>
      <c r="D14" s="3242" t="s">
        <v>5293</v>
      </c>
      <c r="E14" s="5148" t="s">
        <v>5294</v>
      </c>
      <c r="F14" s="5149" t="s">
        <v>5295</v>
      </c>
      <c r="G14" s="5148" t="s">
        <v>5296</v>
      </c>
      <c r="H14" s="5149" t="s">
        <v>5297</v>
      </c>
      <c r="I14" s="5148" t="s">
        <v>5298</v>
      </c>
      <c r="J14" s="5149" t="s">
        <v>5299</v>
      </c>
      <c r="K14" s="5148" t="s">
        <v>5300</v>
      </c>
      <c r="L14" s="5149" t="s">
        <v>5301</v>
      </c>
      <c r="M14" s="5148" t="s">
        <v>5302</v>
      </c>
      <c r="N14" s="5150" t="s">
        <v>5303</v>
      </c>
      <c r="O14" s="3479" t="s">
        <v>5304</v>
      </c>
      <c r="P14" s="5151" t="s">
        <v>5305</v>
      </c>
      <c r="Q14" s="5038" t="s">
        <v>5306</v>
      </c>
      <c r="R14" s="5151" t="s">
        <v>5307</v>
      </c>
      <c r="S14" s="5038" t="s">
        <v>5308</v>
      </c>
      <c r="T14" s="5151" t="s">
        <v>5309</v>
      </c>
      <c r="U14" s="5038" t="s">
        <v>5310</v>
      </c>
      <c r="V14" s="5151" t="s">
        <v>5311</v>
      </c>
      <c r="W14" s="5038" t="s">
        <v>5312</v>
      </c>
      <c r="X14" s="5151" t="s">
        <v>5313</v>
      </c>
      <c r="Y14" s="5038" t="s">
        <v>5314</v>
      </c>
      <c r="Z14" s="5151" t="s">
        <v>5315</v>
      </c>
      <c r="AA14" s="5038" t="s">
        <v>5316</v>
      </c>
      <c r="AB14" s="5151" t="s">
        <v>5317</v>
      </c>
      <c r="AC14" s="5038" t="s">
        <v>5318</v>
      </c>
      <c r="AD14" s="5151" t="s">
        <v>5319</v>
      </c>
      <c r="AE14" s="5038" t="s">
        <v>5320</v>
      </c>
      <c r="AF14" s="5151" t="s">
        <v>5321</v>
      </c>
      <c r="AG14" s="5038" t="s">
        <v>5322</v>
      </c>
      <c r="AH14" s="5151" t="s">
        <v>5323</v>
      </c>
      <c r="AI14" s="5038" t="s">
        <v>5324</v>
      </c>
      <c r="AJ14" s="5151" t="s">
        <v>5325</v>
      </c>
      <c r="AK14" s="5038" t="s">
        <v>5326</v>
      </c>
      <c r="AL14" s="5151" t="s">
        <v>5327</v>
      </c>
      <c r="AM14" s="5038" t="s">
        <v>5328</v>
      </c>
      <c r="AN14" s="5151" t="s">
        <v>5329</v>
      </c>
      <c r="AO14" s="5038" t="s">
        <v>5330</v>
      </c>
      <c r="AP14" s="5151" t="s">
        <v>5331</v>
      </c>
      <c r="AQ14" s="5038" t="s">
        <v>5332</v>
      </c>
      <c r="AR14" s="5145" t="s">
        <v>5333</v>
      </c>
      <c r="AS14" s="3483" t="s">
        <v>5334</v>
      </c>
      <c r="AT14" s="5145" t="s">
        <v>5335</v>
      </c>
      <c r="AU14" s="5146" t="s">
        <v>5336</v>
      </c>
      <c r="AV14" s="5145" t="s">
        <v>5337</v>
      </c>
      <c r="AW14" s="3479" t="s">
        <v>5338</v>
      </c>
      <c r="AX14" s="5147" t="s">
        <v>5339</v>
      </c>
      <c r="AY14" s="1687" t="e">
        <f t="shared" ref="AY14:AY17" si="27">$CC14&amp;CD14&amp;CE14&amp;$CF14&amp;CL14&amp;CM14&amp;CN14&amp;CO14&amp;CP14&amp;CQ14&amp;CR14&amp;CS14&amp;CT14&amp;CU14&amp;CV14&amp;CW14&amp;CX14&amp;CY14</f>
        <v>#VALUE!</v>
      </c>
      <c r="CB14" s="600"/>
      <c r="CC14" s="4747" t="str">
        <f t="shared" ref="CC14:CC21" si="28">IF(C14&lt;&gt;(AT14)," * La suma de las columnas "&amp;AS$10&amp;""&amp;" DEBE SER IGUAL a los Exámenes Procesados. ","")</f>
        <v xml:space="preserve"> * La suma de las columnas POR SEXO (Procesados) DEBE SER IGUAL a los Exámenes Procesados. </v>
      </c>
      <c r="CD14" s="2784" t="e">
        <f t="shared" ref="CD14:CD30" si="29">IF(AND($C14&gt;0,AND(AU14="",AV14="")),"* No olvide ingresar las columnas Trans Masculino o Femenino (Digite CERO si no tiene). ",IF((AU14+AV14)&gt;$C14,"* El Número de Trans Masculino o Femenino no puede superar el Total Procesados. ",""))</f>
        <v>#VALUE!</v>
      </c>
      <c r="CE14" s="2784" t="str">
        <f t="shared" ref="CE14:CE30" si="30">IF(AND($C14&gt;0,AW14=""),"* No olvide ingresar la columna "&amp;AW$10&amp;""&amp;" *(Digite CERO si no tiene). ",IF(AW14&gt;$C14," *El Número de "&amp;AW$10&amp;""&amp;" no puede superar el Total Procesados. ",""))</f>
        <v xml:space="preserve"> *El Número de Pueblos Originarios no puede superar el Total Procesados. </v>
      </c>
      <c r="CF14" s="2784" t="str">
        <f t="shared" ref="CF14:CF30" si="31">IF(AND($C14&gt;0,AX14=""),"* No olvide ingresar la columna "&amp;AX$10&amp;""&amp;" *(Digite CERO si no tiene). ",IF(AX14&gt;$C14," *El Número de "&amp;AX$10&amp;""&amp;" no puede superar el Total Procesados. ",""))</f>
        <v xml:space="preserve"> *El Número de Migrantes no puede superar el Total Procesados. </v>
      </c>
      <c r="CG14" s="3018"/>
      <c r="CH14" s="3018"/>
      <c r="CI14" s="3018"/>
      <c r="CJ14" s="3018"/>
      <c r="CK14" s="3018"/>
      <c r="CL14" s="2784" t="str">
        <f t="shared" ref="CL14:CL21" si="32">IF(O14&lt;P14,CONCATENATE("* El total de Procesados debe ser mayor o igual al total de Reactivos en el grupo de edad ",$O$11),"")</f>
        <v>* El total de Procesados debe ser mayor o igual al total de Reactivos en el grupo de edad 10 - 14 años</v>
      </c>
      <c r="CM14" s="2784" t="str">
        <f t="shared" si="0"/>
        <v>* El total de Procesados debe ser mayor o igual al total de Reactivos en el grupo de edad 15 - 19 años</v>
      </c>
      <c r="CN14" s="2784" t="str">
        <f t="shared" si="1"/>
        <v>* El total de Procesados debe ser mayor o igual al total de Reactivos en el grupo de edad 20 - 24 años</v>
      </c>
      <c r="CO14" s="2784" t="str">
        <f t="shared" ref="CO14:CO30" si="33">IF($U14&lt;$V14,CONCATENATE("* El total de Procesados debe ser mayor o igual al total de Reactivos en el grupo de edad ",$U$11),"")</f>
        <v>* El total de Procesados debe ser mayor o igual al total de Reactivos en el grupo de edad 25 - 29 años</v>
      </c>
      <c r="CP14" s="2784" t="str">
        <f t="shared" si="2"/>
        <v>* El total de Procesados debe ser mayor o igual al total de Reactivos en el grupo de edad 30 - 34 años</v>
      </c>
      <c r="CQ14" s="2784" t="str">
        <f t="shared" si="3"/>
        <v>* El total de Procesados debe ser mayor o igual al total de Reactivos en el grupo de edad 35 - 39 años</v>
      </c>
      <c r="CR14" s="2784" t="str">
        <f t="shared" si="4"/>
        <v>* El total de Procesados debe ser mayor o igual al total de Reactivos en el grupo de edad 40 - 44 años</v>
      </c>
      <c r="CS14" s="2784" t="str">
        <f t="shared" si="5"/>
        <v>* El total de Procesados debe ser mayor o igual al total de Reactivos en el grupo de edad 50 - 54 años</v>
      </c>
      <c r="CT14" s="2784" t="str">
        <f t="shared" si="6"/>
        <v>* El total de Procesados debe ser mayor o igual al total de Reactivos en el grupo de edad 55 - 59 años</v>
      </c>
      <c r="CU14" s="2784" t="str">
        <f t="shared" si="7"/>
        <v>* El total de Procesados debe ser mayor o igual al total de Reactivos en el grupo de edad 60 - 64 años</v>
      </c>
      <c r="CV14" s="2784" t="str">
        <f t="shared" si="8"/>
        <v>* El total de Procesados debe ser mayor o igual al total de Reactivos en el grupo de edad 65 - 69 años</v>
      </c>
      <c r="CW14" s="2784" t="str">
        <f t="shared" si="9"/>
        <v>* El total de Procesados debe ser mayor o igual al total de Reactivos en el grupo de edad 70 - 74 años</v>
      </c>
      <c r="CX14" s="2784" t="str">
        <f t="shared" si="10"/>
        <v>* El total de Procesados debe ser mayor o igual al total de Reactivos en el grupo de edad 75 - 79 años</v>
      </c>
      <c r="CY14" s="2784" t="str">
        <f t="shared" si="11"/>
        <v>* El total de Procesados debe ser mayor o igual al total de Reactivos en el grupo de edad 80 y más años</v>
      </c>
      <c r="DF14" s="2630"/>
      <c r="DG14" s="4747">
        <f>IF(C14&lt;&gt;(AT14),1,0)</f>
        <v>1</v>
      </c>
      <c r="DH14" s="2920" t="e">
        <f t="shared" ref="DH14:DH30" si="34">IF(AND($C14&gt;0,AND(AU14="",AV14="")),1,IF((AU14+AV14)&gt;$C14,1,0))</f>
        <v>#VALUE!</v>
      </c>
      <c r="DI14" s="2920">
        <f t="shared" si="12"/>
        <v>1</v>
      </c>
      <c r="DJ14" s="2920">
        <f t="shared" si="13"/>
        <v>1</v>
      </c>
      <c r="DK14" s="3018"/>
      <c r="DL14" s="3018"/>
      <c r="DM14" s="3018"/>
      <c r="DN14" s="3018"/>
      <c r="DO14" s="3018"/>
      <c r="DP14" s="2920">
        <f t="shared" si="14"/>
        <v>1</v>
      </c>
      <c r="DQ14" s="2920">
        <f t="shared" si="15"/>
        <v>1</v>
      </c>
      <c r="DR14" s="2920">
        <f t="shared" si="16"/>
        <v>1</v>
      </c>
      <c r="DS14" s="2920">
        <f t="shared" ref="DS14:DS30" si="35">IF($U14&lt;$V14,1,0)</f>
        <v>1</v>
      </c>
      <c r="DT14" s="2920">
        <f t="shared" si="17"/>
        <v>1</v>
      </c>
      <c r="DU14" s="2920">
        <f t="shared" si="18"/>
        <v>1</v>
      </c>
      <c r="DV14" s="2920">
        <f t="shared" si="19"/>
        <v>1</v>
      </c>
      <c r="DW14" s="2920">
        <f t="shared" si="20"/>
        <v>1</v>
      </c>
      <c r="DX14" s="2920">
        <f t="shared" si="21"/>
        <v>1</v>
      </c>
      <c r="DY14" s="2920">
        <f t="shared" si="22"/>
        <v>1</v>
      </c>
      <c r="DZ14" s="2920">
        <f t="shared" si="23"/>
        <v>1</v>
      </c>
      <c r="EA14" s="2920">
        <f t="shared" si="24"/>
        <v>1</v>
      </c>
      <c r="EB14" s="2920">
        <f t="shared" si="25"/>
        <v>1</v>
      </c>
      <c r="EC14" s="2920">
        <f t="shared" si="26"/>
        <v>1</v>
      </c>
    </row>
    <row r="15" spans="1:137" x14ac:dyDescent="0.3">
      <c r="A15" s="6234">
        <v>11053900</v>
      </c>
      <c r="B15" s="3485" t="s">
        <v>2661</v>
      </c>
      <c r="C15" s="1928" t="s">
        <v>5292</v>
      </c>
      <c r="D15" s="3242" t="s">
        <v>5293</v>
      </c>
      <c r="E15" s="5148" t="s">
        <v>5294</v>
      </c>
      <c r="F15" s="5149" t="s">
        <v>5295</v>
      </c>
      <c r="G15" s="5148" t="s">
        <v>5296</v>
      </c>
      <c r="H15" s="5149" t="s">
        <v>5297</v>
      </c>
      <c r="I15" s="5148" t="s">
        <v>5298</v>
      </c>
      <c r="J15" s="5149" t="s">
        <v>5299</v>
      </c>
      <c r="K15" s="5148" t="s">
        <v>5300</v>
      </c>
      <c r="L15" s="5149" t="s">
        <v>5301</v>
      </c>
      <c r="M15" s="5148" t="s">
        <v>5302</v>
      </c>
      <c r="N15" s="5150" t="s">
        <v>5303</v>
      </c>
      <c r="O15" s="3479" t="s">
        <v>5304</v>
      </c>
      <c r="P15" s="5151" t="s">
        <v>5305</v>
      </c>
      <c r="Q15" s="5038" t="s">
        <v>5306</v>
      </c>
      <c r="R15" s="5151" t="s">
        <v>5307</v>
      </c>
      <c r="S15" s="5038" t="s">
        <v>5308</v>
      </c>
      <c r="T15" s="5151" t="s">
        <v>5309</v>
      </c>
      <c r="U15" s="5038" t="s">
        <v>5310</v>
      </c>
      <c r="V15" s="5151" t="s">
        <v>5311</v>
      </c>
      <c r="W15" s="5038" t="s">
        <v>5312</v>
      </c>
      <c r="X15" s="5151" t="s">
        <v>5313</v>
      </c>
      <c r="Y15" s="5038" t="s">
        <v>5314</v>
      </c>
      <c r="Z15" s="5151" t="s">
        <v>5315</v>
      </c>
      <c r="AA15" s="5038" t="s">
        <v>5316</v>
      </c>
      <c r="AB15" s="5151" t="s">
        <v>5317</v>
      </c>
      <c r="AC15" s="5038" t="s">
        <v>5318</v>
      </c>
      <c r="AD15" s="5151" t="s">
        <v>5319</v>
      </c>
      <c r="AE15" s="5038" t="s">
        <v>5320</v>
      </c>
      <c r="AF15" s="5151" t="s">
        <v>5321</v>
      </c>
      <c r="AG15" s="5038" t="s">
        <v>5322</v>
      </c>
      <c r="AH15" s="5151" t="s">
        <v>5323</v>
      </c>
      <c r="AI15" s="5038" t="s">
        <v>5324</v>
      </c>
      <c r="AJ15" s="5151" t="s">
        <v>5325</v>
      </c>
      <c r="AK15" s="5038" t="s">
        <v>5326</v>
      </c>
      <c r="AL15" s="5151" t="s">
        <v>5327</v>
      </c>
      <c r="AM15" s="5038" t="s">
        <v>5328</v>
      </c>
      <c r="AN15" s="5151" t="s">
        <v>5329</v>
      </c>
      <c r="AO15" s="5038" t="s">
        <v>5330</v>
      </c>
      <c r="AP15" s="5151" t="s">
        <v>5331</v>
      </c>
      <c r="AQ15" s="5038" t="s">
        <v>5332</v>
      </c>
      <c r="AR15" s="5145" t="s">
        <v>5333</v>
      </c>
      <c r="AS15" s="3483" t="s">
        <v>5334</v>
      </c>
      <c r="AT15" s="5145" t="s">
        <v>5335</v>
      </c>
      <c r="AU15" s="5146" t="s">
        <v>5336</v>
      </c>
      <c r="AV15" s="5145" t="s">
        <v>5337</v>
      </c>
      <c r="AW15" s="3479" t="s">
        <v>5338</v>
      </c>
      <c r="AX15" s="5147" t="s">
        <v>5339</v>
      </c>
      <c r="AY15" s="1687" t="e">
        <f t="shared" si="27"/>
        <v>#VALUE!</v>
      </c>
      <c r="CB15" s="600"/>
      <c r="CC15" s="4747" t="str">
        <f t="shared" si="28"/>
        <v xml:space="preserve"> * La suma de las columnas POR SEXO (Procesados) DEBE SER IGUAL a los Exámenes Procesados. </v>
      </c>
      <c r="CD15" s="2784" t="e">
        <f t="shared" si="29"/>
        <v>#VALUE!</v>
      </c>
      <c r="CE15" s="2784" t="str">
        <f t="shared" si="30"/>
        <v xml:space="preserve"> *El Número de Pueblos Originarios no puede superar el Total Procesados. </v>
      </c>
      <c r="CF15" s="2784" t="str">
        <f t="shared" si="31"/>
        <v xml:space="preserve"> *El Número de Migrantes no puede superar el Total Procesados. </v>
      </c>
      <c r="CG15" s="3018"/>
      <c r="CH15" s="3018"/>
      <c r="CI15" s="3018"/>
      <c r="CJ15" s="3018"/>
      <c r="CK15" s="3018"/>
      <c r="CL15" s="2784" t="str">
        <f t="shared" si="32"/>
        <v>* El total de Procesados debe ser mayor o igual al total de Reactivos en el grupo de edad 10 - 14 años</v>
      </c>
      <c r="CM15" s="2784" t="str">
        <f t="shared" si="0"/>
        <v>* El total de Procesados debe ser mayor o igual al total de Reactivos en el grupo de edad 15 - 19 años</v>
      </c>
      <c r="CN15" s="2784" t="str">
        <f t="shared" si="1"/>
        <v>* El total de Procesados debe ser mayor o igual al total de Reactivos en el grupo de edad 20 - 24 años</v>
      </c>
      <c r="CO15" s="2784" t="str">
        <f t="shared" si="33"/>
        <v>* El total de Procesados debe ser mayor o igual al total de Reactivos en el grupo de edad 25 - 29 años</v>
      </c>
      <c r="CP15" s="2784" t="str">
        <f t="shared" si="2"/>
        <v>* El total de Procesados debe ser mayor o igual al total de Reactivos en el grupo de edad 30 - 34 años</v>
      </c>
      <c r="CQ15" s="2784" t="str">
        <f t="shared" si="3"/>
        <v>* El total de Procesados debe ser mayor o igual al total de Reactivos en el grupo de edad 35 - 39 años</v>
      </c>
      <c r="CR15" s="2784" t="str">
        <f t="shared" si="4"/>
        <v>* El total de Procesados debe ser mayor o igual al total de Reactivos en el grupo de edad 40 - 44 años</v>
      </c>
      <c r="CS15" s="2784" t="str">
        <f t="shared" si="5"/>
        <v>* El total de Procesados debe ser mayor o igual al total de Reactivos en el grupo de edad 50 - 54 años</v>
      </c>
      <c r="CT15" s="2784" t="str">
        <f t="shared" si="6"/>
        <v>* El total de Procesados debe ser mayor o igual al total de Reactivos en el grupo de edad 55 - 59 años</v>
      </c>
      <c r="CU15" s="2784" t="str">
        <f t="shared" si="7"/>
        <v>* El total de Procesados debe ser mayor o igual al total de Reactivos en el grupo de edad 60 - 64 años</v>
      </c>
      <c r="CV15" s="2784" t="str">
        <f t="shared" si="8"/>
        <v>* El total de Procesados debe ser mayor o igual al total de Reactivos en el grupo de edad 65 - 69 años</v>
      </c>
      <c r="CW15" s="2784" t="str">
        <f t="shared" si="9"/>
        <v>* El total de Procesados debe ser mayor o igual al total de Reactivos en el grupo de edad 70 - 74 años</v>
      </c>
      <c r="CX15" s="2784" t="str">
        <f t="shared" si="10"/>
        <v>* El total de Procesados debe ser mayor o igual al total de Reactivos en el grupo de edad 75 - 79 años</v>
      </c>
      <c r="CY15" s="2784" t="str">
        <f t="shared" si="11"/>
        <v>* El total de Procesados debe ser mayor o igual al total de Reactivos en el grupo de edad 80 y más años</v>
      </c>
      <c r="DF15" s="2630"/>
      <c r="DG15" s="4747">
        <f>IF(C15&lt;&gt;(AT15),1,0)</f>
        <v>1</v>
      </c>
      <c r="DH15" s="2920" t="e">
        <f t="shared" si="34"/>
        <v>#VALUE!</v>
      </c>
      <c r="DI15" s="2920">
        <f t="shared" si="12"/>
        <v>1</v>
      </c>
      <c r="DJ15" s="2920">
        <f t="shared" si="13"/>
        <v>1</v>
      </c>
      <c r="DK15" s="3018"/>
      <c r="DL15" s="3018"/>
      <c r="DM15" s="3018"/>
      <c r="DN15" s="3018"/>
      <c r="DO15" s="3018"/>
      <c r="DP15" s="2920">
        <f t="shared" si="14"/>
        <v>1</v>
      </c>
      <c r="DQ15" s="2920">
        <f t="shared" si="15"/>
        <v>1</v>
      </c>
      <c r="DR15" s="2920">
        <f t="shared" si="16"/>
        <v>1</v>
      </c>
      <c r="DS15" s="2920">
        <f t="shared" si="35"/>
        <v>1</v>
      </c>
      <c r="DT15" s="2920">
        <f t="shared" si="17"/>
        <v>1</v>
      </c>
      <c r="DU15" s="2920">
        <f t="shared" si="18"/>
        <v>1</v>
      </c>
      <c r="DV15" s="2920">
        <f t="shared" si="19"/>
        <v>1</v>
      </c>
      <c r="DW15" s="2920">
        <f t="shared" si="20"/>
        <v>1</v>
      </c>
      <c r="DX15" s="2920">
        <f t="shared" si="21"/>
        <v>1</v>
      </c>
      <c r="DY15" s="2920">
        <f t="shared" si="22"/>
        <v>1</v>
      </c>
      <c r="DZ15" s="2920">
        <f t="shared" si="23"/>
        <v>1</v>
      </c>
      <c r="EA15" s="2920">
        <f t="shared" si="24"/>
        <v>1</v>
      </c>
      <c r="EB15" s="2920">
        <f t="shared" si="25"/>
        <v>1</v>
      </c>
      <c r="EC15" s="2920">
        <f t="shared" si="26"/>
        <v>1</v>
      </c>
    </row>
    <row r="16" spans="1:137" x14ac:dyDescent="0.3">
      <c r="A16" s="6234">
        <v>11054000</v>
      </c>
      <c r="B16" s="3485" t="s">
        <v>2662</v>
      </c>
      <c r="C16" s="1928" t="s">
        <v>5292</v>
      </c>
      <c r="D16" s="3242" t="s">
        <v>5293</v>
      </c>
      <c r="E16" s="5148" t="s">
        <v>5294</v>
      </c>
      <c r="F16" s="5149" t="s">
        <v>5295</v>
      </c>
      <c r="G16" s="5148" t="s">
        <v>5296</v>
      </c>
      <c r="H16" s="5149" t="s">
        <v>5297</v>
      </c>
      <c r="I16" s="5148" t="s">
        <v>5298</v>
      </c>
      <c r="J16" s="5149" t="s">
        <v>5299</v>
      </c>
      <c r="K16" s="5148" t="s">
        <v>5300</v>
      </c>
      <c r="L16" s="5149" t="s">
        <v>5301</v>
      </c>
      <c r="M16" s="5148" t="s">
        <v>5302</v>
      </c>
      <c r="N16" s="5150" t="s">
        <v>5303</v>
      </c>
      <c r="O16" s="3479" t="s">
        <v>5304</v>
      </c>
      <c r="P16" s="5151" t="s">
        <v>5305</v>
      </c>
      <c r="Q16" s="5038" t="s">
        <v>5306</v>
      </c>
      <c r="R16" s="5151" t="s">
        <v>5307</v>
      </c>
      <c r="S16" s="5038" t="s">
        <v>5308</v>
      </c>
      <c r="T16" s="5151" t="s">
        <v>5309</v>
      </c>
      <c r="U16" s="5038" t="s">
        <v>5310</v>
      </c>
      <c r="V16" s="5151" t="s">
        <v>5311</v>
      </c>
      <c r="W16" s="5038" t="s">
        <v>5312</v>
      </c>
      <c r="X16" s="5151" t="s">
        <v>5313</v>
      </c>
      <c r="Y16" s="5038" t="s">
        <v>5314</v>
      </c>
      <c r="Z16" s="5151" t="s">
        <v>5315</v>
      </c>
      <c r="AA16" s="5038" t="s">
        <v>5316</v>
      </c>
      <c r="AB16" s="5151" t="s">
        <v>5317</v>
      </c>
      <c r="AC16" s="5038" t="s">
        <v>5318</v>
      </c>
      <c r="AD16" s="5151" t="s">
        <v>5319</v>
      </c>
      <c r="AE16" s="5038" t="s">
        <v>5320</v>
      </c>
      <c r="AF16" s="5151" t="s">
        <v>5321</v>
      </c>
      <c r="AG16" s="5038" t="s">
        <v>5322</v>
      </c>
      <c r="AH16" s="5151" t="s">
        <v>5323</v>
      </c>
      <c r="AI16" s="5038" t="s">
        <v>5324</v>
      </c>
      <c r="AJ16" s="5151" t="s">
        <v>5325</v>
      </c>
      <c r="AK16" s="5038" t="s">
        <v>5326</v>
      </c>
      <c r="AL16" s="5151" t="s">
        <v>5327</v>
      </c>
      <c r="AM16" s="5038" t="s">
        <v>5328</v>
      </c>
      <c r="AN16" s="5151" t="s">
        <v>5329</v>
      </c>
      <c r="AO16" s="5038" t="s">
        <v>5330</v>
      </c>
      <c r="AP16" s="5151" t="s">
        <v>5331</v>
      </c>
      <c r="AQ16" s="5038" t="s">
        <v>5332</v>
      </c>
      <c r="AR16" s="5145" t="s">
        <v>5333</v>
      </c>
      <c r="AS16" s="3483" t="s">
        <v>5334</v>
      </c>
      <c r="AT16" s="5145" t="s">
        <v>5335</v>
      </c>
      <c r="AU16" s="5146" t="s">
        <v>5336</v>
      </c>
      <c r="AV16" s="5145" t="s">
        <v>5337</v>
      </c>
      <c r="AW16" s="3479" t="s">
        <v>5338</v>
      </c>
      <c r="AX16" s="5147" t="s">
        <v>5339</v>
      </c>
      <c r="AY16" s="1687" t="e">
        <f t="shared" si="27"/>
        <v>#VALUE!</v>
      </c>
      <c r="CB16" s="600"/>
      <c r="CC16" s="4747" t="str">
        <f t="shared" si="28"/>
        <v xml:space="preserve"> * La suma de las columnas POR SEXO (Procesados) DEBE SER IGUAL a los Exámenes Procesados. </v>
      </c>
      <c r="CD16" s="2784" t="e">
        <f t="shared" si="29"/>
        <v>#VALUE!</v>
      </c>
      <c r="CE16" s="2784" t="str">
        <f t="shared" si="30"/>
        <v xml:space="preserve"> *El Número de Pueblos Originarios no puede superar el Total Procesados. </v>
      </c>
      <c r="CF16" s="2784" t="str">
        <f t="shared" si="31"/>
        <v xml:space="preserve"> *El Número de Migrantes no puede superar el Total Procesados. </v>
      </c>
      <c r="CG16" s="3018"/>
      <c r="CH16" s="3018"/>
      <c r="CI16" s="3018"/>
      <c r="CJ16" s="3018"/>
      <c r="CK16" s="3018"/>
      <c r="CL16" s="2784" t="str">
        <f t="shared" si="32"/>
        <v>* El total de Procesados debe ser mayor o igual al total de Reactivos en el grupo de edad 10 - 14 años</v>
      </c>
      <c r="CM16" s="2784" t="str">
        <f t="shared" si="0"/>
        <v>* El total de Procesados debe ser mayor o igual al total de Reactivos en el grupo de edad 15 - 19 años</v>
      </c>
      <c r="CN16" s="2784" t="str">
        <f t="shared" si="1"/>
        <v>* El total de Procesados debe ser mayor o igual al total de Reactivos en el grupo de edad 20 - 24 años</v>
      </c>
      <c r="CO16" s="2784" t="str">
        <f t="shared" si="33"/>
        <v>* El total de Procesados debe ser mayor o igual al total de Reactivos en el grupo de edad 25 - 29 años</v>
      </c>
      <c r="CP16" s="2784" t="str">
        <f t="shared" si="2"/>
        <v>* El total de Procesados debe ser mayor o igual al total de Reactivos en el grupo de edad 30 - 34 años</v>
      </c>
      <c r="CQ16" s="2784" t="str">
        <f t="shared" si="3"/>
        <v>* El total de Procesados debe ser mayor o igual al total de Reactivos en el grupo de edad 35 - 39 años</v>
      </c>
      <c r="CR16" s="2784" t="str">
        <f t="shared" si="4"/>
        <v>* El total de Procesados debe ser mayor o igual al total de Reactivos en el grupo de edad 40 - 44 años</v>
      </c>
      <c r="CS16" s="2784" t="str">
        <f t="shared" si="5"/>
        <v>* El total de Procesados debe ser mayor o igual al total de Reactivos en el grupo de edad 50 - 54 años</v>
      </c>
      <c r="CT16" s="2784" t="str">
        <f t="shared" si="6"/>
        <v>* El total de Procesados debe ser mayor o igual al total de Reactivos en el grupo de edad 55 - 59 años</v>
      </c>
      <c r="CU16" s="2784" t="str">
        <f t="shared" si="7"/>
        <v>* El total de Procesados debe ser mayor o igual al total de Reactivos en el grupo de edad 60 - 64 años</v>
      </c>
      <c r="CV16" s="2784" t="str">
        <f t="shared" si="8"/>
        <v>* El total de Procesados debe ser mayor o igual al total de Reactivos en el grupo de edad 65 - 69 años</v>
      </c>
      <c r="CW16" s="2784" t="str">
        <f t="shared" si="9"/>
        <v>* El total de Procesados debe ser mayor o igual al total de Reactivos en el grupo de edad 70 - 74 años</v>
      </c>
      <c r="CX16" s="2784" t="str">
        <f t="shared" si="10"/>
        <v>* El total de Procesados debe ser mayor o igual al total de Reactivos en el grupo de edad 75 - 79 años</v>
      </c>
      <c r="CY16" s="2784" t="str">
        <f t="shared" si="11"/>
        <v>* El total de Procesados debe ser mayor o igual al total de Reactivos en el grupo de edad 80 y más años</v>
      </c>
      <c r="DF16" s="2630"/>
      <c r="DG16" s="4747">
        <f>IF(C16&lt;&gt;(AT16),1,0)</f>
        <v>1</v>
      </c>
      <c r="DH16" s="2920" t="e">
        <f t="shared" si="34"/>
        <v>#VALUE!</v>
      </c>
      <c r="DI16" s="2920">
        <f t="shared" si="12"/>
        <v>1</v>
      </c>
      <c r="DJ16" s="2920">
        <f t="shared" si="13"/>
        <v>1</v>
      </c>
      <c r="DK16" s="3018"/>
      <c r="DL16" s="3018"/>
      <c r="DM16" s="3018"/>
      <c r="DN16" s="3018"/>
      <c r="DO16" s="3018"/>
      <c r="DP16" s="2920">
        <f t="shared" si="14"/>
        <v>1</v>
      </c>
      <c r="DQ16" s="2920">
        <f t="shared" si="15"/>
        <v>1</v>
      </c>
      <c r="DR16" s="2920">
        <f t="shared" si="16"/>
        <v>1</v>
      </c>
      <c r="DS16" s="2920">
        <f t="shared" si="35"/>
        <v>1</v>
      </c>
      <c r="DT16" s="2920">
        <f t="shared" si="17"/>
        <v>1</v>
      </c>
      <c r="DU16" s="2920">
        <f t="shared" si="18"/>
        <v>1</v>
      </c>
      <c r="DV16" s="2920">
        <f t="shared" si="19"/>
        <v>1</v>
      </c>
      <c r="DW16" s="2920">
        <f t="shared" si="20"/>
        <v>1</v>
      </c>
      <c r="DX16" s="2920">
        <f t="shared" si="21"/>
        <v>1</v>
      </c>
      <c r="DY16" s="2920">
        <f t="shared" si="22"/>
        <v>1</v>
      </c>
      <c r="DZ16" s="2920">
        <f t="shared" si="23"/>
        <v>1</v>
      </c>
      <c r="EA16" s="2920">
        <f t="shared" si="24"/>
        <v>1</v>
      </c>
      <c r="EB16" s="2920">
        <f t="shared" si="25"/>
        <v>1</v>
      </c>
      <c r="EC16" s="2920">
        <f t="shared" si="26"/>
        <v>1</v>
      </c>
    </row>
    <row r="17" spans="1:133" x14ac:dyDescent="0.3">
      <c r="A17" s="6234">
        <v>11051200</v>
      </c>
      <c r="B17" s="3486" t="s">
        <v>2663</v>
      </c>
      <c r="C17" s="1928" t="s">
        <v>5292</v>
      </c>
      <c r="D17" s="3242" t="s">
        <v>5293</v>
      </c>
      <c r="E17" s="5148" t="s">
        <v>5294</v>
      </c>
      <c r="F17" s="5149" t="s">
        <v>5295</v>
      </c>
      <c r="G17" s="5148" t="s">
        <v>5296</v>
      </c>
      <c r="H17" s="5149" t="s">
        <v>5297</v>
      </c>
      <c r="I17" s="5148" t="s">
        <v>5298</v>
      </c>
      <c r="J17" s="5149" t="s">
        <v>5299</v>
      </c>
      <c r="K17" s="5148" t="s">
        <v>5300</v>
      </c>
      <c r="L17" s="5149" t="s">
        <v>5301</v>
      </c>
      <c r="M17" s="5148" t="s">
        <v>5302</v>
      </c>
      <c r="N17" s="5150" t="s">
        <v>5303</v>
      </c>
      <c r="O17" s="3479" t="s">
        <v>5304</v>
      </c>
      <c r="P17" s="5151" t="s">
        <v>5305</v>
      </c>
      <c r="Q17" s="5038" t="s">
        <v>5306</v>
      </c>
      <c r="R17" s="5151" t="s">
        <v>5307</v>
      </c>
      <c r="S17" s="5038" t="s">
        <v>5308</v>
      </c>
      <c r="T17" s="5151" t="s">
        <v>5309</v>
      </c>
      <c r="U17" s="5038" t="s">
        <v>5310</v>
      </c>
      <c r="V17" s="5151" t="s">
        <v>5311</v>
      </c>
      <c r="W17" s="5038" t="s">
        <v>5312</v>
      </c>
      <c r="X17" s="5151" t="s">
        <v>5313</v>
      </c>
      <c r="Y17" s="5038" t="s">
        <v>5314</v>
      </c>
      <c r="Z17" s="5151" t="s">
        <v>5315</v>
      </c>
      <c r="AA17" s="5038" t="s">
        <v>5316</v>
      </c>
      <c r="AB17" s="5151" t="s">
        <v>5317</v>
      </c>
      <c r="AC17" s="5038" t="s">
        <v>5318</v>
      </c>
      <c r="AD17" s="5151" t="s">
        <v>5319</v>
      </c>
      <c r="AE17" s="5038" t="s">
        <v>5320</v>
      </c>
      <c r="AF17" s="5151" t="s">
        <v>5321</v>
      </c>
      <c r="AG17" s="5038" t="s">
        <v>5322</v>
      </c>
      <c r="AH17" s="5151" t="s">
        <v>5323</v>
      </c>
      <c r="AI17" s="5038" t="s">
        <v>5324</v>
      </c>
      <c r="AJ17" s="5151" t="s">
        <v>5325</v>
      </c>
      <c r="AK17" s="5038" t="s">
        <v>5326</v>
      </c>
      <c r="AL17" s="5151" t="s">
        <v>5327</v>
      </c>
      <c r="AM17" s="5038" t="s">
        <v>5328</v>
      </c>
      <c r="AN17" s="5151" t="s">
        <v>5329</v>
      </c>
      <c r="AO17" s="5038" t="s">
        <v>5330</v>
      </c>
      <c r="AP17" s="5151" t="s">
        <v>5331</v>
      </c>
      <c r="AQ17" s="5038" t="s">
        <v>5332</v>
      </c>
      <c r="AR17" s="5145" t="s">
        <v>5333</v>
      </c>
      <c r="AS17" s="3483" t="s">
        <v>5334</v>
      </c>
      <c r="AT17" s="5145" t="s">
        <v>5335</v>
      </c>
      <c r="AU17" s="5146" t="s">
        <v>5336</v>
      </c>
      <c r="AV17" s="5145" t="s">
        <v>5337</v>
      </c>
      <c r="AW17" s="3479" t="s">
        <v>5338</v>
      </c>
      <c r="AX17" s="5147" t="s">
        <v>5339</v>
      </c>
      <c r="AY17" s="1687" t="e">
        <f t="shared" si="27"/>
        <v>#VALUE!</v>
      </c>
      <c r="CB17" s="600"/>
      <c r="CC17" s="4747" t="str">
        <f t="shared" si="28"/>
        <v xml:space="preserve"> * La suma de las columnas POR SEXO (Procesados) DEBE SER IGUAL a los Exámenes Procesados. </v>
      </c>
      <c r="CD17" s="2784" t="e">
        <f t="shared" si="29"/>
        <v>#VALUE!</v>
      </c>
      <c r="CE17" s="2784" t="str">
        <f t="shared" si="30"/>
        <v xml:space="preserve"> *El Número de Pueblos Originarios no puede superar el Total Procesados. </v>
      </c>
      <c r="CF17" s="2784" t="str">
        <f t="shared" si="31"/>
        <v xml:space="preserve"> *El Número de Migrantes no puede superar el Total Procesados. </v>
      </c>
      <c r="CG17" s="3018"/>
      <c r="CH17" s="3018"/>
      <c r="CI17" s="3018"/>
      <c r="CJ17" s="3018"/>
      <c r="CK17" s="3018"/>
      <c r="CL17" s="2784" t="str">
        <f t="shared" si="32"/>
        <v>* El total de Procesados debe ser mayor o igual al total de Reactivos en el grupo de edad 10 - 14 años</v>
      </c>
      <c r="CM17" s="2784" t="str">
        <f t="shared" si="0"/>
        <v>* El total de Procesados debe ser mayor o igual al total de Reactivos en el grupo de edad 15 - 19 años</v>
      </c>
      <c r="CN17" s="2784" t="str">
        <f t="shared" si="1"/>
        <v>* El total de Procesados debe ser mayor o igual al total de Reactivos en el grupo de edad 20 - 24 años</v>
      </c>
      <c r="CO17" s="2784" t="str">
        <f t="shared" si="33"/>
        <v>* El total de Procesados debe ser mayor o igual al total de Reactivos en el grupo de edad 25 - 29 años</v>
      </c>
      <c r="CP17" s="2784" t="str">
        <f t="shared" si="2"/>
        <v>* El total de Procesados debe ser mayor o igual al total de Reactivos en el grupo de edad 30 - 34 años</v>
      </c>
      <c r="CQ17" s="2784" t="str">
        <f t="shared" si="3"/>
        <v>* El total de Procesados debe ser mayor o igual al total de Reactivos en el grupo de edad 35 - 39 años</v>
      </c>
      <c r="CR17" s="2784" t="str">
        <f t="shared" si="4"/>
        <v>* El total de Procesados debe ser mayor o igual al total de Reactivos en el grupo de edad 40 - 44 años</v>
      </c>
      <c r="CS17" s="2784" t="str">
        <f t="shared" si="5"/>
        <v>* El total de Procesados debe ser mayor o igual al total de Reactivos en el grupo de edad 50 - 54 años</v>
      </c>
      <c r="CT17" s="2784" t="str">
        <f t="shared" si="6"/>
        <v>* El total de Procesados debe ser mayor o igual al total de Reactivos en el grupo de edad 55 - 59 años</v>
      </c>
      <c r="CU17" s="2784" t="str">
        <f t="shared" si="7"/>
        <v>* El total de Procesados debe ser mayor o igual al total de Reactivos en el grupo de edad 60 - 64 años</v>
      </c>
      <c r="CV17" s="2784" t="str">
        <f t="shared" si="8"/>
        <v>* El total de Procesados debe ser mayor o igual al total de Reactivos en el grupo de edad 65 - 69 años</v>
      </c>
      <c r="CW17" s="2784" t="str">
        <f t="shared" si="9"/>
        <v>* El total de Procesados debe ser mayor o igual al total de Reactivos en el grupo de edad 70 - 74 años</v>
      </c>
      <c r="CX17" s="2784" t="str">
        <f t="shared" si="10"/>
        <v>* El total de Procesados debe ser mayor o igual al total de Reactivos en el grupo de edad 75 - 79 años</v>
      </c>
      <c r="CY17" s="2784" t="str">
        <f t="shared" si="11"/>
        <v>* El total de Procesados debe ser mayor o igual al total de Reactivos en el grupo de edad 80 y más años</v>
      </c>
      <c r="DF17" s="2630"/>
      <c r="DG17" s="4747">
        <f>IF(C17&lt;&gt;(AT17),1,0)</f>
        <v>1</v>
      </c>
      <c r="DH17" s="2920" t="e">
        <f t="shared" si="34"/>
        <v>#VALUE!</v>
      </c>
      <c r="DI17" s="2920">
        <f t="shared" si="12"/>
        <v>1</v>
      </c>
      <c r="DJ17" s="2920">
        <f t="shared" si="13"/>
        <v>1</v>
      </c>
      <c r="DK17" s="3018"/>
      <c r="DL17" s="3018"/>
      <c r="DM17" s="3018"/>
      <c r="DN17" s="3018"/>
      <c r="DO17" s="3018"/>
      <c r="DP17" s="2920">
        <f t="shared" si="14"/>
        <v>1</v>
      </c>
      <c r="DQ17" s="2920">
        <f t="shared" si="15"/>
        <v>1</v>
      </c>
      <c r="DR17" s="2920">
        <f t="shared" si="16"/>
        <v>1</v>
      </c>
      <c r="DS17" s="2920">
        <f t="shared" si="35"/>
        <v>1</v>
      </c>
      <c r="DT17" s="2920">
        <f t="shared" si="17"/>
        <v>1</v>
      </c>
      <c r="DU17" s="2920">
        <f t="shared" si="18"/>
        <v>1</v>
      </c>
      <c r="DV17" s="2920">
        <f t="shared" si="19"/>
        <v>1</v>
      </c>
      <c r="DW17" s="2920">
        <f t="shared" si="20"/>
        <v>1</v>
      </c>
      <c r="DX17" s="2920">
        <f t="shared" si="21"/>
        <v>1</v>
      </c>
      <c r="DY17" s="2920">
        <f t="shared" si="22"/>
        <v>1</v>
      </c>
      <c r="DZ17" s="2920">
        <f t="shared" si="23"/>
        <v>1</v>
      </c>
      <c r="EA17" s="2920">
        <f t="shared" si="24"/>
        <v>1</v>
      </c>
      <c r="EB17" s="2920">
        <f t="shared" si="25"/>
        <v>1</v>
      </c>
      <c r="EC17" s="2920">
        <f t="shared" si="26"/>
        <v>1</v>
      </c>
    </row>
    <row r="18" spans="1:133" x14ac:dyDescent="0.3">
      <c r="A18" s="6234">
        <v>11051201</v>
      </c>
      <c r="B18" s="3486" t="s">
        <v>2664</v>
      </c>
      <c r="C18" s="1928" t="s">
        <v>5292</v>
      </c>
      <c r="D18" s="3242" t="s">
        <v>5293</v>
      </c>
      <c r="E18" s="5148" t="s">
        <v>5294</v>
      </c>
      <c r="F18" s="5149" t="s">
        <v>5295</v>
      </c>
      <c r="G18" s="5148" t="s">
        <v>5296</v>
      </c>
      <c r="H18" s="5149" t="s">
        <v>5297</v>
      </c>
      <c r="I18" s="5148" t="s">
        <v>5298</v>
      </c>
      <c r="J18" s="5149" t="s">
        <v>5299</v>
      </c>
      <c r="K18" s="5148" t="s">
        <v>5300</v>
      </c>
      <c r="L18" s="5149" t="s">
        <v>5301</v>
      </c>
      <c r="M18" s="5148" t="s">
        <v>5302</v>
      </c>
      <c r="N18" s="5150" t="s">
        <v>5303</v>
      </c>
      <c r="O18" s="3479" t="s">
        <v>5304</v>
      </c>
      <c r="P18" s="5151" t="s">
        <v>5305</v>
      </c>
      <c r="Q18" s="5038" t="s">
        <v>5306</v>
      </c>
      <c r="R18" s="5151" t="s">
        <v>5307</v>
      </c>
      <c r="S18" s="5038" t="s">
        <v>5308</v>
      </c>
      <c r="T18" s="5151" t="s">
        <v>5309</v>
      </c>
      <c r="U18" s="5038" t="s">
        <v>5310</v>
      </c>
      <c r="V18" s="5151" t="s">
        <v>5311</v>
      </c>
      <c r="W18" s="5038" t="s">
        <v>5312</v>
      </c>
      <c r="X18" s="5151" t="s">
        <v>5313</v>
      </c>
      <c r="Y18" s="5038" t="s">
        <v>5314</v>
      </c>
      <c r="Z18" s="5151" t="s">
        <v>5315</v>
      </c>
      <c r="AA18" s="5038" t="s">
        <v>5316</v>
      </c>
      <c r="AB18" s="5151" t="s">
        <v>5317</v>
      </c>
      <c r="AC18" s="5038" t="s">
        <v>5318</v>
      </c>
      <c r="AD18" s="5151" t="s">
        <v>5319</v>
      </c>
      <c r="AE18" s="5038" t="s">
        <v>5320</v>
      </c>
      <c r="AF18" s="5151" t="s">
        <v>5321</v>
      </c>
      <c r="AG18" s="5038" t="s">
        <v>5322</v>
      </c>
      <c r="AH18" s="5151" t="s">
        <v>5323</v>
      </c>
      <c r="AI18" s="5038" t="s">
        <v>5324</v>
      </c>
      <c r="AJ18" s="5151" t="s">
        <v>5325</v>
      </c>
      <c r="AK18" s="5038" t="s">
        <v>5326</v>
      </c>
      <c r="AL18" s="5151" t="s">
        <v>5327</v>
      </c>
      <c r="AM18" s="5038" t="s">
        <v>5328</v>
      </c>
      <c r="AN18" s="5151" t="s">
        <v>5329</v>
      </c>
      <c r="AO18" s="5038" t="s">
        <v>5330</v>
      </c>
      <c r="AP18" s="5151" t="s">
        <v>5331</v>
      </c>
      <c r="AQ18" s="5038" t="s">
        <v>5332</v>
      </c>
      <c r="AR18" s="5145" t="s">
        <v>5333</v>
      </c>
      <c r="AS18" s="3479" t="s">
        <v>5334</v>
      </c>
      <c r="AT18" s="5145" t="s">
        <v>5335</v>
      </c>
      <c r="AU18" s="5146" t="s">
        <v>5336</v>
      </c>
      <c r="AV18" s="5145" t="s">
        <v>5337</v>
      </c>
      <c r="AW18" s="3479" t="s">
        <v>5338</v>
      </c>
      <c r="AX18" s="5147" t="s">
        <v>5339</v>
      </c>
      <c r="AY18" s="1687" t="e">
        <f>$CC18&amp;CD18&amp;CE18&amp;$CF18&amp;CL18&amp;CM18&amp;CN18&amp;CO18&amp;CP18&amp;CQ18&amp;CR18&amp;CS18&amp;CT18&amp;CU18&amp;CV18&amp;CW18&amp;CX18&amp;CY18</f>
        <v>#VALUE!</v>
      </c>
      <c r="CB18" s="600"/>
      <c r="CC18" s="2784" t="e">
        <f>IF(C18&lt;&gt;(AT18+AS18)," * La suma de las columnas "&amp;AS$10&amp;""&amp;" DEBE SER IGUAL a los Exámenes Procesados. ","")</f>
        <v>#VALUE!</v>
      </c>
      <c r="CD18" s="2784" t="e">
        <f t="shared" si="29"/>
        <v>#VALUE!</v>
      </c>
      <c r="CE18" s="2784" t="str">
        <f t="shared" si="30"/>
        <v xml:space="preserve"> *El Número de Pueblos Originarios no puede superar el Total Procesados. </v>
      </c>
      <c r="CF18" s="2784" t="str">
        <f t="shared" si="31"/>
        <v xml:space="preserve"> *El Número de Migrantes no puede superar el Total Procesados. </v>
      </c>
      <c r="CG18" s="3018"/>
      <c r="CH18" s="3018"/>
      <c r="CI18" s="3018"/>
      <c r="CJ18" s="3018"/>
      <c r="CK18" s="3018"/>
      <c r="CL18" s="2784" t="str">
        <f t="shared" si="32"/>
        <v>* El total de Procesados debe ser mayor o igual al total de Reactivos en el grupo de edad 10 - 14 años</v>
      </c>
      <c r="CM18" s="2784" t="str">
        <f t="shared" si="0"/>
        <v>* El total de Procesados debe ser mayor o igual al total de Reactivos en el grupo de edad 15 - 19 años</v>
      </c>
      <c r="CN18" s="2784" t="str">
        <f t="shared" si="1"/>
        <v>* El total de Procesados debe ser mayor o igual al total de Reactivos en el grupo de edad 20 - 24 años</v>
      </c>
      <c r="CO18" s="2784" t="str">
        <f t="shared" si="33"/>
        <v>* El total de Procesados debe ser mayor o igual al total de Reactivos en el grupo de edad 25 - 29 años</v>
      </c>
      <c r="CP18" s="2784" t="str">
        <f t="shared" si="2"/>
        <v>* El total de Procesados debe ser mayor o igual al total de Reactivos en el grupo de edad 30 - 34 años</v>
      </c>
      <c r="CQ18" s="2784" t="str">
        <f t="shared" si="3"/>
        <v>* El total de Procesados debe ser mayor o igual al total de Reactivos en el grupo de edad 35 - 39 años</v>
      </c>
      <c r="CR18" s="2784" t="str">
        <f t="shared" si="4"/>
        <v>* El total de Procesados debe ser mayor o igual al total de Reactivos en el grupo de edad 40 - 44 años</v>
      </c>
      <c r="CS18" s="2784" t="str">
        <f t="shared" si="5"/>
        <v>* El total de Procesados debe ser mayor o igual al total de Reactivos en el grupo de edad 50 - 54 años</v>
      </c>
      <c r="CT18" s="2784" t="str">
        <f t="shared" si="6"/>
        <v>* El total de Procesados debe ser mayor o igual al total de Reactivos en el grupo de edad 55 - 59 años</v>
      </c>
      <c r="CU18" s="2784" t="str">
        <f t="shared" si="7"/>
        <v>* El total de Procesados debe ser mayor o igual al total de Reactivos en el grupo de edad 60 - 64 años</v>
      </c>
      <c r="CV18" s="2784" t="str">
        <f t="shared" si="8"/>
        <v>* El total de Procesados debe ser mayor o igual al total de Reactivos en el grupo de edad 65 - 69 años</v>
      </c>
      <c r="CW18" s="2784" t="str">
        <f t="shared" si="9"/>
        <v>* El total de Procesados debe ser mayor o igual al total de Reactivos en el grupo de edad 70 - 74 años</v>
      </c>
      <c r="CX18" s="2784" t="str">
        <f t="shared" si="10"/>
        <v>* El total de Procesados debe ser mayor o igual al total de Reactivos en el grupo de edad 75 - 79 años</v>
      </c>
      <c r="CY18" s="2784" t="str">
        <f t="shared" si="11"/>
        <v>* El total de Procesados debe ser mayor o igual al total de Reactivos en el grupo de edad 80 y más años</v>
      </c>
      <c r="DF18" s="2630"/>
      <c r="DG18" s="2784" t="e">
        <f>IF(C18&lt;&gt;(AT18+AS18),1,0)</f>
        <v>#VALUE!</v>
      </c>
      <c r="DH18" s="2920" t="e">
        <f t="shared" si="34"/>
        <v>#VALUE!</v>
      </c>
      <c r="DI18" s="2920">
        <f t="shared" si="12"/>
        <v>1</v>
      </c>
      <c r="DJ18" s="2920">
        <f t="shared" si="13"/>
        <v>1</v>
      </c>
      <c r="DK18" s="3018"/>
      <c r="DL18" s="3018"/>
      <c r="DM18" s="3018"/>
      <c r="DN18" s="3018"/>
      <c r="DO18" s="3018"/>
      <c r="DP18" s="2920">
        <f t="shared" si="14"/>
        <v>1</v>
      </c>
      <c r="DQ18" s="2920">
        <f t="shared" si="15"/>
        <v>1</v>
      </c>
      <c r="DR18" s="2920">
        <f t="shared" si="16"/>
        <v>1</v>
      </c>
      <c r="DS18" s="2920">
        <f t="shared" si="35"/>
        <v>1</v>
      </c>
      <c r="DT18" s="2920">
        <f t="shared" si="17"/>
        <v>1</v>
      </c>
      <c r="DU18" s="2920">
        <f t="shared" si="18"/>
        <v>1</v>
      </c>
      <c r="DV18" s="2920">
        <f t="shared" si="19"/>
        <v>1</v>
      </c>
      <c r="DW18" s="2920">
        <f t="shared" si="20"/>
        <v>1</v>
      </c>
      <c r="DX18" s="2920">
        <f t="shared" si="21"/>
        <v>1</v>
      </c>
      <c r="DY18" s="2920">
        <f t="shared" si="22"/>
        <v>1</v>
      </c>
      <c r="DZ18" s="2920">
        <f t="shared" si="23"/>
        <v>1</v>
      </c>
      <c r="EA18" s="2920">
        <f t="shared" si="24"/>
        <v>1</v>
      </c>
      <c r="EB18" s="2920">
        <f t="shared" si="25"/>
        <v>1</v>
      </c>
      <c r="EC18" s="2920">
        <f t="shared" si="26"/>
        <v>1</v>
      </c>
    </row>
    <row r="19" spans="1:133" x14ac:dyDescent="0.3">
      <c r="A19" s="6234">
        <v>11041000</v>
      </c>
      <c r="B19" s="3486" t="s">
        <v>2665</v>
      </c>
      <c r="C19" s="1928" t="s">
        <v>5292</v>
      </c>
      <c r="D19" s="3242" t="s">
        <v>5293</v>
      </c>
      <c r="E19" s="5148" t="s">
        <v>5294</v>
      </c>
      <c r="F19" s="5149" t="s">
        <v>5295</v>
      </c>
      <c r="G19" s="5148" t="s">
        <v>5296</v>
      </c>
      <c r="H19" s="5149" t="s">
        <v>5297</v>
      </c>
      <c r="I19" s="5148" t="s">
        <v>5298</v>
      </c>
      <c r="J19" s="5149" t="s">
        <v>5299</v>
      </c>
      <c r="K19" s="5148" t="s">
        <v>5300</v>
      </c>
      <c r="L19" s="5149" t="s">
        <v>5301</v>
      </c>
      <c r="M19" s="5148" t="s">
        <v>5302</v>
      </c>
      <c r="N19" s="5150" t="s">
        <v>5303</v>
      </c>
      <c r="O19" s="3479" t="s">
        <v>5304</v>
      </c>
      <c r="P19" s="5151" t="s">
        <v>5305</v>
      </c>
      <c r="Q19" s="5038" t="s">
        <v>5306</v>
      </c>
      <c r="R19" s="5151" t="s">
        <v>5307</v>
      </c>
      <c r="S19" s="5038" t="s">
        <v>5308</v>
      </c>
      <c r="T19" s="5151" t="s">
        <v>5309</v>
      </c>
      <c r="U19" s="5038" t="s">
        <v>5310</v>
      </c>
      <c r="V19" s="5151" t="s">
        <v>5311</v>
      </c>
      <c r="W19" s="5038" t="s">
        <v>5312</v>
      </c>
      <c r="X19" s="5151" t="s">
        <v>5313</v>
      </c>
      <c r="Y19" s="5038" t="s">
        <v>5314</v>
      </c>
      <c r="Z19" s="5151" t="s">
        <v>5315</v>
      </c>
      <c r="AA19" s="5038" t="s">
        <v>5316</v>
      </c>
      <c r="AB19" s="5151" t="s">
        <v>5317</v>
      </c>
      <c r="AC19" s="5038" t="s">
        <v>5318</v>
      </c>
      <c r="AD19" s="5151" t="s">
        <v>5319</v>
      </c>
      <c r="AE19" s="5038" t="s">
        <v>5320</v>
      </c>
      <c r="AF19" s="5151" t="s">
        <v>5321</v>
      </c>
      <c r="AG19" s="5038" t="s">
        <v>5322</v>
      </c>
      <c r="AH19" s="5151" t="s">
        <v>5323</v>
      </c>
      <c r="AI19" s="5038" t="s">
        <v>5324</v>
      </c>
      <c r="AJ19" s="5151" t="s">
        <v>5325</v>
      </c>
      <c r="AK19" s="5038" t="s">
        <v>5326</v>
      </c>
      <c r="AL19" s="5151" t="s">
        <v>5327</v>
      </c>
      <c r="AM19" s="5038" t="s">
        <v>5328</v>
      </c>
      <c r="AN19" s="5151" t="s">
        <v>5329</v>
      </c>
      <c r="AO19" s="5038" t="s">
        <v>5330</v>
      </c>
      <c r="AP19" s="5151" t="s">
        <v>5331</v>
      </c>
      <c r="AQ19" s="5038" t="s">
        <v>5332</v>
      </c>
      <c r="AR19" s="5145" t="s">
        <v>5333</v>
      </c>
      <c r="AS19" s="3483" t="s">
        <v>5334</v>
      </c>
      <c r="AT19" s="5145" t="s">
        <v>5335</v>
      </c>
      <c r="AU19" s="5146" t="s">
        <v>5336</v>
      </c>
      <c r="AV19" s="5145" t="s">
        <v>5337</v>
      </c>
      <c r="AW19" s="3479" t="s">
        <v>5338</v>
      </c>
      <c r="AX19" s="5147" t="s">
        <v>5339</v>
      </c>
      <c r="AY19" s="1687" t="e">
        <f>$CC19&amp;CD19&amp;CE19&amp;$CF19&amp;CL19&amp;CM19&amp;CN19&amp;CO19&amp;CP19&amp;CQ19&amp;CR19&amp;CS19&amp;CT19&amp;CU19&amp;CV19&amp;CW19&amp;CX19&amp;CY19</f>
        <v>#VALUE!</v>
      </c>
      <c r="CB19" s="600"/>
      <c r="CC19" s="4747" t="str">
        <f t="shared" si="28"/>
        <v xml:space="preserve"> * La suma de las columnas POR SEXO (Procesados) DEBE SER IGUAL a los Exámenes Procesados. </v>
      </c>
      <c r="CD19" s="2784" t="e">
        <f t="shared" si="29"/>
        <v>#VALUE!</v>
      </c>
      <c r="CE19" s="2784" t="str">
        <f t="shared" si="30"/>
        <v xml:space="preserve"> *El Número de Pueblos Originarios no puede superar el Total Procesados. </v>
      </c>
      <c r="CF19" s="2784" t="str">
        <f t="shared" si="31"/>
        <v xml:space="preserve"> *El Número de Migrantes no puede superar el Total Procesados. </v>
      </c>
      <c r="CG19" s="3018"/>
      <c r="CH19" s="3018"/>
      <c r="CI19" s="3018"/>
      <c r="CJ19" s="3018"/>
      <c r="CK19" s="3018"/>
      <c r="CL19" s="2784" t="str">
        <f t="shared" si="32"/>
        <v>* El total de Procesados debe ser mayor o igual al total de Reactivos en el grupo de edad 10 - 14 años</v>
      </c>
      <c r="CM19" s="2784" t="str">
        <f t="shared" si="0"/>
        <v>* El total de Procesados debe ser mayor o igual al total de Reactivos en el grupo de edad 15 - 19 años</v>
      </c>
      <c r="CN19" s="2784" t="str">
        <f t="shared" si="1"/>
        <v>* El total de Procesados debe ser mayor o igual al total de Reactivos en el grupo de edad 20 - 24 años</v>
      </c>
      <c r="CO19" s="2784" t="str">
        <f t="shared" si="33"/>
        <v>* El total de Procesados debe ser mayor o igual al total de Reactivos en el grupo de edad 25 - 29 años</v>
      </c>
      <c r="CP19" s="2784" t="str">
        <f t="shared" si="2"/>
        <v>* El total de Procesados debe ser mayor o igual al total de Reactivos en el grupo de edad 30 - 34 años</v>
      </c>
      <c r="CQ19" s="2784" t="str">
        <f t="shared" si="3"/>
        <v>* El total de Procesados debe ser mayor o igual al total de Reactivos en el grupo de edad 35 - 39 años</v>
      </c>
      <c r="CR19" s="2784" t="str">
        <f t="shared" si="4"/>
        <v>* El total de Procesados debe ser mayor o igual al total de Reactivos en el grupo de edad 40 - 44 años</v>
      </c>
      <c r="CS19" s="2784" t="str">
        <f t="shared" si="5"/>
        <v>* El total de Procesados debe ser mayor o igual al total de Reactivos en el grupo de edad 50 - 54 años</v>
      </c>
      <c r="CT19" s="2784" t="str">
        <f t="shared" si="6"/>
        <v>* El total de Procesados debe ser mayor o igual al total de Reactivos en el grupo de edad 55 - 59 años</v>
      </c>
      <c r="CU19" s="2784" t="str">
        <f t="shared" si="7"/>
        <v>* El total de Procesados debe ser mayor o igual al total de Reactivos en el grupo de edad 60 - 64 años</v>
      </c>
      <c r="CV19" s="2784" t="str">
        <f t="shared" si="8"/>
        <v>* El total de Procesados debe ser mayor o igual al total de Reactivos en el grupo de edad 65 - 69 años</v>
      </c>
      <c r="CW19" s="2784" t="str">
        <f t="shared" si="9"/>
        <v>* El total de Procesados debe ser mayor o igual al total de Reactivos en el grupo de edad 70 - 74 años</v>
      </c>
      <c r="CX19" s="2784" t="str">
        <f t="shared" si="10"/>
        <v>* El total de Procesados debe ser mayor o igual al total de Reactivos en el grupo de edad 75 - 79 años</v>
      </c>
      <c r="CY19" s="2784" t="str">
        <f t="shared" si="11"/>
        <v>* El total de Procesados debe ser mayor o igual al total de Reactivos en el grupo de edad 80 y más años</v>
      </c>
      <c r="DF19" s="2630"/>
      <c r="DG19" s="4747">
        <f>IF(C19&lt;&gt;(AT19),1,0)</f>
        <v>1</v>
      </c>
      <c r="DH19" s="2920" t="e">
        <f t="shared" si="34"/>
        <v>#VALUE!</v>
      </c>
      <c r="DI19" s="2920">
        <f t="shared" si="12"/>
        <v>1</v>
      </c>
      <c r="DJ19" s="2920">
        <f t="shared" si="13"/>
        <v>1</v>
      </c>
      <c r="DK19" s="3018"/>
      <c r="DL19" s="3018"/>
      <c r="DM19" s="3018"/>
      <c r="DN19" s="3018"/>
      <c r="DO19" s="3018"/>
      <c r="DP19" s="2920">
        <f t="shared" si="14"/>
        <v>1</v>
      </c>
      <c r="DQ19" s="2920">
        <f t="shared" si="15"/>
        <v>1</v>
      </c>
      <c r="DR19" s="2920">
        <f t="shared" si="16"/>
        <v>1</v>
      </c>
      <c r="DS19" s="2920">
        <f t="shared" si="35"/>
        <v>1</v>
      </c>
      <c r="DT19" s="2920">
        <f t="shared" si="17"/>
        <v>1</v>
      </c>
      <c r="DU19" s="2920">
        <f t="shared" si="18"/>
        <v>1</v>
      </c>
      <c r="DV19" s="2920">
        <f t="shared" si="19"/>
        <v>1</v>
      </c>
      <c r="DW19" s="2920">
        <f t="shared" si="20"/>
        <v>1</v>
      </c>
      <c r="DX19" s="2920">
        <f t="shared" si="21"/>
        <v>1</v>
      </c>
      <c r="DY19" s="2920">
        <f t="shared" si="22"/>
        <v>1</v>
      </c>
      <c r="DZ19" s="2920">
        <f t="shared" si="23"/>
        <v>1</v>
      </c>
      <c r="EA19" s="2920">
        <f t="shared" si="24"/>
        <v>1</v>
      </c>
      <c r="EB19" s="2920">
        <f t="shared" si="25"/>
        <v>1</v>
      </c>
      <c r="EC19" s="2920">
        <f t="shared" si="26"/>
        <v>1</v>
      </c>
    </row>
    <row r="20" spans="1:133" x14ac:dyDescent="0.3">
      <c r="A20" s="6234">
        <v>11041100</v>
      </c>
      <c r="B20" s="3485" t="s">
        <v>2666</v>
      </c>
      <c r="C20" s="1928" t="s">
        <v>5292</v>
      </c>
      <c r="D20" s="3242" t="s">
        <v>5293</v>
      </c>
      <c r="E20" s="5148" t="s">
        <v>5294</v>
      </c>
      <c r="F20" s="5149" t="s">
        <v>5295</v>
      </c>
      <c r="G20" s="5148" t="s">
        <v>5296</v>
      </c>
      <c r="H20" s="5149" t="s">
        <v>5297</v>
      </c>
      <c r="I20" s="5148" t="s">
        <v>5298</v>
      </c>
      <c r="J20" s="5149" t="s">
        <v>5299</v>
      </c>
      <c r="K20" s="5148" t="s">
        <v>5300</v>
      </c>
      <c r="L20" s="5149" t="s">
        <v>5301</v>
      </c>
      <c r="M20" s="5148" t="s">
        <v>5302</v>
      </c>
      <c r="N20" s="5150" t="s">
        <v>5303</v>
      </c>
      <c r="O20" s="3479" t="s">
        <v>5304</v>
      </c>
      <c r="P20" s="5151" t="s">
        <v>5305</v>
      </c>
      <c r="Q20" s="5038" t="s">
        <v>5306</v>
      </c>
      <c r="R20" s="5151" t="s">
        <v>5307</v>
      </c>
      <c r="S20" s="5038" t="s">
        <v>5308</v>
      </c>
      <c r="T20" s="5151" t="s">
        <v>5309</v>
      </c>
      <c r="U20" s="5038" t="s">
        <v>5310</v>
      </c>
      <c r="V20" s="5151" t="s">
        <v>5311</v>
      </c>
      <c r="W20" s="5038" t="s">
        <v>5312</v>
      </c>
      <c r="X20" s="5151" t="s">
        <v>5313</v>
      </c>
      <c r="Y20" s="5038" t="s">
        <v>5314</v>
      </c>
      <c r="Z20" s="5151" t="s">
        <v>5315</v>
      </c>
      <c r="AA20" s="5038" t="s">
        <v>5316</v>
      </c>
      <c r="AB20" s="5151" t="s">
        <v>5317</v>
      </c>
      <c r="AC20" s="5038" t="s">
        <v>5318</v>
      </c>
      <c r="AD20" s="5151" t="s">
        <v>5319</v>
      </c>
      <c r="AE20" s="5038" t="s">
        <v>5320</v>
      </c>
      <c r="AF20" s="5151" t="s">
        <v>5321</v>
      </c>
      <c r="AG20" s="5038" t="s">
        <v>5322</v>
      </c>
      <c r="AH20" s="5151" t="s">
        <v>5323</v>
      </c>
      <c r="AI20" s="5038" t="s">
        <v>5324</v>
      </c>
      <c r="AJ20" s="5151" t="s">
        <v>5325</v>
      </c>
      <c r="AK20" s="5038" t="s">
        <v>5326</v>
      </c>
      <c r="AL20" s="5151" t="s">
        <v>5327</v>
      </c>
      <c r="AM20" s="5038" t="s">
        <v>5328</v>
      </c>
      <c r="AN20" s="5151" t="s">
        <v>5329</v>
      </c>
      <c r="AO20" s="5038" t="s">
        <v>5330</v>
      </c>
      <c r="AP20" s="5151" t="s">
        <v>5331</v>
      </c>
      <c r="AQ20" s="5038" t="s">
        <v>5332</v>
      </c>
      <c r="AR20" s="5145" t="s">
        <v>5333</v>
      </c>
      <c r="AS20" s="3483" t="s">
        <v>5334</v>
      </c>
      <c r="AT20" s="5145" t="s">
        <v>5335</v>
      </c>
      <c r="AU20" s="5146" t="s">
        <v>5336</v>
      </c>
      <c r="AV20" s="5145" t="s">
        <v>5337</v>
      </c>
      <c r="AW20" s="3479" t="s">
        <v>5338</v>
      </c>
      <c r="AX20" s="5147" t="s">
        <v>5339</v>
      </c>
      <c r="AY20" s="1687" t="e">
        <f t="shared" ref="AY20" si="36">$CC20&amp;CD20&amp;CE20&amp;$CF20&amp;CL20&amp;CM20&amp;CN20&amp;CO20&amp;CP20&amp;CQ20&amp;CR20&amp;CS20&amp;CT20&amp;CU20&amp;CV20&amp;CW20&amp;CX20&amp;CY20</f>
        <v>#VALUE!</v>
      </c>
      <c r="CB20" s="600"/>
      <c r="CC20" s="4747" t="str">
        <f t="shared" si="28"/>
        <v xml:space="preserve"> * La suma de las columnas POR SEXO (Procesados) DEBE SER IGUAL a los Exámenes Procesados. </v>
      </c>
      <c r="CD20" s="2784" t="e">
        <f t="shared" si="29"/>
        <v>#VALUE!</v>
      </c>
      <c r="CE20" s="2784" t="str">
        <f t="shared" si="30"/>
        <v xml:space="preserve"> *El Número de Pueblos Originarios no puede superar el Total Procesados. </v>
      </c>
      <c r="CF20" s="2784" t="str">
        <f t="shared" si="31"/>
        <v xml:space="preserve"> *El Número de Migrantes no puede superar el Total Procesados. </v>
      </c>
      <c r="CG20" s="3018"/>
      <c r="CH20" s="3018"/>
      <c r="CI20" s="3018"/>
      <c r="CJ20" s="3018"/>
      <c r="CK20" s="3018"/>
      <c r="CL20" s="2784" t="str">
        <f t="shared" si="32"/>
        <v>* El total de Procesados debe ser mayor o igual al total de Reactivos en el grupo de edad 10 - 14 años</v>
      </c>
      <c r="CM20" s="2784" t="str">
        <f t="shared" si="0"/>
        <v>* El total de Procesados debe ser mayor o igual al total de Reactivos en el grupo de edad 15 - 19 años</v>
      </c>
      <c r="CN20" s="2784" t="str">
        <f t="shared" si="1"/>
        <v>* El total de Procesados debe ser mayor o igual al total de Reactivos en el grupo de edad 20 - 24 años</v>
      </c>
      <c r="CO20" s="2784" t="str">
        <f t="shared" si="33"/>
        <v>* El total de Procesados debe ser mayor o igual al total de Reactivos en el grupo de edad 25 - 29 años</v>
      </c>
      <c r="CP20" s="2784" t="str">
        <f t="shared" si="2"/>
        <v>* El total de Procesados debe ser mayor o igual al total de Reactivos en el grupo de edad 30 - 34 años</v>
      </c>
      <c r="CQ20" s="2784" t="str">
        <f t="shared" si="3"/>
        <v>* El total de Procesados debe ser mayor o igual al total de Reactivos en el grupo de edad 35 - 39 años</v>
      </c>
      <c r="CR20" s="2784" t="str">
        <f t="shared" si="4"/>
        <v>* El total de Procesados debe ser mayor o igual al total de Reactivos en el grupo de edad 40 - 44 años</v>
      </c>
      <c r="CS20" s="2784" t="str">
        <f t="shared" si="5"/>
        <v>* El total de Procesados debe ser mayor o igual al total de Reactivos en el grupo de edad 50 - 54 años</v>
      </c>
      <c r="CT20" s="2784" t="str">
        <f t="shared" si="6"/>
        <v>* El total de Procesados debe ser mayor o igual al total de Reactivos en el grupo de edad 55 - 59 años</v>
      </c>
      <c r="CU20" s="2784" t="str">
        <f t="shared" si="7"/>
        <v>* El total de Procesados debe ser mayor o igual al total de Reactivos en el grupo de edad 60 - 64 años</v>
      </c>
      <c r="CV20" s="2784" t="str">
        <f t="shared" si="8"/>
        <v>* El total de Procesados debe ser mayor o igual al total de Reactivos en el grupo de edad 65 - 69 años</v>
      </c>
      <c r="CW20" s="2784" t="str">
        <f t="shared" si="9"/>
        <v>* El total de Procesados debe ser mayor o igual al total de Reactivos en el grupo de edad 70 - 74 años</v>
      </c>
      <c r="CX20" s="2784" t="str">
        <f t="shared" si="10"/>
        <v>* El total de Procesados debe ser mayor o igual al total de Reactivos en el grupo de edad 75 - 79 años</v>
      </c>
      <c r="CY20" s="2784" t="str">
        <f t="shared" si="11"/>
        <v>* El total de Procesados debe ser mayor o igual al total de Reactivos en el grupo de edad 80 y más años</v>
      </c>
      <c r="DF20" s="2630"/>
      <c r="DG20" s="4747">
        <f>IF(C20&lt;&gt;(AT20),1,0)</f>
        <v>1</v>
      </c>
      <c r="DH20" s="2920" t="e">
        <f t="shared" si="34"/>
        <v>#VALUE!</v>
      </c>
      <c r="DI20" s="2920">
        <f t="shared" si="12"/>
        <v>1</v>
      </c>
      <c r="DJ20" s="2920">
        <f t="shared" si="13"/>
        <v>1</v>
      </c>
      <c r="DK20" s="3018"/>
      <c r="DL20" s="3018"/>
      <c r="DM20" s="3018"/>
      <c r="DN20" s="3018"/>
      <c r="DO20" s="3018"/>
      <c r="DP20" s="2920">
        <f t="shared" si="14"/>
        <v>1</v>
      </c>
      <c r="DQ20" s="2920">
        <f t="shared" si="15"/>
        <v>1</v>
      </c>
      <c r="DR20" s="2920">
        <f t="shared" si="16"/>
        <v>1</v>
      </c>
      <c r="DS20" s="2920">
        <f t="shared" si="35"/>
        <v>1</v>
      </c>
      <c r="DT20" s="2920">
        <f t="shared" si="17"/>
        <v>1</v>
      </c>
      <c r="DU20" s="2920">
        <f t="shared" si="18"/>
        <v>1</v>
      </c>
      <c r="DV20" s="2920">
        <f t="shared" si="19"/>
        <v>1</v>
      </c>
      <c r="DW20" s="2920">
        <f t="shared" si="20"/>
        <v>1</v>
      </c>
      <c r="DX20" s="2920">
        <f t="shared" si="21"/>
        <v>1</v>
      </c>
      <c r="DY20" s="2920">
        <f t="shared" si="22"/>
        <v>1</v>
      </c>
      <c r="DZ20" s="2920">
        <f t="shared" si="23"/>
        <v>1</v>
      </c>
      <c r="EA20" s="2920">
        <f t="shared" si="24"/>
        <v>1</v>
      </c>
      <c r="EB20" s="2920">
        <f t="shared" si="25"/>
        <v>1</v>
      </c>
      <c r="EC20" s="2920">
        <f t="shared" si="26"/>
        <v>1</v>
      </c>
    </row>
    <row r="21" spans="1:133" x14ac:dyDescent="0.3">
      <c r="A21" s="6234">
        <v>11051500</v>
      </c>
      <c r="B21" s="3485" t="s">
        <v>2667</v>
      </c>
      <c r="C21" s="1928" t="s">
        <v>5292</v>
      </c>
      <c r="D21" s="3242" t="s">
        <v>5293</v>
      </c>
      <c r="E21" s="5038" t="s">
        <v>5294</v>
      </c>
      <c r="F21" s="5151" t="s">
        <v>5295</v>
      </c>
      <c r="G21" s="5038" t="s">
        <v>5296</v>
      </c>
      <c r="H21" s="5151" t="s">
        <v>5297</v>
      </c>
      <c r="I21" s="5038" t="s">
        <v>5298</v>
      </c>
      <c r="J21" s="5147" t="s">
        <v>5299</v>
      </c>
      <c r="K21" s="3479" t="s">
        <v>5300</v>
      </c>
      <c r="L21" s="3479" t="s">
        <v>5301</v>
      </c>
      <c r="M21" s="5038" t="s">
        <v>5302</v>
      </c>
      <c r="N21" s="5147" t="s">
        <v>5303</v>
      </c>
      <c r="O21" s="3479" t="s">
        <v>5304</v>
      </c>
      <c r="P21" s="5151" t="s">
        <v>5305</v>
      </c>
      <c r="Q21" s="5038" t="s">
        <v>5306</v>
      </c>
      <c r="R21" s="5151" t="s">
        <v>5307</v>
      </c>
      <c r="S21" s="5038" t="s">
        <v>5308</v>
      </c>
      <c r="T21" s="5151" t="s">
        <v>5309</v>
      </c>
      <c r="U21" s="5038" t="s">
        <v>5310</v>
      </c>
      <c r="V21" s="5151" t="s">
        <v>5311</v>
      </c>
      <c r="W21" s="5038" t="s">
        <v>5312</v>
      </c>
      <c r="X21" s="5151" t="s">
        <v>5313</v>
      </c>
      <c r="Y21" s="5038" t="s">
        <v>5314</v>
      </c>
      <c r="Z21" s="5151" t="s">
        <v>5315</v>
      </c>
      <c r="AA21" s="5038" t="s">
        <v>5316</v>
      </c>
      <c r="AB21" s="5151" t="s">
        <v>5317</v>
      </c>
      <c r="AC21" s="5038" t="s">
        <v>5318</v>
      </c>
      <c r="AD21" s="5151" t="s">
        <v>5319</v>
      </c>
      <c r="AE21" s="5038" t="s">
        <v>5320</v>
      </c>
      <c r="AF21" s="5151" t="s">
        <v>5321</v>
      </c>
      <c r="AG21" s="5038" t="s">
        <v>5322</v>
      </c>
      <c r="AH21" s="5151" t="s">
        <v>5323</v>
      </c>
      <c r="AI21" s="5038" t="s">
        <v>5324</v>
      </c>
      <c r="AJ21" s="5151" t="s">
        <v>5325</v>
      </c>
      <c r="AK21" s="5038" t="s">
        <v>5326</v>
      </c>
      <c r="AL21" s="5151" t="s">
        <v>5327</v>
      </c>
      <c r="AM21" s="5038" t="s">
        <v>5328</v>
      </c>
      <c r="AN21" s="5151" t="s">
        <v>5329</v>
      </c>
      <c r="AO21" s="5038" t="s">
        <v>5330</v>
      </c>
      <c r="AP21" s="5151" t="s">
        <v>5331</v>
      </c>
      <c r="AQ21" s="5038" t="s">
        <v>5332</v>
      </c>
      <c r="AR21" s="5145" t="s">
        <v>5333</v>
      </c>
      <c r="AS21" s="3483" t="s">
        <v>5334</v>
      </c>
      <c r="AT21" s="5145" t="s">
        <v>5335</v>
      </c>
      <c r="AU21" s="5146" t="s">
        <v>5336</v>
      </c>
      <c r="AV21" s="5145" t="s">
        <v>5337</v>
      </c>
      <c r="AW21" s="3479" t="s">
        <v>5338</v>
      </c>
      <c r="AX21" s="5147" t="s">
        <v>5339</v>
      </c>
      <c r="AY21" s="1687" t="e">
        <f>$CC21&amp;CD21&amp;CE21&amp;$CF21&amp;CG21&amp;CH21&amp;CI21&amp;CJ21&amp;CK21&amp;CL21&amp;CM21&amp;CN21&amp;CO21&amp;CP21&amp;CQ21&amp;CR21&amp;CS21&amp;CT21&amp;CU21&amp;CV21&amp;CW21&amp;CX21&amp;CY21</f>
        <v>#VALUE!</v>
      </c>
      <c r="CB21" s="600"/>
      <c r="CC21" s="4747" t="str">
        <f t="shared" si="28"/>
        <v xml:space="preserve"> * La suma de las columnas POR SEXO (Procesados) DEBE SER IGUAL a los Exámenes Procesados. </v>
      </c>
      <c r="CD21" s="2784" t="e">
        <f t="shared" si="29"/>
        <v>#VALUE!</v>
      </c>
      <c r="CE21" s="2784" t="str">
        <f t="shared" si="30"/>
        <v xml:space="preserve"> *El Número de Pueblos Originarios no puede superar el Total Procesados. </v>
      </c>
      <c r="CF21" s="2784" t="str">
        <f t="shared" si="31"/>
        <v xml:space="preserve"> *El Número de Migrantes no puede superar el Total Procesados. </v>
      </c>
      <c r="CG21" s="2784" t="str">
        <f>IF(E21&lt;F21,CONCATENATE("* El total de Procesados debe ser mayor o igual al total de Reactivos en el grupo de edad ",$E$11),"")</f>
        <v>* El total de Procesados debe ser mayor o igual al total de Reactivos en el grupo de edad Menos de 6 meses</v>
      </c>
      <c r="CH21" s="2784" t="str">
        <f>IF(G21&lt;H21,CONCATENATE("* El total de Procesados debe ser mayor o igual al total de Reactivos en el grupo de edad ",$G$11),"")</f>
        <v>* El total de Procesados debe ser mayor o igual al total de Reactivos en el grupo de edad 6 - 11 meses</v>
      </c>
      <c r="CI21" s="2784" t="str">
        <f>IF(I21&lt;J21,CONCATENATE("* El total de Procesados debe ser mayor o igual al total de Reactivos en el grupo de edad ",$I$11),"")</f>
        <v>* El total de Procesados debe ser mayor o igual al total de Reactivos en el grupo de edad 12-24 meses</v>
      </c>
      <c r="CJ21" s="2784" t="str">
        <f>IF(K21&lt;L21,CONCATENATE("* El total de Procesados debe ser mayor o igual al total de Reactivos en el grupo de edad ",$K$11),"")</f>
        <v>* El total de Procesados debe ser mayor o igual al total de Reactivos en el grupo de edad 3 - 4 años</v>
      </c>
      <c r="CK21" s="2784" t="str">
        <f>IF(M21&lt;N21,CONCATENATE("* El total de Procesados debe ser mayor o igual al total de Reactivos en el grupo de edad ",$M$11),"")</f>
        <v>* El total de Procesados debe ser mayor o igual al total de Reactivos en el grupo de edad 5 - 9 años</v>
      </c>
      <c r="CL21" s="2784" t="str">
        <f t="shared" si="32"/>
        <v>* El total de Procesados debe ser mayor o igual al total de Reactivos en el grupo de edad 10 - 14 años</v>
      </c>
      <c r="CM21" s="2784" t="str">
        <f t="shared" si="0"/>
        <v>* El total de Procesados debe ser mayor o igual al total de Reactivos en el grupo de edad 15 - 19 años</v>
      </c>
      <c r="CN21" s="2784" t="str">
        <f t="shared" si="1"/>
        <v>* El total de Procesados debe ser mayor o igual al total de Reactivos en el grupo de edad 20 - 24 años</v>
      </c>
      <c r="CO21" s="2784" t="str">
        <f t="shared" si="33"/>
        <v>* El total de Procesados debe ser mayor o igual al total de Reactivos en el grupo de edad 25 - 29 años</v>
      </c>
      <c r="CP21" s="2784" t="str">
        <f t="shared" si="2"/>
        <v>* El total de Procesados debe ser mayor o igual al total de Reactivos en el grupo de edad 30 - 34 años</v>
      </c>
      <c r="CQ21" s="2784" t="str">
        <f t="shared" si="3"/>
        <v>* El total de Procesados debe ser mayor o igual al total de Reactivos en el grupo de edad 35 - 39 años</v>
      </c>
      <c r="CR21" s="2784" t="str">
        <f t="shared" si="4"/>
        <v>* El total de Procesados debe ser mayor o igual al total de Reactivos en el grupo de edad 40 - 44 años</v>
      </c>
      <c r="CS21" s="2784" t="str">
        <f t="shared" si="5"/>
        <v>* El total de Procesados debe ser mayor o igual al total de Reactivos en el grupo de edad 50 - 54 años</v>
      </c>
      <c r="CT21" s="2784" t="str">
        <f t="shared" si="6"/>
        <v>* El total de Procesados debe ser mayor o igual al total de Reactivos en el grupo de edad 55 - 59 años</v>
      </c>
      <c r="CU21" s="2784" t="str">
        <f t="shared" si="7"/>
        <v>* El total de Procesados debe ser mayor o igual al total de Reactivos en el grupo de edad 60 - 64 años</v>
      </c>
      <c r="CV21" s="2784" t="str">
        <f t="shared" si="8"/>
        <v>* El total de Procesados debe ser mayor o igual al total de Reactivos en el grupo de edad 65 - 69 años</v>
      </c>
      <c r="CW21" s="2784" t="str">
        <f t="shared" si="9"/>
        <v>* El total de Procesados debe ser mayor o igual al total de Reactivos en el grupo de edad 70 - 74 años</v>
      </c>
      <c r="CX21" s="2784" t="str">
        <f t="shared" si="10"/>
        <v>* El total de Procesados debe ser mayor o igual al total de Reactivos en el grupo de edad 75 - 79 años</v>
      </c>
      <c r="CY21" s="2784" t="str">
        <f t="shared" si="11"/>
        <v>* El total de Procesados debe ser mayor o igual al total de Reactivos en el grupo de edad 80 y más años</v>
      </c>
      <c r="DF21" s="2630"/>
      <c r="DG21" s="4747">
        <f>IF(C21&lt;&gt;(AT21),1,0)</f>
        <v>1</v>
      </c>
      <c r="DH21" s="2920" t="e">
        <f t="shared" si="34"/>
        <v>#VALUE!</v>
      </c>
      <c r="DI21" s="2920">
        <f t="shared" si="12"/>
        <v>1</v>
      </c>
      <c r="DJ21" s="2920">
        <f t="shared" si="13"/>
        <v>1</v>
      </c>
      <c r="DK21" s="2920">
        <f>IF(E21&lt;F21,1,0)</f>
        <v>1</v>
      </c>
      <c r="DL21" s="2920">
        <f>IF(G21&lt;H21,1,0)</f>
        <v>1</v>
      </c>
      <c r="DM21" s="2920">
        <f>IF(I21&lt;J21,1,0)</f>
        <v>1</v>
      </c>
      <c r="DN21" s="2920">
        <f>IF(K21&lt;L21,1,0)</f>
        <v>1</v>
      </c>
      <c r="DO21" s="2920">
        <f>IF(M21&lt;N21,1,0)</f>
        <v>1</v>
      </c>
      <c r="DP21" s="2920">
        <f t="shared" si="14"/>
        <v>1</v>
      </c>
      <c r="DQ21" s="2920">
        <f t="shared" si="15"/>
        <v>1</v>
      </c>
      <c r="DR21" s="2920">
        <f t="shared" si="16"/>
        <v>1</v>
      </c>
      <c r="DS21" s="2920">
        <f t="shared" si="35"/>
        <v>1</v>
      </c>
      <c r="DT21" s="2920">
        <f t="shared" si="17"/>
        <v>1</v>
      </c>
      <c r="DU21" s="2920">
        <f t="shared" si="18"/>
        <v>1</v>
      </c>
      <c r="DV21" s="2920">
        <f t="shared" si="19"/>
        <v>1</v>
      </c>
      <c r="DW21" s="2920">
        <f t="shared" si="20"/>
        <v>1</v>
      </c>
      <c r="DX21" s="2920">
        <f t="shared" si="21"/>
        <v>1</v>
      </c>
      <c r="DY21" s="2920">
        <f t="shared" si="22"/>
        <v>1</v>
      </c>
      <c r="DZ21" s="2920">
        <f t="shared" si="23"/>
        <v>1</v>
      </c>
      <c r="EA21" s="2920">
        <f t="shared" si="24"/>
        <v>1</v>
      </c>
      <c r="EB21" s="2920">
        <f t="shared" si="25"/>
        <v>1</v>
      </c>
      <c r="EC21" s="2920">
        <f t="shared" si="26"/>
        <v>1</v>
      </c>
    </row>
    <row r="22" spans="1:133" ht="20.399999999999999" x14ac:dyDescent="0.3">
      <c r="A22" s="6234">
        <v>11051300</v>
      </c>
      <c r="B22" s="3486" t="s">
        <v>2668</v>
      </c>
      <c r="C22" s="1928" t="s">
        <v>5292</v>
      </c>
      <c r="D22" s="3242" t="s">
        <v>5293</v>
      </c>
      <c r="E22" s="5038" t="s">
        <v>5294</v>
      </c>
      <c r="F22" s="5151" t="s">
        <v>5295</v>
      </c>
      <c r="G22" s="5038" t="s">
        <v>5296</v>
      </c>
      <c r="H22" s="5151" t="s">
        <v>5297</v>
      </c>
      <c r="I22" s="5038" t="s">
        <v>5298</v>
      </c>
      <c r="J22" s="5147" t="s">
        <v>5299</v>
      </c>
      <c r="K22" s="5152" t="s">
        <v>5300</v>
      </c>
      <c r="L22" s="5153" t="s">
        <v>5301</v>
      </c>
      <c r="M22" s="5152" t="s">
        <v>5302</v>
      </c>
      <c r="N22" s="5153" t="s">
        <v>5303</v>
      </c>
      <c r="O22" s="5152" t="s">
        <v>5304</v>
      </c>
      <c r="P22" s="5153" t="s">
        <v>5305</v>
      </c>
      <c r="Q22" s="5152" t="s">
        <v>5306</v>
      </c>
      <c r="R22" s="5153" t="s">
        <v>5307</v>
      </c>
      <c r="S22" s="5152" t="s">
        <v>5308</v>
      </c>
      <c r="T22" s="5153" t="s">
        <v>5309</v>
      </c>
      <c r="U22" s="5152" t="s">
        <v>5310</v>
      </c>
      <c r="V22" s="5153" t="s">
        <v>5311</v>
      </c>
      <c r="W22" s="5152" t="s">
        <v>5312</v>
      </c>
      <c r="X22" s="5153" t="s">
        <v>5313</v>
      </c>
      <c r="Y22" s="5152" t="s">
        <v>5314</v>
      </c>
      <c r="Z22" s="5153" t="s">
        <v>5315</v>
      </c>
      <c r="AA22" s="5152" t="s">
        <v>5316</v>
      </c>
      <c r="AB22" s="5153" t="s">
        <v>5317</v>
      </c>
      <c r="AC22" s="5152" t="s">
        <v>5318</v>
      </c>
      <c r="AD22" s="5153" t="s">
        <v>5319</v>
      </c>
      <c r="AE22" s="5152" t="s">
        <v>5320</v>
      </c>
      <c r="AF22" s="5153" t="s">
        <v>5321</v>
      </c>
      <c r="AG22" s="5152" t="s">
        <v>5322</v>
      </c>
      <c r="AH22" s="5153" t="s">
        <v>5323</v>
      </c>
      <c r="AI22" s="5152" t="s">
        <v>5324</v>
      </c>
      <c r="AJ22" s="5153" t="s">
        <v>5325</v>
      </c>
      <c r="AK22" s="5152" t="s">
        <v>5326</v>
      </c>
      <c r="AL22" s="5153" t="s">
        <v>5327</v>
      </c>
      <c r="AM22" s="5152" t="s">
        <v>5328</v>
      </c>
      <c r="AN22" s="5153" t="s">
        <v>5329</v>
      </c>
      <c r="AO22" s="5152" t="s">
        <v>5330</v>
      </c>
      <c r="AP22" s="5153" t="s">
        <v>5331</v>
      </c>
      <c r="AQ22" s="5152" t="s">
        <v>5332</v>
      </c>
      <c r="AR22" s="5154" t="s">
        <v>5333</v>
      </c>
      <c r="AS22" s="3479" t="s">
        <v>5334</v>
      </c>
      <c r="AT22" s="5145" t="s">
        <v>5335</v>
      </c>
      <c r="AU22" s="5146" t="s">
        <v>5336</v>
      </c>
      <c r="AV22" s="5145" t="s">
        <v>5337</v>
      </c>
      <c r="AW22" s="3479" t="s">
        <v>5338</v>
      </c>
      <c r="AX22" s="5147" t="s">
        <v>5339</v>
      </c>
      <c r="AY22" s="1687" t="e">
        <f>$CC22&amp;CD22&amp;CE22&amp;$CF22&amp;CL22&amp;CM22&amp;CN22&amp;CO22&amp;CP22&amp;CQ22&amp;CR22&amp;CS22&amp;CT22&amp;CU22&amp;CV22&amp;CW22&amp;CX22&amp;CY22&amp;CG22&amp;CH22&amp;CI22</f>
        <v>#VALUE!</v>
      </c>
      <c r="CB22" s="600"/>
      <c r="CC22" s="2784" t="e">
        <f>IF(C22&lt;&gt;(AT22+AS22)," * La suma de las columnas "&amp;AS$10&amp;""&amp;" DEBE SER IGUAL a los Exámenes Procesados. ","")</f>
        <v>#VALUE!</v>
      </c>
      <c r="CD22" s="2784" t="e">
        <f t="shared" si="29"/>
        <v>#VALUE!</v>
      </c>
      <c r="CE22" s="2784" t="str">
        <f t="shared" si="30"/>
        <v xml:space="preserve"> *El Número de Pueblos Originarios no puede superar el Total Procesados. </v>
      </c>
      <c r="CF22" s="2784" t="str">
        <f t="shared" si="31"/>
        <v xml:space="preserve"> *El Número de Migrantes no puede superar el Total Procesados. </v>
      </c>
      <c r="CG22" s="2784" t="str">
        <f>IF(E22&lt;F22,CONCATENATE("* El total de Procesados debe ser mayor o igual al total de Reactivos en el grupo de edad ",$E$11),"")</f>
        <v>* El total de Procesados debe ser mayor o igual al total de Reactivos en el grupo de edad Menos de 6 meses</v>
      </c>
      <c r="CH22" s="2784" t="str">
        <f>IF(G22&lt;H22,CONCATENATE("* El total de Procesados debe ser mayor o igual al total de Reactivos en el grupo de edad ",$G$11),"")</f>
        <v>* El total de Procesados debe ser mayor o igual al total de Reactivos en el grupo de edad 6 - 11 meses</v>
      </c>
      <c r="CI22" s="2784" t="str">
        <f>IF(I22&lt;J22,CONCATENATE("* El total de Procesados debe ser mayor o igual al total de Reactivos en el grupo de edad ",$I$11),"")</f>
        <v>* El total de Procesados debe ser mayor o igual al total de Reactivos en el grupo de edad 12-24 meses</v>
      </c>
      <c r="CJ22" s="2783"/>
      <c r="CK22" s="2783"/>
      <c r="CL22" s="3488"/>
      <c r="CM22" s="2783"/>
      <c r="CN22" s="2783"/>
      <c r="CO22" s="2783"/>
      <c r="CP22" s="2783"/>
      <c r="CQ22" s="2783"/>
      <c r="CR22" s="2783"/>
      <c r="CS22" s="2783"/>
      <c r="CT22" s="2783"/>
      <c r="CU22" s="2783"/>
      <c r="CV22" s="2783"/>
      <c r="CW22" s="2783"/>
      <c r="CX22" s="2783"/>
      <c r="CY22" s="2783"/>
      <c r="DF22" s="2630"/>
      <c r="DG22" s="2784" t="e">
        <f t="shared" ref="DG22:DG30" si="37">IF(C22&lt;&gt;(AT22+AS22),1,0)</f>
        <v>#VALUE!</v>
      </c>
      <c r="DH22" s="2920" t="e">
        <f t="shared" si="34"/>
        <v>#VALUE!</v>
      </c>
      <c r="DI22" s="2920">
        <f t="shared" si="12"/>
        <v>1</v>
      </c>
      <c r="DJ22" s="2920">
        <f t="shared" si="13"/>
        <v>1</v>
      </c>
      <c r="DK22" s="2920">
        <f>IF(E22&lt;F22,1,0)</f>
        <v>1</v>
      </c>
      <c r="DL22" s="2920">
        <f>IF(G22&lt;H22,1,0)</f>
        <v>1</v>
      </c>
      <c r="DM22" s="2920">
        <f>IF(I22&lt;J22,1,0)</f>
        <v>1</v>
      </c>
      <c r="DN22" s="2783"/>
      <c r="DO22" s="2783"/>
      <c r="DP22" s="3018"/>
      <c r="DQ22" s="3018"/>
      <c r="DR22" s="3018"/>
      <c r="DS22" s="3018"/>
      <c r="DT22" s="3018"/>
      <c r="DU22" s="3018"/>
      <c r="DV22" s="3018"/>
      <c r="DW22" s="3018"/>
      <c r="DX22" s="3018"/>
      <c r="DY22" s="3018"/>
      <c r="DZ22" s="3018"/>
      <c r="EA22" s="3018"/>
      <c r="EB22" s="3018"/>
      <c r="EC22" s="3018"/>
    </row>
    <row r="23" spans="1:133" x14ac:dyDescent="0.3">
      <c r="A23" s="6234">
        <v>11040200</v>
      </c>
      <c r="B23" s="3486" t="s">
        <v>2669</v>
      </c>
      <c r="C23" s="1928" t="s">
        <v>5292</v>
      </c>
      <c r="D23" s="3242" t="s">
        <v>5293</v>
      </c>
      <c r="E23" s="5148" t="s">
        <v>5294</v>
      </c>
      <c r="F23" s="5149" t="s">
        <v>5295</v>
      </c>
      <c r="G23" s="5148" t="s">
        <v>5296</v>
      </c>
      <c r="H23" s="5149" t="s">
        <v>5297</v>
      </c>
      <c r="I23" s="5148" t="s">
        <v>5298</v>
      </c>
      <c r="J23" s="5149" t="s">
        <v>5299</v>
      </c>
      <c r="K23" s="5148" t="s">
        <v>5300</v>
      </c>
      <c r="L23" s="5149" t="s">
        <v>5301</v>
      </c>
      <c r="M23" s="5148" t="s">
        <v>5302</v>
      </c>
      <c r="N23" s="5150" t="s">
        <v>5303</v>
      </c>
      <c r="O23" s="3475" t="s">
        <v>5304</v>
      </c>
      <c r="P23" s="5149" t="s">
        <v>5305</v>
      </c>
      <c r="Q23" s="5038" t="s">
        <v>5306</v>
      </c>
      <c r="R23" s="5151" t="s">
        <v>5307</v>
      </c>
      <c r="S23" s="5038" t="s">
        <v>5308</v>
      </c>
      <c r="T23" s="5151" t="s">
        <v>5309</v>
      </c>
      <c r="U23" s="5038" t="s">
        <v>5310</v>
      </c>
      <c r="V23" s="5151" t="s">
        <v>5311</v>
      </c>
      <c r="W23" s="5038" t="s">
        <v>5312</v>
      </c>
      <c r="X23" s="5151" t="s">
        <v>5313</v>
      </c>
      <c r="Y23" s="5038" t="s">
        <v>5314</v>
      </c>
      <c r="Z23" s="5151" t="s">
        <v>5315</v>
      </c>
      <c r="AA23" s="5038" t="s">
        <v>5316</v>
      </c>
      <c r="AB23" s="5151" t="s">
        <v>5317</v>
      </c>
      <c r="AC23" s="5038" t="s">
        <v>5318</v>
      </c>
      <c r="AD23" s="5151" t="s">
        <v>5319</v>
      </c>
      <c r="AE23" s="5038" t="s">
        <v>5320</v>
      </c>
      <c r="AF23" s="5151" t="s">
        <v>5321</v>
      </c>
      <c r="AG23" s="5038" t="s">
        <v>5322</v>
      </c>
      <c r="AH23" s="5151" t="s">
        <v>5323</v>
      </c>
      <c r="AI23" s="5038" t="s">
        <v>5324</v>
      </c>
      <c r="AJ23" s="5151" t="s">
        <v>5325</v>
      </c>
      <c r="AK23" s="5038" t="s">
        <v>5326</v>
      </c>
      <c r="AL23" s="5151" t="s">
        <v>5327</v>
      </c>
      <c r="AM23" s="5038" t="s">
        <v>5328</v>
      </c>
      <c r="AN23" s="5151" t="s">
        <v>5329</v>
      </c>
      <c r="AO23" s="5038" t="s">
        <v>5330</v>
      </c>
      <c r="AP23" s="5151" t="s">
        <v>5331</v>
      </c>
      <c r="AQ23" s="5038" t="s">
        <v>5332</v>
      </c>
      <c r="AR23" s="5145" t="s">
        <v>5333</v>
      </c>
      <c r="AS23" s="3479" t="s">
        <v>5334</v>
      </c>
      <c r="AT23" s="5145" t="s">
        <v>5335</v>
      </c>
      <c r="AU23" s="5146" t="s">
        <v>5336</v>
      </c>
      <c r="AV23" s="5145" t="s">
        <v>5337</v>
      </c>
      <c r="AW23" s="3479" t="s">
        <v>5338</v>
      </c>
      <c r="AX23" s="5147" t="s">
        <v>5339</v>
      </c>
      <c r="AY23" s="1687" t="e">
        <f>$CC23&amp;CD23&amp;CE23&amp;$CF23&amp;CL23&amp;CM23&amp;CN23&amp;CO23&amp;CP23&amp;CQ23&amp;CR23&amp;CS23&amp;CT23&amp;CU23&amp;CV23&amp;CW23&amp;CX23&amp;CY23</f>
        <v>#VALUE!</v>
      </c>
      <c r="CB23" s="600"/>
      <c r="CC23" s="2784" t="e">
        <f t="shared" ref="CC23:CC30" si="38">IF(C23&lt;&gt;(AT23+AS23)," * La suma de las columnas "&amp;AS$10&amp;""&amp;" DEBE SER IGUAL a los Exámenes Procesados. ","")</f>
        <v>#VALUE!</v>
      </c>
      <c r="CD23" s="2784" t="e">
        <f t="shared" si="29"/>
        <v>#VALUE!</v>
      </c>
      <c r="CE23" s="2784" t="str">
        <f t="shared" si="30"/>
        <v xml:space="preserve"> *El Número de Pueblos Originarios no puede superar el Total Procesados. </v>
      </c>
      <c r="CF23" s="2784" t="str">
        <f t="shared" si="31"/>
        <v xml:space="preserve"> *El Número de Migrantes no puede superar el Total Procesados. </v>
      </c>
      <c r="CG23" s="3488"/>
      <c r="CH23" s="3488"/>
      <c r="CI23" s="2783"/>
      <c r="CJ23" s="2783"/>
      <c r="CK23" s="2783"/>
      <c r="CL23" s="3488"/>
      <c r="CM23" s="2784" t="str">
        <f t="shared" ref="CM23:CM30" si="39">IF(Q23&lt;R23,CONCATENATE("* El total de Procesados debe ser mayor o igual al total de Reactivos en el grupo de edad ",$Q$11),"")</f>
        <v>* El total de Procesados debe ser mayor o igual al total de Reactivos en el grupo de edad 15 - 19 años</v>
      </c>
      <c r="CN23" s="2784" t="str">
        <f t="shared" ref="CN23:CN30" si="40">IF(S23&lt;T23,CONCATENATE("* El total de Procesados debe ser mayor o igual al total de Reactivos en el grupo de edad ",$S$11),"")</f>
        <v>* El total de Procesados debe ser mayor o igual al total de Reactivos en el grupo de edad 20 - 24 años</v>
      </c>
      <c r="CO23" s="2784" t="str">
        <f t="shared" si="33"/>
        <v>* El total de Procesados debe ser mayor o igual al total de Reactivos en el grupo de edad 25 - 29 años</v>
      </c>
      <c r="CP23" s="2784" t="str">
        <f t="shared" ref="CP23:CP30" si="41">IF(W23&lt;X23,CONCATENATE("* El total de Procesados debe ser mayor o igual al total de Reactivos en el grupo de edad ",$W$11),"")</f>
        <v>* El total de Procesados debe ser mayor o igual al total de Reactivos en el grupo de edad 30 - 34 años</v>
      </c>
      <c r="CQ23" s="2784" t="str">
        <f t="shared" ref="CQ23:CQ30" si="42">IF(Y23&lt;Z23,CONCATENATE("* El total de Procesados debe ser mayor o igual al total de Reactivos en el grupo de edad ",$Y$11),"")</f>
        <v>* El total de Procesados debe ser mayor o igual al total de Reactivos en el grupo de edad 35 - 39 años</v>
      </c>
      <c r="CR23" s="2784" t="str">
        <f t="shared" ref="CR23:CR30" si="43">IF(AA23&lt;AB23,CONCATENATE("* El total de Procesados debe ser mayor o igual al total de Reactivos en el grupo de edad ",$AA$11),"")</f>
        <v>* El total de Procesados debe ser mayor o igual al total de Reactivos en el grupo de edad 40 - 44 años</v>
      </c>
      <c r="CS23" s="2784" t="str">
        <f t="shared" ref="CS23:CS30" si="44">IF(AE23&lt;AF23,CONCATENATE("* El total de Procesados debe ser mayor o igual al total de Reactivos en el grupo de edad ",$AE$11),"")</f>
        <v>* El total de Procesados debe ser mayor o igual al total de Reactivos en el grupo de edad 50 - 54 años</v>
      </c>
      <c r="CT23" s="2784" t="str">
        <f t="shared" ref="CT23:CT30" si="45">IF(AG23&lt;AH23,CONCATENATE("* El total de Procesados debe ser mayor o igual al total de Reactivos en el grupo de edad ",$AG$11),"")</f>
        <v>* El total de Procesados debe ser mayor o igual al total de Reactivos en el grupo de edad 55 - 59 años</v>
      </c>
      <c r="CU23" s="2784" t="str">
        <f t="shared" ref="CU23:CU30" si="46">IF(AI23&lt;AJ23,CONCATENATE("* El total de Procesados debe ser mayor o igual al total de Reactivos en el grupo de edad ",$AI$11),"")</f>
        <v>* El total de Procesados debe ser mayor o igual al total de Reactivos en el grupo de edad 60 - 64 años</v>
      </c>
      <c r="CV23" s="2784" t="str">
        <f>IF(AK23&lt;AL23,CONCATENATE("* El total de Procesados debe ser mayor o igual al total de Reactivos en el grupo de edad ",$AK$11),"")</f>
        <v>* El total de Procesados debe ser mayor o igual al total de Reactivos en el grupo de edad 65 - 69 años</v>
      </c>
      <c r="CW23" s="2784" t="str">
        <f>IF(AM23&lt;AN23,CONCATENATE("* El total de Procesados debe ser mayor o igual al total de Reactivos en el grupo de edad ",$AM$11),"")</f>
        <v>* El total de Procesados debe ser mayor o igual al total de Reactivos en el grupo de edad 70 - 74 años</v>
      </c>
      <c r="CX23" s="2784" t="str">
        <f>IF(AO23&lt;AP23,CONCATENATE("* El total de Procesados debe ser mayor o igual al total de Reactivos en el grupo de edad ",$AO$11),"")</f>
        <v>* El total de Procesados debe ser mayor o igual al total de Reactivos en el grupo de edad 75 - 79 años</v>
      </c>
      <c r="CY23" s="2784" t="str">
        <f>IF(AQ23&lt;AR23,CONCATENATE("* El total de Procesados debe ser mayor o igual al total de Reactivos en el grupo de edad ",$AQ$11),"")</f>
        <v>* El total de Procesados debe ser mayor o igual al total de Reactivos en el grupo de edad 80 y más años</v>
      </c>
      <c r="DF23" s="2630"/>
      <c r="DG23" s="2784" t="e">
        <f t="shared" si="37"/>
        <v>#VALUE!</v>
      </c>
      <c r="DH23" s="2920" t="e">
        <f t="shared" si="34"/>
        <v>#VALUE!</v>
      </c>
      <c r="DI23" s="2920">
        <f t="shared" si="12"/>
        <v>1</v>
      </c>
      <c r="DJ23" s="2920">
        <f t="shared" si="13"/>
        <v>1</v>
      </c>
      <c r="DK23" s="2783"/>
      <c r="DL23" s="2783"/>
      <c r="DM23" s="2783"/>
      <c r="DN23" s="2783"/>
      <c r="DO23" s="2783"/>
      <c r="DP23" s="3018"/>
      <c r="DQ23" s="2920">
        <f t="shared" ref="DQ23:DQ30" si="47">IF(Q23&lt;R23,1,0)</f>
        <v>1</v>
      </c>
      <c r="DR23" s="2920">
        <f t="shared" ref="DR23:DR30" si="48">IF(S23&lt;T23,1,0)</f>
        <v>1</v>
      </c>
      <c r="DS23" s="2920">
        <f t="shared" si="35"/>
        <v>1</v>
      </c>
      <c r="DT23" s="2920">
        <f t="shared" ref="DT23:DT30" si="49">IF(W23&lt;X23,1,0)</f>
        <v>1</v>
      </c>
      <c r="DU23" s="2920">
        <f t="shared" ref="DU23:DU30" si="50">IF(Y23&lt;Z23,1,0)</f>
        <v>1</v>
      </c>
      <c r="DV23" s="2920">
        <f t="shared" ref="DV23:DV30" si="51">IF(AA23&lt;AB23,1,0)</f>
        <v>1</v>
      </c>
      <c r="DW23" s="2920">
        <f t="shared" ref="DW23:DW30" si="52">IF(AE23&lt;AF23,1,0)</f>
        <v>1</v>
      </c>
      <c r="DX23" s="2920">
        <f t="shared" ref="DX23:DX30" si="53">IF(AG23&lt;AH23,1,0)</f>
        <v>1</v>
      </c>
      <c r="DY23" s="2920">
        <f t="shared" ref="DY23:DY30" si="54">IF(AI23&lt;AJ23,1,0)</f>
        <v>1</v>
      </c>
      <c r="DZ23" s="2920">
        <f>IF(AK23&lt;AL23,1,0)</f>
        <v>1</v>
      </c>
      <c r="EA23" s="2920">
        <f>IF(AM23&lt;AN23,1,0)</f>
        <v>1</v>
      </c>
      <c r="EB23" s="2920">
        <f>IF(AO23&lt;AP23,1,0)</f>
        <v>1</v>
      </c>
      <c r="EC23" s="2920">
        <f>IF(AQ23&lt;AR23,1,0)</f>
        <v>1</v>
      </c>
    </row>
    <row r="24" spans="1:133" x14ac:dyDescent="0.3">
      <c r="A24" s="6234">
        <v>11051400</v>
      </c>
      <c r="B24" s="3485" t="s">
        <v>2670</v>
      </c>
      <c r="C24" s="1928" t="s">
        <v>5292</v>
      </c>
      <c r="D24" s="3242" t="s">
        <v>5293</v>
      </c>
      <c r="E24" s="5152" t="s">
        <v>5294</v>
      </c>
      <c r="F24" s="5153" t="s">
        <v>5295</v>
      </c>
      <c r="G24" s="5152" t="s">
        <v>5296</v>
      </c>
      <c r="H24" s="5153" t="s">
        <v>5297</v>
      </c>
      <c r="I24" s="5152" t="s">
        <v>5298</v>
      </c>
      <c r="J24" s="5155" t="s">
        <v>5299</v>
      </c>
      <c r="K24" s="3483" t="s">
        <v>5300</v>
      </c>
      <c r="L24" s="3483" t="s">
        <v>5301</v>
      </c>
      <c r="M24" s="5152" t="s">
        <v>5302</v>
      </c>
      <c r="N24" s="5155" t="s">
        <v>5303</v>
      </c>
      <c r="O24" s="3479" t="s">
        <v>5304</v>
      </c>
      <c r="P24" s="5151" t="s">
        <v>5305</v>
      </c>
      <c r="Q24" s="5038" t="s">
        <v>5306</v>
      </c>
      <c r="R24" s="5151" t="s">
        <v>5307</v>
      </c>
      <c r="S24" s="5038" t="s">
        <v>5308</v>
      </c>
      <c r="T24" s="5151" t="s">
        <v>5309</v>
      </c>
      <c r="U24" s="5038" t="s">
        <v>5310</v>
      </c>
      <c r="V24" s="5151" t="s">
        <v>5311</v>
      </c>
      <c r="W24" s="5038" t="s">
        <v>5312</v>
      </c>
      <c r="X24" s="5151" t="s">
        <v>5313</v>
      </c>
      <c r="Y24" s="5038" t="s">
        <v>5314</v>
      </c>
      <c r="Z24" s="5151" t="s">
        <v>5315</v>
      </c>
      <c r="AA24" s="5038" t="s">
        <v>5316</v>
      </c>
      <c r="AB24" s="5151" t="s">
        <v>5317</v>
      </c>
      <c r="AC24" s="5038" t="s">
        <v>5318</v>
      </c>
      <c r="AD24" s="5151" t="s">
        <v>5319</v>
      </c>
      <c r="AE24" s="5038" t="s">
        <v>5320</v>
      </c>
      <c r="AF24" s="5151" t="s">
        <v>5321</v>
      </c>
      <c r="AG24" s="5038" t="s">
        <v>5322</v>
      </c>
      <c r="AH24" s="5151" t="s">
        <v>5323</v>
      </c>
      <c r="AI24" s="5038" t="s">
        <v>5324</v>
      </c>
      <c r="AJ24" s="5151" t="s">
        <v>5325</v>
      </c>
      <c r="AK24" s="5038" t="s">
        <v>5326</v>
      </c>
      <c r="AL24" s="5151" t="s">
        <v>5327</v>
      </c>
      <c r="AM24" s="5038" t="s">
        <v>5328</v>
      </c>
      <c r="AN24" s="5151" t="s">
        <v>5329</v>
      </c>
      <c r="AO24" s="5038" t="s">
        <v>5330</v>
      </c>
      <c r="AP24" s="5147" t="s">
        <v>5331</v>
      </c>
      <c r="AQ24" s="5038" t="s">
        <v>5332</v>
      </c>
      <c r="AR24" s="5145" t="s">
        <v>5333</v>
      </c>
      <c r="AS24" s="3479" t="s">
        <v>5334</v>
      </c>
      <c r="AT24" s="5145" t="s">
        <v>5335</v>
      </c>
      <c r="AU24" s="5146" t="s">
        <v>5336</v>
      </c>
      <c r="AV24" s="5145" t="s">
        <v>5337</v>
      </c>
      <c r="AW24" s="3479" t="s">
        <v>5338</v>
      </c>
      <c r="AX24" s="5147" t="s">
        <v>5339</v>
      </c>
      <c r="AY24" s="1687" t="e">
        <f t="shared" ref="AY24:AY26" si="55">$CC24&amp;CD24&amp;CE24&amp;$CF24&amp;CL24&amp;CM24&amp;CN24&amp;CO24&amp;CP24&amp;CQ24&amp;CR24&amp;CS24&amp;CT24&amp;CU24&amp;CV24&amp;CW24&amp;CX24&amp;CY24</f>
        <v>#VALUE!</v>
      </c>
      <c r="CB24" s="600"/>
      <c r="CC24" s="2784" t="e">
        <f t="shared" si="38"/>
        <v>#VALUE!</v>
      </c>
      <c r="CD24" s="2784" t="e">
        <f t="shared" si="29"/>
        <v>#VALUE!</v>
      </c>
      <c r="CE24" s="2784" t="str">
        <f t="shared" si="30"/>
        <v xml:space="preserve"> *El Número de Pueblos Originarios no puede superar el Total Procesados. </v>
      </c>
      <c r="CF24" s="2784" t="str">
        <f t="shared" si="31"/>
        <v xml:space="preserve"> *El Número de Migrantes no puede superar el Total Procesados. </v>
      </c>
      <c r="CG24" s="3488"/>
      <c r="CH24" s="3488"/>
      <c r="CI24" s="2783"/>
      <c r="CJ24" s="2783"/>
      <c r="CK24" s="2783"/>
      <c r="CL24" s="2784" t="str">
        <f>IF(O24&lt;P24,CONCATENATE("* El total de Procesados debe ser mayor o igual al total de Reactivos en el grupo de edad ",$O$11),"")</f>
        <v>* El total de Procesados debe ser mayor o igual al total de Reactivos en el grupo de edad 10 - 14 años</v>
      </c>
      <c r="CM24" s="2784" t="str">
        <f t="shared" si="39"/>
        <v>* El total de Procesados debe ser mayor o igual al total de Reactivos en el grupo de edad 15 - 19 años</v>
      </c>
      <c r="CN24" s="2784" t="str">
        <f t="shared" si="40"/>
        <v>* El total de Procesados debe ser mayor o igual al total de Reactivos en el grupo de edad 20 - 24 años</v>
      </c>
      <c r="CO24" s="2784" t="str">
        <f t="shared" si="33"/>
        <v>* El total de Procesados debe ser mayor o igual al total de Reactivos en el grupo de edad 25 - 29 años</v>
      </c>
      <c r="CP24" s="2784" t="str">
        <f t="shared" si="41"/>
        <v>* El total de Procesados debe ser mayor o igual al total de Reactivos en el grupo de edad 30 - 34 años</v>
      </c>
      <c r="CQ24" s="2784" t="str">
        <f t="shared" si="42"/>
        <v>* El total de Procesados debe ser mayor o igual al total de Reactivos en el grupo de edad 35 - 39 años</v>
      </c>
      <c r="CR24" s="2784" t="str">
        <f t="shared" si="43"/>
        <v>* El total de Procesados debe ser mayor o igual al total de Reactivos en el grupo de edad 40 - 44 años</v>
      </c>
      <c r="CS24" s="2784" t="str">
        <f t="shared" si="44"/>
        <v>* El total de Procesados debe ser mayor o igual al total de Reactivos en el grupo de edad 50 - 54 años</v>
      </c>
      <c r="CT24" s="2784" t="str">
        <f t="shared" si="45"/>
        <v>* El total de Procesados debe ser mayor o igual al total de Reactivos en el grupo de edad 55 - 59 años</v>
      </c>
      <c r="CU24" s="2784" t="str">
        <f t="shared" si="46"/>
        <v>* El total de Procesados debe ser mayor o igual al total de Reactivos en el grupo de edad 60 - 64 años</v>
      </c>
      <c r="CV24" s="2784" t="str">
        <f>IF(AK24&lt;AL24,CONCATENATE("* El total de Procesados debe ser mayor o igual al total de Reactivos en el grupo de edad ",$AK$11),"")</f>
        <v>* El total de Procesados debe ser mayor o igual al total de Reactivos en el grupo de edad 65 - 69 años</v>
      </c>
      <c r="CW24" s="2784" t="str">
        <f>IF(AM24&lt;AN24,CONCATENATE("* El total de Procesados debe ser mayor o igual al total de Reactivos en el grupo de edad ",$AM$11),"")</f>
        <v>* El total de Procesados debe ser mayor o igual al total de Reactivos en el grupo de edad 70 - 74 años</v>
      </c>
      <c r="CX24" s="2784" t="str">
        <f>IF(AO24&lt;AP24,CONCATENATE("* El total de Procesados debe ser mayor o igual al total de Reactivos en el grupo de edad ",$AO$11),"")</f>
        <v>* El total de Procesados debe ser mayor o igual al total de Reactivos en el grupo de edad 75 - 79 años</v>
      </c>
      <c r="CY24" s="2784" t="str">
        <f>IF(AQ24&lt;AR24,CONCATENATE("* El total de Procesados debe ser mayor o igual al total de Reactivos en el grupo de edad ",$AQ$11),"")</f>
        <v>* El total de Procesados debe ser mayor o igual al total de Reactivos en el grupo de edad 80 y más años</v>
      </c>
      <c r="DF24" s="2630"/>
      <c r="DG24" s="2784" t="e">
        <f t="shared" si="37"/>
        <v>#VALUE!</v>
      </c>
      <c r="DH24" s="2920" t="e">
        <f t="shared" si="34"/>
        <v>#VALUE!</v>
      </c>
      <c r="DI24" s="2920">
        <f t="shared" si="12"/>
        <v>1</v>
      </c>
      <c r="DJ24" s="2920">
        <f t="shared" si="13"/>
        <v>1</v>
      </c>
      <c r="DK24" s="2783"/>
      <c r="DL24" s="2783"/>
      <c r="DM24" s="2783"/>
      <c r="DN24" s="2783"/>
      <c r="DO24" s="2783"/>
      <c r="DP24" s="2920">
        <f>IF(O24&lt;P24,1,0)</f>
        <v>1</v>
      </c>
      <c r="DQ24" s="2920">
        <f t="shared" si="47"/>
        <v>1</v>
      </c>
      <c r="DR24" s="2920">
        <f t="shared" si="48"/>
        <v>1</v>
      </c>
      <c r="DS24" s="2920">
        <f t="shared" si="35"/>
        <v>1</v>
      </c>
      <c r="DT24" s="2920">
        <f t="shared" si="49"/>
        <v>1</v>
      </c>
      <c r="DU24" s="2920">
        <f t="shared" si="50"/>
        <v>1</v>
      </c>
      <c r="DV24" s="2920">
        <f t="shared" si="51"/>
        <v>1</v>
      </c>
      <c r="DW24" s="2920">
        <f t="shared" si="52"/>
        <v>1</v>
      </c>
      <c r="DX24" s="2920">
        <f t="shared" si="53"/>
        <v>1</v>
      </c>
      <c r="DY24" s="2920">
        <f t="shared" si="54"/>
        <v>1</v>
      </c>
      <c r="DZ24" s="2920">
        <f>IF(AK24&lt;AL24,1,0)</f>
        <v>1</v>
      </c>
      <c r="EA24" s="2920">
        <f>IF(AM24&lt;AN24,1,0)</f>
        <v>1</v>
      </c>
      <c r="EB24" s="2920">
        <f>IF(AO24&lt;AP24,1,0)</f>
        <v>1</v>
      </c>
      <c r="EC24" s="2920">
        <f>IF(AQ24&lt;AR24,1,0)</f>
        <v>1</v>
      </c>
    </row>
    <row r="25" spans="1:133" x14ac:dyDescent="0.3">
      <c r="A25" s="6234">
        <v>11040300</v>
      </c>
      <c r="B25" s="3485" t="s">
        <v>2671</v>
      </c>
      <c r="C25" s="1928" t="s">
        <v>5292</v>
      </c>
      <c r="D25" s="3242" t="s">
        <v>5293</v>
      </c>
      <c r="E25" s="5038" t="s">
        <v>5294</v>
      </c>
      <c r="F25" s="5151" t="s">
        <v>5295</v>
      </c>
      <c r="G25" s="5038" t="s">
        <v>5296</v>
      </c>
      <c r="H25" s="5151" t="s">
        <v>5297</v>
      </c>
      <c r="I25" s="5038" t="s">
        <v>5298</v>
      </c>
      <c r="J25" s="5147" t="s">
        <v>5299</v>
      </c>
      <c r="K25" s="3479" t="s">
        <v>5300</v>
      </c>
      <c r="L25" s="3479" t="s">
        <v>5301</v>
      </c>
      <c r="M25" s="5038" t="s">
        <v>5302</v>
      </c>
      <c r="N25" s="5147" t="s">
        <v>5303</v>
      </c>
      <c r="O25" s="3479" t="s">
        <v>5304</v>
      </c>
      <c r="P25" s="5151" t="s">
        <v>5305</v>
      </c>
      <c r="Q25" s="5038" t="s">
        <v>5306</v>
      </c>
      <c r="R25" s="5151" t="s">
        <v>5307</v>
      </c>
      <c r="S25" s="5038" t="s">
        <v>5308</v>
      </c>
      <c r="T25" s="5151" t="s">
        <v>5309</v>
      </c>
      <c r="U25" s="5038" t="s">
        <v>5310</v>
      </c>
      <c r="V25" s="5151" t="s">
        <v>5311</v>
      </c>
      <c r="W25" s="5038" t="s">
        <v>5312</v>
      </c>
      <c r="X25" s="5151" t="s">
        <v>5313</v>
      </c>
      <c r="Y25" s="5038" t="s">
        <v>5314</v>
      </c>
      <c r="Z25" s="5151" t="s">
        <v>5315</v>
      </c>
      <c r="AA25" s="5038" t="s">
        <v>5316</v>
      </c>
      <c r="AB25" s="5151" t="s">
        <v>5317</v>
      </c>
      <c r="AC25" s="5038" t="s">
        <v>5318</v>
      </c>
      <c r="AD25" s="5151" t="s">
        <v>5319</v>
      </c>
      <c r="AE25" s="5038" t="s">
        <v>5320</v>
      </c>
      <c r="AF25" s="5151" t="s">
        <v>5321</v>
      </c>
      <c r="AG25" s="5038" t="s">
        <v>5322</v>
      </c>
      <c r="AH25" s="5151" t="s">
        <v>5323</v>
      </c>
      <c r="AI25" s="5038" t="s">
        <v>5324</v>
      </c>
      <c r="AJ25" s="5151" t="s">
        <v>5325</v>
      </c>
      <c r="AK25" s="5038" t="s">
        <v>5326</v>
      </c>
      <c r="AL25" s="5151" t="s">
        <v>5327</v>
      </c>
      <c r="AM25" s="5038" t="s">
        <v>5328</v>
      </c>
      <c r="AN25" s="5151" t="s">
        <v>5329</v>
      </c>
      <c r="AO25" s="5038" t="s">
        <v>5330</v>
      </c>
      <c r="AP25" s="5151" t="s">
        <v>5331</v>
      </c>
      <c r="AQ25" s="5038" t="s">
        <v>5332</v>
      </c>
      <c r="AR25" s="5145" t="s">
        <v>5333</v>
      </c>
      <c r="AS25" s="3479" t="s">
        <v>5334</v>
      </c>
      <c r="AT25" s="5145" t="s">
        <v>5335</v>
      </c>
      <c r="AU25" s="5146" t="s">
        <v>5336</v>
      </c>
      <c r="AV25" s="5145" t="s">
        <v>5337</v>
      </c>
      <c r="AW25" s="3479" t="s">
        <v>5338</v>
      </c>
      <c r="AX25" s="5147" t="s">
        <v>5339</v>
      </c>
      <c r="AY25" s="1687" t="e">
        <f>$CC25&amp;CD25&amp;CE25&amp;$CF25&amp;CG25&amp;CH25&amp;CI25&amp;CJ25&amp;CK25&amp;CL25&amp;CM25&amp;CN25&amp;CO25&amp;CP25&amp;CQ25&amp;CR25&amp;CS25&amp;CT25&amp;CU25&amp;CV25&amp;CW25&amp;CX25&amp;CY25</f>
        <v>#VALUE!</v>
      </c>
      <c r="CB25" s="600"/>
      <c r="CC25" s="2784" t="e">
        <f t="shared" si="38"/>
        <v>#VALUE!</v>
      </c>
      <c r="CD25" s="2784" t="e">
        <f t="shared" si="29"/>
        <v>#VALUE!</v>
      </c>
      <c r="CE25" s="2784" t="str">
        <f t="shared" si="30"/>
        <v xml:space="preserve"> *El Número de Pueblos Originarios no puede superar el Total Procesados. </v>
      </c>
      <c r="CF25" s="2784" t="str">
        <f>IF(AND($C25&gt;0,AX25=""),"* No olvide ingresar la columna "&amp;AX$10&amp;""&amp;" *(Digite CERO si no tiene). ",IF(AX25&gt;$C25," *El Número de "&amp;AX$10&amp;""&amp;" no puede superar el Total Procesados. ",""))</f>
        <v xml:space="preserve"> *El Número de Migrantes no puede superar el Total Procesados. </v>
      </c>
      <c r="CG25" s="2784" t="str">
        <f>IF(E25&lt;F25,CONCATENATE("* El total de Procesados debe ser mayor o igual al total de Reactivos en el grupo de edad ",$E$11),"")</f>
        <v>* El total de Procesados debe ser mayor o igual al total de Reactivos en el grupo de edad Menos de 6 meses</v>
      </c>
      <c r="CH25" s="2784" t="str">
        <f>IF(G25&lt;H25,CONCATENATE("* El total de Procesados debe ser mayor o igual al total de Reactivos en el grupo de edad ",$G$11),"")</f>
        <v>* El total de Procesados debe ser mayor o igual al total de Reactivos en el grupo de edad 6 - 11 meses</v>
      </c>
      <c r="CI25" s="2784" t="str">
        <f>IF(I25&lt;J25,CONCATENATE("* El total de Procesados debe ser mayor o igual al total de Reactivos en el grupo de edad ",$I$11),"")</f>
        <v>* El total de Procesados debe ser mayor o igual al total de Reactivos en el grupo de edad 12-24 meses</v>
      </c>
      <c r="CJ25" s="2784" t="str">
        <f>IF(K25&lt;L25,CONCATENATE("* El total de Procesados debe ser mayor o igual al total de Reactivos en el grupo de edad ",$K$11),"")</f>
        <v>* El total de Procesados debe ser mayor o igual al total de Reactivos en el grupo de edad 3 - 4 años</v>
      </c>
      <c r="CK25" s="2784" t="str">
        <f>IF(M25&lt;N25,CONCATENATE("* El total de Procesados debe ser mayor o igual al total de Reactivos en el grupo de edad ",$M$11),"")</f>
        <v>* El total de Procesados debe ser mayor o igual al total de Reactivos en el grupo de edad 5 - 9 años</v>
      </c>
      <c r="CL25" s="2784" t="str">
        <f>IF(O25&lt;P25,CONCATENATE("* El total de Procesados debe ser mayor o igual al total de Reactivos en el grupo de edad ",$O$11),"")</f>
        <v>* El total de Procesados debe ser mayor o igual al total de Reactivos en el grupo de edad 10 - 14 años</v>
      </c>
      <c r="CM25" s="2784" t="str">
        <f t="shared" si="39"/>
        <v>* El total de Procesados debe ser mayor o igual al total de Reactivos en el grupo de edad 15 - 19 años</v>
      </c>
      <c r="CN25" s="2784" t="str">
        <f t="shared" si="40"/>
        <v>* El total de Procesados debe ser mayor o igual al total de Reactivos en el grupo de edad 20 - 24 años</v>
      </c>
      <c r="CO25" s="2784" t="str">
        <f t="shared" si="33"/>
        <v>* El total de Procesados debe ser mayor o igual al total de Reactivos en el grupo de edad 25 - 29 años</v>
      </c>
      <c r="CP25" s="2784" t="str">
        <f t="shared" si="41"/>
        <v>* El total de Procesados debe ser mayor o igual al total de Reactivos en el grupo de edad 30 - 34 años</v>
      </c>
      <c r="CQ25" s="2784" t="str">
        <f t="shared" si="42"/>
        <v>* El total de Procesados debe ser mayor o igual al total de Reactivos en el grupo de edad 35 - 39 años</v>
      </c>
      <c r="CR25" s="2784" t="str">
        <f t="shared" si="43"/>
        <v>* El total de Procesados debe ser mayor o igual al total de Reactivos en el grupo de edad 40 - 44 años</v>
      </c>
      <c r="CS25" s="2784" t="str">
        <f t="shared" si="44"/>
        <v>* El total de Procesados debe ser mayor o igual al total de Reactivos en el grupo de edad 50 - 54 años</v>
      </c>
      <c r="CT25" s="2784" t="str">
        <f t="shared" si="45"/>
        <v>* El total de Procesados debe ser mayor o igual al total de Reactivos en el grupo de edad 55 - 59 años</v>
      </c>
      <c r="CU25" s="2784" t="str">
        <f t="shared" si="46"/>
        <v>* El total de Procesados debe ser mayor o igual al total de Reactivos en el grupo de edad 60 - 64 años</v>
      </c>
      <c r="CV25" s="2784" t="str">
        <f>IF(AK25&lt;AL25,CONCATENATE("* El total de Procesados debe ser mayor o igual al total de Reactivos en el grupo de edad ",$AK$11),"")</f>
        <v>* El total de Procesados debe ser mayor o igual al total de Reactivos en el grupo de edad 65 - 69 años</v>
      </c>
      <c r="CW25" s="2784" t="str">
        <f>IF(AM25&lt;AN25,CONCATENATE("* El total de Procesados debe ser mayor o igual al total de Reactivos en el grupo de edad ",$AM$11),"")</f>
        <v>* El total de Procesados debe ser mayor o igual al total de Reactivos en el grupo de edad 70 - 74 años</v>
      </c>
      <c r="CX25" s="2784" t="str">
        <f>IF(AO25&lt;AP25,CONCATENATE("* El total de Procesados debe ser mayor o igual al total de Reactivos en el grupo de edad ",$AO$11),"")</f>
        <v>* El total de Procesados debe ser mayor o igual al total de Reactivos en el grupo de edad 75 - 79 años</v>
      </c>
      <c r="CY25" s="2784" t="str">
        <f>IF(AQ25&lt;AR25,CONCATENATE("* El total de Procesados debe ser mayor o igual al total de Reactivos en el grupo de edad ",$AQ$11),"")</f>
        <v>* El total de Procesados debe ser mayor o igual al total de Reactivos en el grupo de edad 80 y más años</v>
      </c>
      <c r="DF25" s="2630"/>
      <c r="DG25" s="2784" t="e">
        <f t="shared" si="37"/>
        <v>#VALUE!</v>
      </c>
      <c r="DH25" s="2920" t="e">
        <f t="shared" si="34"/>
        <v>#VALUE!</v>
      </c>
      <c r="DI25" s="2920">
        <f t="shared" si="12"/>
        <v>1</v>
      </c>
      <c r="DJ25" s="2920">
        <f t="shared" si="13"/>
        <v>1</v>
      </c>
      <c r="DK25" s="2920">
        <f>IF(E25&lt;F25,1,0)</f>
        <v>1</v>
      </c>
      <c r="DL25" s="2920">
        <f>IF(G25&lt;H25,1,0)</f>
        <v>1</v>
      </c>
      <c r="DM25" s="2920">
        <f>IF(I25&lt;J25,1,0)</f>
        <v>1</v>
      </c>
      <c r="DN25" s="2920">
        <f>IF(K25&lt;L25,1,0)</f>
        <v>1</v>
      </c>
      <c r="DO25" s="2920">
        <f>IF(M25&lt;N25,1,0)</f>
        <v>1</v>
      </c>
      <c r="DP25" s="2920">
        <f>IF(O25&lt;P25,1,0)</f>
        <v>1</v>
      </c>
      <c r="DQ25" s="2920">
        <f t="shared" si="47"/>
        <v>1</v>
      </c>
      <c r="DR25" s="2920">
        <f t="shared" si="48"/>
        <v>1</v>
      </c>
      <c r="DS25" s="2920">
        <f t="shared" si="35"/>
        <v>1</v>
      </c>
      <c r="DT25" s="2920">
        <f t="shared" si="49"/>
        <v>1</v>
      </c>
      <c r="DU25" s="2920">
        <f t="shared" si="50"/>
        <v>1</v>
      </c>
      <c r="DV25" s="2920">
        <f t="shared" si="51"/>
        <v>1</v>
      </c>
      <c r="DW25" s="2920">
        <f t="shared" si="52"/>
        <v>1</v>
      </c>
      <c r="DX25" s="2920">
        <f t="shared" si="53"/>
        <v>1</v>
      </c>
      <c r="DY25" s="2920">
        <f t="shared" si="54"/>
        <v>1</v>
      </c>
      <c r="DZ25" s="2920">
        <f>IF(AK25&lt;AL25,1,0)</f>
        <v>1</v>
      </c>
      <c r="EA25" s="2920">
        <f>IF(AM25&lt;AN25,1,0)</f>
        <v>1</v>
      </c>
      <c r="EB25" s="2920">
        <f>IF(AO25&lt;AP25,1,0)</f>
        <v>1</v>
      </c>
      <c r="EC25" s="2920">
        <f>IF(AQ25&lt;AR25,1,0)</f>
        <v>1</v>
      </c>
    </row>
    <row r="26" spans="1:133" x14ac:dyDescent="0.3">
      <c r="A26" s="6234">
        <v>11040600</v>
      </c>
      <c r="B26" s="3485" t="s">
        <v>2672</v>
      </c>
      <c r="C26" s="1928" t="s">
        <v>5292</v>
      </c>
      <c r="D26" s="3242" t="s">
        <v>5293</v>
      </c>
      <c r="E26" s="5148" t="s">
        <v>5294</v>
      </c>
      <c r="F26" s="5149" t="s">
        <v>5295</v>
      </c>
      <c r="G26" s="5148" t="s">
        <v>5296</v>
      </c>
      <c r="H26" s="5149" t="s">
        <v>5297</v>
      </c>
      <c r="I26" s="5148" t="s">
        <v>5298</v>
      </c>
      <c r="J26" s="5149" t="s">
        <v>5299</v>
      </c>
      <c r="K26" s="5148" t="s">
        <v>5300</v>
      </c>
      <c r="L26" s="5149" t="s">
        <v>5301</v>
      </c>
      <c r="M26" s="5148" t="s">
        <v>5302</v>
      </c>
      <c r="N26" s="5150" t="s">
        <v>5303</v>
      </c>
      <c r="O26" s="3475" t="s">
        <v>5304</v>
      </c>
      <c r="P26" s="5149" t="s">
        <v>5305</v>
      </c>
      <c r="Q26" s="5038" t="s">
        <v>5306</v>
      </c>
      <c r="R26" s="5151" t="s">
        <v>5307</v>
      </c>
      <c r="S26" s="5038" t="s">
        <v>5308</v>
      </c>
      <c r="T26" s="5151" t="s">
        <v>5309</v>
      </c>
      <c r="U26" s="5038" t="s">
        <v>5310</v>
      </c>
      <c r="V26" s="5151" t="s">
        <v>5311</v>
      </c>
      <c r="W26" s="5038" t="s">
        <v>5312</v>
      </c>
      <c r="X26" s="5151" t="s">
        <v>5313</v>
      </c>
      <c r="Y26" s="5038" t="s">
        <v>5314</v>
      </c>
      <c r="Z26" s="5151" t="s">
        <v>5315</v>
      </c>
      <c r="AA26" s="5038" t="s">
        <v>5316</v>
      </c>
      <c r="AB26" s="5151" t="s">
        <v>5317</v>
      </c>
      <c r="AC26" s="5038" t="s">
        <v>5318</v>
      </c>
      <c r="AD26" s="5151" t="s">
        <v>5319</v>
      </c>
      <c r="AE26" s="5038" t="s">
        <v>5320</v>
      </c>
      <c r="AF26" s="5151" t="s">
        <v>5321</v>
      </c>
      <c r="AG26" s="5038" t="s">
        <v>5322</v>
      </c>
      <c r="AH26" s="5151" t="s">
        <v>5323</v>
      </c>
      <c r="AI26" s="5038" t="s">
        <v>5324</v>
      </c>
      <c r="AJ26" s="5151" t="s">
        <v>5325</v>
      </c>
      <c r="AK26" s="5038" t="s">
        <v>5326</v>
      </c>
      <c r="AL26" s="5151" t="s">
        <v>5327</v>
      </c>
      <c r="AM26" s="5038" t="s">
        <v>5328</v>
      </c>
      <c r="AN26" s="5151" t="s">
        <v>5329</v>
      </c>
      <c r="AO26" s="5038" t="s">
        <v>5330</v>
      </c>
      <c r="AP26" s="5151" t="s">
        <v>5331</v>
      </c>
      <c r="AQ26" s="5038" t="s">
        <v>5332</v>
      </c>
      <c r="AR26" s="5145" t="s">
        <v>5333</v>
      </c>
      <c r="AS26" s="3479" t="s">
        <v>5334</v>
      </c>
      <c r="AT26" s="5145" t="s">
        <v>5335</v>
      </c>
      <c r="AU26" s="5146" t="s">
        <v>5336</v>
      </c>
      <c r="AV26" s="5145" t="s">
        <v>5337</v>
      </c>
      <c r="AW26" s="3479" t="s">
        <v>5338</v>
      </c>
      <c r="AX26" s="5147" t="s">
        <v>5339</v>
      </c>
      <c r="AY26" s="1687" t="e">
        <f t="shared" si="55"/>
        <v>#VALUE!</v>
      </c>
      <c r="CB26" s="600"/>
      <c r="CC26" s="2784" t="e">
        <f t="shared" si="38"/>
        <v>#VALUE!</v>
      </c>
      <c r="CD26" s="2784" t="e">
        <f t="shared" si="29"/>
        <v>#VALUE!</v>
      </c>
      <c r="CE26" s="2784" t="str">
        <f t="shared" si="30"/>
        <v xml:space="preserve"> *El Número de Pueblos Originarios no puede superar el Total Procesados. </v>
      </c>
      <c r="CF26" s="2784" t="str">
        <f t="shared" si="31"/>
        <v xml:space="preserve"> *El Número de Migrantes no puede superar el Total Procesados. </v>
      </c>
      <c r="CG26" s="3488"/>
      <c r="CH26" s="3488"/>
      <c r="CI26" s="2783"/>
      <c r="CJ26" s="2783"/>
      <c r="CK26" s="2783"/>
      <c r="CL26" s="3488"/>
      <c r="CM26" s="2784" t="str">
        <f t="shared" si="39"/>
        <v>* El total de Procesados debe ser mayor o igual al total de Reactivos en el grupo de edad 15 - 19 años</v>
      </c>
      <c r="CN26" s="2784" t="str">
        <f t="shared" si="40"/>
        <v>* El total de Procesados debe ser mayor o igual al total de Reactivos en el grupo de edad 20 - 24 años</v>
      </c>
      <c r="CO26" s="2784" t="str">
        <f t="shared" si="33"/>
        <v>* El total de Procesados debe ser mayor o igual al total de Reactivos en el grupo de edad 25 - 29 años</v>
      </c>
      <c r="CP26" s="2784" t="str">
        <f t="shared" si="41"/>
        <v>* El total de Procesados debe ser mayor o igual al total de Reactivos en el grupo de edad 30 - 34 años</v>
      </c>
      <c r="CQ26" s="2784" t="str">
        <f t="shared" si="42"/>
        <v>* El total de Procesados debe ser mayor o igual al total de Reactivos en el grupo de edad 35 - 39 años</v>
      </c>
      <c r="CR26" s="2784" t="str">
        <f t="shared" si="43"/>
        <v>* El total de Procesados debe ser mayor o igual al total de Reactivos en el grupo de edad 40 - 44 años</v>
      </c>
      <c r="CS26" s="2784" t="str">
        <f t="shared" si="44"/>
        <v>* El total de Procesados debe ser mayor o igual al total de Reactivos en el grupo de edad 50 - 54 años</v>
      </c>
      <c r="CT26" s="2784" t="str">
        <f t="shared" si="45"/>
        <v>* El total de Procesados debe ser mayor o igual al total de Reactivos en el grupo de edad 55 - 59 años</v>
      </c>
      <c r="CU26" s="2784" t="str">
        <f t="shared" si="46"/>
        <v>* El total de Procesados debe ser mayor o igual al total de Reactivos en el grupo de edad 60 - 64 años</v>
      </c>
      <c r="CV26" s="2784" t="str">
        <f>IF(AK26&lt;AL26,CONCATENATE("* El total de Procesados debe ser mayor o igual al total de Reactivos en el grupo de edad ",$AK$11),"")</f>
        <v>* El total de Procesados debe ser mayor o igual al total de Reactivos en el grupo de edad 65 - 69 años</v>
      </c>
      <c r="CW26" s="2784" t="str">
        <f>IF(AM26&lt;AN26,CONCATENATE("* El total de Procesados debe ser mayor o igual al total de Reactivos en el grupo de edad ",$AM$11),"")</f>
        <v>* El total de Procesados debe ser mayor o igual al total de Reactivos en el grupo de edad 70 - 74 años</v>
      </c>
      <c r="CX26" s="2784" t="str">
        <f>IF(AO26&lt;AP26,CONCATENATE("* El total de Procesados debe ser mayor o igual al total de Reactivos en el grupo de edad ",$AO$11),"")</f>
        <v>* El total de Procesados debe ser mayor o igual al total de Reactivos en el grupo de edad 75 - 79 años</v>
      </c>
      <c r="CY26" s="2784" t="str">
        <f>IF(AQ26&lt;AR26,CONCATENATE("* El total de Procesados debe ser mayor o igual al total de Reactivos en el grupo de edad ",$AQ$11),"")</f>
        <v>* El total de Procesados debe ser mayor o igual al total de Reactivos en el grupo de edad 80 y más años</v>
      </c>
      <c r="DF26" s="2630"/>
      <c r="DG26" s="2784" t="e">
        <f t="shared" si="37"/>
        <v>#VALUE!</v>
      </c>
      <c r="DH26" s="2920" t="e">
        <f t="shared" si="34"/>
        <v>#VALUE!</v>
      </c>
      <c r="DI26" s="2920">
        <f t="shared" si="12"/>
        <v>1</v>
      </c>
      <c r="DJ26" s="2920">
        <f t="shared" si="13"/>
        <v>1</v>
      </c>
      <c r="DK26" s="2783"/>
      <c r="DL26" s="2783"/>
      <c r="DM26" s="2783"/>
      <c r="DN26" s="2783"/>
      <c r="DO26" s="2783"/>
      <c r="DP26" s="3018"/>
      <c r="DQ26" s="2920">
        <f t="shared" si="47"/>
        <v>1</v>
      </c>
      <c r="DR26" s="2920">
        <f t="shared" si="48"/>
        <v>1</v>
      </c>
      <c r="DS26" s="2920">
        <f t="shared" si="35"/>
        <v>1</v>
      </c>
      <c r="DT26" s="2920">
        <f t="shared" si="49"/>
        <v>1</v>
      </c>
      <c r="DU26" s="2920">
        <f t="shared" si="50"/>
        <v>1</v>
      </c>
      <c r="DV26" s="2920">
        <f t="shared" si="51"/>
        <v>1</v>
      </c>
      <c r="DW26" s="2920">
        <f t="shared" si="52"/>
        <v>1</v>
      </c>
      <c r="DX26" s="2920">
        <f t="shared" si="53"/>
        <v>1</v>
      </c>
      <c r="DY26" s="2920">
        <f t="shared" si="54"/>
        <v>1</v>
      </c>
      <c r="DZ26" s="2920">
        <f>IF(AK26&lt;AL26,1,0)</f>
        <v>1</v>
      </c>
      <c r="EA26" s="2920">
        <f>IF(AM26&lt;AN26,1,0)</f>
        <v>1</v>
      </c>
      <c r="EB26" s="2920">
        <f>IF(AO26&lt;AP26,1,0)</f>
        <v>1</v>
      </c>
      <c r="EC26" s="2920">
        <f>IF(AQ26&lt;AR26,1,0)</f>
        <v>1</v>
      </c>
    </row>
    <row r="27" spans="1:133" x14ac:dyDescent="0.3">
      <c r="A27" s="6234">
        <v>11040500</v>
      </c>
      <c r="B27" s="3485" t="s">
        <v>2673</v>
      </c>
      <c r="C27" s="1928" t="s">
        <v>5292</v>
      </c>
      <c r="D27" s="3242" t="s">
        <v>5293</v>
      </c>
      <c r="E27" s="5148" t="s">
        <v>5294</v>
      </c>
      <c r="F27" s="5149" t="s">
        <v>5295</v>
      </c>
      <c r="G27" s="5148" t="s">
        <v>5296</v>
      </c>
      <c r="H27" s="5149" t="s">
        <v>5297</v>
      </c>
      <c r="I27" s="5148" t="s">
        <v>5298</v>
      </c>
      <c r="J27" s="5149" t="s">
        <v>5299</v>
      </c>
      <c r="K27" s="5148" t="s">
        <v>5300</v>
      </c>
      <c r="L27" s="5149" t="s">
        <v>5301</v>
      </c>
      <c r="M27" s="5148" t="s">
        <v>5302</v>
      </c>
      <c r="N27" s="5150" t="s">
        <v>5303</v>
      </c>
      <c r="O27" s="3475" t="s">
        <v>5304</v>
      </c>
      <c r="P27" s="5149" t="s">
        <v>5305</v>
      </c>
      <c r="Q27" s="5038" t="s">
        <v>5306</v>
      </c>
      <c r="R27" s="5151" t="s">
        <v>5307</v>
      </c>
      <c r="S27" s="5038" t="s">
        <v>5308</v>
      </c>
      <c r="T27" s="5151" t="s">
        <v>5309</v>
      </c>
      <c r="U27" s="5038" t="s">
        <v>5310</v>
      </c>
      <c r="V27" s="5151" t="s">
        <v>5311</v>
      </c>
      <c r="W27" s="5038" t="s">
        <v>5312</v>
      </c>
      <c r="X27" s="5151" t="s">
        <v>5313</v>
      </c>
      <c r="Y27" s="5038" t="s">
        <v>5314</v>
      </c>
      <c r="Z27" s="5151" t="s">
        <v>5315</v>
      </c>
      <c r="AA27" s="5038" t="s">
        <v>5316</v>
      </c>
      <c r="AB27" s="5151" t="s">
        <v>5317</v>
      </c>
      <c r="AC27" s="5038" t="s">
        <v>5318</v>
      </c>
      <c r="AD27" s="5151" t="s">
        <v>5319</v>
      </c>
      <c r="AE27" s="5038" t="s">
        <v>5320</v>
      </c>
      <c r="AF27" s="5151" t="s">
        <v>5321</v>
      </c>
      <c r="AG27" s="5038" t="s">
        <v>5322</v>
      </c>
      <c r="AH27" s="5151" t="s">
        <v>5323</v>
      </c>
      <c r="AI27" s="5038" t="s">
        <v>5324</v>
      </c>
      <c r="AJ27" s="5151" t="s">
        <v>5325</v>
      </c>
      <c r="AK27" s="5148" t="s">
        <v>5326</v>
      </c>
      <c r="AL27" s="5149" t="s">
        <v>5327</v>
      </c>
      <c r="AM27" s="5148" t="s">
        <v>5328</v>
      </c>
      <c r="AN27" s="5149" t="s">
        <v>5329</v>
      </c>
      <c r="AO27" s="5148" t="s">
        <v>5330</v>
      </c>
      <c r="AP27" s="5149" t="s">
        <v>5331</v>
      </c>
      <c r="AQ27" s="5148" t="s">
        <v>5332</v>
      </c>
      <c r="AR27" s="5156" t="s">
        <v>5333</v>
      </c>
      <c r="AS27" s="3479" t="s">
        <v>5334</v>
      </c>
      <c r="AT27" s="5145" t="s">
        <v>5335</v>
      </c>
      <c r="AU27" s="5146" t="s">
        <v>5336</v>
      </c>
      <c r="AV27" s="5145" t="s">
        <v>5337</v>
      </c>
      <c r="AW27" s="3479" t="s">
        <v>5338</v>
      </c>
      <c r="AX27" s="5147" t="s">
        <v>5339</v>
      </c>
      <c r="AY27" s="1687" t="e">
        <f>$CC27&amp;CD27&amp;CE27&amp;$CF27&amp;CL27&amp;CM27&amp;CN27&amp;CO27&amp;CP27&amp;CQ27&amp;CR27&amp;CS27&amp;CT27&amp;CU27&amp;CV27&amp;CW27&amp;CX27&amp;CY27</f>
        <v>#VALUE!</v>
      </c>
      <c r="CB27" s="600"/>
      <c r="CC27" s="2784" t="e">
        <f t="shared" si="38"/>
        <v>#VALUE!</v>
      </c>
      <c r="CD27" s="2784" t="e">
        <f t="shared" si="29"/>
        <v>#VALUE!</v>
      </c>
      <c r="CE27" s="2784" t="str">
        <f t="shared" si="30"/>
        <v xml:space="preserve"> *El Número de Pueblos Originarios no puede superar el Total Procesados. </v>
      </c>
      <c r="CF27" s="2784" t="str">
        <f t="shared" si="31"/>
        <v xml:space="preserve"> *El Número de Migrantes no puede superar el Total Procesados. </v>
      </c>
      <c r="CG27" s="3488"/>
      <c r="CH27" s="3488"/>
      <c r="CI27" s="2783"/>
      <c r="CJ27" s="2783"/>
      <c r="CK27" s="2783"/>
      <c r="CL27" s="3488"/>
      <c r="CM27" s="2784" t="str">
        <f t="shared" si="39"/>
        <v>* El total de Procesados debe ser mayor o igual al total de Reactivos en el grupo de edad 15 - 19 años</v>
      </c>
      <c r="CN27" s="2784" t="str">
        <f t="shared" si="40"/>
        <v>* El total de Procesados debe ser mayor o igual al total de Reactivos en el grupo de edad 20 - 24 años</v>
      </c>
      <c r="CO27" s="2784" t="str">
        <f t="shared" si="33"/>
        <v>* El total de Procesados debe ser mayor o igual al total de Reactivos en el grupo de edad 25 - 29 años</v>
      </c>
      <c r="CP27" s="2784" t="str">
        <f t="shared" si="41"/>
        <v>* El total de Procesados debe ser mayor o igual al total de Reactivos en el grupo de edad 30 - 34 años</v>
      </c>
      <c r="CQ27" s="2784" t="str">
        <f t="shared" si="42"/>
        <v>* El total de Procesados debe ser mayor o igual al total de Reactivos en el grupo de edad 35 - 39 años</v>
      </c>
      <c r="CR27" s="2784" t="str">
        <f t="shared" si="43"/>
        <v>* El total de Procesados debe ser mayor o igual al total de Reactivos en el grupo de edad 40 - 44 años</v>
      </c>
      <c r="CS27" s="2784" t="str">
        <f t="shared" si="44"/>
        <v>* El total de Procesados debe ser mayor o igual al total de Reactivos en el grupo de edad 50 - 54 años</v>
      </c>
      <c r="CT27" s="2784" t="str">
        <f t="shared" si="45"/>
        <v>* El total de Procesados debe ser mayor o igual al total de Reactivos en el grupo de edad 55 - 59 años</v>
      </c>
      <c r="CU27" s="2784" t="str">
        <f t="shared" si="46"/>
        <v>* El total de Procesados debe ser mayor o igual al total de Reactivos en el grupo de edad 60 - 64 años</v>
      </c>
      <c r="CV27" s="3018"/>
      <c r="CW27" s="3018"/>
      <c r="CX27" s="3018"/>
      <c r="CY27" s="3018"/>
      <c r="DF27" s="2630"/>
      <c r="DG27" s="2784" t="e">
        <f t="shared" si="37"/>
        <v>#VALUE!</v>
      </c>
      <c r="DH27" s="2920" t="e">
        <f t="shared" si="34"/>
        <v>#VALUE!</v>
      </c>
      <c r="DI27" s="2920">
        <f t="shared" si="12"/>
        <v>1</v>
      </c>
      <c r="DJ27" s="2920">
        <f t="shared" si="13"/>
        <v>1</v>
      </c>
      <c r="DK27" s="2783"/>
      <c r="DL27" s="2783"/>
      <c r="DM27" s="2783"/>
      <c r="DN27" s="2783"/>
      <c r="DO27" s="2783"/>
      <c r="DP27" s="3018"/>
      <c r="DQ27" s="2920">
        <f t="shared" si="47"/>
        <v>1</v>
      </c>
      <c r="DR27" s="2920">
        <f t="shared" si="48"/>
        <v>1</v>
      </c>
      <c r="DS27" s="2920">
        <f t="shared" si="35"/>
        <v>1</v>
      </c>
      <c r="DT27" s="2920">
        <f t="shared" si="49"/>
        <v>1</v>
      </c>
      <c r="DU27" s="2920">
        <f t="shared" si="50"/>
        <v>1</v>
      </c>
      <c r="DV27" s="2920">
        <f t="shared" si="51"/>
        <v>1</v>
      </c>
      <c r="DW27" s="2920">
        <f t="shared" si="52"/>
        <v>1</v>
      </c>
      <c r="DX27" s="2920">
        <f t="shared" si="53"/>
        <v>1</v>
      </c>
      <c r="DY27" s="2920">
        <f t="shared" si="54"/>
        <v>1</v>
      </c>
      <c r="DZ27" s="3018"/>
      <c r="EA27" s="3018"/>
      <c r="EB27" s="3018"/>
      <c r="EC27" s="3018"/>
    </row>
    <row r="28" spans="1:133" x14ac:dyDescent="0.3">
      <c r="A28" s="6234">
        <v>11054100</v>
      </c>
      <c r="B28" s="3485" t="s">
        <v>2674</v>
      </c>
      <c r="C28" s="1928" t="s">
        <v>5292</v>
      </c>
      <c r="D28" s="3242" t="s">
        <v>5293</v>
      </c>
      <c r="E28" s="5038" t="s">
        <v>5294</v>
      </c>
      <c r="F28" s="5151" t="s">
        <v>5295</v>
      </c>
      <c r="G28" s="5038" t="s">
        <v>5296</v>
      </c>
      <c r="H28" s="5151" t="s">
        <v>5297</v>
      </c>
      <c r="I28" s="5038" t="s">
        <v>5298</v>
      </c>
      <c r="J28" s="5147" t="s">
        <v>5299</v>
      </c>
      <c r="K28" s="3479" t="s">
        <v>5300</v>
      </c>
      <c r="L28" s="3479" t="s">
        <v>5301</v>
      </c>
      <c r="M28" s="5038" t="s">
        <v>5302</v>
      </c>
      <c r="N28" s="5147" t="s">
        <v>5303</v>
      </c>
      <c r="O28" s="3479" t="s">
        <v>5304</v>
      </c>
      <c r="P28" s="5151" t="s">
        <v>5305</v>
      </c>
      <c r="Q28" s="5038" t="s">
        <v>5306</v>
      </c>
      <c r="R28" s="5151" t="s">
        <v>5307</v>
      </c>
      <c r="S28" s="5038" t="s">
        <v>5308</v>
      </c>
      <c r="T28" s="5151" t="s">
        <v>5309</v>
      </c>
      <c r="U28" s="5038" t="s">
        <v>5310</v>
      </c>
      <c r="V28" s="5151" t="s">
        <v>5311</v>
      </c>
      <c r="W28" s="5038" t="s">
        <v>5312</v>
      </c>
      <c r="X28" s="5151" t="s">
        <v>5313</v>
      </c>
      <c r="Y28" s="5038" t="s">
        <v>5314</v>
      </c>
      <c r="Z28" s="5151" t="s">
        <v>5315</v>
      </c>
      <c r="AA28" s="5038" t="s">
        <v>5316</v>
      </c>
      <c r="AB28" s="5151" t="s">
        <v>5317</v>
      </c>
      <c r="AC28" s="5038" t="s">
        <v>5318</v>
      </c>
      <c r="AD28" s="5151" t="s">
        <v>5319</v>
      </c>
      <c r="AE28" s="5038" t="s">
        <v>5320</v>
      </c>
      <c r="AF28" s="5151" t="s">
        <v>5321</v>
      </c>
      <c r="AG28" s="5038" t="s">
        <v>5322</v>
      </c>
      <c r="AH28" s="5151" t="s">
        <v>5323</v>
      </c>
      <c r="AI28" s="5038" t="s">
        <v>5324</v>
      </c>
      <c r="AJ28" s="5151" t="s">
        <v>5325</v>
      </c>
      <c r="AK28" s="5038" t="s">
        <v>5326</v>
      </c>
      <c r="AL28" s="5151" t="s">
        <v>5327</v>
      </c>
      <c r="AM28" s="5038" t="s">
        <v>5328</v>
      </c>
      <c r="AN28" s="5151" t="s">
        <v>5329</v>
      </c>
      <c r="AO28" s="5038" t="s">
        <v>5330</v>
      </c>
      <c r="AP28" s="5151" t="s">
        <v>5331</v>
      </c>
      <c r="AQ28" s="5038" t="s">
        <v>5332</v>
      </c>
      <c r="AR28" s="5145" t="s">
        <v>5333</v>
      </c>
      <c r="AS28" s="3479" t="s">
        <v>5334</v>
      </c>
      <c r="AT28" s="5145" t="s">
        <v>5335</v>
      </c>
      <c r="AU28" s="5146" t="s">
        <v>5336</v>
      </c>
      <c r="AV28" s="5145" t="s">
        <v>5337</v>
      </c>
      <c r="AW28" s="3479" t="s">
        <v>5338</v>
      </c>
      <c r="AX28" s="5147" t="s">
        <v>5339</v>
      </c>
      <c r="AY28" s="1687" t="e">
        <f>$CC28&amp;CD28&amp;CE28&amp;$CF28&amp;CL28&amp;CM28&amp;CN28&amp;CO28&amp;CP28&amp;CQ28&amp;CR28&amp;CS28&amp;CT28&amp;CU28&amp;CV28&amp;CW28&amp;CX28&amp;CY28&amp;CG28&amp;CH28&amp;CI28&amp;CJ28&amp;CK28</f>
        <v>#VALUE!</v>
      </c>
      <c r="CB28" s="600"/>
      <c r="CC28" s="2784" t="e">
        <f t="shared" si="38"/>
        <v>#VALUE!</v>
      </c>
      <c r="CD28" s="2784" t="e">
        <f t="shared" si="29"/>
        <v>#VALUE!</v>
      </c>
      <c r="CE28" s="2784" t="str">
        <f t="shared" si="30"/>
        <v xml:space="preserve"> *El Número de Pueblos Originarios no puede superar el Total Procesados. </v>
      </c>
      <c r="CF28" s="2784" t="str">
        <f t="shared" si="31"/>
        <v xml:space="preserve"> *El Número de Migrantes no puede superar el Total Procesados. </v>
      </c>
      <c r="CG28" s="2784" t="str">
        <f>IF(E28&lt;F28,CONCATENATE("* El total de Procesados debe ser mayor o igual al total de Reactivos en el grupo de edad ",$E$11),"")</f>
        <v>* El total de Procesados debe ser mayor o igual al total de Reactivos en el grupo de edad Menos de 6 meses</v>
      </c>
      <c r="CH28" s="2784" t="str">
        <f>IF(G28&lt;H28,CONCATENATE("* El total de Procesados debe ser mayor o igual al total de Reactivos en el grupo de edad ",$G$11),"")</f>
        <v>* El total de Procesados debe ser mayor o igual al total de Reactivos en el grupo de edad 6 - 11 meses</v>
      </c>
      <c r="CI28" s="2784" t="str">
        <f>IF(I28&lt;J28,CONCATENATE("* El total de Procesados debe ser mayor o igual al total de Reactivos en el grupo de edad ",$I$11),"")</f>
        <v>* El total de Procesados debe ser mayor o igual al total de Reactivos en el grupo de edad 12-24 meses</v>
      </c>
      <c r="CJ28" s="2784" t="str">
        <f>IF(K28&lt;L28,CONCATENATE("* El total de Procesados debe ser mayor o igual al total de Reactivos en el grupo de edad ",$K$11),"")</f>
        <v>* El total de Procesados debe ser mayor o igual al total de Reactivos en el grupo de edad 3 - 4 años</v>
      </c>
      <c r="CK28" s="2784" t="str">
        <f>IF(M28&lt;N28,CONCATENATE("* El total de Procesados debe ser mayor o igual al total de Reactivos en el grupo de edad ",$M$11),"")</f>
        <v>* El total de Procesados debe ser mayor o igual al total de Reactivos en el grupo de edad 5 - 9 años</v>
      </c>
      <c r="CL28" s="2784" t="str">
        <f>IF(O28&lt;P28,CONCATENATE("* El total de Procesados debe ser mayor o igual al total de Reactivos en el grupo de edad ",$O$11),"")</f>
        <v>* El total de Procesados debe ser mayor o igual al total de Reactivos en el grupo de edad 10 - 14 años</v>
      </c>
      <c r="CM28" s="2784" t="str">
        <f t="shared" si="39"/>
        <v>* El total de Procesados debe ser mayor o igual al total de Reactivos en el grupo de edad 15 - 19 años</v>
      </c>
      <c r="CN28" s="2784" t="str">
        <f t="shared" si="40"/>
        <v>* El total de Procesados debe ser mayor o igual al total de Reactivos en el grupo de edad 20 - 24 años</v>
      </c>
      <c r="CO28" s="2784" t="str">
        <f t="shared" si="33"/>
        <v>* El total de Procesados debe ser mayor o igual al total de Reactivos en el grupo de edad 25 - 29 años</v>
      </c>
      <c r="CP28" s="2784" t="str">
        <f t="shared" si="41"/>
        <v>* El total de Procesados debe ser mayor o igual al total de Reactivos en el grupo de edad 30 - 34 años</v>
      </c>
      <c r="CQ28" s="2784" t="str">
        <f t="shared" si="42"/>
        <v>* El total de Procesados debe ser mayor o igual al total de Reactivos en el grupo de edad 35 - 39 años</v>
      </c>
      <c r="CR28" s="2784" t="str">
        <f t="shared" si="43"/>
        <v>* El total de Procesados debe ser mayor o igual al total de Reactivos en el grupo de edad 40 - 44 años</v>
      </c>
      <c r="CS28" s="2784" t="str">
        <f t="shared" si="44"/>
        <v>* El total de Procesados debe ser mayor o igual al total de Reactivos en el grupo de edad 50 - 54 años</v>
      </c>
      <c r="CT28" s="2784" t="str">
        <f t="shared" si="45"/>
        <v>* El total de Procesados debe ser mayor o igual al total de Reactivos en el grupo de edad 55 - 59 años</v>
      </c>
      <c r="CU28" s="2784" t="str">
        <f t="shared" si="46"/>
        <v>* El total de Procesados debe ser mayor o igual al total de Reactivos en el grupo de edad 60 - 64 años</v>
      </c>
      <c r="CV28" s="2784" t="str">
        <f>IF(AK28&lt;AL28,CONCATENATE("* El total de Procesados debe ser mayor o igual al total de Reactivos en el grupo de edad ",$AK$11),"")</f>
        <v>* El total de Procesados debe ser mayor o igual al total de Reactivos en el grupo de edad 65 - 69 años</v>
      </c>
      <c r="CW28" s="2784" t="str">
        <f>IF(AM28&lt;AN28,CONCATENATE("* El total de Procesados debe ser mayor o igual al total de Reactivos en el grupo de edad ",$AM$11),"")</f>
        <v>* El total de Procesados debe ser mayor o igual al total de Reactivos en el grupo de edad 70 - 74 años</v>
      </c>
      <c r="CX28" s="2784" t="str">
        <f>IF(AO28&lt;AP28,CONCATENATE("* El total de Procesados debe ser mayor o igual al total de Reactivos en el grupo de edad ",$AO$11),"")</f>
        <v>* El total de Procesados debe ser mayor o igual al total de Reactivos en el grupo de edad 75 - 79 años</v>
      </c>
      <c r="CY28" s="2784" t="str">
        <f>IF(AQ28&lt;AR28,CONCATENATE("* El total de Procesados debe ser mayor o igual al total de Reactivos en el grupo de edad ",$AQ$11),"")</f>
        <v>* El total de Procesados debe ser mayor o igual al total de Reactivos en el grupo de edad 80 y más años</v>
      </c>
      <c r="DF28" s="2630"/>
      <c r="DG28" s="2784" t="e">
        <f t="shared" si="37"/>
        <v>#VALUE!</v>
      </c>
      <c r="DH28" s="2920" t="e">
        <f t="shared" si="34"/>
        <v>#VALUE!</v>
      </c>
      <c r="DI28" s="2920">
        <f t="shared" si="12"/>
        <v>1</v>
      </c>
      <c r="DJ28" s="2920">
        <f t="shared" si="13"/>
        <v>1</v>
      </c>
      <c r="DK28" s="2920">
        <f>IF(E28&lt;F28,1,0)</f>
        <v>1</v>
      </c>
      <c r="DL28" s="2920">
        <f>IF(G28&lt;H28,1,0)</f>
        <v>1</v>
      </c>
      <c r="DM28" s="2920">
        <f>IF(I28&lt;J28,1,0)</f>
        <v>1</v>
      </c>
      <c r="DN28" s="2920">
        <f>IF(K28&lt;L28,1,0)</f>
        <v>1</v>
      </c>
      <c r="DO28" s="2920">
        <f>IF(M28&lt;N28,1,0)</f>
        <v>1</v>
      </c>
      <c r="DP28" s="2920">
        <f>IF(O28&lt;P28,1,0)</f>
        <v>1</v>
      </c>
      <c r="DQ28" s="2920">
        <f t="shared" si="47"/>
        <v>1</v>
      </c>
      <c r="DR28" s="2920">
        <f t="shared" si="48"/>
        <v>1</v>
      </c>
      <c r="DS28" s="2920">
        <f t="shared" si="35"/>
        <v>1</v>
      </c>
      <c r="DT28" s="2920">
        <f t="shared" si="49"/>
        <v>1</v>
      </c>
      <c r="DU28" s="2920">
        <f t="shared" si="50"/>
        <v>1</v>
      </c>
      <c r="DV28" s="2920">
        <f t="shared" si="51"/>
        <v>1</v>
      </c>
      <c r="DW28" s="2920">
        <f t="shared" si="52"/>
        <v>1</v>
      </c>
      <c r="DX28" s="2920">
        <f t="shared" si="53"/>
        <v>1</v>
      </c>
      <c r="DY28" s="2920">
        <f t="shared" si="54"/>
        <v>1</v>
      </c>
      <c r="DZ28" s="2920">
        <f>IF(AK28&lt;AL28,1,0)</f>
        <v>1</v>
      </c>
      <c r="EA28" s="2920">
        <f>IF(AM28&lt;AN28,1,0)</f>
        <v>1</v>
      </c>
      <c r="EB28" s="2920">
        <f>IF(AO28&lt;AP28,1,0)</f>
        <v>1</v>
      </c>
      <c r="EC28" s="2920">
        <f>IF(AQ28&lt;AR28,1,0)</f>
        <v>1</v>
      </c>
    </row>
    <row r="29" spans="1:133" x14ac:dyDescent="0.3">
      <c r="A29" s="6234">
        <v>11054200</v>
      </c>
      <c r="B29" s="3485" t="s">
        <v>2675</v>
      </c>
      <c r="C29" s="1928" t="s">
        <v>5292</v>
      </c>
      <c r="D29" s="3242" t="s">
        <v>5293</v>
      </c>
      <c r="E29" s="5038" t="s">
        <v>5294</v>
      </c>
      <c r="F29" s="5151" t="s">
        <v>5295</v>
      </c>
      <c r="G29" s="5038" t="s">
        <v>5296</v>
      </c>
      <c r="H29" s="5151" t="s">
        <v>5297</v>
      </c>
      <c r="I29" s="5038" t="s">
        <v>5298</v>
      </c>
      <c r="J29" s="5147" t="s">
        <v>5299</v>
      </c>
      <c r="K29" s="3479" t="s">
        <v>5300</v>
      </c>
      <c r="L29" s="3479" t="s">
        <v>5301</v>
      </c>
      <c r="M29" s="5038" t="s">
        <v>5302</v>
      </c>
      <c r="N29" s="5147" t="s">
        <v>5303</v>
      </c>
      <c r="O29" s="3479" t="s">
        <v>5304</v>
      </c>
      <c r="P29" s="5151" t="s">
        <v>5305</v>
      </c>
      <c r="Q29" s="5038" t="s">
        <v>5306</v>
      </c>
      <c r="R29" s="5151" t="s">
        <v>5307</v>
      </c>
      <c r="S29" s="5038" t="s">
        <v>5308</v>
      </c>
      <c r="T29" s="5151" t="s">
        <v>5309</v>
      </c>
      <c r="U29" s="5038" t="s">
        <v>5310</v>
      </c>
      <c r="V29" s="5151" t="s">
        <v>5311</v>
      </c>
      <c r="W29" s="5038" t="s">
        <v>5312</v>
      </c>
      <c r="X29" s="5151" t="s">
        <v>5313</v>
      </c>
      <c r="Y29" s="5038" t="s">
        <v>5314</v>
      </c>
      <c r="Z29" s="5151" t="s">
        <v>5315</v>
      </c>
      <c r="AA29" s="5038" t="s">
        <v>5316</v>
      </c>
      <c r="AB29" s="5151" t="s">
        <v>5317</v>
      </c>
      <c r="AC29" s="5038" t="s">
        <v>5318</v>
      </c>
      <c r="AD29" s="5151" t="s">
        <v>5319</v>
      </c>
      <c r="AE29" s="5038" t="s">
        <v>5320</v>
      </c>
      <c r="AF29" s="5151" t="s">
        <v>5321</v>
      </c>
      <c r="AG29" s="5038" t="s">
        <v>5322</v>
      </c>
      <c r="AH29" s="5151" t="s">
        <v>5323</v>
      </c>
      <c r="AI29" s="5038" t="s">
        <v>5324</v>
      </c>
      <c r="AJ29" s="5151" t="s">
        <v>5325</v>
      </c>
      <c r="AK29" s="5038" t="s">
        <v>5326</v>
      </c>
      <c r="AL29" s="5151" t="s">
        <v>5327</v>
      </c>
      <c r="AM29" s="5038" t="s">
        <v>5328</v>
      </c>
      <c r="AN29" s="5151" t="s">
        <v>5329</v>
      </c>
      <c r="AO29" s="5038" t="s">
        <v>5330</v>
      </c>
      <c r="AP29" s="5151" t="s">
        <v>5331</v>
      </c>
      <c r="AQ29" s="5038" t="s">
        <v>5332</v>
      </c>
      <c r="AR29" s="5145" t="s">
        <v>5333</v>
      </c>
      <c r="AS29" s="3479" t="s">
        <v>5334</v>
      </c>
      <c r="AT29" s="5145" t="s">
        <v>5335</v>
      </c>
      <c r="AU29" s="5146" t="s">
        <v>5336</v>
      </c>
      <c r="AV29" s="5145" t="s">
        <v>5337</v>
      </c>
      <c r="AW29" s="3479" t="s">
        <v>5338</v>
      </c>
      <c r="AX29" s="5147" t="s">
        <v>5339</v>
      </c>
      <c r="AY29" s="1687" t="e">
        <f t="shared" ref="AY29:AY30" si="56">$CC29&amp;CD29&amp;CE29&amp;$CF29&amp;CL29&amp;CM29&amp;CN29&amp;CO29&amp;CP29&amp;CQ29&amp;CR29&amp;CS29&amp;CT29&amp;CU29&amp;CV29&amp;CW29&amp;CX29&amp;CY29&amp;CG29&amp;CH29&amp;CI29&amp;CJ29&amp;CK29</f>
        <v>#VALUE!</v>
      </c>
      <c r="CB29" s="600"/>
      <c r="CC29" s="2784" t="e">
        <f t="shared" si="38"/>
        <v>#VALUE!</v>
      </c>
      <c r="CD29" s="2784" t="e">
        <f t="shared" si="29"/>
        <v>#VALUE!</v>
      </c>
      <c r="CE29" s="2784" t="str">
        <f t="shared" si="30"/>
        <v xml:space="preserve"> *El Número de Pueblos Originarios no puede superar el Total Procesados. </v>
      </c>
      <c r="CF29" s="2784" t="str">
        <f t="shared" si="31"/>
        <v xml:space="preserve"> *El Número de Migrantes no puede superar el Total Procesados. </v>
      </c>
      <c r="CG29" s="2784" t="str">
        <f>IF(E29&lt;F29,CONCATENATE("* El total de Procesados debe ser mayor o igual al total de Reactivos en el grupo de edad ",$E$11),"")</f>
        <v>* El total de Procesados debe ser mayor o igual al total de Reactivos en el grupo de edad Menos de 6 meses</v>
      </c>
      <c r="CH29" s="2784" t="str">
        <f>IF(G29&lt;H29,CONCATENATE("* El total de Procesados debe ser mayor o igual al total de Reactivos en el grupo de edad ",$G$11),"")</f>
        <v>* El total de Procesados debe ser mayor o igual al total de Reactivos en el grupo de edad 6 - 11 meses</v>
      </c>
      <c r="CI29" s="2784" t="str">
        <f>IF(I29&lt;J29,CONCATENATE("* El total de Procesados debe ser mayor o igual al total de Reactivos en el grupo de edad ",$I$11),"")</f>
        <v>* El total de Procesados debe ser mayor o igual al total de Reactivos en el grupo de edad 12-24 meses</v>
      </c>
      <c r="CJ29" s="2784" t="str">
        <f>IF(K29&lt;L29,CONCATENATE("* El total de Procesados debe ser mayor o igual al total de Reactivos en el grupo de edad ",$K$11),"")</f>
        <v>* El total de Procesados debe ser mayor o igual al total de Reactivos en el grupo de edad 3 - 4 años</v>
      </c>
      <c r="CK29" s="2784" t="str">
        <f>IF(M29&lt;N29,CONCATENATE("* El total de Procesados debe ser mayor o igual al total de Reactivos en el grupo de edad ",$M$11),"")</f>
        <v>* El total de Procesados debe ser mayor o igual al total de Reactivos en el grupo de edad 5 - 9 años</v>
      </c>
      <c r="CL29" s="2784" t="str">
        <f>IF(O29&lt;P29,CONCATENATE("* El total de Procesados debe ser mayor o igual al total de Reactivos en el grupo de edad ",$O$11),"")</f>
        <v>* El total de Procesados debe ser mayor o igual al total de Reactivos en el grupo de edad 10 - 14 años</v>
      </c>
      <c r="CM29" s="2784" t="str">
        <f t="shared" si="39"/>
        <v>* El total de Procesados debe ser mayor o igual al total de Reactivos en el grupo de edad 15 - 19 años</v>
      </c>
      <c r="CN29" s="2784" t="str">
        <f t="shared" si="40"/>
        <v>* El total de Procesados debe ser mayor o igual al total de Reactivos en el grupo de edad 20 - 24 años</v>
      </c>
      <c r="CO29" s="2784" t="str">
        <f t="shared" si="33"/>
        <v>* El total de Procesados debe ser mayor o igual al total de Reactivos en el grupo de edad 25 - 29 años</v>
      </c>
      <c r="CP29" s="2784" t="str">
        <f t="shared" si="41"/>
        <v>* El total de Procesados debe ser mayor o igual al total de Reactivos en el grupo de edad 30 - 34 años</v>
      </c>
      <c r="CQ29" s="2784" t="str">
        <f t="shared" si="42"/>
        <v>* El total de Procesados debe ser mayor o igual al total de Reactivos en el grupo de edad 35 - 39 años</v>
      </c>
      <c r="CR29" s="2784" t="str">
        <f t="shared" si="43"/>
        <v>* El total de Procesados debe ser mayor o igual al total de Reactivos en el grupo de edad 40 - 44 años</v>
      </c>
      <c r="CS29" s="2784" t="str">
        <f t="shared" si="44"/>
        <v>* El total de Procesados debe ser mayor o igual al total de Reactivos en el grupo de edad 50 - 54 años</v>
      </c>
      <c r="CT29" s="2784" t="str">
        <f t="shared" si="45"/>
        <v>* El total de Procesados debe ser mayor o igual al total de Reactivos en el grupo de edad 55 - 59 años</v>
      </c>
      <c r="CU29" s="2784" t="str">
        <f t="shared" si="46"/>
        <v>* El total de Procesados debe ser mayor o igual al total de Reactivos en el grupo de edad 60 - 64 años</v>
      </c>
      <c r="CV29" s="2784" t="str">
        <f>IF(AK29&lt;AL29,CONCATENATE("* El total de Procesados debe ser mayor o igual al total de Reactivos en el grupo de edad ",$AK$11),"")</f>
        <v>* El total de Procesados debe ser mayor o igual al total de Reactivos en el grupo de edad 65 - 69 años</v>
      </c>
      <c r="CW29" s="2784" t="str">
        <f>IF(AM29&lt;AN29,CONCATENATE("* El total de Procesados debe ser mayor o igual al total de Reactivos en el grupo de edad ",$AM$11),"")</f>
        <v>* El total de Procesados debe ser mayor o igual al total de Reactivos en el grupo de edad 70 - 74 años</v>
      </c>
      <c r="CX29" s="2784" t="str">
        <f>IF(AO29&lt;AP29,CONCATENATE("* El total de Procesados debe ser mayor o igual al total de Reactivos en el grupo de edad ",$AO$11),"")</f>
        <v>* El total de Procesados debe ser mayor o igual al total de Reactivos en el grupo de edad 75 - 79 años</v>
      </c>
      <c r="CY29" s="2784" t="str">
        <f>IF(AQ29&lt;AR29,CONCATENATE("* El total de Procesados debe ser mayor o igual al total de Reactivos en el grupo de edad ",$AQ$11),"")</f>
        <v>* El total de Procesados debe ser mayor o igual al total de Reactivos en el grupo de edad 80 y más años</v>
      </c>
      <c r="DF29" s="2630"/>
      <c r="DG29" s="2784" t="e">
        <f t="shared" si="37"/>
        <v>#VALUE!</v>
      </c>
      <c r="DH29" s="2920" t="e">
        <f t="shared" si="34"/>
        <v>#VALUE!</v>
      </c>
      <c r="DI29" s="2920">
        <f t="shared" si="12"/>
        <v>1</v>
      </c>
      <c r="DJ29" s="2920">
        <f t="shared" si="13"/>
        <v>1</v>
      </c>
      <c r="DK29" s="2920">
        <f>IF(E29&lt;F29,1,0)</f>
        <v>1</v>
      </c>
      <c r="DL29" s="2920">
        <f>IF(G29&lt;H29,1,0)</f>
        <v>1</v>
      </c>
      <c r="DM29" s="2920">
        <f>IF(I29&lt;J29,1,0)</f>
        <v>1</v>
      </c>
      <c r="DN29" s="2920">
        <f t="shared" ref="DN29:DN30" si="57">IF(K29&lt;L29,1,0)</f>
        <v>1</v>
      </c>
      <c r="DO29" s="2920">
        <f>IF(M29&lt;N29,1,0)</f>
        <v>1</v>
      </c>
      <c r="DP29" s="2920">
        <f>IF(O29&lt;P29,1,0)</f>
        <v>1</v>
      </c>
      <c r="DQ29" s="2920">
        <f t="shared" si="47"/>
        <v>1</v>
      </c>
      <c r="DR29" s="2920">
        <f t="shared" si="48"/>
        <v>1</v>
      </c>
      <c r="DS29" s="2920">
        <f t="shared" si="35"/>
        <v>1</v>
      </c>
      <c r="DT29" s="2920">
        <f t="shared" si="49"/>
        <v>1</v>
      </c>
      <c r="DU29" s="2920">
        <f t="shared" si="50"/>
        <v>1</v>
      </c>
      <c r="DV29" s="2920">
        <f t="shared" si="51"/>
        <v>1</v>
      </c>
      <c r="DW29" s="2920">
        <f t="shared" si="52"/>
        <v>1</v>
      </c>
      <c r="DX29" s="2920">
        <f t="shared" si="53"/>
        <v>1</v>
      </c>
      <c r="DY29" s="2920">
        <f t="shared" si="54"/>
        <v>1</v>
      </c>
      <c r="DZ29" s="2920">
        <f>IF(AK29&lt;AL29,1,0)</f>
        <v>1</v>
      </c>
      <c r="EA29" s="2920">
        <f>IF(AM29&lt;AN29,1,0)</f>
        <v>1</v>
      </c>
      <c r="EB29" s="2920">
        <f>IF(AO29&lt;AP29,1,0)</f>
        <v>1</v>
      </c>
      <c r="EC29" s="2920">
        <f>IF(AQ29&lt;AR29,1,0)</f>
        <v>1</v>
      </c>
    </row>
    <row r="30" spans="1:133" x14ac:dyDescent="0.3">
      <c r="A30" s="6240">
        <v>11054201</v>
      </c>
      <c r="B30" s="5157" t="s">
        <v>2676</v>
      </c>
      <c r="C30" s="5107" t="s">
        <v>5292</v>
      </c>
      <c r="D30" s="5108" t="s">
        <v>5293</v>
      </c>
      <c r="E30" s="3492" t="s">
        <v>5294</v>
      </c>
      <c r="F30" s="3491" t="s">
        <v>5295</v>
      </c>
      <c r="G30" s="3492" t="s">
        <v>5296</v>
      </c>
      <c r="H30" s="3491" t="s">
        <v>5297</v>
      </c>
      <c r="I30" s="3492" t="s">
        <v>5298</v>
      </c>
      <c r="J30" s="3493" t="s">
        <v>5299</v>
      </c>
      <c r="K30" s="288" t="s">
        <v>5300</v>
      </c>
      <c r="L30" s="288" t="s">
        <v>5301</v>
      </c>
      <c r="M30" s="3492" t="s">
        <v>5302</v>
      </c>
      <c r="N30" s="3493" t="s">
        <v>5303</v>
      </c>
      <c r="O30" s="288" t="s">
        <v>5304</v>
      </c>
      <c r="P30" s="3491" t="s">
        <v>5305</v>
      </c>
      <c r="Q30" s="3492" t="s">
        <v>5306</v>
      </c>
      <c r="R30" s="3491" t="s">
        <v>5307</v>
      </c>
      <c r="S30" s="3492" t="s">
        <v>5308</v>
      </c>
      <c r="T30" s="3491" t="s">
        <v>5309</v>
      </c>
      <c r="U30" s="3492" t="s">
        <v>5310</v>
      </c>
      <c r="V30" s="3491" t="s">
        <v>5311</v>
      </c>
      <c r="W30" s="3492" t="s">
        <v>5312</v>
      </c>
      <c r="X30" s="3491" t="s">
        <v>5313</v>
      </c>
      <c r="Y30" s="3492" t="s">
        <v>5314</v>
      </c>
      <c r="Z30" s="3491" t="s">
        <v>5315</v>
      </c>
      <c r="AA30" s="3492" t="s">
        <v>5316</v>
      </c>
      <c r="AB30" s="3491" t="s">
        <v>5317</v>
      </c>
      <c r="AC30" s="3492" t="s">
        <v>5318</v>
      </c>
      <c r="AD30" s="3491" t="s">
        <v>5319</v>
      </c>
      <c r="AE30" s="3492" t="s">
        <v>5320</v>
      </c>
      <c r="AF30" s="3491" t="s">
        <v>5321</v>
      </c>
      <c r="AG30" s="3492" t="s">
        <v>5322</v>
      </c>
      <c r="AH30" s="3491" t="s">
        <v>5323</v>
      </c>
      <c r="AI30" s="3492" t="s">
        <v>5324</v>
      </c>
      <c r="AJ30" s="3491" t="s">
        <v>5325</v>
      </c>
      <c r="AK30" s="3492" t="s">
        <v>5326</v>
      </c>
      <c r="AL30" s="3491" t="s">
        <v>5327</v>
      </c>
      <c r="AM30" s="3492" t="s">
        <v>5328</v>
      </c>
      <c r="AN30" s="3491" t="s">
        <v>5329</v>
      </c>
      <c r="AO30" s="3492" t="s">
        <v>5330</v>
      </c>
      <c r="AP30" s="3491" t="s">
        <v>5331</v>
      </c>
      <c r="AQ30" s="3492" t="s">
        <v>5332</v>
      </c>
      <c r="AR30" s="3494" t="s">
        <v>5333</v>
      </c>
      <c r="AS30" s="288" t="s">
        <v>5334</v>
      </c>
      <c r="AT30" s="3494" t="s">
        <v>5335</v>
      </c>
      <c r="AU30" s="3495" t="s">
        <v>5336</v>
      </c>
      <c r="AV30" s="3494" t="s">
        <v>5337</v>
      </c>
      <c r="AW30" s="288" t="s">
        <v>5338</v>
      </c>
      <c r="AX30" s="3493" t="s">
        <v>5339</v>
      </c>
      <c r="AY30" s="1687" t="e">
        <f t="shared" si="56"/>
        <v>#VALUE!</v>
      </c>
      <c r="CB30" s="600"/>
      <c r="CC30" s="2784" t="e">
        <f t="shared" si="38"/>
        <v>#VALUE!</v>
      </c>
      <c r="CD30" s="2784" t="e">
        <f t="shared" si="29"/>
        <v>#VALUE!</v>
      </c>
      <c r="CE30" s="2784" t="str">
        <f t="shared" si="30"/>
        <v xml:space="preserve"> *El Número de Pueblos Originarios no puede superar el Total Procesados. </v>
      </c>
      <c r="CF30" s="2784" t="str">
        <f t="shared" si="31"/>
        <v xml:space="preserve"> *El Número de Migrantes no puede superar el Total Procesados. </v>
      </c>
      <c r="CG30" s="2784" t="str">
        <f>IF(E30&lt;F30,CONCATENATE("* El total de Procesados debe ser mayor o igual al total de Reactivos en el grupo de edad ",$E$11),"")</f>
        <v>* El total de Procesados debe ser mayor o igual al total de Reactivos en el grupo de edad Menos de 6 meses</v>
      </c>
      <c r="CH30" s="2784" t="str">
        <f>IF(G30&lt;H30,CONCATENATE("* El total de Procesados debe ser mayor o igual al total de Reactivos en el grupo de edad ",$G$11),"")</f>
        <v>* El total de Procesados debe ser mayor o igual al total de Reactivos en el grupo de edad 6 - 11 meses</v>
      </c>
      <c r="CI30" s="2784" t="str">
        <f>IF(I30&lt;J30,CONCATENATE("* El total de Procesados debe ser mayor o igual al total de Reactivos en el grupo de edad ",$I$11),"")</f>
        <v>* El total de Procesados debe ser mayor o igual al total de Reactivos en el grupo de edad 12-24 meses</v>
      </c>
      <c r="CJ30" s="2784" t="str">
        <f>IF(K30&lt;L30,CONCATENATE("* El total de Procesados debe ser mayor o igual al total de Reactivos en el grupo de edad ",$K$11),"")</f>
        <v>* El total de Procesados debe ser mayor o igual al total de Reactivos en el grupo de edad 3 - 4 años</v>
      </c>
      <c r="CK30" s="2784" t="str">
        <f>IF(M30&lt;N30,CONCATENATE("* El total de Procesados debe ser mayor o igual al total de Reactivos en el grupo de edad ",$M$11),"")</f>
        <v>* El total de Procesados debe ser mayor o igual al total de Reactivos en el grupo de edad 5 - 9 años</v>
      </c>
      <c r="CL30" s="2784" t="str">
        <f>IF(O30&lt;P30,CONCATENATE("* El total de Procesados debe ser mayor o igual al total de Reactivos en el grupo de edad ",$O$11),"")</f>
        <v>* El total de Procesados debe ser mayor o igual al total de Reactivos en el grupo de edad 10 - 14 años</v>
      </c>
      <c r="CM30" s="2784" t="str">
        <f t="shared" si="39"/>
        <v>* El total de Procesados debe ser mayor o igual al total de Reactivos en el grupo de edad 15 - 19 años</v>
      </c>
      <c r="CN30" s="2784" t="str">
        <f t="shared" si="40"/>
        <v>* El total de Procesados debe ser mayor o igual al total de Reactivos en el grupo de edad 20 - 24 años</v>
      </c>
      <c r="CO30" s="2784" t="str">
        <f t="shared" si="33"/>
        <v>* El total de Procesados debe ser mayor o igual al total de Reactivos en el grupo de edad 25 - 29 años</v>
      </c>
      <c r="CP30" s="2784" t="str">
        <f t="shared" si="41"/>
        <v>* El total de Procesados debe ser mayor o igual al total de Reactivos en el grupo de edad 30 - 34 años</v>
      </c>
      <c r="CQ30" s="2784" t="str">
        <f t="shared" si="42"/>
        <v>* El total de Procesados debe ser mayor o igual al total de Reactivos en el grupo de edad 35 - 39 años</v>
      </c>
      <c r="CR30" s="2784" t="str">
        <f t="shared" si="43"/>
        <v>* El total de Procesados debe ser mayor o igual al total de Reactivos en el grupo de edad 40 - 44 años</v>
      </c>
      <c r="CS30" s="2784" t="str">
        <f t="shared" si="44"/>
        <v>* El total de Procesados debe ser mayor o igual al total de Reactivos en el grupo de edad 50 - 54 años</v>
      </c>
      <c r="CT30" s="2784" t="str">
        <f t="shared" si="45"/>
        <v>* El total de Procesados debe ser mayor o igual al total de Reactivos en el grupo de edad 55 - 59 años</v>
      </c>
      <c r="CU30" s="2784" t="str">
        <f t="shared" si="46"/>
        <v>* El total de Procesados debe ser mayor o igual al total de Reactivos en el grupo de edad 60 - 64 años</v>
      </c>
      <c r="CV30" s="2784" t="str">
        <f>IF(AK30&lt;AL30,CONCATENATE("* El total de Procesados debe ser mayor o igual al total de Reactivos en el grupo de edad ",$AK$11),"")</f>
        <v>* El total de Procesados debe ser mayor o igual al total de Reactivos en el grupo de edad 65 - 69 años</v>
      </c>
      <c r="CW30" s="2784" t="str">
        <f>IF(AM30&lt;AN30,CONCATENATE("* El total de Procesados debe ser mayor o igual al total de Reactivos en el grupo de edad ",$AM$11),"")</f>
        <v>* El total de Procesados debe ser mayor o igual al total de Reactivos en el grupo de edad 70 - 74 años</v>
      </c>
      <c r="CX30" s="2784" t="str">
        <f>IF(AO30&lt;AP30,CONCATENATE("* El total de Procesados debe ser mayor o igual al total de Reactivos en el grupo de edad ",$AO$11),"")</f>
        <v>* El total de Procesados debe ser mayor o igual al total de Reactivos en el grupo de edad 75 - 79 años</v>
      </c>
      <c r="CY30" s="2784" t="str">
        <f>IF(AQ30&lt;AR30,CONCATENATE("* El total de Procesados debe ser mayor o igual al total de Reactivos en el grupo de edad ",$AQ$11),"")</f>
        <v>* El total de Procesados debe ser mayor o igual al total de Reactivos en el grupo de edad 80 y más años</v>
      </c>
      <c r="DF30" s="2630"/>
      <c r="DG30" s="2784" t="e">
        <f t="shared" si="37"/>
        <v>#VALUE!</v>
      </c>
      <c r="DH30" s="2920" t="e">
        <f t="shared" si="34"/>
        <v>#VALUE!</v>
      </c>
      <c r="DI30" s="2920">
        <f t="shared" si="12"/>
        <v>1</v>
      </c>
      <c r="DJ30" s="2920">
        <f t="shared" si="13"/>
        <v>1</v>
      </c>
      <c r="DK30" s="2920">
        <f>IF(E30&lt;F30,1,0)</f>
        <v>1</v>
      </c>
      <c r="DL30" s="2920">
        <f>IF(G30&lt;H30,1,0)</f>
        <v>1</v>
      </c>
      <c r="DM30" s="2920">
        <f>IF(I30&lt;J30,1,0)</f>
        <v>1</v>
      </c>
      <c r="DN30" s="2920">
        <f t="shared" si="57"/>
        <v>1</v>
      </c>
      <c r="DO30" s="2920">
        <f>IF(M30&lt;N30,1,0)</f>
        <v>1</v>
      </c>
      <c r="DP30" s="2920">
        <f>IF(O30&lt;P30,1,0)</f>
        <v>1</v>
      </c>
      <c r="DQ30" s="2920">
        <f t="shared" si="47"/>
        <v>1</v>
      </c>
      <c r="DR30" s="2920">
        <f t="shared" si="48"/>
        <v>1</v>
      </c>
      <c r="DS30" s="2920">
        <f t="shared" si="35"/>
        <v>1</v>
      </c>
      <c r="DT30" s="2920">
        <f t="shared" si="49"/>
        <v>1</v>
      </c>
      <c r="DU30" s="2920">
        <f t="shared" si="50"/>
        <v>1</v>
      </c>
      <c r="DV30" s="2920">
        <f t="shared" si="51"/>
        <v>1</v>
      </c>
      <c r="DW30" s="2920">
        <f t="shared" si="52"/>
        <v>1</v>
      </c>
      <c r="DX30" s="2920">
        <f t="shared" si="53"/>
        <v>1</v>
      </c>
      <c r="DY30" s="2920">
        <f t="shared" si="54"/>
        <v>1</v>
      </c>
      <c r="DZ30" s="2920">
        <f>IF(AK30&lt;AL30,1,0)</f>
        <v>1</v>
      </c>
      <c r="EA30" s="2920">
        <f>IF(AM30&lt;AN30,1,0)</f>
        <v>1</v>
      </c>
      <c r="EB30" s="2920">
        <f>IF(AO30&lt;AP30,1,0)</f>
        <v>1</v>
      </c>
      <c r="EC30" s="2920">
        <f>IF(AQ30&lt;AR30,1,0)</f>
        <v>1</v>
      </c>
    </row>
    <row r="31" spans="1:133" ht="18" customHeight="1" x14ac:dyDescent="0.3">
      <c r="A31" s="599"/>
      <c r="B31" s="5158" t="s">
        <v>2677</v>
      </c>
      <c r="C31" s="5158"/>
      <c r="D31" s="5158"/>
      <c r="E31" s="5158"/>
      <c r="F31" s="5158"/>
      <c r="G31" s="5158"/>
      <c r="H31" s="5158"/>
      <c r="I31" s="5158"/>
      <c r="J31" s="5158"/>
      <c r="K31" s="5158"/>
      <c r="L31" s="5158"/>
      <c r="M31" s="5158"/>
      <c r="N31" s="5158"/>
      <c r="O31" s="5158"/>
      <c r="P31" s="5158"/>
      <c r="Q31" s="5158"/>
      <c r="R31" s="5158"/>
      <c r="S31" s="5158"/>
      <c r="T31" s="5158"/>
      <c r="U31" s="5158"/>
      <c r="V31" s="5158"/>
      <c r="W31" s="5158"/>
      <c r="X31" s="5158"/>
      <c r="Y31" s="5158"/>
      <c r="Z31" s="5158"/>
      <c r="AA31" s="5158"/>
      <c r="AB31" s="5158"/>
      <c r="AC31" s="5158"/>
      <c r="AD31" s="5158"/>
      <c r="AE31" s="5158"/>
      <c r="AF31" s="5158"/>
      <c r="AG31" s="5158"/>
      <c r="AH31" s="5158"/>
      <c r="AI31" s="5158"/>
      <c r="AJ31" s="5158"/>
      <c r="AK31" s="5158"/>
      <c r="AL31" s="5158"/>
      <c r="AM31" s="5158"/>
      <c r="AN31" s="5158"/>
      <c r="AO31" s="5158"/>
      <c r="AP31" s="5158"/>
      <c r="AQ31" s="5158"/>
      <c r="AR31" s="5158"/>
      <c r="AS31" s="600"/>
      <c r="AT31" s="600"/>
      <c r="AU31" s="600"/>
      <c r="AV31" s="600"/>
      <c r="AW31" s="600"/>
      <c r="AX31" s="600"/>
    </row>
    <row r="32" spans="1:133" x14ac:dyDescent="0.3">
      <c r="A32" s="599"/>
      <c r="B32" s="7541" t="s">
        <v>2655</v>
      </c>
      <c r="C32" s="7542" t="s">
        <v>24</v>
      </c>
      <c r="D32" s="7523"/>
      <c r="E32" s="7524" t="s">
        <v>12</v>
      </c>
      <c r="F32" s="7525"/>
      <c r="G32" s="7525"/>
      <c r="H32" s="7525"/>
      <c r="I32" s="7525"/>
      <c r="J32" s="7525"/>
      <c r="K32" s="7525"/>
      <c r="L32" s="7525"/>
      <c r="M32" s="7525"/>
      <c r="N32" s="7525"/>
      <c r="O32" s="7525"/>
      <c r="P32" s="7525"/>
      <c r="Q32" s="7525"/>
      <c r="R32" s="7525"/>
      <c r="S32" s="7525"/>
      <c r="T32" s="7525"/>
      <c r="U32" s="7525"/>
      <c r="V32" s="7525"/>
      <c r="W32" s="7525"/>
      <c r="X32" s="7525"/>
      <c r="Y32" s="7525"/>
      <c r="Z32" s="7525"/>
      <c r="AA32" s="7525"/>
      <c r="AB32" s="7525"/>
      <c r="AC32" s="7525"/>
      <c r="AD32" s="7525"/>
      <c r="AE32" s="7525"/>
      <c r="AF32" s="7525"/>
      <c r="AG32" s="7525"/>
      <c r="AH32" s="7525"/>
      <c r="AI32" s="7525"/>
      <c r="AJ32" s="7525"/>
      <c r="AK32" s="7525"/>
      <c r="AL32" s="7525"/>
      <c r="AM32" s="7525"/>
      <c r="AN32" s="7525"/>
      <c r="AO32" s="7525"/>
      <c r="AP32" s="7525"/>
      <c r="AQ32" s="7525"/>
      <c r="AR32" s="7526"/>
      <c r="AS32" s="7527" t="s">
        <v>2656</v>
      </c>
      <c r="AT32" s="7528"/>
      <c r="AU32" s="7529" t="s">
        <v>48</v>
      </c>
      <c r="AV32" s="7530"/>
      <c r="AW32" s="7535" t="s">
        <v>2</v>
      </c>
      <c r="AX32" s="7538" t="s">
        <v>3</v>
      </c>
    </row>
    <row r="33" spans="1:133" x14ac:dyDescent="0.3">
      <c r="A33" s="599"/>
      <c r="B33" s="7108"/>
      <c r="C33" s="7151"/>
      <c r="D33" s="7150"/>
      <c r="E33" s="7533" t="s">
        <v>3778</v>
      </c>
      <c r="F33" s="7527"/>
      <c r="G33" s="7533" t="s">
        <v>3706</v>
      </c>
      <c r="H33" s="7527"/>
      <c r="I33" s="7533" t="s">
        <v>54</v>
      </c>
      <c r="J33" s="7534"/>
      <c r="K33" s="7527" t="s">
        <v>3705</v>
      </c>
      <c r="L33" s="7527"/>
      <c r="M33" s="7533" t="s">
        <v>37</v>
      </c>
      <c r="N33" s="7527"/>
      <c r="O33" s="7533" t="s">
        <v>38</v>
      </c>
      <c r="P33" s="7527"/>
      <c r="Q33" s="7533" t="s">
        <v>4</v>
      </c>
      <c r="R33" s="7527"/>
      <c r="S33" s="7533" t="s">
        <v>5</v>
      </c>
      <c r="T33" s="7527"/>
      <c r="U33" s="7533" t="s">
        <v>6</v>
      </c>
      <c r="V33" s="7534"/>
      <c r="W33" s="7533" t="s">
        <v>7</v>
      </c>
      <c r="X33" s="7534"/>
      <c r="Y33" s="7533" t="s">
        <v>8</v>
      </c>
      <c r="Z33" s="7534"/>
      <c r="AA33" s="7533" t="s">
        <v>9</v>
      </c>
      <c r="AB33" s="7534"/>
      <c r="AC33" s="7533" t="s">
        <v>10</v>
      </c>
      <c r="AD33" s="7534"/>
      <c r="AE33" s="7533" t="s">
        <v>11</v>
      </c>
      <c r="AF33" s="7534"/>
      <c r="AG33" s="7533" t="s">
        <v>18</v>
      </c>
      <c r="AH33" s="7534"/>
      <c r="AI33" s="7533" t="s">
        <v>19</v>
      </c>
      <c r="AJ33" s="7534"/>
      <c r="AK33" s="7533" t="s">
        <v>20</v>
      </c>
      <c r="AL33" s="7534"/>
      <c r="AM33" s="7533" t="s">
        <v>70</v>
      </c>
      <c r="AN33" s="7534"/>
      <c r="AO33" s="7533" t="s">
        <v>71</v>
      </c>
      <c r="AP33" s="7534"/>
      <c r="AQ33" s="7533" t="s">
        <v>32</v>
      </c>
      <c r="AR33" s="7528"/>
      <c r="AS33" s="7535" t="s">
        <v>22</v>
      </c>
      <c r="AT33" s="7539" t="s">
        <v>27</v>
      </c>
      <c r="AU33" s="7531"/>
      <c r="AV33" s="7532"/>
      <c r="AW33" s="7536"/>
      <c r="AX33" s="6324"/>
    </row>
    <row r="34" spans="1:133" x14ac:dyDescent="0.3">
      <c r="A34" s="599"/>
      <c r="B34" s="7109"/>
      <c r="C34" s="5136" t="s">
        <v>2657</v>
      </c>
      <c r="D34" s="5135" t="s">
        <v>2658</v>
      </c>
      <c r="E34" s="5133" t="s">
        <v>2657</v>
      </c>
      <c r="F34" s="5134" t="s">
        <v>2658</v>
      </c>
      <c r="G34" s="5133" t="s">
        <v>2657</v>
      </c>
      <c r="H34" s="5134" t="s">
        <v>2658</v>
      </c>
      <c r="I34" s="5133" t="s">
        <v>2657</v>
      </c>
      <c r="J34" s="5135" t="s">
        <v>2658</v>
      </c>
      <c r="K34" s="5136" t="s">
        <v>2657</v>
      </c>
      <c r="L34" s="5134" t="s">
        <v>2658</v>
      </c>
      <c r="M34" s="5133" t="s">
        <v>2657</v>
      </c>
      <c r="N34" s="5134" t="s">
        <v>2658</v>
      </c>
      <c r="O34" s="5133" t="s">
        <v>2657</v>
      </c>
      <c r="P34" s="5134" t="s">
        <v>2658</v>
      </c>
      <c r="Q34" s="5133" t="s">
        <v>2657</v>
      </c>
      <c r="R34" s="5134" t="s">
        <v>2658</v>
      </c>
      <c r="S34" s="5133" t="s">
        <v>2657</v>
      </c>
      <c r="T34" s="5134" t="s">
        <v>2658</v>
      </c>
      <c r="U34" s="5133" t="s">
        <v>2657</v>
      </c>
      <c r="V34" s="5134" t="s">
        <v>2658</v>
      </c>
      <c r="W34" s="5133" t="s">
        <v>2657</v>
      </c>
      <c r="X34" s="5134" t="s">
        <v>2658</v>
      </c>
      <c r="Y34" s="5133" t="s">
        <v>2657</v>
      </c>
      <c r="Z34" s="5134" t="s">
        <v>2658</v>
      </c>
      <c r="AA34" s="5133" t="s">
        <v>2657</v>
      </c>
      <c r="AB34" s="5134" t="s">
        <v>2658</v>
      </c>
      <c r="AC34" s="5133" t="s">
        <v>2657</v>
      </c>
      <c r="AD34" s="5134" t="s">
        <v>2658</v>
      </c>
      <c r="AE34" s="5133" t="s">
        <v>2657</v>
      </c>
      <c r="AF34" s="5134" t="s">
        <v>2658</v>
      </c>
      <c r="AG34" s="5133" t="s">
        <v>2657</v>
      </c>
      <c r="AH34" s="5134" t="s">
        <v>2658</v>
      </c>
      <c r="AI34" s="5133" t="s">
        <v>2657</v>
      </c>
      <c r="AJ34" s="5134" t="s">
        <v>2658</v>
      </c>
      <c r="AK34" s="5133" t="s">
        <v>2657</v>
      </c>
      <c r="AL34" s="5134" t="s">
        <v>2658</v>
      </c>
      <c r="AM34" s="5133" t="s">
        <v>2657</v>
      </c>
      <c r="AN34" s="5134" t="s">
        <v>2658</v>
      </c>
      <c r="AO34" s="5133" t="s">
        <v>2657</v>
      </c>
      <c r="AP34" s="5134" t="s">
        <v>2658</v>
      </c>
      <c r="AQ34" s="5133" t="s">
        <v>2657</v>
      </c>
      <c r="AR34" s="5137" t="s">
        <v>2658</v>
      </c>
      <c r="AS34" s="7537"/>
      <c r="AT34" s="7540"/>
      <c r="AU34" s="4800" t="s">
        <v>41</v>
      </c>
      <c r="AV34" s="5138" t="s">
        <v>42</v>
      </c>
      <c r="AW34" s="7537"/>
      <c r="AX34" s="7146"/>
    </row>
    <row r="35" spans="1:133" x14ac:dyDescent="0.3">
      <c r="A35" s="6234">
        <v>11054202</v>
      </c>
      <c r="B35" s="5159" t="s">
        <v>2659</v>
      </c>
      <c r="C35" s="5140" t="s">
        <v>5292</v>
      </c>
      <c r="D35" s="5141" t="s">
        <v>5293</v>
      </c>
      <c r="E35" s="3475" t="s">
        <v>5294</v>
      </c>
      <c r="F35" s="5149" t="s">
        <v>5295</v>
      </c>
      <c r="G35" s="5148" t="s">
        <v>5296</v>
      </c>
      <c r="H35" s="5149" t="s">
        <v>5297</v>
      </c>
      <c r="I35" s="5148" t="s">
        <v>5298</v>
      </c>
      <c r="J35" s="5149" t="s">
        <v>5299</v>
      </c>
      <c r="K35" s="5148" t="s">
        <v>5300</v>
      </c>
      <c r="L35" s="5149" t="s">
        <v>5301</v>
      </c>
      <c r="M35" s="5148" t="s">
        <v>5302</v>
      </c>
      <c r="N35" s="5150" t="s">
        <v>5303</v>
      </c>
      <c r="O35" s="3479" t="s">
        <v>5304</v>
      </c>
      <c r="P35" s="5151" t="s">
        <v>5305</v>
      </c>
      <c r="Q35" s="5038" t="s">
        <v>5306</v>
      </c>
      <c r="R35" s="5151" t="s">
        <v>5307</v>
      </c>
      <c r="S35" s="5038" t="s">
        <v>5308</v>
      </c>
      <c r="T35" s="5151" t="s">
        <v>5309</v>
      </c>
      <c r="U35" s="5038" t="s">
        <v>5310</v>
      </c>
      <c r="V35" s="5151" t="s">
        <v>5311</v>
      </c>
      <c r="W35" s="5038" t="s">
        <v>5312</v>
      </c>
      <c r="X35" s="5151" t="s">
        <v>5313</v>
      </c>
      <c r="Y35" s="5038" t="s">
        <v>5314</v>
      </c>
      <c r="Z35" s="5151" t="s">
        <v>5315</v>
      </c>
      <c r="AA35" s="5038" t="s">
        <v>5316</v>
      </c>
      <c r="AB35" s="5151" t="s">
        <v>5317</v>
      </c>
      <c r="AC35" s="5038" t="s">
        <v>5318</v>
      </c>
      <c r="AD35" s="5151" t="s">
        <v>5319</v>
      </c>
      <c r="AE35" s="5038" t="s">
        <v>5320</v>
      </c>
      <c r="AF35" s="5151" t="s">
        <v>5321</v>
      </c>
      <c r="AG35" s="5038" t="s">
        <v>5322</v>
      </c>
      <c r="AH35" s="5151" t="s">
        <v>5323</v>
      </c>
      <c r="AI35" s="5038" t="s">
        <v>5324</v>
      </c>
      <c r="AJ35" s="5151" t="s">
        <v>5325</v>
      </c>
      <c r="AK35" s="5038" t="s">
        <v>5326</v>
      </c>
      <c r="AL35" s="5151" t="s">
        <v>5327</v>
      </c>
      <c r="AM35" s="5038" t="s">
        <v>5328</v>
      </c>
      <c r="AN35" s="5151" t="s">
        <v>5329</v>
      </c>
      <c r="AO35" s="5038" t="s">
        <v>5330</v>
      </c>
      <c r="AP35" s="5151" t="s">
        <v>5331</v>
      </c>
      <c r="AQ35" s="5038" t="s">
        <v>5332</v>
      </c>
      <c r="AR35" s="5145" t="s">
        <v>5333</v>
      </c>
      <c r="AS35" s="3483" t="s">
        <v>5334</v>
      </c>
      <c r="AT35" s="5145" t="s">
        <v>5335</v>
      </c>
      <c r="AU35" s="5146" t="s">
        <v>5336</v>
      </c>
      <c r="AV35" s="5145" t="s">
        <v>5337</v>
      </c>
      <c r="AW35" s="3479" t="s">
        <v>5338</v>
      </c>
      <c r="AX35" s="5147" t="s">
        <v>5339</v>
      </c>
      <c r="AY35" s="1687" t="e">
        <f>$CC35&amp;CD35&amp;CE35&amp;$CF35&amp;CL35&amp;CM35&amp;CN35&amp;CO35&amp;CP35&amp;CQ35&amp;CR35&amp;CS35&amp;CT35&amp;CU35&amp;CV35&amp;CW35&amp;CX35&amp;CY35</f>
        <v>#VALUE!</v>
      </c>
      <c r="CB35" s="600"/>
      <c r="CC35" s="4747" t="str">
        <f>IF(C35&lt;&gt;(AT35)," * La suma de las columnas "&amp;AS$10&amp;""&amp;" DEBE SER IGUAL a los Exámenes Procesados. ","")</f>
        <v xml:space="preserve"> * La suma de las columnas POR SEXO (Procesados) DEBE SER IGUAL a los Exámenes Procesados. </v>
      </c>
      <c r="CD35" s="2784" t="e">
        <f>IF(AND($C35&gt;0,AND(AU35="",AV35="")),"* No olvide ingresar las columnas Trans Masculino o Femenino (*Digite CERO si no tiene). ",IF((AU35+AV35)&gt;$C35,"* El Número de Trans Masculino o Femenino no puede superar el Total Procesados. ",""))</f>
        <v>#VALUE!</v>
      </c>
      <c r="CE35" s="2784" t="str">
        <f>IF(AND($C35&gt;0,AW35=""),"* No olvide ingresar la columna "&amp;AW$10&amp;""&amp;" *(Digite CERO si no tiene). ",IF(AW35&gt;$C35," *El Número de "&amp;AW$10&amp;""&amp;" no puede superar el Total Procesados. ",""))</f>
        <v xml:space="preserve"> *El Número de Pueblos Originarios no puede superar el Total Procesados. </v>
      </c>
      <c r="CF35" s="2784" t="str">
        <f>IF(AND($C35&gt;0,AX35=""),"* No olvide ingresar la columna "&amp;AX$10&amp;""&amp;" *(Digite CERO si no tiene). ",IF(AX35&gt;$C35," *El Número de "&amp;AX$10&amp;""&amp;" no puede superar el Total Procesados. ",""))</f>
        <v xml:space="preserve"> *El Número de Migrantes no puede superar el Total Procesados. </v>
      </c>
      <c r="CG35" s="3018"/>
      <c r="CH35" s="3018"/>
      <c r="CI35" s="3018"/>
      <c r="CJ35" s="3018"/>
      <c r="CK35" s="3018"/>
      <c r="CL35" s="2784" t="str">
        <f>IF(O35&lt;P35,CONCATENATE("* El total de Procesados debe ser mayor o igual al total de Reactivos en el grupo de edad ",$O$11),"")</f>
        <v>* El total de Procesados debe ser mayor o igual al total de Reactivos en el grupo de edad 10 - 14 años</v>
      </c>
      <c r="CM35" s="2784" t="str">
        <f>IF(Q35&lt;R35,CONCATENATE("* El total de Procesados debe ser mayor o igual al total de Reactivos en el grupo de edad ",$Q$11),"")</f>
        <v>* El total de Procesados debe ser mayor o igual al total de Reactivos en el grupo de edad 15 - 19 años</v>
      </c>
      <c r="CN35" s="2784" t="str">
        <f>IF(S35&lt;T35,CONCATENATE("* El total de Procesados debe ser mayor o igual al total de Reactivos en el grupo de edad ",$S$11),"")</f>
        <v>* El total de Procesados debe ser mayor o igual al total de Reactivos en el grupo de edad 20 - 24 años</v>
      </c>
      <c r="CO35" s="2784" t="str">
        <f>IF($U35&lt;$V35,CONCATENATE("* El total de Procesados debe ser mayor o igual al total de Reactivos en el grupo de edad ",$U$11),"")</f>
        <v>* El total de Procesados debe ser mayor o igual al total de Reactivos en el grupo de edad 25 - 29 años</v>
      </c>
      <c r="CP35" s="2784" t="str">
        <f>IF(W35&lt;X35,CONCATENATE("* El total de Procesados debe ser mayor o igual al total de Reactivos en el grupo de edad ",$W$11),"")</f>
        <v>* El total de Procesados debe ser mayor o igual al total de Reactivos en el grupo de edad 30 - 34 años</v>
      </c>
      <c r="CQ35" s="2784" t="str">
        <f>IF(Y35&lt;Z35,CONCATENATE("* El total de Procesados debe ser mayor o igual al total de Reactivos en el grupo de edad ",$Y$11),"")</f>
        <v>* El total de Procesados debe ser mayor o igual al total de Reactivos en el grupo de edad 35 - 39 años</v>
      </c>
      <c r="CR35" s="2784" t="str">
        <f>IF(AA35&lt;AB35,CONCATENATE("* El total de Procesados debe ser mayor o igual al total de Reactivos en el grupo de edad ",$AA$11),"")</f>
        <v>* El total de Procesados debe ser mayor o igual al total de Reactivos en el grupo de edad 40 - 44 años</v>
      </c>
      <c r="CS35" s="2784" t="str">
        <f>IF(AE35&lt;AF35,CONCATENATE("* El total de Procesados debe ser mayor o igual al total de Reactivos en el grupo de edad ",$AE$11),"")</f>
        <v>* El total de Procesados debe ser mayor o igual al total de Reactivos en el grupo de edad 50 - 54 años</v>
      </c>
      <c r="CT35" s="2784" t="str">
        <f>IF(AG35&lt;AH35,CONCATENATE("* El total de Procesados debe ser mayor o igual al total de Reactivos en el grupo de edad ",$AG$11),"")</f>
        <v>* El total de Procesados debe ser mayor o igual al total de Reactivos en el grupo de edad 55 - 59 años</v>
      </c>
      <c r="CU35" s="2784" t="str">
        <f>IF(AI35&lt;AJ35,CONCATENATE("* El total de Procesados debe ser mayor o igual al total de Reactivos en el grupo de edad ",$AI$11),"")</f>
        <v>* El total de Procesados debe ser mayor o igual al total de Reactivos en el grupo de edad 60 - 64 años</v>
      </c>
      <c r="CV35" s="2784" t="str">
        <f>IF(AK35&lt;AL35,CONCATENATE("* El total de Procesados debe ser mayor o igual al total de Reactivos en el grupo de edad ",$AK$11),"")</f>
        <v>* El total de Procesados debe ser mayor o igual al total de Reactivos en el grupo de edad 65 - 69 años</v>
      </c>
      <c r="CW35" s="2784" t="str">
        <f>IF(AM35&lt;AN35,CONCATENATE("* El total de Procesados debe ser mayor o igual al total de Reactivos en el grupo de edad ",$AM$11),"")</f>
        <v>* El total de Procesados debe ser mayor o igual al total de Reactivos en el grupo de edad 70 - 74 años</v>
      </c>
      <c r="CX35" s="2784" t="str">
        <f>IF(AO35&lt;AP35,CONCATENATE("* El total de Procesados debe ser mayor o igual al total de Reactivos en el grupo de edad ",$AO$11),"")</f>
        <v>* El total de Procesados debe ser mayor o igual al total de Reactivos en el grupo de edad 75 - 79 años</v>
      </c>
      <c r="CY35" s="2784" t="str">
        <f>IF(AQ35&lt;AR35,CONCATENATE("* El total de Procesados debe ser mayor o igual al total de Reactivos en el grupo de edad ",$AQ$11),"")</f>
        <v>* El total de Procesados debe ser mayor o igual al total de Reactivos en el grupo de edad 80 y más años</v>
      </c>
      <c r="DF35" s="2630"/>
      <c r="DG35" s="4747">
        <f>IF(C35&lt;&gt;(AT35),1,0)</f>
        <v>1</v>
      </c>
      <c r="DH35" s="2920" t="e">
        <f>IF(AND($C35&gt;0,AND(AU35="",AV35="")),1,IF((AU35+AV35)&gt;$C35,1,0))</f>
        <v>#VALUE!</v>
      </c>
      <c r="DI35" s="2920">
        <f>IF(AND($C35&gt;0,AW35=""),1,IF(AW35&gt;$C35,1,0))</f>
        <v>1</v>
      </c>
      <c r="DJ35" s="2920">
        <f>IF(AND($C35&gt;0,AX35=""),1,IF(AX35&gt;$C35,1,0))</f>
        <v>1</v>
      </c>
      <c r="DK35" s="3018"/>
      <c r="DL35" s="3018"/>
      <c r="DM35" s="3018"/>
      <c r="DN35" s="3018"/>
      <c r="DO35" s="3018"/>
      <c r="DP35" s="2920">
        <f>IF(O35&lt;P35,1,0)</f>
        <v>1</v>
      </c>
      <c r="DQ35" s="2920">
        <f>IF(Q35&lt;R35,1,0)</f>
        <v>1</v>
      </c>
      <c r="DR35" s="2920">
        <f>IF(S35&lt;T35,1,0)</f>
        <v>1</v>
      </c>
      <c r="DS35" s="2920">
        <f>IF($U35&lt;$V35,1,0)</f>
        <v>1</v>
      </c>
      <c r="DT35" s="2920">
        <f>IF(W35&lt;X35,1,0)</f>
        <v>1</v>
      </c>
      <c r="DU35" s="2920">
        <f>IF(Y35&lt;Z35,1,0)</f>
        <v>1</v>
      </c>
      <c r="DV35" s="2920">
        <f>IF(AA35&lt;AB35,1,0)</f>
        <v>1</v>
      </c>
      <c r="DW35" s="2920">
        <f>IF(AE35&lt;AF35,1,0)</f>
        <v>1</v>
      </c>
      <c r="DX35" s="2920">
        <f>IF(AG35&lt;AH35,1,0)</f>
        <v>1</v>
      </c>
      <c r="DY35" s="2920">
        <f>IF(AI35&lt;AJ35,1,0)</f>
        <v>1</v>
      </c>
      <c r="DZ35" s="2920">
        <f>IF(AK35&lt;AL35,1,0)</f>
        <v>1</v>
      </c>
      <c r="EA35" s="2920">
        <f>IF(AM35&lt;AN35,1,0)</f>
        <v>1</v>
      </c>
      <c r="EB35" s="2920">
        <f>IF(AO35&lt;AP35,1,0)</f>
        <v>1</v>
      </c>
      <c r="EC35" s="2920">
        <f>IF(AQ35&lt;AR35,1,0)</f>
        <v>1</v>
      </c>
    </row>
    <row r="36" spans="1:133" x14ac:dyDescent="0.3">
      <c r="A36" s="6234">
        <v>11054203</v>
      </c>
      <c r="B36" s="3184" t="s">
        <v>2660</v>
      </c>
      <c r="C36" s="1928" t="s">
        <v>5292</v>
      </c>
      <c r="D36" s="3242" t="s">
        <v>5293</v>
      </c>
      <c r="E36" s="3475" t="s">
        <v>5294</v>
      </c>
      <c r="F36" s="5149" t="s">
        <v>5295</v>
      </c>
      <c r="G36" s="5148" t="s">
        <v>5296</v>
      </c>
      <c r="H36" s="5149" t="s">
        <v>5297</v>
      </c>
      <c r="I36" s="5148" t="s">
        <v>5298</v>
      </c>
      <c r="J36" s="5149" t="s">
        <v>5299</v>
      </c>
      <c r="K36" s="5148" t="s">
        <v>5300</v>
      </c>
      <c r="L36" s="5149" t="s">
        <v>5301</v>
      </c>
      <c r="M36" s="5148" t="s">
        <v>5302</v>
      </c>
      <c r="N36" s="5150" t="s">
        <v>5303</v>
      </c>
      <c r="O36" s="3479" t="s">
        <v>5304</v>
      </c>
      <c r="P36" s="5151" t="s">
        <v>5305</v>
      </c>
      <c r="Q36" s="5038" t="s">
        <v>5306</v>
      </c>
      <c r="R36" s="5151" t="s">
        <v>5307</v>
      </c>
      <c r="S36" s="5038" t="s">
        <v>5308</v>
      </c>
      <c r="T36" s="5151" t="s">
        <v>5309</v>
      </c>
      <c r="U36" s="5038" t="s">
        <v>5310</v>
      </c>
      <c r="V36" s="5151" t="s">
        <v>5311</v>
      </c>
      <c r="W36" s="5038" t="s">
        <v>5312</v>
      </c>
      <c r="X36" s="5151" t="s">
        <v>5313</v>
      </c>
      <c r="Y36" s="5038" t="s">
        <v>5314</v>
      </c>
      <c r="Z36" s="5151" t="s">
        <v>5315</v>
      </c>
      <c r="AA36" s="5038" t="s">
        <v>5316</v>
      </c>
      <c r="AB36" s="5151" t="s">
        <v>5317</v>
      </c>
      <c r="AC36" s="5038" t="s">
        <v>5318</v>
      </c>
      <c r="AD36" s="5151" t="s">
        <v>5319</v>
      </c>
      <c r="AE36" s="5038" t="s">
        <v>5320</v>
      </c>
      <c r="AF36" s="5151" t="s">
        <v>5321</v>
      </c>
      <c r="AG36" s="5038" t="s">
        <v>5322</v>
      </c>
      <c r="AH36" s="5151" t="s">
        <v>5323</v>
      </c>
      <c r="AI36" s="5038" t="s">
        <v>5324</v>
      </c>
      <c r="AJ36" s="5151" t="s">
        <v>5325</v>
      </c>
      <c r="AK36" s="5038" t="s">
        <v>5326</v>
      </c>
      <c r="AL36" s="5151" t="s">
        <v>5327</v>
      </c>
      <c r="AM36" s="5038" t="s">
        <v>5328</v>
      </c>
      <c r="AN36" s="5151" t="s">
        <v>5329</v>
      </c>
      <c r="AO36" s="5038" t="s">
        <v>5330</v>
      </c>
      <c r="AP36" s="5151" t="s">
        <v>5331</v>
      </c>
      <c r="AQ36" s="5038" t="s">
        <v>5332</v>
      </c>
      <c r="AR36" s="5145" t="s">
        <v>5333</v>
      </c>
      <c r="AS36" s="3483" t="s">
        <v>5334</v>
      </c>
      <c r="AT36" s="5145" t="s">
        <v>5335</v>
      </c>
      <c r="AU36" s="5146" t="s">
        <v>5336</v>
      </c>
      <c r="AV36" s="5145" t="s">
        <v>5337</v>
      </c>
      <c r="AW36" s="3479" t="s">
        <v>5338</v>
      </c>
      <c r="AX36" s="5147" t="s">
        <v>5339</v>
      </c>
      <c r="AY36" s="1687" t="e">
        <f t="shared" ref="AY36:AY39" si="58">$CC36&amp;CD36&amp;CE36&amp;$CF36&amp;CL36&amp;CM36&amp;CN36&amp;CO36&amp;CP36&amp;CQ36&amp;CR36&amp;CS36&amp;CT36&amp;CU36&amp;CV36&amp;CW36&amp;CX36&amp;CY36</f>
        <v>#VALUE!</v>
      </c>
      <c r="CB36" s="600"/>
      <c r="CC36" s="4747" t="str">
        <f t="shared" ref="CC36:CC39" si="59">IF(C36&lt;&gt;(AT36)," * La suma de las columnas "&amp;AS$10&amp;""&amp;" DEBE SER IGUAL a los Exámenes Procesados. ","")</f>
        <v xml:space="preserve"> * La suma de las columnas POR SEXO (Procesados) DEBE SER IGUAL a los Exámenes Procesados. </v>
      </c>
      <c r="CD36" s="2784" t="e">
        <f t="shared" ref="CD36:CD52" si="60">IF(AND($C36&gt;0,AND(AU36="",AV36="")),"* No olvide ingresar las columnas Trans Masculino o Femenino (*Digite CERO si no tiene). ",IF((AU36+AV36)&gt;$C36,"* El Número de Trans Masculino o Femenino no puede superar el Total Procesados. ",""))</f>
        <v>#VALUE!</v>
      </c>
      <c r="CE36" s="2784" t="str">
        <f t="shared" ref="CE36:CE52" si="61">IF(AND($C36&gt;0,AW36=""),"* No olvide ingresar la columna "&amp;AW$10&amp;""&amp;" *(Digite CERO si no tiene). ",IF(AW36&gt;$C36," *El Número de "&amp;AW$10&amp;""&amp;" no puede superar el Total Procesados. ",""))</f>
        <v xml:space="preserve"> *El Número de Pueblos Originarios no puede superar el Total Procesados. </v>
      </c>
      <c r="CF36" s="2784" t="str">
        <f t="shared" ref="CF36:CF52" si="62">IF(AND($C36&gt;0,AX36=""),"* No olvide ingresar la columna "&amp;AX$10&amp;""&amp;" *(Digite CERO si no tiene). ",IF(AX36&gt;$C36," *El Número de "&amp;AX$10&amp;""&amp;" no puede superar el Total Procesados. ",""))</f>
        <v xml:space="preserve"> *El Número de Migrantes no puede superar el Total Procesados. </v>
      </c>
      <c r="CG36" s="3018"/>
      <c r="CH36" s="3018"/>
      <c r="CI36" s="3018"/>
      <c r="CJ36" s="3018"/>
      <c r="CK36" s="3018"/>
      <c r="CL36" s="2784" t="str">
        <f t="shared" ref="CL36:CL39" si="63">IF(O36&lt;P36,CONCATENATE("* El total de Procesados debe ser mayor o igual al total de Reactivos en el grupo de edad ",$O$11),"")</f>
        <v>* El total de Procesados debe ser mayor o igual al total de Reactivos en el grupo de edad 10 - 14 años</v>
      </c>
      <c r="CM36" s="2784" t="str">
        <f t="shared" ref="CM36:CM41" si="64">IF(Q36&lt;R36,CONCATENATE("* El total de Procesados debe ser mayor o igual al total de Reactivos en el grupo de edad ",$Q$11),"")</f>
        <v>* El total de Procesados debe ser mayor o igual al total de Reactivos en el grupo de edad 15 - 19 años</v>
      </c>
      <c r="CN36" s="2784" t="str">
        <f t="shared" ref="CN36:CN43" si="65">IF(S36&lt;T36,CONCATENATE("* El total de Procesados debe ser mayor o igual al total de Reactivos en el grupo de edad ",$S$11),"")</f>
        <v>* El total de Procesados debe ser mayor o igual al total de Reactivos en el grupo de edad 20 - 24 años</v>
      </c>
      <c r="CO36" s="2784" t="str">
        <f t="shared" ref="CO36:CO52" si="66">IF($U36&lt;$V36,CONCATENATE("* El total de Procesados debe ser mayor o igual al total de Reactivos en el grupo de edad ",$U$11),"")</f>
        <v>* El total de Procesados debe ser mayor o igual al total de Reactivos en el grupo de edad 25 - 29 años</v>
      </c>
      <c r="CP36" s="2784" t="str">
        <f t="shared" ref="CP36:CP43" si="67">IF(W36&lt;X36,CONCATENATE("* El total de Procesados debe ser mayor o igual al total de Reactivos en el grupo de edad ",$W$11),"")</f>
        <v>* El total de Procesados debe ser mayor o igual al total de Reactivos en el grupo de edad 30 - 34 años</v>
      </c>
      <c r="CQ36" s="2784" t="str">
        <f t="shared" ref="CQ36:CQ43" si="68">IF(Y36&lt;Z36,CONCATENATE("* El total de Procesados debe ser mayor o igual al total de Reactivos en el grupo de edad ",$Y$11),"")</f>
        <v>* El total de Procesados debe ser mayor o igual al total de Reactivos en el grupo de edad 35 - 39 años</v>
      </c>
      <c r="CR36" s="2784" t="str">
        <f t="shared" ref="CR36:CR43" si="69">IF(AA36&lt;AB36,CONCATENATE("* El total de Procesados debe ser mayor o igual al total de Reactivos en el grupo de edad ",$AA$11),"")</f>
        <v>* El total de Procesados debe ser mayor o igual al total de Reactivos en el grupo de edad 40 - 44 años</v>
      </c>
      <c r="CS36" s="2784" t="str">
        <f t="shared" ref="CS36:CS43" si="70">IF(AE36&lt;AF36,CONCATENATE("* El total de Procesados debe ser mayor o igual al total de Reactivos en el grupo de edad ",$AE$11),"")</f>
        <v>* El total de Procesados debe ser mayor o igual al total de Reactivos en el grupo de edad 50 - 54 años</v>
      </c>
      <c r="CT36" s="2784" t="str">
        <f t="shared" ref="CT36:CT43" si="71">IF(AG36&lt;AH36,CONCATENATE("* El total de Procesados debe ser mayor o igual al total de Reactivos en el grupo de edad ",$AG$11),"")</f>
        <v>* El total de Procesados debe ser mayor o igual al total de Reactivos en el grupo de edad 55 - 59 años</v>
      </c>
      <c r="CU36" s="2784" t="str">
        <f t="shared" ref="CU36:CU43" si="72">IF(AI36&lt;AJ36,CONCATENATE("* El total de Procesados debe ser mayor o igual al total de Reactivos en el grupo de edad ",$AI$11),"")</f>
        <v>* El total de Procesados debe ser mayor o igual al total de Reactivos en el grupo de edad 60 - 64 años</v>
      </c>
      <c r="CV36" s="2784" t="str">
        <f t="shared" ref="CV36:CV43" si="73">IF(AK36&lt;AL36,CONCATENATE("* El total de Procesados debe ser mayor o igual al total de Reactivos en el grupo de edad ",$AK$11),"")</f>
        <v>* El total de Procesados debe ser mayor o igual al total de Reactivos en el grupo de edad 65 - 69 años</v>
      </c>
      <c r="CW36" s="2784" t="str">
        <f t="shared" ref="CW36:CW43" si="74">IF(AM36&lt;AN36,CONCATENATE("* El total de Procesados debe ser mayor o igual al total de Reactivos en el grupo de edad ",$AM$11),"")</f>
        <v>* El total de Procesados debe ser mayor o igual al total de Reactivos en el grupo de edad 70 - 74 años</v>
      </c>
      <c r="CX36" s="2784" t="str">
        <f t="shared" ref="CX36:CX43" si="75">IF(AO36&lt;AP36,CONCATENATE("* El total de Procesados debe ser mayor o igual al total de Reactivos en el grupo de edad ",$AO$11),"")</f>
        <v>* El total de Procesados debe ser mayor o igual al total de Reactivos en el grupo de edad 75 - 79 años</v>
      </c>
      <c r="CY36" s="2784" t="str">
        <f t="shared" ref="CY36:CY43" si="76">IF(AQ36&lt;AR36,CONCATENATE("* El total de Procesados debe ser mayor o igual al total de Reactivos en el grupo de edad ",$AQ$11),"")</f>
        <v>* El total de Procesados debe ser mayor o igual al total de Reactivos en el grupo de edad 80 y más años</v>
      </c>
      <c r="DF36" s="2630"/>
      <c r="DG36" s="4747">
        <f t="shared" ref="DG36:DG39" si="77">IF(C36&lt;&gt;(AT36),1,0)</f>
        <v>1</v>
      </c>
      <c r="DH36" s="2920" t="e">
        <f t="shared" ref="DH36:DH52" si="78">IF(AND($C36&gt;0,AND(AU36="",AV36="")),1,IF((AU36+AV36)&gt;$C36,1,0))</f>
        <v>#VALUE!</v>
      </c>
      <c r="DI36" s="2920">
        <f t="shared" ref="DI36:DI52" si="79">IF(AND($C36&gt;0,AW36=""),1,IF(AW36&gt;$C36,1,0))</f>
        <v>1</v>
      </c>
      <c r="DJ36" s="2920">
        <f t="shared" ref="DJ36:DJ52" si="80">IF(AND($C36&gt;0,AX36=""),1,IF(AX36&gt;$C36,1,0))</f>
        <v>1</v>
      </c>
      <c r="DK36" s="3018"/>
      <c r="DL36" s="3018"/>
      <c r="DM36" s="3018"/>
      <c r="DN36" s="3018"/>
      <c r="DO36" s="3018"/>
      <c r="DP36" s="2920">
        <f t="shared" ref="DP36:DP43" si="81">IF(O36&lt;P36,1,0)</f>
        <v>1</v>
      </c>
      <c r="DQ36" s="2920">
        <f t="shared" ref="DQ36:DQ43" si="82">IF(Q36&lt;R36,1,0)</f>
        <v>1</v>
      </c>
      <c r="DR36" s="2920">
        <f t="shared" ref="DR36:DR43" si="83">IF(S36&lt;T36,1,0)</f>
        <v>1</v>
      </c>
      <c r="DS36" s="2920">
        <f t="shared" ref="DS36:DS52" si="84">IF($U36&lt;$V36,1,0)</f>
        <v>1</v>
      </c>
      <c r="DT36" s="2920">
        <f t="shared" ref="DT36:DT43" si="85">IF(W36&lt;X36,1,0)</f>
        <v>1</v>
      </c>
      <c r="DU36" s="2920">
        <f t="shared" ref="DU36:DU43" si="86">IF(Y36&lt;Z36,1,0)</f>
        <v>1</v>
      </c>
      <c r="DV36" s="2920">
        <f t="shared" ref="DV36:DV43" si="87">IF(AA36&lt;AB36,1,0)</f>
        <v>1</v>
      </c>
      <c r="DW36" s="2920">
        <f t="shared" ref="DW36:DW43" si="88">IF(AE36&lt;AF36,1,0)</f>
        <v>1</v>
      </c>
      <c r="DX36" s="2920">
        <f t="shared" ref="DX36:DX43" si="89">IF(AG36&lt;AH36,1,0)</f>
        <v>1</v>
      </c>
      <c r="DY36" s="2920">
        <f t="shared" ref="DY36:DY43" si="90">IF(AI36&lt;AJ36,1,0)</f>
        <v>1</v>
      </c>
      <c r="DZ36" s="2920">
        <f t="shared" ref="DZ36:DZ43" si="91">IF(AK36&lt;AL36,1,0)</f>
        <v>1</v>
      </c>
      <c r="EA36" s="2920">
        <f t="shared" ref="EA36:EA43" si="92">IF(AM36&lt;AN36,1,0)</f>
        <v>1</v>
      </c>
      <c r="EB36" s="2920">
        <f t="shared" ref="EB36:EB43" si="93">IF(AO36&lt;AP36,1,0)</f>
        <v>1</v>
      </c>
      <c r="EC36" s="2920">
        <f t="shared" ref="EC36:EC43" si="94">IF(AQ36&lt;AR36,1,0)</f>
        <v>1</v>
      </c>
    </row>
    <row r="37" spans="1:133" x14ac:dyDescent="0.3">
      <c r="A37" s="6234">
        <v>11054204</v>
      </c>
      <c r="B37" s="3184" t="s">
        <v>2661</v>
      </c>
      <c r="C37" s="1928" t="s">
        <v>5292</v>
      </c>
      <c r="D37" s="3242" t="s">
        <v>5293</v>
      </c>
      <c r="E37" s="3475" t="s">
        <v>5294</v>
      </c>
      <c r="F37" s="5149" t="s">
        <v>5295</v>
      </c>
      <c r="G37" s="5148" t="s">
        <v>5296</v>
      </c>
      <c r="H37" s="5149" t="s">
        <v>5297</v>
      </c>
      <c r="I37" s="5148" t="s">
        <v>5298</v>
      </c>
      <c r="J37" s="5149" t="s">
        <v>5299</v>
      </c>
      <c r="K37" s="5148" t="s">
        <v>5300</v>
      </c>
      <c r="L37" s="5149" t="s">
        <v>5301</v>
      </c>
      <c r="M37" s="5148" t="s">
        <v>5302</v>
      </c>
      <c r="N37" s="5150" t="s">
        <v>5303</v>
      </c>
      <c r="O37" s="3479" t="s">
        <v>5304</v>
      </c>
      <c r="P37" s="5151" t="s">
        <v>5305</v>
      </c>
      <c r="Q37" s="5038" t="s">
        <v>5306</v>
      </c>
      <c r="R37" s="5151" t="s">
        <v>5307</v>
      </c>
      <c r="S37" s="5038" t="s">
        <v>5308</v>
      </c>
      <c r="T37" s="5151" t="s">
        <v>5309</v>
      </c>
      <c r="U37" s="5038" t="s">
        <v>5310</v>
      </c>
      <c r="V37" s="5151" t="s">
        <v>5311</v>
      </c>
      <c r="W37" s="5038" t="s">
        <v>5312</v>
      </c>
      <c r="X37" s="5151" t="s">
        <v>5313</v>
      </c>
      <c r="Y37" s="5038" t="s">
        <v>5314</v>
      </c>
      <c r="Z37" s="5151" t="s">
        <v>5315</v>
      </c>
      <c r="AA37" s="5038" t="s">
        <v>5316</v>
      </c>
      <c r="AB37" s="5151" t="s">
        <v>5317</v>
      </c>
      <c r="AC37" s="5038" t="s">
        <v>5318</v>
      </c>
      <c r="AD37" s="5151" t="s">
        <v>5319</v>
      </c>
      <c r="AE37" s="5038" t="s">
        <v>5320</v>
      </c>
      <c r="AF37" s="5151" t="s">
        <v>5321</v>
      </c>
      <c r="AG37" s="5038" t="s">
        <v>5322</v>
      </c>
      <c r="AH37" s="5151" t="s">
        <v>5323</v>
      </c>
      <c r="AI37" s="5038" t="s">
        <v>5324</v>
      </c>
      <c r="AJ37" s="5151" t="s">
        <v>5325</v>
      </c>
      <c r="AK37" s="5038" t="s">
        <v>5326</v>
      </c>
      <c r="AL37" s="5151" t="s">
        <v>5327</v>
      </c>
      <c r="AM37" s="5038" t="s">
        <v>5328</v>
      </c>
      <c r="AN37" s="5151" t="s">
        <v>5329</v>
      </c>
      <c r="AO37" s="5038" t="s">
        <v>5330</v>
      </c>
      <c r="AP37" s="5151" t="s">
        <v>5331</v>
      </c>
      <c r="AQ37" s="5038" t="s">
        <v>5332</v>
      </c>
      <c r="AR37" s="5145" t="s">
        <v>5333</v>
      </c>
      <c r="AS37" s="3483" t="s">
        <v>5334</v>
      </c>
      <c r="AT37" s="5145" t="s">
        <v>5335</v>
      </c>
      <c r="AU37" s="5146" t="s">
        <v>5336</v>
      </c>
      <c r="AV37" s="5145" t="s">
        <v>5337</v>
      </c>
      <c r="AW37" s="3479" t="s">
        <v>5338</v>
      </c>
      <c r="AX37" s="5147" t="s">
        <v>5339</v>
      </c>
      <c r="AY37" s="1687" t="e">
        <f t="shared" si="58"/>
        <v>#VALUE!</v>
      </c>
      <c r="CB37" s="600"/>
      <c r="CC37" s="4747" t="str">
        <f t="shared" si="59"/>
        <v xml:space="preserve"> * La suma de las columnas POR SEXO (Procesados) DEBE SER IGUAL a los Exámenes Procesados. </v>
      </c>
      <c r="CD37" s="2784" t="e">
        <f t="shared" si="60"/>
        <v>#VALUE!</v>
      </c>
      <c r="CE37" s="2784" t="str">
        <f t="shared" si="61"/>
        <v xml:space="preserve"> *El Número de Pueblos Originarios no puede superar el Total Procesados. </v>
      </c>
      <c r="CF37" s="2784" t="str">
        <f t="shared" si="62"/>
        <v xml:space="preserve"> *El Número de Migrantes no puede superar el Total Procesados. </v>
      </c>
      <c r="CG37" s="3018"/>
      <c r="CH37" s="3018"/>
      <c r="CI37" s="3018"/>
      <c r="CJ37" s="3018"/>
      <c r="CK37" s="3018"/>
      <c r="CL37" s="2784" t="str">
        <f t="shared" si="63"/>
        <v>* El total de Procesados debe ser mayor o igual al total de Reactivos en el grupo de edad 10 - 14 años</v>
      </c>
      <c r="CM37" s="2784" t="str">
        <f t="shared" si="64"/>
        <v>* El total de Procesados debe ser mayor o igual al total de Reactivos en el grupo de edad 15 - 19 años</v>
      </c>
      <c r="CN37" s="2784" t="str">
        <f t="shared" si="65"/>
        <v>* El total de Procesados debe ser mayor o igual al total de Reactivos en el grupo de edad 20 - 24 años</v>
      </c>
      <c r="CO37" s="2784" t="str">
        <f t="shared" si="66"/>
        <v>* El total de Procesados debe ser mayor o igual al total de Reactivos en el grupo de edad 25 - 29 años</v>
      </c>
      <c r="CP37" s="2784" t="str">
        <f t="shared" si="67"/>
        <v>* El total de Procesados debe ser mayor o igual al total de Reactivos en el grupo de edad 30 - 34 años</v>
      </c>
      <c r="CQ37" s="2784" t="str">
        <f t="shared" si="68"/>
        <v>* El total de Procesados debe ser mayor o igual al total de Reactivos en el grupo de edad 35 - 39 años</v>
      </c>
      <c r="CR37" s="2784" t="str">
        <f t="shared" si="69"/>
        <v>* El total de Procesados debe ser mayor o igual al total de Reactivos en el grupo de edad 40 - 44 años</v>
      </c>
      <c r="CS37" s="2784" t="str">
        <f t="shared" si="70"/>
        <v>* El total de Procesados debe ser mayor o igual al total de Reactivos en el grupo de edad 50 - 54 años</v>
      </c>
      <c r="CT37" s="2784" t="str">
        <f t="shared" si="71"/>
        <v>* El total de Procesados debe ser mayor o igual al total de Reactivos en el grupo de edad 55 - 59 años</v>
      </c>
      <c r="CU37" s="2784" t="str">
        <f t="shared" si="72"/>
        <v>* El total de Procesados debe ser mayor o igual al total de Reactivos en el grupo de edad 60 - 64 años</v>
      </c>
      <c r="CV37" s="2784" t="str">
        <f t="shared" si="73"/>
        <v>* El total de Procesados debe ser mayor o igual al total de Reactivos en el grupo de edad 65 - 69 años</v>
      </c>
      <c r="CW37" s="2784" t="str">
        <f t="shared" si="74"/>
        <v>* El total de Procesados debe ser mayor o igual al total de Reactivos en el grupo de edad 70 - 74 años</v>
      </c>
      <c r="CX37" s="2784" t="str">
        <f t="shared" si="75"/>
        <v>* El total de Procesados debe ser mayor o igual al total de Reactivos en el grupo de edad 75 - 79 años</v>
      </c>
      <c r="CY37" s="2784" t="str">
        <f t="shared" si="76"/>
        <v>* El total de Procesados debe ser mayor o igual al total de Reactivos en el grupo de edad 80 y más años</v>
      </c>
      <c r="DF37" s="2630"/>
      <c r="DG37" s="4747">
        <f t="shared" si="77"/>
        <v>1</v>
      </c>
      <c r="DH37" s="2920" t="e">
        <f t="shared" si="78"/>
        <v>#VALUE!</v>
      </c>
      <c r="DI37" s="2920">
        <f t="shared" si="79"/>
        <v>1</v>
      </c>
      <c r="DJ37" s="2920">
        <f t="shared" si="80"/>
        <v>1</v>
      </c>
      <c r="DK37" s="3018"/>
      <c r="DL37" s="3018"/>
      <c r="DM37" s="3018"/>
      <c r="DN37" s="3018"/>
      <c r="DO37" s="3018"/>
      <c r="DP37" s="2920">
        <f t="shared" si="81"/>
        <v>1</v>
      </c>
      <c r="DQ37" s="2920">
        <f t="shared" si="82"/>
        <v>1</v>
      </c>
      <c r="DR37" s="2920">
        <f t="shared" si="83"/>
        <v>1</v>
      </c>
      <c r="DS37" s="2920">
        <f t="shared" si="84"/>
        <v>1</v>
      </c>
      <c r="DT37" s="2920">
        <f t="shared" si="85"/>
        <v>1</v>
      </c>
      <c r="DU37" s="2920">
        <f t="shared" si="86"/>
        <v>1</v>
      </c>
      <c r="DV37" s="2920">
        <f t="shared" si="87"/>
        <v>1</v>
      </c>
      <c r="DW37" s="2920">
        <f t="shared" si="88"/>
        <v>1</v>
      </c>
      <c r="DX37" s="2920">
        <f t="shared" si="89"/>
        <v>1</v>
      </c>
      <c r="DY37" s="2920">
        <f t="shared" si="90"/>
        <v>1</v>
      </c>
      <c r="DZ37" s="2920">
        <f t="shared" si="91"/>
        <v>1</v>
      </c>
      <c r="EA37" s="2920">
        <f t="shared" si="92"/>
        <v>1</v>
      </c>
      <c r="EB37" s="2920">
        <f t="shared" si="93"/>
        <v>1</v>
      </c>
      <c r="EC37" s="2920">
        <f t="shared" si="94"/>
        <v>1</v>
      </c>
    </row>
    <row r="38" spans="1:133" x14ac:dyDescent="0.3">
      <c r="A38" s="6234">
        <v>11054205</v>
      </c>
      <c r="B38" s="3184" t="s">
        <v>2662</v>
      </c>
      <c r="C38" s="1928" t="s">
        <v>5292</v>
      </c>
      <c r="D38" s="3242" t="s">
        <v>5293</v>
      </c>
      <c r="E38" s="3475" t="s">
        <v>5294</v>
      </c>
      <c r="F38" s="5149" t="s">
        <v>5295</v>
      </c>
      <c r="G38" s="5148" t="s">
        <v>5296</v>
      </c>
      <c r="H38" s="5149" t="s">
        <v>5297</v>
      </c>
      <c r="I38" s="5148" t="s">
        <v>5298</v>
      </c>
      <c r="J38" s="5149" t="s">
        <v>5299</v>
      </c>
      <c r="K38" s="5148" t="s">
        <v>5300</v>
      </c>
      <c r="L38" s="5149" t="s">
        <v>5301</v>
      </c>
      <c r="M38" s="5148" t="s">
        <v>5302</v>
      </c>
      <c r="N38" s="5150" t="s">
        <v>5303</v>
      </c>
      <c r="O38" s="3479" t="s">
        <v>5304</v>
      </c>
      <c r="P38" s="5151" t="s">
        <v>5305</v>
      </c>
      <c r="Q38" s="5038" t="s">
        <v>5306</v>
      </c>
      <c r="R38" s="5151" t="s">
        <v>5307</v>
      </c>
      <c r="S38" s="5038" t="s">
        <v>5308</v>
      </c>
      <c r="T38" s="5151" t="s">
        <v>5309</v>
      </c>
      <c r="U38" s="5038" t="s">
        <v>5310</v>
      </c>
      <c r="V38" s="5151" t="s">
        <v>5311</v>
      </c>
      <c r="W38" s="5038" t="s">
        <v>5312</v>
      </c>
      <c r="X38" s="5151" t="s">
        <v>5313</v>
      </c>
      <c r="Y38" s="5038" t="s">
        <v>5314</v>
      </c>
      <c r="Z38" s="5151" t="s">
        <v>5315</v>
      </c>
      <c r="AA38" s="5038" t="s">
        <v>5316</v>
      </c>
      <c r="AB38" s="5151" t="s">
        <v>5317</v>
      </c>
      <c r="AC38" s="5038" t="s">
        <v>5318</v>
      </c>
      <c r="AD38" s="5151" t="s">
        <v>5319</v>
      </c>
      <c r="AE38" s="5038" t="s">
        <v>5320</v>
      </c>
      <c r="AF38" s="5151" t="s">
        <v>5321</v>
      </c>
      <c r="AG38" s="5038" t="s">
        <v>5322</v>
      </c>
      <c r="AH38" s="5151" t="s">
        <v>5323</v>
      </c>
      <c r="AI38" s="5038" t="s">
        <v>5324</v>
      </c>
      <c r="AJ38" s="5151" t="s">
        <v>5325</v>
      </c>
      <c r="AK38" s="5038" t="s">
        <v>5326</v>
      </c>
      <c r="AL38" s="5151" t="s">
        <v>5327</v>
      </c>
      <c r="AM38" s="5038" t="s">
        <v>5328</v>
      </c>
      <c r="AN38" s="5151" t="s">
        <v>5329</v>
      </c>
      <c r="AO38" s="5038" t="s">
        <v>5330</v>
      </c>
      <c r="AP38" s="5151" t="s">
        <v>5331</v>
      </c>
      <c r="AQ38" s="5038" t="s">
        <v>5332</v>
      </c>
      <c r="AR38" s="5145" t="s">
        <v>5333</v>
      </c>
      <c r="AS38" s="3483" t="s">
        <v>5334</v>
      </c>
      <c r="AT38" s="5145" t="s">
        <v>5335</v>
      </c>
      <c r="AU38" s="5146" t="s">
        <v>5336</v>
      </c>
      <c r="AV38" s="5145" t="s">
        <v>5337</v>
      </c>
      <c r="AW38" s="3479" t="s">
        <v>5338</v>
      </c>
      <c r="AX38" s="5147" t="s">
        <v>5339</v>
      </c>
      <c r="AY38" s="1687" t="e">
        <f t="shared" si="58"/>
        <v>#VALUE!</v>
      </c>
      <c r="CB38" s="600"/>
      <c r="CC38" s="4747" t="str">
        <f t="shared" si="59"/>
        <v xml:space="preserve"> * La suma de las columnas POR SEXO (Procesados) DEBE SER IGUAL a los Exámenes Procesados. </v>
      </c>
      <c r="CD38" s="2784" t="e">
        <f t="shared" si="60"/>
        <v>#VALUE!</v>
      </c>
      <c r="CE38" s="2784" t="str">
        <f t="shared" si="61"/>
        <v xml:space="preserve"> *El Número de Pueblos Originarios no puede superar el Total Procesados. </v>
      </c>
      <c r="CF38" s="2784" t="str">
        <f t="shared" si="62"/>
        <v xml:space="preserve"> *El Número de Migrantes no puede superar el Total Procesados. </v>
      </c>
      <c r="CG38" s="3018"/>
      <c r="CH38" s="3018"/>
      <c r="CI38" s="3018"/>
      <c r="CJ38" s="3018"/>
      <c r="CK38" s="3018"/>
      <c r="CL38" s="2784" t="str">
        <f t="shared" si="63"/>
        <v>* El total de Procesados debe ser mayor o igual al total de Reactivos en el grupo de edad 10 - 14 años</v>
      </c>
      <c r="CM38" s="2784" t="str">
        <f t="shared" si="64"/>
        <v>* El total de Procesados debe ser mayor o igual al total de Reactivos en el grupo de edad 15 - 19 años</v>
      </c>
      <c r="CN38" s="2784" t="str">
        <f t="shared" si="65"/>
        <v>* El total de Procesados debe ser mayor o igual al total de Reactivos en el grupo de edad 20 - 24 años</v>
      </c>
      <c r="CO38" s="2784" t="str">
        <f t="shared" si="66"/>
        <v>* El total de Procesados debe ser mayor o igual al total de Reactivos en el grupo de edad 25 - 29 años</v>
      </c>
      <c r="CP38" s="2784" t="str">
        <f t="shared" si="67"/>
        <v>* El total de Procesados debe ser mayor o igual al total de Reactivos en el grupo de edad 30 - 34 años</v>
      </c>
      <c r="CQ38" s="2784" t="str">
        <f t="shared" si="68"/>
        <v>* El total de Procesados debe ser mayor o igual al total de Reactivos en el grupo de edad 35 - 39 años</v>
      </c>
      <c r="CR38" s="2784" t="str">
        <f t="shared" si="69"/>
        <v>* El total de Procesados debe ser mayor o igual al total de Reactivos en el grupo de edad 40 - 44 años</v>
      </c>
      <c r="CS38" s="2784" t="str">
        <f t="shared" si="70"/>
        <v>* El total de Procesados debe ser mayor o igual al total de Reactivos en el grupo de edad 50 - 54 años</v>
      </c>
      <c r="CT38" s="2784" t="str">
        <f t="shared" si="71"/>
        <v>* El total de Procesados debe ser mayor o igual al total de Reactivos en el grupo de edad 55 - 59 años</v>
      </c>
      <c r="CU38" s="2784" t="str">
        <f t="shared" si="72"/>
        <v>* El total de Procesados debe ser mayor o igual al total de Reactivos en el grupo de edad 60 - 64 años</v>
      </c>
      <c r="CV38" s="2784" t="str">
        <f t="shared" si="73"/>
        <v>* El total de Procesados debe ser mayor o igual al total de Reactivos en el grupo de edad 65 - 69 años</v>
      </c>
      <c r="CW38" s="2784" t="str">
        <f t="shared" si="74"/>
        <v>* El total de Procesados debe ser mayor o igual al total de Reactivos en el grupo de edad 70 - 74 años</v>
      </c>
      <c r="CX38" s="2784" t="str">
        <f t="shared" si="75"/>
        <v>* El total de Procesados debe ser mayor o igual al total de Reactivos en el grupo de edad 75 - 79 años</v>
      </c>
      <c r="CY38" s="2784" t="str">
        <f t="shared" si="76"/>
        <v>* El total de Procesados debe ser mayor o igual al total de Reactivos en el grupo de edad 80 y más años</v>
      </c>
      <c r="DF38" s="2630"/>
      <c r="DG38" s="4747">
        <f t="shared" si="77"/>
        <v>1</v>
      </c>
      <c r="DH38" s="2920" t="e">
        <f t="shared" si="78"/>
        <v>#VALUE!</v>
      </c>
      <c r="DI38" s="2920">
        <f t="shared" si="79"/>
        <v>1</v>
      </c>
      <c r="DJ38" s="2920">
        <f t="shared" si="80"/>
        <v>1</v>
      </c>
      <c r="DK38" s="3018"/>
      <c r="DL38" s="3018"/>
      <c r="DM38" s="3018"/>
      <c r="DN38" s="3018"/>
      <c r="DO38" s="3018"/>
      <c r="DP38" s="2920">
        <f t="shared" si="81"/>
        <v>1</v>
      </c>
      <c r="DQ38" s="2920">
        <f t="shared" si="82"/>
        <v>1</v>
      </c>
      <c r="DR38" s="2920">
        <f t="shared" si="83"/>
        <v>1</v>
      </c>
      <c r="DS38" s="2920">
        <f t="shared" si="84"/>
        <v>1</v>
      </c>
      <c r="DT38" s="2920">
        <f t="shared" si="85"/>
        <v>1</v>
      </c>
      <c r="DU38" s="2920">
        <f t="shared" si="86"/>
        <v>1</v>
      </c>
      <c r="DV38" s="2920">
        <f t="shared" si="87"/>
        <v>1</v>
      </c>
      <c r="DW38" s="2920">
        <f t="shared" si="88"/>
        <v>1</v>
      </c>
      <c r="DX38" s="2920">
        <f t="shared" si="89"/>
        <v>1</v>
      </c>
      <c r="DY38" s="2920">
        <f t="shared" si="90"/>
        <v>1</v>
      </c>
      <c r="DZ38" s="2920">
        <f t="shared" si="91"/>
        <v>1</v>
      </c>
      <c r="EA38" s="2920">
        <f t="shared" si="92"/>
        <v>1</v>
      </c>
      <c r="EB38" s="2920">
        <f t="shared" si="93"/>
        <v>1</v>
      </c>
      <c r="EC38" s="2920">
        <f t="shared" si="94"/>
        <v>1</v>
      </c>
    </row>
    <row r="39" spans="1:133" x14ac:dyDescent="0.3">
      <c r="A39" s="6234">
        <v>11054206</v>
      </c>
      <c r="B39" s="3239" t="s">
        <v>2663</v>
      </c>
      <c r="C39" s="1928" t="s">
        <v>5292</v>
      </c>
      <c r="D39" s="3242" t="s">
        <v>5293</v>
      </c>
      <c r="E39" s="3475" t="s">
        <v>5294</v>
      </c>
      <c r="F39" s="5149" t="s">
        <v>5295</v>
      </c>
      <c r="G39" s="5148" t="s">
        <v>5296</v>
      </c>
      <c r="H39" s="5149" t="s">
        <v>5297</v>
      </c>
      <c r="I39" s="5148" t="s">
        <v>5298</v>
      </c>
      <c r="J39" s="5149" t="s">
        <v>5299</v>
      </c>
      <c r="K39" s="5148" t="s">
        <v>5300</v>
      </c>
      <c r="L39" s="5149" t="s">
        <v>5301</v>
      </c>
      <c r="M39" s="5148" t="s">
        <v>5302</v>
      </c>
      <c r="N39" s="5150" t="s">
        <v>5303</v>
      </c>
      <c r="O39" s="3479" t="s">
        <v>5304</v>
      </c>
      <c r="P39" s="5151" t="s">
        <v>5305</v>
      </c>
      <c r="Q39" s="5038" t="s">
        <v>5306</v>
      </c>
      <c r="R39" s="5151" t="s">
        <v>5307</v>
      </c>
      <c r="S39" s="5038" t="s">
        <v>5308</v>
      </c>
      <c r="T39" s="5151" t="s">
        <v>5309</v>
      </c>
      <c r="U39" s="5038" t="s">
        <v>5310</v>
      </c>
      <c r="V39" s="5151" t="s">
        <v>5311</v>
      </c>
      <c r="W39" s="5038" t="s">
        <v>5312</v>
      </c>
      <c r="X39" s="5151" t="s">
        <v>5313</v>
      </c>
      <c r="Y39" s="5038" t="s">
        <v>5314</v>
      </c>
      <c r="Z39" s="5151" t="s">
        <v>5315</v>
      </c>
      <c r="AA39" s="5038" t="s">
        <v>5316</v>
      </c>
      <c r="AB39" s="5151" t="s">
        <v>5317</v>
      </c>
      <c r="AC39" s="5038" t="s">
        <v>5318</v>
      </c>
      <c r="AD39" s="5151" t="s">
        <v>5319</v>
      </c>
      <c r="AE39" s="5038" t="s">
        <v>5320</v>
      </c>
      <c r="AF39" s="5151" t="s">
        <v>5321</v>
      </c>
      <c r="AG39" s="5038" t="s">
        <v>5322</v>
      </c>
      <c r="AH39" s="5151" t="s">
        <v>5323</v>
      </c>
      <c r="AI39" s="5038" t="s">
        <v>5324</v>
      </c>
      <c r="AJ39" s="5151" t="s">
        <v>5325</v>
      </c>
      <c r="AK39" s="5038" t="s">
        <v>5326</v>
      </c>
      <c r="AL39" s="5151" t="s">
        <v>5327</v>
      </c>
      <c r="AM39" s="5038" t="s">
        <v>5328</v>
      </c>
      <c r="AN39" s="5151" t="s">
        <v>5329</v>
      </c>
      <c r="AO39" s="5038" t="s">
        <v>5330</v>
      </c>
      <c r="AP39" s="5151" t="s">
        <v>5331</v>
      </c>
      <c r="AQ39" s="5038" t="s">
        <v>5332</v>
      </c>
      <c r="AR39" s="5145" t="s">
        <v>5333</v>
      </c>
      <c r="AS39" s="3483" t="s">
        <v>5334</v>
      </c>
      <c r="AT39" s="5145" t="s">
        <v>5335</v>
      </c>
      <c r="AU39" s="5146" t="s">
        <v>5336</v>
      </c>
      <c r="AV39" s="5145" t="s">
        <v>5337</v>
      </c>
      <c r="AW39" s="3479" t="s">
        <v>5338</v>
      </c>
      <c r="AX39" s="5147" t="s">
        <v>5339</v>
      </c>
      <c r="AY39" s="1687" t="e">
        <f t="shared" si="58"/>
        <v>#VALUE!</v>
      </c>
      <c r="CB39" s="600"/>
      <c r="CC39" s="4747" t="str">
        <f t="shared" si="59"/>
        <v xml:space="preserve"> * La suma de las columnas POR SEXO (Procesados) DEBE SER IGUAL a los Exámenes Procesados. </v>
      </c>
      <c r="CD39" s="2784" t="e">
        <f t="shared" si="60"/>
        <v>#VALUE!</v>
      </c>
      <c r="CE39" s="2784" t="str">
        <f t="shared" si="61"/>
        <v xml:space="preserve"> *El Número de Pueblos Originarios no puede superar el Total Procesados. </v>
      </c>
      <c r="CF39" s="2784" t="str">
        <f t="shared" si="62"/>
        <v xml:space="preserve"> *El Número de Migrantes no puede superar el Total Procesados. </v>
      </c>
      <c r="CG39" s="3018"/>
      <c r="CH39" s="3018"/>
      <c r="CI39" s="3018"/>
      <c r="CJ39" s="3018"/>
      <c r="CK39" s="3018"/>
      <c r="CL39" s="2784" t="str">
        <f t="shared" si="63"/>
        <v>* El total de Procesados debe ser mayor o igual al total de Reactivos en el grupo de edad 10 - 14 años</v>
      </c>
      <c r="CM39" s="2784" t="str">
        <f t="shared" si="64"/>
        <v>* El total de Procesados debe ser mayor o igual al total de Reactivos en el grupo de edad 15 - 19 años</v>
      </c>
      <c r="CN39" s="2784" t="str">
        <f t="shared" si="65"/>
        <v>* El total de Procesados debe ser mayor o igual al total de Reactivos en el grupo de edad 20 - 24 años</v>
      </c>
      <c r="CO39" s="2784" t="str">
        <f t="shared" si="66"/>
        <v>* El total de Procesados debe ser mayor o igual al total de Reactivos en el grupo de edad 25 - 29 años</v>
      </c>
      <c r="CP39" s="2784" t="str">
        <f t="shared" si="67"/>
        <v>* El total de Procesados debe ser mayor o igual al total de Reactivos en el grupo de edad 30 - 34 años</v>
      </c>
      <c r="CQ39" s="2784" t="str">
        <f t="shared" si="68"/>
        <v>* El total de Procesados debe ser mayor o igual al total de Reactivos en el grupo de edad 35 - 39 años</v>
      </c>
      <c r="CR39" s="2784" t="str">
        <f t="shared" si="69"/>
        <v>* El total de Procesados debe ser mayor o igual al total de Reactivos en el grupo de edad 40 - 44 años</v>
      </c>
      <c r="CS39" s="2784" t="str">
        <f t="shared" si="70"/>
        <v>* El total de Procesados debe ser mayor o igual al total de Reactivos en el grupo de edad 50 - 54 años</v>
      </c>
      <c r="CT39" s="2784" t="str">
        <f t="shared" si="71"/>
        <v>* El total de Procesados debe ser mayor o igual al total de Reactivos en el grupo de edad 55 - 59 años</v>
      </c>
      <c r="CU39" s="2784" t="str">
        <f t="shared" si="72"/>
        <v>* El total de Procesados debe ser mayor o igual al total de Reactivos en el grupo de edad 60 - 64 años</v>
      </c>
      <c r="CV39" s="2784" t="str">
        <f t="shared" si="73"/>
        <v>* El total de Procesados debe ser mayor o igual al total de Reactivos en el grupo de edad 65 - 69 años</v>
      </c>
      <c r="CW39" s="2784" t="str">
        <f t="shared" si="74"/>
        <v>* El total de Procesados debe ser mayor o igual al total de Reactivos en el grupo de edad 70 - 74 años</v>
      </c>
      <c r="CX39" s="2784" t="str">
        <f t="shared" si="75"/>
        <v>* El total de Procesados debe ser mayor o igual al total de Reactivos en el grupo de edad 75 - 79 años</v>
      </c>
      <c r="CY39" s="2784" t="str">
        <f t="shared" si="76"/>
        <v>* El total de Procesados debe ser mayor o igual al total de Reactivos en el grupo de edad 80 y más años</v>
      </c>
      <c r="DF39" s="2630"/>
      <c r="DG39" s="4747">
        <f t="shared" si="77"/>
        <v>1</v>
      </c>
      <c r="DH39" s="2920" t="e">
        <f t="shared" si="78"/>
        <v>#VALUE!</v>
      </c>
      <c r="DI39" s="2920">
        <f t="shared" si="79"/>
        <v>1</v>
      </c>
      <c r="DJ39" s="2920">
        <f t="shared" si="80"/>
        <v>1</v>
      </c>
      <c r="DK39" s="3018"/>
      <c r="DL39" s="3018"/>
      <c r="DM39" s="3018"/>
      <c r="DN39" s="3018"/>
      <c r="DO39" s="3018"/>
      <c r="DP39" s="2920">
        <f t="shared" si="81"/>
        <v>1</v>
      </c>
      <c r="DQ39" s="2920">
        <f t="shared" si="82"/>
        <v>1</v>
      </c>
      <c r="DR39" s="2920">
        <f t="shared" si="83"/>
        <v>1</v>
      </c>
      <c r="DS39" s="2920">
        <f t="shared" si="84"/>
        <v>1</v>
      </c>
      <c r="DT39" s="2920">
        <f t="shared" si="85"/>
        <v>1</v>
      </c>
      <c r="DU39" s="2920">
        <f t="shared" si="86"/>
        <v>1</v>
      </c>
      <c r="DV39" s="2920">
        <f t="shared" si="87"/>
        <v>1</v>
      </c>
      <c r="DW39" s="2920">
        <f t="shared" si="88"/>
        <v>1</v>
      </c>
      <c r="DX39" s="2920">
        <f t="shared" si="89"/>
        <v>1</v>
      </c>
      <c r="DY39" s="2920">
        <f t="shared" si="90"/>
        <v>1</v>
      </c>
      <c r="DZ39" s="2920">
        <f t="shared" si="91"/>
        <v>1</v>
      </c>
      <c r="EA39" s="2920">
        <f t="shared" si="92"/>
        <v>1</v>
      </c>
      <c r="EB39" s="2920">
        <f t="shared" si="93"/>
        <v>1</v>
      </c>
      <c r="EC39" s="2920">
        <f t="shared" si="94"/>
        <v>1</v>
      </c>
    </row>
    <row r="40" spans="1:133" x14ac:dyDescent="0.3">
      <c r="A40" s="6234">
        <v>11054207</v>
      </c>
      <c r="B40" s="3239" t="s">
        <v>2664</v>
      </c>
      <c r="C40" s="1928" t="s">
        <v>5292</v>
      </c>
      <c r="D40" s="3242" t="s">
        <v>5293</v>
      </c>
      <c r="E40" s="3475" t="s">
        <v>5294</v>
      </c>
      <c r="F40" s="5149" t="s">
        <v>5295</v>
      </c>
      <c r="G40" s="5148" t="s">
        <v>5296</v>
      </c>
      <c r="H40" s="5149" t="s">
        <v>5297</v>
      </c>
      <c r="I40" s="5148" t="s">
        <v>5298</v>
      </c>
      <c r="J40" s="5149" t="s">
        <v>5299</v>
      </c>
      <c r="K40" s="5148" t="s">
        <v>5300</v>
      </c>
      <c r="L40" s="5149" t="s">
        <v>5301</v>
      </c>
      <c r="M40" s="5148" t="s">
        <v>5302</v>
      </c>
      <c r="N40" s="5150" t="s">
        <v>5303</v>
      </c>
      <c r="O40" s="3479" t="s">
        <v>5304</v>
      </c>
      <c r="P40" s="5151" t="s">
        <v>5305</v>
      </c>
      <c r="Q40" s="5038" t="s">
        <v>5306</v>
      </c>
      <c r="R40" s="5151" t="s">
        <v>5307</v>
      </c>
      <c r="S40" s="5038" t="s">
        <v>5308</v>
      </c>
      <c r="T40" s="5151" t="s">
        <v>5309</v>
      </c>
      <c r="U40" s="5038" t="s">
        <v>5310</v>
      </c>
      <c r="V40" s="5151" t="s">
        <v>5311</v>
      </c>
      <c r="W40" s="5038" t="s">
        <v>5312</v>
      </c>
      <c r="X40" s="5151" t="s">
        <v>5313</v>
      </c>
      <c r="Y40" s="5038" t="s">
        <v>5314</v>
      </c>
      <c r="Z40" s="5151" t="s">
        <v>5315</v>
      </c>
      <c r="AA40" s="5038" t="s">
        <v>5316</v>
      </c>
      <c r="AB40" s="5151" t="s">
        <v>5317</v>
      </c>
      <c r="AC40" s="5038" t="s">
        <v>5318</v>
      </c>
      <c r="AD40" s="5151" t="s">
        <v>5319</v>
      </c>
      <c r="AE40" s="5038" t="s">
        <v>5320</v>
      </c>
      <c r="AF40" s="5151" t="s">
        <v>5321</v>
      </c>
      <c r="AG40" s="5038" t="s">
        <v>5322</v>
      </c>
      <c r="AH40" s="5151" t="s">
        <v>5323</v>
      </c>
      <c r="AI40" s="5038" t="s">
        <v>5324</v>
      </c>
      <c r="AJ40" s="5151" t="s">
        <v>5325</v>
      </c>
      <c r="AK40" s="5038" t="s">
        <v>5326</v>
      </c>
      <c r="AL40" s="5151" t="s">
        <v>5327</v>
      </c>
      <c r="AM40" s="5038" t="s">
        <v>5328</v>
      </c>
      <c r="AN40" s="5151" t="s">
        <v>5329</v>
      </c>
      <c r="AO40" s="5038" t="s">
        <v>5330</v>
      </c>
      <c r="AP40" s="5151" t="s">
        <v>5331</v>
      </c>
      <c r="AQ40" s="5038" t="s">
        <v>5332</v>
      </c>
      <c r="AR40" s="5145" t="s">
        <v>5333</v>
      </c>
      <c r="AS40" s="3479" t="s">
        <v>5334</v>
      </c>
      <c r="AT40" s="5145" t="s">
        <v>5335</v>
      </c>
      <c r="AU40" s="5146" t="s">
        <v>5336</v>
      </c>
      <c r="AV40" s="5145" t="s">
        <v>5337</v>
      </c>
      <c r="AW40" s="3479" t="s">
        <v>5338</v>
      </c>
      <c r="AX40" s="5147" t="s">
        <v>5339</v>
      </c>
      <c r="AY40" s="1687" t="e">
        <f>$CC40&amp;CD40&amp;CE40&amp;$CF40&amp;CL40&amp;CM40&amp;CN40&amp;CO40&amp;CP40&amp;CQ40&amp;CR40&amp;CS40&amp;CT40&amp;CU40&amp;CV40&amp;CW40&amp;CX40&amp;CY40</f>
        <v>#VALUE!</v>
      </c>
      <c r="CB40" s="600"/>
      <c r="CC40" s="2784" t="e">
        <f>IF(C40&lt;&gt;(AT40+AS40)," * La suma de las columnas "&amp;AS$10&amp;""&amp;" DEBE SER IGUAL a los Exámenes Procesados. ","")</f>
        <v>#VALUE!</v>
      </c>
      <c r="CD40" s="2784" t="e">
        <f t="shared" si="60"/>
        <v>#VALUE!</v>
      </c>
      <c r="CE40" s="2784" t="str">
        <f t="shared" si="61"/>
        <v xml:space="preserve"> *El Número de Pueblos Originarios no puede superar el Total Procesados. </v>
      </c>
      <c r="CF40" s="2784" t="str">
        <f t="shared" si="62"/>
        <v xml:space="preserve"> *El Número de Migrantes no puede superar el Total Procesados. </v>
      </c>
      <c r="CG40" s="3018"/>
      <c r="CH40" s="3018"/>
      <c r="CI40" s="3018"/>
      <c r="CJ40" s="3018"/>
      <c r="CK40" s="3018"/>
      <c r="CL40" s="2784" t="str">
        <f>IF(O40&lt;P40,CONCATENATE("* El total de Procesados debe ser mayor o igual al total de Reactivos en el grupo de edad ",$O$11),"")</f>
        <v>* El total de Procesados debe ser mayor o igual al total de Reactivos en el grupo de edad 10 - 14 años</v>
      </c>
      <c r="CM40" s="2784" t="str">
        <f t="shared" si="64"/>
        <v>* El total de Procesados debe ser mayor o igual al total de Reactivos en el grupo de edad 15 - 19 años</v>
      </c>
      <c r="CN40" s="2784" t="str">
        <f t="shared" si="65"/>
        <v>* El total de Procesados debe ser mayor o igual al total de Reactivos en el grupo de edad 20 - 24 años</v>
      </c>
      <c r="CO40" s="2784" t="str">
        <f t="shared" si="66"/>
        <v>* El total de Procesados debe ser mayor o igual al total de Reactivos en el grupo de edad 25 - 29 años</v>
      </c>
      <c r="CP40" s="2784" t="str">
        <f t="shared" si="67"/>
        <v>* El total de Procesados debe ser mayor o igual al total de Reactivos en el grupo de edad 30 - 34 años</v>
      </c>
      <c r="CQ40" s="2784" t="str">
        <f t="shared" si="68"/>
        <v>* El total de Procesados debe ser mayor o igual al total de Reactivos en el grupo de edad 35 - 39 años</v>
      </c>
      <c r="CR40" s="2784" t="str">
        <f t="shared" si="69"/>
        <v>* El total de Procesados debe ser mayor o igual al total de Reactivos en el grupo de edad 40 - 44 años</v>
      </c>
      <c r="CS40" s="2784" t="str">
        <f t="shared" si="70"/>
        <v>* El total de Procesados debe ser mayor o igual al total de Reactivos en el grupo de edad 50 - 54 años</v>
      </c>
      <c r="CT40" s="2784" t="str">
        <f t="shared" si="71"/>
        <v>* El total de Procesados debe ser mayor o igual al total de Reactivos en el grupo de edad 55 - 59 años</v>
      </c>
      <c r="CU40" s="2784" t="str">
        <f t="shared" si="72"/>
        <v>* El total de Procesados debe ser mayor o igual al total de Reactivos en el grupo de edad 60 - 64 años</v>
      </c>
      <c r="CV40" s="2784" t="str">
        <f t="shared" si="73"/>
        <v>* El total de Procesados debe ser mayor o igual al total de Reactivos en el grupo de edad 65 - 69 años</v>
      </c>
      <c r="CW40" s="2784" t="str">
        <f t="shared" si="74"/>
        <v>* El total de Procesados debe ser mayor o igual al total de Reactivos en el grupo de edad 70 - 74 años</v>
      </c>
      <c r="CX40" s="2784" t="str">
        <f t="shared" si="75"/>
        <v>* El total de Procesados debe ser mayor o igual al total de Reactivos en el grupo de edad 75 - 79 años</v>
      </c>
      <c r="CY40" s="2784" t="str">
        <f t="shared" si="76"/>
        <v>* El total de Procesados debe ser mayor o igual al total de Reactivos en el grupo de edad 80 y más años</v>
      </c>
      <c r="DF40" s="2630"/>
      <c r="DG40" s="2784" t="e">
        <f>IF(C40&lt;&gt;(AT40+AS40),1,0)</f>
        <v>#VALUE!</v>
      </c>
      <c r="DH40" s="2920" t="e">
        <f t="shared" si="78"/>
        <v>#VALUE!</v>
      </c>
      <c r="DI40" s="2920">
        <f t="shared" si="79"/>
        <v>1</v>
      </c>
      <c r="DJ40" s="2920">
        <f t="shared" si="80"/>
        <v>1</v>
      </c>
      <c r="DK40" s="3018"/>
      <c r="DL40" s="3018"/>
      <c r="DM40" s="3018"/>
      <c r="DN40" s="3018"/>
      <c r="DO40" s="3018"/>
      <c r="DP40" s="2920">
        <f t="shared" si="81"/>
        <v>1</v>
      </c>
      <c r="DQ40" s="2920">
        <f t="shared" si="82"/>
        <v>1</v>
      </c>
      <c r="DR40" s="2920">
        <f t="shared" si="83"/>
        <v>1</v>
      </c>
      <c r="DS40" s="2920">
        <f t="shared" si="84"/>
        <v>1</v>
      </c>
      <c r="DT40" s="2920">
        <f t="shared" si="85"/>
        <v>1</v>
      </c>
      <c r="DU40" s="2920">
        <f t="shared" si="86"/>
        <v>1</v>
      </c>
      <c r="DV40" s="2920">
        <f t="shared" si="87"/>
        <v>1</v>
      </c>
      <c r="DW40" s="2920">
        <f t="shared" si="88"/>
        <v>1</v>
      </c>
      <c r="DX40" s="2920">
        <f t="shared" si="89"/>
        <v>1</v>
      </c>
      <c r="DY40" s="2920">
        <f t="shared" si="90"/>
        <v>1</v>
      </c>
      <c r="DZ40" s="2920">
        <f t="shared" si="91"/>
        <v>1</v>
      </c>
      <c r="EA40" s="2920">
        <f t="shared" si="92"/>
        <v>1</v>
      </c>
      <c r="EB40" s="2920">
        <f t="shared" si="93"/>
        <v>1</v>
      </c>
      <c r="EC40" s="2920">
        <f t="shared" si="94"/>
        <v>1</v>
      </c>
    </row>
    <row r="41" spans="1:133" x14ac:dyDescent="0.3">
      <c r="A41" s="6234">
        <v>11054208</v>
      </c>
      <c r="B41" s="3239" t="s">
        <v>2665</v>
      </c>
      <c r="C41" s="1928" t="s">
        <v>5292</v>
      </c>
      <c r="D41" s="3242" t="s">
        <v>5293</v>
      </c>
      <c r="E41" s="3475" t="s">
        <v>5294</v>
      </c>
      <c r="F41" s="5149" t="s">
        <v>5295</v>
      </c>
      <c r="G41" s="5148" t="s">
        <v>5296</v>
      </c>
      <c r="H41" s="5149" t="s">
        <v>5297</v>
      </c>
      <c r="I41" s="5148" t="s">
        <v>5298</v>
      </c>
      <c r="J41" s="5149" t="s">
        <v>5299</v>
      </c>
      <c r="K41" s="5148" t="s">
        <v>5300</v>
      </c>
      <c r="L41" s="5149" t="s">
        <v>5301</v>
      </c>
      <c r="M41" s="5148" t="s">
        <v>5302</v>
      </c>
      <c r="N41" s="5150" t="s">
        <v>5303</v>
      </c>
      <c r="O41" s="3479" t="s">
        <v>5304</v>
      </c>
      <c r="P41" s="5151" t="s">
        <v>5305</v>
      </c>
      <c r="Q41" s="5038" t="s">
        <v>5306</v>
      </c>
      <c r="R41" s="5151" t="s">
        <v>5307</v>
      </c>
      <c r="S41" s="5038" t="s">
        <v>5308</v>
      </c>
      <c r="T41" s="5151" t="s">
        <v>5309</v>
      </c>
      <c r="U41" s="5038" t="s">
        <v>5310</v>
      </c>
      <c r="V41" s="5151" t="s">
        <v>5311</v>
      </c>
      <c r="W41" s="5038" t="s">
        <v>5312</v>
      </c>
      <c r="X41" s="5151" t="s">
        <v>5313</v>
      </c>
      <c r="Y41" s="5038" t="s">
        <v>5314</v>
      </c>
      <c r="Z41" s="5151" t="s">
        <v>5315</v>
      </c>
      <c r="AA41" s="5038" t="s">
        <v>5316</v>
      </c>
      <c r="AB41" s="5151" t="s">
        <v>5317</v>
      </c>
      <c r="AC41" s="5038" t="s">
        <v>5318</v>
      </c>
      <c r="AD41" s="5151" t="s">
        <v>5319</v>
      </c>
      <c r="AE41" s="5038" t="s">
        <v>5320</v>
      </c>
      <c r="AF41" s="5151" t="s">
        <v>5321</v>
      </c>
      <c r="AG41" s="5038" t="s">
        <v>5322</v>
      </c>
      <c r="AH41" s="5151" t="s">
        <v>5323</v>
      </c>
      <c r="AI41" s="5038" t="s">
        <v>5324</v>
      </c>
      <c r="AJ41" s="5151" t="s">
        <v>5325</v>
      </c>
      <c r="AK41" s="5038" t="s">
        <v>5326</v>
      </c>
      <c r="AL41" s="5151" t="s">
        <v>5327</v>
      </c>
      <c r="AM41" s="5038" t="s">
        <v>5328</v>
      </c>
      <c r="AN41" s="5151" t="s">
        <v>5329</v>
      </c>
      <c r="AO41" s="5038" t="s">
        <v>5330</v>
      </c>
      <c r="AP41" s="5151" t="s">
        <v>5331</v>
      </c>
      <c r="AQ41" s="5038" t="s">
        <v>5332</v>
      </c>
      <c r="AR41" s="5145" t="s">
        <v>5333</v>
      </c>
      <c r="AS41" s="3483" t="s">
        <v>5334</v>
      </c>
      <c r="AT41" s="5145" t="s">
        <v>5335</v>
      </c>
      <c r="AU41" s="5146" t="s">
        <v>5336</v>
      </c>
      <c r="AV41" s="5145" t="s">
        <v>5337</v>
      </c>
      <c r="AW41" s="3479" t="s">
        <v>5338</v>
      </c>
      <c r="AX41" s="5147" t="s">
        <v>5339</v>
      </c>
      <c r="AY41" s="1687" t="e">
        <f>$CC41&amp;CD41&amp;CE41&amp;$CF41&amp;CL41&amp;CM41&amp;CN41&amp;CO41&amp;CP41&amp;CQ41&amp;CR41&amp;CS41&amp;CT41&amp;CU41&amp;CV41&amp;CW41&amp;CX41&amp;CY41</f>
        <v>#VALUE!</v>
      </c>
      <c r="CB41" s="600"/>
      <c r="CC41" s="4747" t="str">
        <f t="shared" ref="CC41:CC43" si="95">IF(C41&lt;&gt;(AT41)," * La suma de las columnas "&amp;AS$10&amp;""&amp;" DEBE SER IGUAL a los Exámenes Procesados. ","")</f>
        <v xml:space="preserve"> * La suma de las columnas POR SEXO (Procesados) DEBE SER IGUAL a los Exámenes Procesados. </v>
      </c>
      <c r="CD41" s="2784" t="e">
        <f t="shared" si="60"/>
        <v>#VALUE!</v>
      </c>
      <c r="CE41" s="2784" t="str">
        <f t="shared" si="61"/>
        <v xml:space="preserve"> *El Número de Pueblos Originarios no puede superar el Total Procesados. </v>
      </c>
      <c r="CF41" s="2784" t="str">
        <f t="shared" si="62"/>
        <v xml:space="preserve"> *El Número de Migrantes no puede superar el Total Procesados. </v>
      </c>
      <c r="CG41" s="3018"/>
      <c r="CH41" s="3018"/>
      <c r="CI41" s="3018"/>
      <c r="CJ41" s="3018"/>
      <c r="CK41" s="3018"/>
      <c r="CL41" s="2784" t="str">
        <f t="shared" ref="CL41" si="96">IF(O41&lt;P41,CONCATENATE("* El total de Procesados debe ser mayor o igual al total de Reactivos en el grupo de edad ",$O$11),"")</f>
        <v>* El total de Procesados debe ser mayor o igual al total de Reactivos en el grupo de edad 10 - 14 años</v>
      </c>
      <c r="CM41" s="2784" t="str">
        <f t="shared" si="64"/>
        <v>* El total de Procesados debe ser mayor o igual al total de Reactivos en el grupo de edad 15 - 19 años</v>
      </c>
      <c r="CN41" s="2784" t="str">
        <f t="shared" si="65"/>
        <v>* El total de Procesados debe ser mayor o igual al total de Reactivos en el grupo de edad 20 - 24 años</v>
      </c>
      <c r="CO41" s="2784" t="str">
        <f t="shared" si="66"/>
        <v>* El total de Procesados debe ser mayor o igual al total de Reactivos en el grupo de edad 25 - 29 años</v>
      </c>
      <c r="CP41" s="2784" t="str">
        <f t="shared" si="67"/>
        <v>* El total de Procesados debe ser mayor o igual al total de Reactivos en el grupo de edad 30 - 34 años</v>
      </c>
      <c r="CQ41" s="2784" t="str">
        <f t="shared" si="68"/>
        <v>* El total de Procesados debe ser mayor o igual al total de Reactivos en el grupo de edad 35 - 39 años</v>
      </c>
      <c r="CR41" s="2784" t="str">
        <f t="shared" si="69"/>
        <v>* El total de Procesados debe ser mayor o igual al total de Reactivos en el grupo de edad 40 - 44 años</v>
      </c>
      <c r="CS41" s="2784" t="str">
        <f t="shared" si="70"/>
        <v>* El total de Procesados debe ser mayor o igual al total de Reactivos en el grupo de edad 50 - 54 años</v>
      </c>
      <c r="CT41" s="2784" t="str">
        <f t="shared" si="71"/>
        <v>* El total de Procesados debe ser mayor o igual al total de Reactivos en el grupo de edad 55 - 59 años</v>
      </c>
      <c r="CU41" s="2784" t="str">
        <f t="shared" si="72"/>
        <v>* El total de Procesados debe ser mayor o igual al total de Reactivos en el grupo de edad 60 - 64 años</v>
      </c>
      <c r="CV41" s="2784" t="str">
        <f t="shared" si="73"/>
        <v>* El total de Procesados debe ser mayor o igual al total de Reactivos en el grupo de edad 65 - 69 años</v>
      </c>
      <c r="CW41" s="2784" t="str">
        <f t="shared" si="74"/>
        <v>* El total de Procesados debe ser mayor o igual al total de Reactivos en el grupo de edad 70 - 74 años</v>
      </c>
      <c r="CX41" s="2784" t="str">
        <f t="shared" si="75"/>
        <v>* El total de Procesados debe ser mayor o igual al total de Reactivos en el grupo de edad 75 - 79 años</v>
      </c>
      <c r="CY41" s="2784" t="str">
        <f t="shared" si="76"/>
        <v>* El total de Procesados debe ser mayor o igual al total de Reactivos en el grupo de edad 80 y más años</v>
      </c>
      <c r="DF41" s="2630"/>
      <c r="DG41" s="4747">
        <f>IF(C41&lt;&gt;(AT41),1,0)</f>
        <v>1</v>
      </c>
      <c r="DH41" s="2920" t="e">
        <f t="shared" si="78"/>
        <v>#VALUE!</v>
      </c>
      <c r="DI41" s="2920">
        <f t="shared" si="79"/>
        <v>1</v>
      </c>
      <c r="DJ41" s="2920">
        <f t="shared" si="80"/>
        <v>1</v>
      </c>
      <c r="DK41" s="3018"/>
      <c r="DL41" s="3018"/>
      <c r="DM41" s="3018"/>
      <c r="DN41" s="3018"/>
      <c r="DO41" s="3018"/>
      <c r="DP41" s="2920">
        <f t="shared" si="81"/>
        <v>1</v>
      </c>
      <c r="DQ41" s="2920">
        <f t="shared" si="82"/>
        <v>1</v>
      </c>
      <c r="DR41" s="2920">
        <f t="shared" si="83"/>
        <v>1</v>
      </c>
      <c r="DS41" s="2920">
        <f t="shared" si="84"/>
        <v>1</v>
      </c>
      <c r="DT41" s="2920">
        <f t="shared" si="85"/>
        <v>1</v>
      </c>
      <c r="DU41" s="2920">
        <f t="shared" si="86"/>
        <v>1</v>
      </c>
      <c r="DV41" s="2920">
        <f t="shared" si="87"/>
        <v>1</v>
      </c>
      <c r="DW41" s="2920">
        <f t="shared" si="88"/>
        <v>1</v>
      </c>
      <c r="DX41" s="2920">
        <f t="shared" si="89"/>
        <v>1</v>
      </c>
      <c r="DY41" s="2920">
        <f t="shared" si="90"/>
        <v>1</v>
      </c>
      <c r="DZ41" s="2920">
        <f t="shared" si="91"/>
        <v>1</v>
      </c>
      <c r="EA41" s="2920">
        <f t="shared" si="92"/>
        <v>1</v>
      </c>
      <c r="EB41" s="2920">
        <f t="shared" si="93"/>
        <v>1</v>
      </c>
      <c r="EC41" s="2920">
        <f t="shared" si="94"/>
        <v>1</v>
      </c>
    </row>
    <row r="42" spans="1:133" x14ac:dyDescent="0.3">
      <c r="A42" s="6234">
        <v>11054209</v>
      </c>
      <c r="B42" s="3184" t="s">
        <v>2666</v>
      </c>
      <c r="C42" s="1928" t="s">
        <v>5292</v>
      </c>
      <c r="D42" s="3242" t="s">
        <v>5293</v>
      </c>
      <c r="E42" s="3475" t="s">
        <v>5294</v>
      </c>
      <c r="F42" s="5149" t="s">
        <v>5295</v>
      </c>
      <c r="G42" s="5148" t="s">
        <v>5296</v>
      </c>
      <c r="H42" s="5149" t="s">
        <v>5297</v>
      </c>
      <c r="I42" s="5148" t="s">
        <v>5298</v>
      </c>
      <c r="J42" s="5149" t="s">
        <v>5299</v>
      </c>
      <c r="K42" s="5148" t="s">
        <v>5300</v>
      </c>
      <c r="L42" s="5149" t="s">
        <v>5301</v>
      </c>
      <c r="M42" s="5148" t="s">
        <v>5302</v>
      </c>
      <c r="N42" s="5150" t="s">
        <v>5303</v>
      </c>
      <c r="O42" s="3479" t="s">
        <v>5304</v>
      </c>
      <c r="P42" s="5151" t="s">
        <v>5305</v>
      </c>
      <c r="Q42" s="5038" t="s">
        <v>5306</v>
      </c>
      <c r="R42" s="5151" t="s">
        <v>5307</v>
      </c>
      <c r="S42" s="5038" t="s">
        <v>5308</v>
      </c>
      <c r="T42" s="5151" t="s">
        <v>5309</v>
      </c>
      <c r="U42" s="5038" t="s">
        <v>5310</v>
      </c>
      <c r="V42" s="5151" t="s">
        <v>5311</v>
      </c>
      <c r="W42" s="5038" t="s">
        <v>5312</v>
      </c>
      <c r="X42" s="5151" t="s">
        <v>5313</v>
      </c>
      <c r="Y42" s="5038" t="s">
        <v>5314</v>
      </c>
      <c r="Z42" s="5151" t="s">
        <v>5315</v>
      </c>
      <c r="AA42" s="5038" t="s">
        <v>5316</v>
      </c>
      <c r="AB42" s="5151" t="s">
        <v>5317</v>
      </c>
      <c r="AC42" s="5038" t="s">
        <v>5318</v>
      </c>
      <c r="AD42" s="5151" t="s">
        <v>5319</v>
      </c>
      <c r="AE42" s="5038" t="s">
        <v>5320</v>
      </c>
      <c r="AF42" s="5151" t="s">
        <v>5321</v>
      </c>
      <c r="AG42" s="5038" t="s">
        <v>5322</v>
      </c>
      <c r="AH42" s="5151" t="s">
        <v>5323</v>
      </c>
      <c r="AI42" s="5038" t="s">
        <v>5324</v>
      </c>
      <c r="AJ42" s="5151" t="s">
        <v>5325</v>
      </c>
      <c r="AK42" s="5038" t="s">
        <v>5326</v>
      </c>
      <c r="AL42" s="5151" t="s">
        <v>5327</v>
      </c>
      <c r="AM42" s="5038" t="s">
        <v>5328</v>
      </c>
      <c r="AN42" s="5151" t="s">
        <v>5329</v>
      </c>
      <c r="AO42" s="5038" t="s">
        <v>5330</v>
      </c>
      <c r="AP42" s="5151" t="s">
        <v>5331</v>
      </c>
      <c r="AQ42" s="5038" t="s">
        <v>5332</v>
      </c>
      <c r="AR42" s="5145" t="s">
        <v>5333</v>
      </c>
      <c r="AS42" s="3483" t="s">
        <v>5334</v>
      </c>
      <c r="AT42" s="5145" t="s">
        <v>5335</v>
      </c>
      <c r="AU42" s="5146" t="s">
        <v>5336</v>
      </c>
      <c r="AV42" s="5145" t="s">
        <v>5337</v>
      </c>
      <c r="AW42" s="3479" t="s">
        <v>5338</v>
      </c>
      <c r="AX42" s="5147" t="s">
        <v>5339</v>
      </c>
      <c r="AY42" s="1687" t="e">
        <f t="shared" ref="AY42" si="97">$CC42&amp;CD42&amp;CE42&amp;$CF42&amp;CL42&amp;CM42&amp;CN42&amp;CO42&amp;CP42&amp;CQ42&amp;CR42&amp;CS42&amp;CT42&amp;CU42&amp;CV42&amp;CW42&amp;CX42&amp;CY42</f>
        <v>#VALUE!</v>
      </c>
      <c r="CB42" s="600"/>
      <c r="CC42" s="4747" t="str">
        <f t="shared" si="95"/>
        <v xml:space="preserve"> * La suma de las columnas POR SEXO (Procesados) DEBE SER IGUAL a los Exámenes Procesados. </v>
      </c>
      <c r="CD42" s="2784" t="e">
        <f t="shared" si="60"/>
        <v>#VALUE!</v>
      </c>
      <c r="CE42" s="2784" t="str">
        <f t="shared" si="61"/>
        <v xml:space="preserve"> *El Número de Pueblos Originarios no puede superar el Total Procesados. </v>
      </c>
      <c r="CF42" s="2784" t="str">
        <f t="shared" si="62"/>
        <v xml:space="preserve"> *El Número de Migrantes no puede superar el Total Procesados. </v>
      </c>
      <c r="CG42" s="3018"/>
      <c r="CH42" s="3018"/>
      <c r="CI42" s="3018"/>
      <c r="CJ42" s="3018"/>
      <c r="CK42" s="3018"/>
      <c r="CL42" s="2784" t="str">
        <f>IF(O42&lt;P42,CONCATENATE("* El total de Procesados debe ser mayor o igual al total de Reactivos en el grupo de edad ",$O$11),"")</f>
        <v>* El total de Procesados debe ser mayor o igual al total de Reactivos en el grupo de edad 10 - 14 años</v>
      </c>
      <c r="CM42" s="2784" t="str">
        <f>IF(Q42&lt;R42,CONCATENATE("* El total de Procesados debe ser mayor o igual al total de Reactivos en el grupo de edad ",$Q$11),"")</f>
        <v>* El total de Procesados debe ser mayor o igual al total de Reactivos en el grupo de edad 15 - 19 años</v>
      </c>
      <c r="CN42" s="2784" t="str">
        <f t="shared" si="65"/>
        <v>* El total de Procesados debe ser mayor o igual al total de Reactivos en el grupo de edad 20 - 24 años</v>
      </c>
      <c r="CO42" s="2784" t="str">
        <f t="shared" si="66"/>
        <v>* El total de Procesados debe ser mayor o igual al total de Reactivos en el grupo de edad 25 - 29 años</v>
      </c>
      <c r="CP42" s="2784" t="str">
        <f t="shared" si="67"/>
        <v>* El total de Procesados debe ser mayor o igual al total de Reactivos en el grupo de edad 30 - 34 años</v>
      </c>
      <c r="CQ42" s="2784" t="str">
        <f t="shared" si="68"/>
        <v>* El total de Procesados debe ser mayor o igual al total de Reactivos en el grupo de edad 35 - 39 años</v>
      </c>
      <c r="CR42" s="2784" t="str">
        <f t="shared" si="69"/>
        <v>* El total de Procesados debe ser mayor o igual al total de Reactivos en el grupo de edad 40 - 44 años</v>
      </c>
      <c r="CS42" s="2784" t="str">
        <f t="shared" si="70"/>
        <v>* El total de Procesados debe ser mayor o igual al total de Reactivos en el grupo de edad 50 - 54 años</v>
      </c>
      <c r="CT42" s="2784" t="str">
        <f t="shared" si="71"/>
        <v>* El total de Procesados debe ser mayor o igual al total de Reactivos en el grupo de edad 55 - 59 años</v>
      </c>
      <c r="CU42" s="2784" t="str">
        <f t="shared" si="72"/>
        <v>* El total de Procesados debe ser mayor o igual al total de Reactivos en el grupo de edad 60 - 64 años</v>
      </c>
      <c r="CV42" s="2784" t="str">
        <f t="shared" si="73"/>
        <v>* El total de Procesados debe ser mayor o igual al total de Reactivos en el grupo de edad 65 - 69 años</v>
      </c>
      <c r="CW42" s="2784" t="str">
        <f t="shared" si="74"/>
        <v>* El total de Procesados debe ser mayor o igual al total de Reactivos en el grupo de edad 70 - 74 años</v>
      </c>
      <c r="CX42" s="2784" t="str">
        <f t="shared" si="75"/>
        <v>* El total de Procesados debe ser mayor o igual al total de Reactivos en el grupo de edad 75 - 79 años</v>
      </c>
      <c r="CY42" s="2784" t="str">
        <f t="shared" si="76"/>
        <v>* El total de Procesados debe ser mayor o igual al total de Reactivos en el grupo de edad 80 y más años</v>
      </c>
      <c r="DF42" s="2630"/>
      <c r="DG42" s="4747">
        <f t="shared" ref="DG42:DG43" si="98">IF(C42&lt;&gt;(AT42),1,0)</f>
        <v>1</v>
      </c>
      <c r="DH42" s="2920" t="e">
        <f t="shared" si="78"/>
        <v>#VALUE!</v>
      </c>
      <c r="DI42" s="2920">
        <f t="shared" si="79"/>
        <v>1</v>
      </c>
      <c r="DJ42" s="2920">
        <f t="shared" si="80"/>
        <v>1</v>
      </c>
      <c r="DK42" s="3018"/>
      <c r="DL42" s="3018"/>
      <c r="DM42" s="3018"/>
      <c r="DN42" s="3018"/>
      <c r="DO42" s="3018"/>
      <c r="DP42" s="2920">
        <f t="shared" si="81"/>
        <v>1</v>
      </c>
      <c r="DQ42" s="2920">
        <f t="shared" si="82"/>
        <v>1</v>
      </c>
      <c r="DR42" s="2920">
        <f t="shared" si="83"/>
        <v>1</v>
      </c>
      <c r="DS42" s="2920">
        <f t="shared" si="84"/>
        <v>1</v>
      </c>
      <c r="DT42" s="2920">
        <f t="shared" si="85"/>
        <v>1</v>
      </c>
      <c r="DU42" s="2920">
        <f t="shared" si="86"/>
        <v>1</v>
      </c>
      <c r="DV42" s="2920">
        <f t="shared" si="87"/>
        <v>1</v>
      </c>
      <c r="DW42" s="2920">
        <f t="shared" si="88"/>
        <v>1</v>
      </c>
      <c r="DX42" s="2920">
        <f t="shared" si="89"/>
        <v>1</v>
      </c>
      <c r="DY42" s="2920">
        <f t="shared" si="90"/>
        <v>1</v>
      </c>
      <c r="DZ42" s="2920">
        <f t="shared" si="91"/>
        <v>1</v>
      </c>
      <c r="EA42" s="2920">
        <f t="shared" si="92"/>
        <v>1</v>
      </c>
      <c r="EB42" s="2920">
        <f t="shared" si="93"/>
        <v>1</v>
      </c>
      <c r="EC42" s="2920">
        <f t="shared" si="94"/>
        <v>1</v>
      </c>
    </row>
    <row r="43" spans="1:133" x14ac:dyDescent="0.3">
      <c r="A43" s="6234">
        <v>11054210</v>
      </c>
      <c r="B43" s="3184" t="s">
        <v>2667</v>
      </c>
      <c r="C43" s="1928" t="s">
        <v>5292</v>
      </c>
      <c r="D43" s="3242" t="s">
        <v>5293</v>
      </c>
      <c r="E43" s="3479" t="s">
        <v>5294</v>
      </c>
      <c r="F43" s="5151" t="s">
        <v>5295</v>
      </c>
      <c r="G43" s="5038" t="s">
        <v>5296</v>
      </c>
      <c r="H43" s="5151" t="s">
        <v>5297</v>
      </c>
      <c r="I43" s="5038" t="s">
        <v>5298</v>
      </c>
      <c r="J43" s="5147" t="s">
        <v>5299</v>
      </c>
      <c r="K43" s="3479" t="s">
        <v>5300</v>
      </c>
      <c r="L43" s="3479" t="s">
        <v>5301</v>
      </c>
      <c r="M43" s="5038" t="s">
        <v>5302</v>
      </c>
      <c r="N43" s="5147" t="s">
        <v>5303</v>
      </c>
      <c r="O43" s="3479" t="s">
        <v>5304</v>
      </c>
      <c r="P43" s="5151" t="s">
        <v>5305</v>
      </c>
      <c r="Q43" s="5038" t="s">
        <v>5306</v>
      </c>
      <c r="R43" s="5151" t="s">
        <v>5307</v>
      </c>
      <c r="S43" s="5038" t="s">
        <v>5308</v>
      </c>
      <c r="T43" s="5151" t="s">
        <v>5309</v>
      </c>
      <c r="U43" s="5038" t="s">
        <v>5310</v>
      </c>
      <c r="V43" s="5151" t="s">
        <v>5311</v>
      </c>
      <c r="W43" s="5038" t="s">
        <v>5312</v>
      </c>
      <c r="X43" s="5151" t="s">
        <v>5313</v>
      </c>
      <c r="Y43" s="5038" t="s">
        <v>5314</v>
      </c>
      <c r="Z43" s="5151" t="s">
        <v>5315</v>
      </c>
      <c r="AA43" s="5038" t="s">
        <v>5316</v>
      </c>
      <c r="AB43" s="5151" t="s">
        <v>5317</v>
      </c>
      <c r="AC43" s="5038" t="s">
        <v>5318</v>
      </c>
      <c r="AD43" s="5151" t="s">
        <v>5319</v>
      </c>
      <c r="AE43" s="5038" t="s">
        <v>5320</v>
      </c>
      <c r="AF43" s="5151" t="s">
        <v>5321</v>
      </c>
      <c r="AG43" s="5038" t="s">
        <v>5322</v>
      </c>
      <c r="AH43" s="5151" t="s">
        <v>5323</v>
      </c>
      <c r="AI43" s="5038" t="s">
        <v>5324</v>
      </c>
      <c r="AJ43" s="5151" t="s">
        <v>5325</v>
      </c>
      <c r="AK43" s="5038" t="s">
        <v>5326</v>
      </c>
      <c r="AL43" s="5151" t="s">
        <v>5327</v>
      </c>
      <c r="AM43" s="5038" t="s">
        <v>5328</v>
      </c>
      <c r="AN43" s="5151" t="s">
        <v>5329</v>
      </c>
      <c r="AO43" s="5038" t="s">
        <v>5330</v>
      </c>
      <c r="AP43" s="5151" t="s">
        <v>5331</v>
      </c>
      <c r="AQ43" s="5038" t="s">
        <v>5332</v>
      </c>
      <c r="AR43" s="5145" t="s">
        <v>5333</v>
      </c>
      <c r="AS43" s="3483" t="s">
        <v>5334</v>
      </c>
      <c r="AT43" s="5145" t="s">
        <v>5335</v>
      </c>
      <c r="AU43" s="5146" t="s">
        <v>5336</v>
      </c>
      <c r="AV43" s="5145" t="s">
        <v>5337</v>
      </c>
      <c r="AW43" s="3479" t="s">
        <v>5338</v>
      </c>
      <c r="AX43" s="5147" t="s">
        <v>5339</v>
      </c>
      <c r="AY43" s="1687" t="e">
        <f>$CC43&amp;CD43&amp;CE43&amp;$CF43&amp;CG43&amp;CH43&amp;CI43&amp;CJ43&amp;CK43&amp;CL43&amp;CM43&amp;CN43&amp;CO43&amp;CP43&amp;CQ43&amp;CR43&amp;CS43&amp;CT43&amp;CU43&amp;CV43&amp;CW43&amp;CX43&amp;CY43</f>
        <v>#VALUE!</v>
      </c>
      <c r="CB43" s="600"/>
      <c r="CC43" s="4747" t="str">
        <f t="shared" si="95"/>
        <v xml:space="preserve"> * La suma de las columnas POR SEXO (Procesados) DEBE SER IGUAL a los Exámenes Procesados. </v>
      </c>
      <c r="CD43" s="2784" t="e">
        <f t="shared" si="60"/>
        <v>#VALUE!</v>
      </c>
      <c r="CE43" s="2784" t="str">
        <f t="shared" si="61"/>
        <v xml:space="preserve"> *El Número de Pueblos Originarios no puede superar el Total Procesados. </v>
      </c>
      <c r="CF43" s="2784" t="str">
        <f t="shared" si="62"/>
        <v xml:space="preserve"> *El Número de Migrantes no puede superar el Total Procesados. </v>
      </c>
      <c r="CG43" s="2784" t="str">
        <f>IF(E43&lt;F43,CONCATENATE("* El total de Procesados debe ser mayor o igual al total de Reactivos en el grupo de edad ",$E$11),"")</f>
        <v>* El total de Procesados debe ser mayor o igual al total de Reactivos en el grupo de edad Menos de 6 meses</v>
      </c>
      <c r="CH43" s="2784" t="str">
        <f>IF(G43&lt;H43,CONCATENATE("* El total de Procesados debe ser mayor o igual al total de Reactivos en el grupo de edad ",$G$11),"")</f>
        <v>* El total de Procesados debe ser mayor o igual al total de Reactivos en el grupo de edad 6 - 11 meses</v>
      </c>
      <c r="CI43" s="2784" t="str">
        <f>IF(I43&lt;J43,CONCATENATE("* El total de Procesados debe ser mayor o igual al total de Reactivos en el grupo de edad ",$I$11),"")</f>
        <v>* El total de Procesados debe ser mayor o igual al total de Reactivos en el grupo de edad 12-24 meses</v>
      </c>
      <c r="CJ43" s="2784" t="str">
        <f>IF(K43&lt;L43,CONCATENATE("* El total de Procesados debe ser mayor o igual al total de Reactivos en el grupo de edad ",$K$11),"")</f>
        <v>* El total de Procesados debe ser mayor o igual al total de Reactivos en el grupo de edad 3 - 4 años</v>
      </c>
      <c r="CK43" s="2784" t="str">
        <f>IF(M43&lt;N43,CONCATENATE("* El total de Procesados debe ser mayor o igual al total de Reactivos en el grupo de edad ",$M$11),"")</f>
        <v>* El total de Procesados debe ser mayor o igual al total de Reactivos en el grupo de edad 5 - 9 años</v>
      </c>
      <c r="CL43" s="2784" t="str">
        <f>IF(O43&lt;P43,CONCATENATE("* El total de Procesados debe ser mayor o igual al total de Reactivos en el grupo de edad ",$O$11),"")</f>
        <v>* El total de Procesados debe ser mayor o igual al total de Reactivos en el grupo de edad 10 - 14 años</v>
      </c>
      <c r="CM43" s="2784" t="str">
        <f>IF(Q43&lt;R43,CONCATENATE("* El total de Procesados debe ser mayor o igual al total de Reactivos en el grupo de edad ",$Q$11),"")</f>
        <v>* El total de Procesados debe ser mayor o igual al total de Reactivos en el grupo de edad 15 - 19 años</v>
      </c>
      <c r="CN43" s="2784" t="str">
        <f t="shared" si="65"/>
        <v>* El total de Procesados debe ser mayor o igual al total de Reactivos en el grupo de edad 20 - 24 años</v>
      </c>
      <c r="CO43" s="2784" t="str">
        <f t="shared" si="66"/>
        <v>* El total de Procesados debe ser mayor o igual al total de Reactivos en el grupo de edad 25 - 29 años</v>
      </c>
      <c r="CP43" s="2784" t="str">
        <f t="shared" si="67"/>
        <v>* El total de Procesados debe ser mayor o igual al total de Reactivos en el grupo de edad 30 - 34 años</v>
      </c>
      <c r="CQ43" s="2784" t="str">
        <f t="shared" si="68"/>
        <v>* El total de Procesados debe ser mayor o igual al total de Reactivos en el grupo de edad 35 - 39 años</v>
      </c>
      <c r="CR43" s="2784" t="str">
        <f t="shared" si="69"/>
        <v>* El total de Procesados debe ser mayor o igual al total de Reactivos en el grupo de edad 40 - 44 años</v>
      </c>
      <c r="CS43" s="2784" t="str">
        <f t="shared" si="70"/>
        <v>* El total de Procesados debe ser mayor o igual al total de Reactivos en el grupo de edad 50 - 54 años</v>
      </c>
      <c r="CT43" s="2784" t="str">
        <f t="shared" si="71"/>
        <v>* El total de Procesados debe ser mayor o igual al total de Reactivos en el grupo de edad 55 - 59 años</v>
      </c>
      <c r="CU43" s="2784" t="str">
        <f t="shared" si="72"/>
        <v>* El total de Procesados debe ser mayor o igual al total de Reactivos en el grupo de edad 60 - 64 años</v>
      </c>
      <c r="CV43" s="2784" t="str">
        <f t="shared" si="73"/>
        <v>* El total de Procesados debe ser mayor o igual al total de Reactivos en el grupo de edad 65 - 69 años</v>
      </c>
      <c r="CW43" s="2784" t="str">
        <f t="shared" si="74"/>
        <v>* El total de Procesados debe ser mayor o igual al total de Reactivos en el grupo de edad 70 - 74 años</v>
      </c>
      <c r="CX43" s="2784" t="str">
        <f t="shared" si="75"/>
        <v>* El total de Procesados debe ser mayor o igual al total de Reactivos en el grupo de edad 75 - 79 años</v>
      </c>
      <c r="CY43" s="2784" t="str">
        <f t="shared" si="76"/>
        <v>* El total de Procesados debe ser mayor o igual al total de Reactivos en el grupo de edad 80 y más años</v>
      </c>
      <c r="DF43" s="2630"/>
      <c r="DG43" s="4747">
        <f t="shared" si="98"/>
        <v>1</v>
      </c>
      <c r="DH43" s="2920" t="e">
        <f t="shared" si="78"/>
        <v>#VALUE!</v>
      </c>
      <c r="DI43" s="2920">
        <f t="shared" si="79"/>
        <v>1</v>
      </c>
      <c r="DJ43" s="2920">
        <f t="shared" si="80"/>
        <v>1</v>
      </c>
      <c r="DK43" s="2920">
        <f>IF(E43&lt;F43,1,0)</f>
        <v>1</v>
      </c>
      <c r="DL43" s="2920">
        <f>IF(G43&lt;H43,1,0)</f>
        <v>1</v>
      </c>
      <c r="DM43" s="2920">
        <f>IF(I43&lt;J43,1,0)</f>
        <v>1</v>
      </c>
      <c r="DN43" s="2920">
        <f>IF(K43&lt;L43,1,0)</f>
        <v>1</v>
      </c>
      <c r="DO43" s="2920">
        <f>IF(M43&lt;N43,1,0)</f>
        <v>1</v>
      </c>
      <c r="DP43" s="2920">
        <f t="shared" si="81"/>
        <v>1</v>
      </c>
      <c r="DQ43" s="2920">
        <f t="shared" si="82"/>
        <v>1</v>
      </c>
      <c r="DR43" s="2920">
        <f t="shared" si="83"/>
        <v>1</v>
      </c>
      <c r="DS43" s="2920">
        <f t="shared" si="84"/>
        <v>1</v>
      </c>
      <c r="DT43" s="2920">
        <f t="shared" si="85"/>
        <v>1</v>
      </c>
      <c r="DU43" s="2920">
        <f t="shared" si="86"/>
        <v>1</v>
      </c>
      <c r="DV43" s="2920">
        <f t="shared" si="87"/>
        <v>1</v>
      </c>
      <c r="DW43" s="2920">
        <f t="shared" si="88"/>
        <v>1</v>
      </c>
      <c r="DX43" s="2920">
        <f t="shared" si="89"/>
        <v>1</v>
      </c>
      <c r="DY43" s="2920">
        <f t="shared" si="90"/>
        <v>1</v>
      </c>
      <c r="DZ43" s="2920">
        <f t="shared" si="91"/>
        <v>1</v>
      </c>
      <c r="EA43" s="2920">
        <f t="shared" si="92"/>
        <v>1</v>
      </c>
      <c r="EB43" s="2920">
        <f t="shared" si="93"/>
        <v>1</v>
      </c>
      <c r="EC43" s="2920">
        <f t="shared" si="94"/>
        <v>1</v>
      </c>
    </row>
    <row r="44" spans="1:133" ht="20.399999999999999" x14ac:dyDescent="0.3">
      <c r="A44" s="6234">
        <v>11054211</v>
      </c>
      <c r="B44" s="3239" t="s">
        <v>2668</v>
      </c>
      <c r="C44" s="1928" t="s">
        <v>5292</v>
      </c>
      <c r="D44" s="3242" t="s">
        <v>5293</v>
      </c>
      <c r="E44" s="3479" t="s">
        <v>5294</v>
      </c>
      <c r="F44" s="5151" t="s">
        <v>5295</v>
      </c>
      <c r="G44" s="5038" t="s">
        <v>5296</v>
      </c>
      <c r="H44" s="5151" t="s">
        <v>5297</v>
      </c>
      <c r="I44" s="5038" t="s">
        <v>5298</v>
      </c>
      <c r="J44" s="5147" t="s">
        <v>5299</v>
      </c>
      <c r="K44" s="5152" t="s">
        <v>5300</v>
      </c>
      <c r="L44" s="5153" t="s">
        <v>5301</v>
      </c>
      <c r="M44" s="5152" t="s">
        <v>5302</v>
      </c>
      <c r="N44" s="5153" t="s">
        <v>5303</v>
      </c>
      <c r="O44" s="5152" t="s">
        <v>5304</v>
      </c>
      <c r="P44" s="5153" t="s">
        <v>5305</v>
      </c>
      <c r="Q44" s="5152" t="s">
        <v>5306</v>
      </c>
      <c r="R44" s="5153" t="s">
        <v>5307</v>
      </c>
      <c r="S44" s="5152" t="s">
        <v>5308</v>
      </c>
      <c r="T44" s="5153" t="s">
        <v>5309</v>
      </c>
      <c r="U44" s="5152" t="s">
        <v>5310</v>
      </c>
      <c r="V44" s="5153" t="s">
        <v>5311</v>
      </c>
      <c r="W44" s="5152" t="s">
        <v>5312</v>
      </c>
      <c r="X44" s="5153" t="s">
        <v>5313</v>
      </c>
      <c r="Y44" s="5152" t="s">
        <v>5314</v>
      </c>
      <c r="Z44" s="5153" t="s">
        <v>5315</v>
      </c>
      <c r="AA44" s="5152" t="s">
        <v>5316</v>
      </c>
      <c r="AB44" s="5153" t="s">
        <v>5317</v>
      </c>
      <c r="AC44" s="5152" t="s">
        <v>5318</v>
      </c>
      <c r="AD44" s="5153" t="s">
        <v>5319</v>
      </c>
      <c r="AE44" s="5152" t="s">
        <v>5320</v>
      </c>
      <c r="AF44" s="5153" t="s">
        <v>5321</v>
      </c>
      <c r="AG44" s="5152" t="s">
        <v>5322</v>
      </c>
      <c r="AH44" s="5153" t="s">
        <v>5323</v>
      </c>
      <c r="AI44" s="5152" t="s">
        <v>5324</v>
      </c>
      <c r="AJ44" s="5153" t="s">
        <v>5325</v>
      </c>
      <c r="AK44" s="5152" t="s">
        <v>5326</v>
      </c>
      <c r="AL44" s="5153" t="s">
        <v>5327</v>
      </c>
      <c r="AM44" s="5152" t="s">
        <v>5328</v>
      </c>
      <c r="AN44" s="5153" t="s">
        <v>5329</v>
      </c>
      <c r="AO44" s="5152" t="s">
        <v>5330</v>
      </c>
      <c r="AP44" s="5153" t="s">
        <v>5331</v>
      </c>
      <c r="AQ44" s="5152" t="s">
        <v>5332</v>
      </c>
      <c r="AR44" s="5154" t="s">
        <v>5333</v>
      </c>
      <c r="AS44" s="3479" t="s">
        <v>5334</v>
      </c>
      <c r="AT44" s="5145" t="s">
        <v>5335</v>
      </c>
      <c r="AU44" s="5146" t="s">
        <v>5336</v>
      </c>
      <c r="AV44" s="5145" t="s">
        <v>5337</v>
      </c>
      <c r="AW44" s="3479" t="s">
        <v>5338</v>
      </c>
      <c r="AX44" s="5147" t="s">
        <v>5339</v>
      </c>
      <c r="AY44" s="1687" t="e">
        <f>$CC44&amp;CD44&amp;CE44&amp;$CF44&amp;CL44&amp;CM44&amp;CN44&amp;CO44&amp;CP44&amp;CQ44&amp;CR44&amp;CS44&amp;CT44&amp;CU44&amp;CV44&amp;CW44&amp;CX44&amp;CY44&amp;CG44&amp;CH44&amp;CI44</f>
        <v>#VALUE!</v>
      </c>
      <c r="CB44" s="600"/>
      <c r="CC44" s="2784" t="e">
        <f>IF(C44&lt;&gt;(AT44+AS44)," * La suma de las columnas "&amp;AS$10&amp;""&amp;" DEBE SER IGUAL a los Exámenes Procesados. ","")</f>
        <v>#VALUE!</v>
      </c>
      <c r="CD44" s="2784" t="e">
        <f t="shared" si="60"/>
        <v>#VALUE!</v>
      </c>
      <c r="CE44" s="2784" t="str">
        <f t="shared" si="61"/>
        <v xml:space="preserve"> *El Número de Pueblos Originarios no puede superar el Total Procesados. </v>
      </c>
      <c r="CF44" s="2784" t="str">
        <f t="shared" si="62"/>
        <v xml:space="preserve"> *El Número de Migrantes no puede superar el Total Procesados. </v>
      </c>
      <c r="CG44" s="2784" t="str">
        <f>IF(E44&lt;F44,CONCATENATE("* El total de Procesados debe ser mayor o igual al total de Reactivos en el grupo de edad ",$E$11),"")</f>
        <v>* El total de Procesados debe ser mayor o igual al total de Reactivos en el grupo de edad Menos de 6 meses</v>
      </c>
      <c r="CH44" s="2784" t="str">
        <f>IF(G44&lt;H44,CONCATENATE("* El total de Procesados debe ser mayor o igual al total de Reactivos en el grupo de edad ",$G$11),"")</f>
        <v>* El total de Procesados debe ser mayor o igual al total de Reactivos en el grupo de edad 6 - 11 meses</v>
      </c>
      <c r="CI44" s="2784" t="str">
        <f>IF(I44&lt;J44,CONCATENATE("* El total de Procesados debe ser mayor o igual al total de Reactivos en el grupo de edad ",$I$11),"")</f>
        <v>* El total de Procesados debe ser mayor o igual al total de Reactivos en el grupo de edad 12-24 meses</v>
      </c>
      <c r="CJ44" s="2783"/>
      <c r="CK44" s="2783"/>
      <c r="CL44" s="3488"/>
      <c r="CM44" s="2783"/>
      <c r="CN44" s="2783"/>
      <c r="CO44" s="2783"/>
      <c r="CP44" s="2783"/>
      <c r="CQ44" s="2783"/>
      <c r="CR44" s="2783"/>
      <c r="CS44" s="2783"/>
      <c r="CT44" s="2783"/>
      <c r="CU44" s="2783"/>
      <c r="CV44" s="2783"/>
      <c r="CW44" s="2783"/>
      <c r="CX44" s="2783"/>
      <c r="CY44" s="2783"/>
      <c r="DF44" s="2630"/>
      <c r="DG44" s="2784" t="e">
        <f>IF(C44&lt;&gt;(AT44+AS44),1,0)</f>
        <v>#VALUE!</v>
      </c>
      <c r="DH44" s="2920" t="e">
        <f t="shared" si="78"/>
        <v>#VALUE!</v>
      </c>
      <c r="DI44" s="2920">
        <f t="shared" si="79"/>
        <v>1</v>
      </c>
      <c r="DJ44" s="2920">
        <f t="shared" si="80"/>
        <v>1</v>
      </c>
      <c r="DK44" s="2920">
        <f>IF(E44&lt;F44,1,0)</f>
        <v>1</v>
      </c>
      <c r="DL44" s="2920">
        <f>IF(G44&lt;H44,1,0)</f>
        <v>1</v>
      </c>
      <c r="DM44" s="2920">
        <f>IF(I44&lt;J44,1,0)</f>
        <v>1</v>
      </c>
      <c r="DN44" s="2783"/>
      <c r="DO44" s="2783"/>
      <c r="DP44" s="3018"/>
      <c r="DQ44" s="3018"/>
      <c r="DR44" s="3018"/>
      <c r="DS44" s="3018"/>
      <c r="DT44" s="3018"/>
      <c r="DU44" s="3018"/>
      <c r="DV44" s="3018"/>
      <c r="DW44" s="3018"/>
      <c r="DX44" s="3018"/>
      <c r="DY44" s="3018"/>
      <c r="DZ44" s="3018"/>
      <c r="EA44" s="3018"/>
      <c r="EB44" s="3018"/>
      <c r="EC44" s="3018"/>
    </row>
    <row r="45" spans="1:133" x14ac:dyDescent="0.3">
      <c r="A45" s="6234">
        <v>11054212</v>
      </c>
      <c r="B45" s="3239" t="s">
        <v>2669</v>
      </c>
      <c r="C45" s="1928" t="s">
        <v>5292</v>
      </c>
      <c r="D45" s="3242" t="s">
        <v>5293</v>
      </c>
      <c r="E45" s="3475" t="s">
        <v>5294</v>
      </c>
      <c r="F45" s="5149" t="s">
        <v>5295</v>
      </c>
      <c r="G45" s="5148" t="s">
        <v>5296</v>
      </c>
      <c r="H45" s="5149" t="s">
        <v>5297</v>
      </c>
      <c r="I45" s="5148" t="s">
        <v>5298</v>
      </c>
      <c r="J45" s="5149" t="s">
        <v>5299</v>
      </c>
      <c r="K45" s="5148" t="s">
        <v>5300</v>
      </c>
      <c r="L45" s="5149" t="s">
        <v>5301</v>
      </c>
      <c r="M45" s="5148" t="s">
        <v>5302</v>
      </c>
      <c r="N45" s="5150" t="s">
        <v>5303</v>
      </c>
      <c r="O45" s="3475" t="s">
        <v>5304</v>
      </c>
      <c r="P45" s="5149" t="s">
        <v>5305</v>
      </c>
      <c r="Q45" s="5038" t="s">
        <v>5306</v>
      </c>
      <c r="R45" s="5151" t="s">
        <v>5307</v>
      </c>
      <c r="S45" s="5038" t="s">
        <v>5308</v>
      </c>
      <c r="T45" s="5151" t="s">
        <v>5309</v>
      </c>
      <c r="U45" s="5038" t="s">
        <v>5310</v>
      </c>
      <c r="V45" s="5151" t="s">
        <v>5311</v>
      </c>
      <c r="W45" s="5038" t="s">
        <v>5312</v>
      </c>
      <c r="X45" s="5151" t="s">
        <v>5313</v>
      </c>
      <c r="Y45" s="5038" t="s">
        <v>5314</v>
      </c>
      <c r="Z45" s="5151" t="s">
        <v>5315</v>
      </c>
      <c r="AA45" s="5038" t="s">
        <v>5316</v>
      </c>
      <c r="AB45" s="5151" t="s">
        <v>5317</v>
      </c>
      <c r="AC45" s="5038" t="s">
        <v>5318</v>
      </c>
      <c r="AD45" s="5151" t="s">
        <v>5319</v>
      </c>
      <c r="AE45" s="5038" t="s">
        <v>5320</v>
      </c>
      <c r="AF45" s="5151" t="s">
        <v>5321</v>
      </c>
      <c r="AG45" s="5038" t="s">
        <v>5322</v>
      </c>
      <c r="AH45" s="5151" t="s">
        <v>5323</v>
      </c>
      <c r="AI45" s="5038" t="s">
        <v>5324</v>
      </c>
      <c r="AJ45" s="5151" t="s">
        <v>5325</v>
      </c>
      <c r="AK45" s="5038" t="s">
        <v>5326</v>
      </c>
      <c r="AL45" s="5151" t="s">
        <v>5327</v>
      </c>
      <c r="AM45" s="5038" t="s">
        <v>5328</v>
      </c>
      <c r="AN45" s="5151" t="s">
        <v>5329</v>
      </c>
      <c r="AO45" s="5038" t="s">
        <v>5330</v>
      </c>
      <c r="AP45" s="5151" t="s">
        <v>5331</v>
      </c>
      <c r="AQ45" s="5038" t="s">
        <v>5332</v>
      </c>
      <c r="AR45" s="5145" t="s">
        <v>5333</v>
      </c>
      <c r="AS45" s="3479" t="s">
        <v>5334</v>
      </c>
      <c r="AT45" s="5145" t="s">
        <v>5335</v>
      </c>
      <c r="AU45" s="5146" t="s">
        <v>5336</v>
      </c>
      <c r="AV45" s="5145" t="s">
        <v>5337</v>
      </c>
      <c r="AW45" s="3479" t="s">
        <v>5338</v>
      </c>
      <c r="AX45" s="5147" t="s">
        <v>5339</v>
      </c>
      <c r="AY45" s="1687" t="e">
        <f>$CC45&amp;CD45&amp;CE45&amp;$CF45&amp;CL45&amp;CM45&amp;CN45&amp;CO45&amp;CP45&amp;CQ45&amp;CR45&amp;CS45&amp;CT45&amp;CU45&amp;CV45&amp;CW45&amp;CX45&amp;CY45</f>
        <v>#VALUE!</v>
      </c>
      <c r="CB45" s="600"/>
      <c r="CC45" s="2784" t="e">
        <f t="shared" ref="CC45:CC52" si="99">IF(C45&lt;&gt;(AT45+AS45)," * La suma de las columnas "&amp;AS$10&amp;""&amp;" DEBE SER IGUAL a los Exámenes Procesados. ","")</f>
        <v>#VALUE!</v>
      </c>
      <c r="CD45" s="2784" t="e">
        <f t="shared" si="60"/>
        <v>#VALUE!</v>
      </c>
      <c r="CE45" s="2784" t="str">
        <f t="shared" si="61"/>
        <v xml:space="preserve"> *El Número de Pueblos Originarios no puede superar el Total Procesados. </v>
      </c>
      <c r="CF45" s="2784" t="str">
        <f t="shared" si="62"/>
        <v xml:space="preserve"> *El Número de Migrantes no puede superar el Total Procesados. </v>
      </c>
      <c r="CG45" s="3488"/>
      <c r="CH45" s="3488"/>
      <c r="CI45" s="2783"/>
      <c r="CJ45" s="2783"/>
      <c r="CK45" s="2783"/>
      <c r="CL45" s="3488"/>
      <c r="CM45" s="2784" t="str">
        <f>IF(Q45&lt;R45,CONCATENATE("* El total de Procesados debe ser mayor o igual al total de Reactivos en el grupo de edad ",$Q$11),"")</f>
        <v>* El total de Procesados debe ser mayor o igual al total de Reactivos en el grupo de edad 15 - 19 años</v>
      </c>
      <c r="CN45" s="2784" t="str">
        <f t="shared" ref="CN45:CN52" si="100">IF(S45&lt;T45,CONCATENATE("* El total de Procesados debe ser mayor o igual al total de Reactivos en el grupo de edad ",$S$11),"")</f>
        <v>* El total de Procesados debe ser mayor o igual al total de Reactivos en el grupo de edad 20 - 24 años</v>
      </c>
      <c r="CO45" s="2784" t="str">
        <f t="shared" si="66"/>
        <v>* El total de Procesados debe ser mayor o igual al total de Reactivos en el grupo de edad 25 - 29 años</v>
      </c>
      <c r="CP45" s="2784" t="str">
        <f t="shared" ref="CP45:CP52" si="101">IF(W45&lt;X45,CONCATENATE("* El total de Procesados debe ser mayor o igual al total de Reactivos en el grupo de edad ",$W$11),"")</f>
        <v>* El total de Procesados debe ser mayor o igual al total de Reactivos en el grupo de edad 30 - 34 años</v>
      </c>
      <c r="CQ45" s="2784" t="str">
        <f t="shared" ref="CQ45:CQ52" si="102">IF(Y45&lt;Z45,CONCATENATE("* El total de Procesados debe ser mayor o igual al total de Reactivos en el grupo de edad ",$Y$11),"")</f>
        <v>* El total de Procesados debe ser mayor o igual al total de Reactivos en el grupo de edad 35 - 39 años</v>
      </c>
      <c r="CR45" s="2784" t="str">
        <f t="shared" ref="CR45:CR52" si="103">IF(AA45&lt;AB45,CONCATENATE("* El total de Procesados debe ser mayor o igual al total de Reactivos en el grupo de edad ",$AA$11),"")</f>
        <v>* El total de Procesados debe ser mayor o igual al total de Reactivos en el grupo de edad 40 - 44 años</v>
      </c>
      <c r="CS45" s="2784" t="str">
        <f t="shared" ref="CS45:CS52" si="104">IF(AE45&lt;AF45,CONCATENATE("* El total de Procesados debe ser mayor o igual al total de Reactivos en el grupo de edad ",$AE$11),"")</f>
        <v>* El total de Procesados debe ser mayor o igual al total de Reactivos en el grupo de edad 50 - 54 años</v>
      </c>
      <c r="CT45" s="2784" t="str">
        <f t="shared" ref="CT45:CT52" si="105">IF(AG45&lt;AH45,CONCATENATE("* El total de Procesados debe ser mayor o igual al total de Reactivos en el grupo de edad ",$AG$11),"")</f>
        <v>* El total de Procesados debe ser mayor o igual al total de Reactivos en el grupo de edad 55 - 59 años</v>
      </c>
      <c r="CU45" s="2784" t="str">
        <f t="shared" ref="CU45:CU52" si="106">IF(AI45&lt;AJ45,CONCATENATE("* El total de Procesados debe ser mayor o igual al total de Reactivos en el grupo de edad ",$AI$11),"")</f>
        <v>* El total de Procesados debe ser mayor o igual al total de Reactivos en el grupo de edad 60 - 64 años</v>
      </c>
      <c r="CV45" s="2784" t="str">
        <f t="shared" ref="CV45:CV48" si="107">IF(AK45&lt;AL45,CONCATENATE("* El total de Procesados debe ser mayor o igual al total de Reactivos en el grupo de edad ",$AK$11),"")</f>
        <v>* El total de Procesados debe ser mayor o igual al total de Reactivos en el grupo de edad 65 - 69 años</v>
      </c>
      <c r="CW45" s="2784" t="str">
        <f t="shared" ref="CW45:CW48" si="108">IF(AM45&lt;AN45,CONCATENATE("* El total de Procesados debe ser mayor o igual al total de Reactivos en el grupo de edad ",$AM$11),"")</f>
        <v>* El total de Procesados debe ser mayor o igual al total de Reactivos en el grupo de edad 70 - 74 años</v>
      </c>
      <c r="CX45" s="2784" t="str">
        <f t="shared" ref="CX45:CX48" si="109">IF(AO45&lt;AP45,CONCATENATE("* El total de Procesados debe ser mayor o igual al total de Reactivos en el grupo de edad ",$AO$11),"")</f>
        <v>* El total de Procesados debe ser mayor o igual al total de Reactivos en el grupo de edad 75 - 79 años</v>
      </c>
      <c r="CY45" s="2784" t="str">
        <f t="shared" ref="CY45:CY48" si="110">IF(AQ45&lt;AR45,CONCATENATE("* El total de Procesados debe ser mayor o igual al total de Reactivos en el grupo de edad ",$AQ$11),"")</f>
        <v>* El total de Procesados debe ser mayor o igual al total de Reactivos en el grupo de edad 80 y más años</v>
      </c>
      <c r="DF45" s="2630"/>
      <c r="DG45" s="2784" t="e">
        <f t="shared" ref="DG45:DG52" si="111">IF(C45&lt;&gt;(AT45+AS45),1,0)</f>
        <v>#VALUE!</v>
      </c>
      <c r="DH45" s="2920" t="e">
        <f t="shared" si="78"/>
        <v>#VALUE!</v>
      </c>
      <c r="DI45" s="2920">
        <f t="shared" si="79"/>
        <v>1</v>
      </c>
      <c r="DJ45" s="2920">
        <f t="shared" si="80"/>
        <v>1</v>
      </c>
      <c r="DK45" s="2783"/>
      <c r="DL45" s="2783"/>
      <c r="DM45" s="2783"/>
      <c r="DN45" s="2783"/>
      <c r="DO45" s="2783"/>
      <c r="DP45" s="3018"/>
      <c r="DQ45" s="2920">
        <f t="shared" ref="DQ45:DQ52" si="112">IF(Q45&lt;R45,1,0)</f>
        <v>1</v>
      </c>
      <c r="DR45" s="2920">
        <f t="shared" ref="DR45:DR52" si="113">IF(S45&lt;T45,1,0)</f>
        <v>1</v>
      </c>
      <c r="DS45" s="2920">
        <f t="shared" si="84"/>
        <v>1</v>
      </c>
      <c r="DT45" s="2920">
        <f t="shared" ref="DT45:DT52" si="114">IF(W45&lt;X45,1,0)</f>
        <v>1</v>
      </c>
      <c r="DU45" s="2920">
        <f t="shared" ref="DU45:DU52" si="115">IF(Y45&lt;Z45,1,0)</f>
        <v>1</v>
      </c>
      <c r="DV45" s="2920">
        <f t="shared" ref="DV45:DV52" si="116">IF(AA45&lt;AB45,1,0)</f>
        <v>1</v>
      </c>
      <c r="DW45" s="2920">
        <f t="shared" ref="DW45:DW52" si="117">IF(AE45&lt;AF45,1,0)</f>
        <v>1</v>
      </c>
      <c r="DX45" s="2920">
        <f t="shared" ref="DX45:DX52" si="118">IF(AG45&lt;AH45,1,0)</f>
        <v>1</v>
      </c>
      <c r="DY45" s="2920">
        <f t="shared" ref="DY45:DY52" si="119">IF(AI45&lt;AJ45,1,0)</f>
        <v>1</v>
      </c>
      <c r="DZ45" s="2920">
        <f t="shared" ref="DZ45:DZ48" si="120">IF(AK45&lt;AL45,1,0)</f>
        <v>1</v>
      </c>
      <c r="EA45" s="2920">
        <f t="shared" ref="EA45:EA48" si="121">IF(AM45&lt;AN45,1,0)</f>
        <v>1</v>
      </c>
      <c r="EB45" s="2920">
        <f t="shared" ref="EB45:EB48" si="122">IF(AO45&lt;AP45,1,0)</f>
        <v>1</v>
      </c>
      <c r="EC45" s="2920">
        <f t="shared" ref="EC45:EC48" si="123">IF(AQ45&lt;AR45,1,0)</f>
        <v>1</v>
      </c>
    </row>
    <row r="46" spans="1:133" x14ac:dyDescent="0.3">
      <c r="A46" s="6234">
        <v>11054213</v>
      </c>
      <c r="B46" s="3184" t="s">
        <v>2670</v>
      </c>
      <c r="C46" s="1928" t="s">
        <v>5292</v>
      </c>
      <c r="D46" s="3242" t="s">
        <v>5293</v>
      </c>
      <c r="E46" s="3483" t="s">
        <v>5294</v>
      </c>
      <c r="F46" s="5153" t="s">
        <v>5295</v>
      </c>
      <c r="G46" s="5152" t="s">
        <v>5296</v>
      </c>
      <c r="H46" s="5153" t="s">
        <v>5297</v>
      </c>
      <c r="I46" s="5152" t="s">
        <v>5298</v>
      </c>
      <c r="J46" s="5155" t="s">
        <v>5299</v>
      </c>
      <c r="K46" s="3483" t="s">
        <v>5300</v>
      </c>
      <c r="L46" s="3483" t="s">
        <v>5301</v>
      </c>
      <c r="M46" s="5152" t="s">
        <v>5302</v>
      </c>
      <c r="N46" s="5155" t="s">
        <v>5303</v>
      </c>
      <c r="O46" s="3479" t="s">
        <v>5304</v>
      </c>
      <c r="P46" s="5151" t="s">
        <v>5305</v>
      </c>
      <c r="Q46" s="5038" t="s">
        <v>5306</v>
      </c>
      <c r="R46" s="5151" t="s">
        <v>5307</v>
      </c>
      <c r="S46" s="5038" t="s">
        <v>5308</v>
      </c>
      <c r="T46" s="5151" t="s">
        <v>5309</v>
      </c>
      <c r="U46" s="5038" t="s">
        <v>5310</v>
      </c>
      <c r="V46" s="5151" t="s">
        <v>5311</v>
      </c>
      <c r="W46" s="5038" t="s">
        <v>5312</v>
      </c>
      <c r="X46" s="5151" t="s">
        <v>5313</v>
      </c>
      <c r="Y46" s="5038" t="s">
        <v>5314</v>
      </c>
      <c r="Z46" s="5151" t="s">
        <v>5315</v>
      </c>
      <c r="AA46" s="5038" t="s">
        <v>5316</v>
      </c>
      <c r="AB46" s="5151" t="s">
        <v>5317</v>
      </c>
      <c r="AC46" s="5038" t="s">
        <v>5318</v>
      </c>
      <c r="AD46" s="5151" t="s">
        <v>5319</v>
      </c>
      <c r="AE46" s="5038" t="s">
        <v>5320</v>
      </c>
      <c r="AF46" s="5151" t="s">
        <v>5321</v>
      </c>
      <c r="AG46" s="5038" t="s">
        <v>5322</v>
      </c>
      <c r="AH46" s="5151" t="s">
        <v>5323</v>
      </c>
      <c r="AI46" s="5038" t="s">
        <v>5324</v>
      </c>
      <c r="AJ46" s="5151" t="s">
        <v>5325</v>
      </c>
      <c r="AK46" s="5038" t="s">
        <v>5326</v>
      </c>
      <c r="AL46" s="5151" t="s">
        <v>5327</v>
      </c>
      <c r="AM46" s="5038" t="s">
        <v>5328</v>
      </c>
      <c r="AN46" s="5151" t="s">
        <v>5329</v>
      </c>
      <c r="AO46" s="5038" t="s">
        <v>5330</v>
      </c>
      <c r="AP46" s="5151" t="s">
        <v>5331</v>
      </c>
      <c r="AQ46" s="5038" t="s">
        <v>5332</v>
      </c>
      <c r="AR46" s="5145" t="s">
        <v>5333</v>
      </c>
      <c r="AS46" s="3479" t="s">
        <v>5334</v>
      </c>
      <c r="AT46" s="5145" t="s">
        <v>5335</v>
      </c>
      <c r="AU46" s="5146" t="s">
        <v>5336</v>
      </c>
      <c r="AV46" s="5145" t="s">
        <v>5337</v>
      </c>
      <c r="AW46" s="3479" t="s">
        <v>5338</v>
      </c>
      <c r="AX46" s="5147" t="s">
        <v>5339</v>
      </c>
      <c r="AY46" s="1687" t="e">
        <f t="shared" ref="AY46:AY48" si="124">$CC46&amp;CD46&amp;CE46&amp;$CF46&amp;CL46&amp;CM46&amp;CN46&amp;CO46&amp;CP46&amp;CQ46&amp;CR46&amp;CS46&amp;CT46&amp;CU46&amp;CV46&amp;CW46&amp;CX46&amp;CY46</f>
        <v>#VALUE!</v>
      </c>
      <c r="CB46" s="600"/>
      <c r="CC46" s="2784" t="e">
        <f t="shared" si="99"/>
        <v>#VALUE!</v>
      </c>
      <c r="CD46" s="2784" t="e">
        <f t="shared" si="60"/>
        <v>#VALUE!</v>
      </c>
      <c r="CE46" s="2784" t="str">
        <f t="shared" si="61"/>
        <v xml:space="preserve"> *El Número de Pueblos Originarios no puede superar el Total Procesados. </v>
      </c>
      <c r="CF46" s="2784" t="str">
        <f t="shared" si="62"/>
        <v xml:space="preserve"> *El Número de Migrantes no puede superar el Total Procesados. </v>
      </c>
      <c r="CG46" s="3488"/>
      <c r="CH46" s="3488"/>
      <c r="CI46" s="2783"/>
      <c r="CJ46" s="2783"/>
      <c r="CK46" s="2783"/>
      <c r="CL46" s="2784" t="str">
        <f>IF(O46&lt;P46,CONCATENATE("* El total de Procesados debe ser mayor o igual al total de Reactivos en el grupo de edad ",$O$11),"")</f>
        <v>* El total de Procesados debe ser mayor o igual al total de Reactivos en el grupo de edad 10 - 14 años</v>
      </c>
      <c r="CM46" s="2784" t="str">
        <f t="shared" ref="CM46" si="125">IF(Q46&lt;R46,CONCATENATE("* El total de Procesados debe ser mayor o igual al total de Reactivos en el grupo de edad ",$Q$11),"")</f>
        <v>* El total de Procesados debe ser mayor o igual al total de Reactivos en el grupo de edad 15 - 19 años</v>
      </c>
      <c r="CN46" s="2784" t="str">
        <f t="shared" si="100"/>
        <v>* El total de Procesados debe ser mayor o igual al total de Reactivos en el grupo de edad 20 - 24 años</v>
      </c>
      <c r="CO46" s="2784" t="str">
        <f t="shared" si="66"/>
        <v>* El total de Procesados debe ser mayor o igual al total de Reactivos en el grupo de edad 25 - 29 años</v>
      </c>
      <c r="CP46" s="2784" t="str">
        <f t="shared" si="101"/>
        <v>* El total de Procesados debe ser mayor o igual al total de Reactivos en el grupo de edad 30 - 34 años</v>
      </c>
      <c r="CQ46" s="2784" t="str">
        <f t="shared" si="102"/>
        <v>* El total de Procesados debe ser mayor o igual al total de Reactivos en el grupo de edad 35 - 39 años</v>
      </c>
      <c r="CR46" s="2784" t="str">
        <f t="shared" si="103"/>
        <v>* El total de Procesados debe ser mayor o igual al total de Reactivos en el grupo de edad 40 - 44 años</v>
      </c>
      <c r="CS46" s="2784" t="str">
        <f t="shared" si="104"/>
        <v>* El total de Procesados debe ser mayor o igual al total de Reactivos en el grupo de edad 50 - 54 años</v>
      </c>
      <c r="CT46" s="2784" t="str">
        <f t="shared" si="105"/>
        <v>* El total de Procesados debe ser mayor o igual al total de Reactivos en el grupo de edad 55 - 59 años</v>
      </c>
      <c r="CU46" s="2784" t="str">
        <f t="shared" si="106"/>
        <v>* El total de Procesados debe ser mayor o igual al total de Reactivos en el grupo de edad 60 - 64 años</v>
      </c>
      <c r="CV46" s="2784" t="str">
        <f t="shared" si="107"/>
        <v>* El total de Procesados debe ser mayor o igual al total de Reactivos en el grupo de edad 65 - 69 años</v>
      </c>
      <c r="CW46" s="2784" t="str">
        <f t="shared" si="108"/>
        <v>* El total de Procesados debe ser mayor o igual al total de Reactivos en el grupo de edad 70 - 74 años</v>
      </c>
      <c r="CX46" s="2784" t="str">
        <f t="shared" si="109"/>
        <v>* El total de Procesados debe ser mayor o igual al total de Reactivos en el grupo de edad 75 - 79 años</v>
      </c>
      <c r="CY46" s="2784" t="str">
        <f t="shared" si="110"/>
        <v>* El total de Procesados debe ser mayor o igual al total de Reactivos en el grupo de edad 80 y más años</v>
      </c>
      <c r="DF46" s="2630"/>
      <c r="DG46" s="2784" t="e">
        <f t="shared" si="111"/>
        <v>#VALUE!</v>
      </c>
      <c r="DH46" s="2920" t="e">
        <f t="shared" si="78"/>
        <v>#VALUE!</v>
      </c>
      <c r="DI46" s="2920">
        <f t="shared" si="79"/>
        <v>1</v>
      </c>
      <c r="DJ46" s="2920">
        <f t="shared" si="80"/>
        <v>1</v>
      </c>
      <c r="DK46" s="2783"/>
      <c r="DL46" s="2783"/>
      <c r="DM46" s="2783"/>
      <c r="DN46" s="2783"/>
      <c r="DO46" s="2783"/>
      <c r="DP46" s="2920">
        <f t="shared" ref="DP46:DP47" si="126">IF(O46&lt;P46,1,0)</f>
        <v>1</v>
      </c>
      <c r="DQ46" s="2920">
        <f t="shared" si="112"/>
        <v>1</v>
      </c>
      <c r="DR46" s="2920">
        <f t="shared" si="113"/>
        <v>1</v>
      </c>
      <c r="DS46" s="2920">
        <f t="shared" si="84"/>
        <v>1</v>
      </c>
      <c r="DT46" s="2920">
        <f t="shared" si="114"/>
        <v>1</v>
      </c>
      <c r="DU46" s="2920">
        <f t="shared" si="115"/>
        <v>1</v>
      </c>
      <c r="DV46" s="2920">
        <f t="shared" si="116"/>
        <v>1</v>
      </c>
      <c r="DW46" s="2920">
        <f t="shared" si="117"/>
        <v>1</v>
      </c>
      <c r="DX46" s="2920">
        <f t="shared" si="118"/>
        <v>1</v>
      </c>
      <c r="DY46" s="2920">
        <f t="shared" si="119"/>
        <v>1</v>
      </c>
      <c r="DZ46" s="2920">
        <f t="shared" si="120"/>
        <v>1</v>
      </c>
      <c r="EA46" s="2920">
        <f t="shared" si="121"/>
        <v>1</v>
      </c>
      <c r="EB46" s="2920">
        <f t="shared" si="122"/>
        <v>1</v>
      </c>
      <c r="EC46" s="2920">
        <f t="shared" si="123"/>
        <v>1</v>
      </c>
    </row>
    <row r="47" spans="1:133" x14ac:dyDescent="0.3">
      <c r="A47" s="6234">
        <v>11054214</v>
      </c>
      <c r="B47" s="3184" t="s">
        <v>2671</v>
      </c>
      <c r="C47" s="1928" t="s">
        <v>5292</v>
      </c>
      <c r="D47" s="3242" t="s">
        <v>5293</v>
      </c>
      <c r="E47" s="3479" t="s">
        <v>5294</v>
      </c>
      <c r="F47" s="5151" t="s">
        <v>5295</v>
      </c>
      <c r="G47" s="5038" t="s">
        <v>5296</v>
      </c>
      <c r="H47" s="5151" t="s">
        <v>5297</v>
      </c>
      <c r="I47" s="5038" t="s">
        <v>5298</v>
      </c>
      <c r="J47" s="5147" t="s">
        <v>5299</v>
      </c>
      <c r="K47" s="3479" t="s">
        <v>5300</v>
      </c>
      <c r="L47" s="3479" t="s">
        <v>5301</v>
      </c>
      <c r="M47" s="5038" t="s">
        <v>5302</v>
      </c>
      <c r="N47" s="5147" t="s">
        <v>5303</v>
      </c>
      <c r="O47" s="3479" t="s">
        <v>5304</v>
      </c>
      <c r="P47" s="5151" t="s">
        <v>5305</v>
      </c>
      <c r="Q47" s="5038" t="s">
        <v>5306</v>
      </c>
      <c r="R47" s="5151" t="s">
        <v>5307</v>
      </c>
      <c r="S47" s="5038" t="s">
        <v>5308</v>
      </c>
      <c r="T47" s="5151" t="s">
        <v>5309</v>
      </c>
      <c r="U47" s="5038" t="s">
        <v>5310</v>
      </c>
      <c r="V47" s="5151" t="s">
        <v>5311</v>
      </c>
      <c r="W47" s="5038" t="s">
        <v>5312</v>
      </c>
      <c r="X47" s="5151" t="s">
        <v>5313</v>
      </c>
      <c r="Y47" s="5038" t="s">
        <v>5314</v>
      </c>
      <c r="Z47" s="5151" t="s">
        <v>5315</v>
      </c>
      <c r="AA47" s="5038" t="s">
        <v>5316</v>
      </c>
      <c r="AB47" s="5151" t="s">
        <v>5317</v>
      </c>
      <c r="AC47" s="5038" t="s">
        <v>5318</v>
      </c>
      <c r="AD47" s="5151" t="s">
        <v>5319</v>
      </c>
      <c r="AE47" s="5038" t="s">
        <v>5320</v>
      </c>
      <c r="AF47" s="5151" t="s">
        <v>5321</v>
      </c>
      <c r="AG47" s="5038" t="s">
        <v>5322</v>
      </c>
      <c r="AH47" s="5151" t="s">
        <v>5323</v>
      </c>
      <c r="AI47" s="5038" t="s">
        <v>5324</v>
      </c>
      <c r="AJ47" s="5151" t="s">
        <v>5325</v>
      </c>
      <c r="AK47" s="5038" t="s">
        <v>5326</v>
      </c>
      <c r="AL47" s="5151" t="s">
        <v>5327</v>
      </c>
      <c r="AM47" s="5038" t="s">
        <v>5328</v>
      </c>
      <c r="AN47" s="5151" t="s">
        <v>5329</v>
      </c>
      <c r="AO47" s="5038" t="s">
        <v>5330</v>
      </c>
      <c r="AP47" s="5151" t="s">
        <v>5331</v>
      </c>
      <c r="AQ47" s="5038" t="s">
        <v>5332</v>
      </c>
      <c r="AR47" s="5145" t="s">
        <v>5333</v>
      </c>
      <c r="AS47" s="3479" t="s">
        <v>5334</v>
      </c>
      <c r="AT47" s="5145" t="s">
        <v>5335</v>
      </c>
      <c r="AU47" s="5146" t="s">
        <v>5336</v>
      </c>
      <c r="AV47" s="5145" t="s">
        <v>5337</v>
      </c>
      <c r="AW47" s="3479" t="s">
        <v>5338</v>
      </c>
      <c r="AX47" s="5147" t="s">
        <v>5339</v>
      </c>
      <c r="AY47" s="1687" t="e">
        <f>$CC47&amp;CD47&amp;CE47&amp;$CF47&amp;CG47&amp;CH47&amp;CI47&amp;CJ47&amp;CK47&amp;CL47&amp;CM47&amp;CN47&amp;CO47&amp;CP47&amp;CQ47&amp;CR47&amp;CS47&amp;CT47&amp;CU47&amp;CV47&amp;CW47&amp;CX47&amp;CY47</f>
        <v>#VALUE!</v>
      </c>
      <c r="CB47" s="600"/>
      <c r="CC47" s="2784" t="e">
        <f t="shared" si="99"/>
        <v>#VALUE!</v>
      </c>
      <c r="CD47" s="2784" t="e">
        <f t="shared" si="60"/>
        <v>#VALUE!</v>
      </c>
      <c r="CE47" s="2784" t="str">
        <f t="shared" si="61"/>
        <v xml:space="preserve"> *El Número de Pueblos Originarios no puede superar el Total Procesados. </v>
      </c>
      <c r="CF47" s="2784" t="str">
        <f t="shared" si="62"/>
        <v xml:space="preserve"> *El Número de Migrantes no puede superar el Total Procesados. </v>
      </c>
      <c r="CG47" s="2784" t="str">
        <f>IF(E47&lt;F47,CONCATENATE("* El total de Procesados debe ser mayor o igual al total de Reactivos en el grupo de edad ",$E$11),"")</f>
        <v>* El total de Procesados debe ser mayor o igual al total de Reactivos en el grupo de edad Menos de 6 meses</v>
      </c>
      <c r="CH47" s="2784" t="str">
        <f>IF(G47&lt;H47,CONCATENATE("* El total de Procesados debe ser mayor o igual al total de Reactivos en el grupo de edad ",$G$11),"")</f>
        <v>* El total de Procesados debe ser mayor o igual al total de Reactivos en el grupo de edad 6 - 11 meses</v>
      </c>
      <c r="CI47" s="2784" t="str">
        <f>IF(I47&lt;J47,CONCATENATE("* El total de Procesados debe ser mayor o igual al total de Reactivos en el grupo de edad ",$I$11),"")</f>
        <v>* El total de Procesados debe ser mayor o igual al total de Reactivos en el grupo de edad 12-24 meses</v>
      </c>
      <c r="CJ47" s="2784" t="str">
        <f>IF(K47&lt;L47,CONCATENATE("* El total de Procesados debe ser mayor o igual al total de Reactivos en el grupo de edad ",$K$11),"")</f>
        <v>* El total de Procesados debe ser mayor o igual al total de Reactivos en el grupo de edad 3 - 4 años</v>
      </c>
      <c r="CK47" s="2784" t="str">
        <f>IF(M47&lt;N47,CONCATENATE("* El total de Procesados debe ser mayor o igual al total de Reactivos en el grupo de edad ",$M$11),"")</f>
        <v>* El total de Procesados debe ser mayor o igual al total de Reactivos en el grupo de edad 5 - 9 años</v>
      </c>
      <c r="CL47" s="2784" t="str">
        <f>IF(O47&lt;P47,CONCATENATE("* El total de Procesados debe ser mayor o igual al total de Reactivos en el grupo de edad ",$O$11),"")</f>
        <v>* El total de Procesados debe ser mayor o igual al total de Reactivos en el grupo de edad 10 - 14 años</v>
      </c>
      <c r="CM47" s="2784" t="str">
        <f>IF(Q47&lt;R47,CONCATENATE("* El total de Procesados debe ser mayor o igual al total de Reactivos en el grupo de edad ",$Q$11),"")</f>
        <v>* El total de Procesados debe ser mayor o igual al total de Reactivos en el grupo de edad 15 - 19 años</v>
      </c>
      <c r="CN47" s="2784" t="str">
        <f t="shared" si="100"/>
        <v>* El total de Procesados debe ser mayor o igual al total de Reactivos en el grupo de edad 20 - 24 años</v>
      </c>
      <c r="CO47" s="2784" t="str">
        <f t="shared" si="66"/>
        <v>* El total de Procesados debe ser mayor o igual al total de Reactivos en el grupo de edad 25 - 29 años</v>
      </c>
      <c r="CP47" s="2784" t="str">
        <f t="shared" si="101"/>
        <v>* El total de Procesados debe ser mayor o igual al total de Reactivos en el grupo de edad 30 - 34 años</v>
      </c>
      <c r="CQ47" s="2784" t="str">
        <f t="shared" si="102"/>
        <v>* El total de Procesados debe ser mayor o igual al total de Reactivos en el grupo de edad 35 - 39 años</v>
      </c>
      <c r="CR47" s="2784" t="str">
        <f t="shared" si="103"/>
        <v>* El total de Procesados debe ser mayor o igual al total de Reactivos en el grupo de edad 40 - 44 años</v>
      </c>
      <c r="CS47" s="2784" t="str">
        <f t="shared" si="104"/>
        <v>* El total de Procesados debe ser mayor o igual al total de Reactivos en el grupo de edad 50 - 54 años</v>
      </c>
      <c r="CT47" s="2784" t="str">
        <f t="shared" si="105"/>
        <v>* El total de Procesados debe ser mayor o igual al total de Reactivos en el grupo de edad 55 - 59 años</v>
      </c>
      <c r="CU47" s="2784" t="str">
        <f t="shared" si="106"/>
        <v>* El total de Procesados debe ser mayor o igual al total de Reactivos en el grupo de edad 60 - 64 años</v>
      </c>
      <c r="CV47" s="2784" t="str">
        <f t="shared" si="107"/>
        <v>* El total de Procesados debe ser mayor o igual al total de Reactivos en el grupo de edad 65 - 69 años</v>
      </c>
      <c r="CW47" s="2784" t="str">
        <f t="shared" si="108"/>
        <v>* El total de Procesados debe ser mayor o igual al total de Reactivos en el grupo de edad 70 - 74 años</v>
      </c>
      <c r="CX47" s="2784" t="str">
        <f t="shared" si="109"/>
        <v>* El total de Procesados debe ser mayor o igual al total de Reactivos en el grupo de edad 75 - 79 años</v>
      </c>
      <c r="CY47" s="2784" t="str">
        <f t="shared" si="110"/>
        <v>* El total de Procesados debe ser mayor o igual al total de Reactivos en el grupo de edad 80 y más años</v>
      </c>
      <c r="DF47" s="2630"/>
      <c r="DG47" s="2784" t="e">
        <f t="shared" si="111"/>
        <v>#VALUE!</v>
      </c>
      <c r="DH47" s="2920" t="e">
        <f t="shared" si="78"/>
        <v>#VALUE!</v>
      </c>
      <c r="DI47" s="2920">
        <f t="shared" si="79"/>
        <v>1</v>
      </c>
      <c r="DJ47" s="2920">
        <f t="shared" si="80"/>
        <v>1</v>
      </c>
      <c r="DK47" s="2920">
        <f>IF(E47&lt;F47,1,0)</f>
        <v>1</v>
      </c>
      <c r="DL47" s="2920">
        <f>IF(G47&lt;H47,1,0)</f>
        <v>1</v>
      </c>
      <c r="DM47" s="2920">
        <f>IF(I47&lt;J47,1,0)</f>
        <v>1</v>
      </c>
      <c r="DN47" s="2920">
        <f>IF(K47&lt;L47,1,0)</f>
        <v>1</v>
      </c>
      <c r="DO47" s="2920">
        <f>IF(M47&lt;N47,1,0)</f>
        <v>1</v>
      </c>
      <c r="DP47" s="2920">
        <f t="shared" si="126"/>
        <v>1</v>
      </c>
      <c r="DQ47" s="2920">
        <f t="shared" si="112"/>
        <v>1</v>
      </c>
      <c r="DR47" s="2920">
        <f t="shared" si="113"/>
        <v>1</v>
      </c>
      <c r="DS47" s="2920">
        <f t="shared" si="84"/>
        <v>1</v>
      </c>
      <c r="DT47" s="2920">
        <f t="shared" si="114"/>
        <v>1</v>
      </c>
      <c r="DU47" s="2920">
        <f t="shared" si="115"/>
        <v>1</v>
      </c>
      <c r="DV47" s="2920">
        <f t="shared" si="116"/>
        <v>1</v>
      </c>
      <c r="DW47" s="2920">
        <f t="shared" si="117"/>
        <v>1</v>
      </c>
      <c r="DX47" s="2920">
        <f t="shared" si="118"/>
        <v>1</v>
      </c>
      <c r="DY47" s="2920">
        <f t="shared" si="119"/>
        <v>1</v>
      </c>
      <c r="DZ47" s="2920">
        <f t="shared" si="120"/>
        <v>1</v>
      </c>
      <c r="EA47" s="2920">
        <f t="shared" si="121"/>
        <v>1</v>
      </c>
      <c r="EB47" s="2920">
        <f t="shared" si="122"/>
        <v>1</v>
      </c>
      <c r="EC47" s="2920">
        <f t="shared" si="123"/>
        <v>1</v>
      </c>
    </row>
    <row r="48" spans="1:133" x14ac:dyDescent="0.3">
      <c r="A48" s="6234">
        <v>11054215</v>
      </c>
      <c r="B48" s="3485" t="s">
        <v>2672</v>
      </c>
      <c r="C48" s="1928" t="s">
        <v>5292</v>
      </c>
      <c r="D48" s="3242" t="s">
        <v>5293</v>
      </c>
      <c r="E48" s="3475" t="s">
        <v>5294</v>
      </c>
      <c r="F48" s="5149" t="s">
        <v>5295</v>
      </c>
      <c r="G48" s="5148" t="s">
        <v>5296</v>
      </c>
      <c r="H48" s="5149" t="s">
        <v>5297</v>
      </c>
      <c r="I48" s="5148" t="s">
        <v>5298</v>
      </c>
      <c r="J48" s="5149" t="s">
        <v>5299</v>
      </c>
      <c r="K48" s="5148" t="s">
        <v>5300</v>
      </c>
      <c r="L48" s="5149" t="s">
        <v>5301</v>
      </c>
      <c r="M48" s="5148" t="s">
        <v>5302</v>
      </c>
      <c r="N48" s="5150" t="s">
        <v>5303</v>
      </c>
      <c r="O48" s="3475" t="s">
        <v>5304</v>
      </c>
      <c r="P48" s="5149" t="s">
        <v>5305</v>
      </c>
      <c r="Q48" s="5038" t="s">
        <v>5306</v>
      </c>
      <c r="R48" s="5151" t="s">
        <v>5307</v>
      </c>
      <c r="S48" s="5038" t="s">
        <v>5308</v>
      </c>
      <c r="T48" s="5151" t="s">
        <v>5309</v>
      </c>
      <c r="U48" s="5038" t="s">
        <v>5310</v>
      </c>
      <c r="V48" s="5151" t="s">
        <v>5311</v>
      </c>
      <c r="W48" s="5038" t="s">
        <v>5312</v>
      </c>
      <c r="X48" s="5151" t="s">
        <v>5313</v>
      </c>
      <c r="Y48" s="5038" t="s">
        <v>5314</v>
      </c>
      <c r="Z48" s="5151" t="s">
        <v>5315</v>
      </c>
      <c r="AA48" s="5038" t="s">
        <v>5316</v>
      </c>
      <c r="AB48" s="5151" t="s">
        <v>5317</v>
      </c>
      <c r="AC48" s="5038" t="s">
        <v>5318</v>
      </c>
      <c r="AD48" s="5151" t="s">
        <v>5319</v>
      </c>
      <c r="AE48" s="5038" t="s">
        <v>5320</v>
      </c>
      <c r="AF48" s="5151" t="s">
        <v>5321</v>
      </c>
      <c r="AG48" s="5038" t="s">
        <v>5322</v>
      </c>
      <c r="AH48" s="5151" t="s">
        <v>5323</v>
      </c>
      <c r="AI48" s="5038" t="s">
        <v>5324</v>
      </c>
      <c r="AJ48" s="5151" t="s">
        <v>5325</v>
      </c>
      <c r="AK48" s="5038" t="s">
        <v>5326</v>
      </c>
      <c r="AL48" s="5151" t="s">
        <v>5327</v>
      </c>
      <c r="AM48" s="5038" t="s">
        <v>5328</v>
      </c>
      <c r="AN48" s="5151" t="s">
        <v>5329</v>
      </c>
      <c r="AO48" s="5038" t="s">
        <v>5330</v>
      </c>
      <c r="AP48" s="5151" t="s">
        <v>5331</v>
      </c>
      <c r="AQ48" s="5038" t="s">
        <v>5332</v>
      </c>
      <c r="AR48" s="5145" t="s">
        <v>5333</v>
      </c>
      <c r="AS48" s="3479" t="s">
        <v>5334</v>
      </c>
      <c r="AT48" s="5145" t="s">
        <v>5335</v>
      </c>
      <c r="AU48" s="5146" t="s">
        <v>5336</v>
      </c>
      <c r="AV48" s="5145" t="s">
        <v>5337</v>
      </c>
      <c r="AW48" s="3479" t="s">
        <v>5338</v>
      </c>
      <c r="AX48" s="5147" t="s">
        <v>5339</v>
      </c>
      <c r="AY48" s="1687" t="e">
        <f t="shared" si="124"/>
        <v>#VALUE!</v>
      </c>
      <c r="CB48" s="600"/>
      <c r="CC48" s="2784" t="e">
        <f t="shared" si="99"/>
        <v>#VALUE!</v>
      </c>
      <c r="CD48" s="2784" t="e">
        <f t="shared" si="60"/>
        <v>#VALUE!</v>
      </c>
      <c r="CE48" s="2784" t="str">
        <f t="shared" si="61"/>
        <v xml:space="preserve"> *El Número de Pueblos Originarios no puede superar el Total Procesados. </v>
      </c>
      <c r="CF48" s="2784" t="str">
        <f t="shared" si="62"/>
        <v xml:space="preserve"> *El Número de Migrantes no puede superar el Total Procesados. </v>
      </c>
      <c r="CG48" s="3488"/>
      <c r="CH48" s="3488"/>
      <c r="CI48" s="2783"/>
      <c r="CJ48" s="2783"/>
      <c r="CK48" s="2783"/>
      <c r="CL48" s="3488"/>
      <c r="CM48" s="2784" t="str">
        <f t="shared" ref="CM48:CM52" si="127">IF(Q48&lt;R48,CONCATENATE("* El total de Procesados debe ser mayor o igual al total de Reactivos en el grupo de edad ",$Q$11),"")</f>
        <v>* El total de Procesados debe ser mayor o igual al total de Reactivos en el grupo de edad 15 - 19 años</v>
      </c>
      <c r="CN48" s="2784" t="str">
        <f t="shared" si="100"/>
        <v>* El total de Procesados debe ser mayor o igual al total de Reactivos en el grupo de edad 20 - 24 años</v>
      </c>
      <c r="CO48" s="2784" t="str">
        <f t="shared" si="66"/>
        <v>* El total de Procesados debe ser mayor o igual al total de Reactivos en el grupo de edad 25 - 29 años</v>
      </c>
      <c r="CP48" s="2784" t="str">
        <f t="shared" si="101"/>
        <v>* El total de Procesados debe ser mayor o igual al total de Reactivos en el grupo de edad 30 - 34 años</v>
      </c>
      <c r="CQ48" s="2784" t="str">
        <f t="shared" si="102"/>
        <v>* El total de Procesados debe ser mayor o igual al total de Reactivos en el grupo de edad 35 - 39 años</v>
      </c>
      <c r="CR48" s="2784" t="str">
        <f t="shared" si="103"/>
        <v>* El total de Procesados debe ser mayor o igual al total de Reactivos en el grupo de edad 40 - 44 años</v>
      </c>
      <c r="CS48" s="2784" t="str">
        <f t="shared" si="104"/>
        <v>* El total de Procesados debe ser mayor o igual al total de Reactivos en el grupo de edad 50 - 54 años</v>
      </c>
      <c r="CT48" s="2784" t="str">
        <f t="shared" si="105"/>
        <v>* El total de Procesados debe ser mayor o igual al total de Reactivos en el grupo de edad 55 - 59 años</v>
      </c>
      <c r="CU48" s="2784" t="str">
        <f t="shared" si="106"/>
        <v>* El total de Procesados debe ser mayor o igual al total de Reactivos en el grupo de edad 60 - 64 años</v>
      </c>
      <c r="CV48" s="2784" t="str">
        <f t="shared" si="107"/>
        <v>* El total de Procesados debe ser mayor o igual al total de Reactivos en el grupo de edad 65 - 69 años</v>
      </c>
      <c r="CW48" s="2784" t="str">
        <f t="shared" si="108"/>
        <v>* El total de Procesados debe ser mayor o igual al total de Reactivos en el grupo de edad 70 - 74 años</v>
      </c>
      <c r="CX48" s="2784" t="str">
        <f t="shared" si="109"/>
        <v>* El total de Procesados debe ser mayor o igual al total de Reactivos en el grupo de edad 75 - 79 años</v>
      </c>
      <c r="CY48" s="2784" t="str">
        <f t="shared" si="110"/>
        <v>* El total de Procesados debe ser mayor o igual al total de Reactivos en el grupo de edad 80 y más años</v>
      </c>
      <c r="DF48" s="2630"/>
      <c r="DG48" s="2784" t="e">
        <f t="shared" si="111"/>
        <v>#VALUE!</v>
      </c>
      <c r="DH48" s="2920" t="e">
        <f t="shared" si="78"/>
        <v>#VALUE!</v>
      </c>
      <c r="DI48" s="2920">
        <f t="shared" si="79"/>
        <v>1</v>
      </c>
      <c r="DJ48" s="2920">
        <f t="shared" si="80"/>
        <v>1</v>
      </c>
      <c r="DK48" s="2783"/>
      <c r="DL48" s="2783"/>
      <c r="DM48" s="2783"/>
      <c r="DN48" s="2783"/>
      <c r="DO48" s="2783"/>
      <c r="DP48" s="3018"/>
      <c r="DQ48" s="2920">
        <f t="shared" si="112"/>
        <v>1</v>
      </c>
      <c r="DR48" s="2920">
        <f t="shared" si="113"/>
        <v>1</v>
      </c>
      <c r="DS48" s="2920">
        <f t="shared" si="84"/>
        <v>1</v>
      </c>
      <c r="DT48" s="2920">
        <f t="shared" si="114"/>
        <v>1</v>
      </c>
      <c r="DU48" s="2920">
        <f t="shared" si="115"/>
        <v>1</v>
      </c>
      <c r="DV48" s="2920">
        <f t="shared" si="116"/>
        <v>1</v>
      </c>
      <c r="DW48" s="2920">
        <f t="shared" si="117"/>
        <v>1</v>
      </c>
      <c r="DX48" s="2920">
        <f t="shared" si="118"/>
        <v>1</v>
      </c>
      <c r="DY48" s="2920">
        <f t="shared" si="119"/>
        <v>1</v>
      </c>
      <c r="DZ48" s="2920">
        <f t="shared" si="120"/>
        <v>1</v>
      </c>
      <c r="EA48" s="2920">
        <f t="shared" si="121"/>
        <v>1</v>
      </c>
      <c r="EB48" s="2920">
        <f t="shared" si="122"/>
        <v>1</v>
      </c>
      <c r="EC48" s="2920">
        <f t="shared" si="123"/>
        <v>1</v>
      </c>
    </row>
    <row r="49" spans="1:133" x14ac:dyDescent="0.3">
      <c r="A49" s="6234">
        <v>11054216</v>
      </c>
      <c r="B49" s="3184" t="s">
        <v>2673</v>
      </c>
      <c r="C49" s="1928" t="s">
        <v>5292</v>
      </c>
      <c r="D49" s="3242" t="s">
        <v>5293</v>
      </c>
      <c r="E49" s="3475" t="s">
        <v>5294</v>
      </c>
      <c r="F49" s="5149" t="s">
        <v>5295</v>
      </c>
      <c r="G49" s="5148" t="s">
        <v>5296</v>
      </c>
      <c r="H49" s="5149" t="s">
        <v>5297</v>
      </c>
      <c r="I49" s="5148" t="s">
        <v>5298</v>
      </c>
      <c r="J49" s="5149" t="s">
        <v>5299</v>
      </c>
      <c r="K49" s="5148" t="s">
        <v>5300</v>
      </c>
      <c r="L49" s="5149" t="s">
        <v>5301</v>
      </c>
      <c r="M49" s="5148" t="s">
        <v>5302</v>
      </c>
      <c r="N49" s="5150" t="s">
        <v>5303</v>
      </c>
      <c r="O49" s="3475" t="s">
        <v>5304</v>
      </c>
      <c r="P49" s="5149" t="s">
        <v>5305</v>
      </c>
      <c r="Q49" s="5038" t="s">
        <v>5306</v>
      </c>
      <c r="R49" s="5151" t="s">
        <v>5307</v>
      </c>
      <c r="S49" s="5038" t="s">
        <v>5308</v>
      </c>
      <c r="T49" s="5151" t="s">
        <v>5309</v>
      </c>
      <c r="U49" s="5038" t="s">
        <v>5310</v>
      </c>
      <c r="V49" s="5151" t="s">
        <v>5311</v>
      </c>
      <c r="W49" s="5038" t="s">
        <v>5312</v>
      </c>
      <c r="X49" s="5151" t="s">
        <v>5313</v>
      </c>
      <c r="Y49" s="5038" t="s">
        <v>5314</v>
      </c>
      <c r="Z49" s="5151" t="s">
        <v>5315</v>
      </c>
      <c r="AA49" s="5038" t="s">
        <v>5316</v>
      </c>
      <c r="AB49" s="5151" t="s">
        <v>5317</v>
      </c>
      <c r="AC49" s="5038" t="s">
        <v>5318</v>
      </c>
      <c r="AD49" s="5151" t="s">
        <v>5319</v>
      </c>
      <c r="AE49" s="5038" t="s">
        <v>5320</v>
      </c>
      <c r="AF49" s="5151" t="s">
        <v>5321</v>
      </c>
      <c r="AG49" s="5038" t="s">
        <v>5322</v>
      </c>
      <c r="AH49" s="5151" t="s">
        <v>5323</v>
      </c>
      <c r="AI49" s="5038" t="s">
        <v>5324</v>
      </c>
      <c r="AJ49" s="5151" t="s">
        <v>5325</v>
      </c>
      <c r="AK49" s="5148" t="s">
        <v>5326</v>
      </c>
      <c r="AL49" s="5149" t="s">
        <v>5327</v>
      </c>
      <c r="AM49" s="5148" t="s">
        <v>5328</v>
      </c>
      <c r="AN49" s="5149" t="s">
        <v>5329</v>
      </c>
      <c r="AO49" s="5148" t="s">
        <v>5330</v>
      </c>
      <c r="AP49" s="5149" t="s">
        <v>5331</v>
      </c>
      <c r="AQ49" s="5148" t="s">
        <v>5332</v>
      </c>
      <c r="AR49" s="5156" t="s">
        <v>5333</v>
      </c>
      <c r="AS49" s="3479" t="s">
        <v>5334</v>
      </c>
      <c r="AT49" s="5145" t="s">
        <v>5335</v>
      </c>
      <c r="AU49" s="5146" t="s">
        <v>5336</v>
      </c>
      <c r="AV49" s="5145" t="s">
        <v>5337</v>
      </c>
      <c r="AW49" s="3479" t="s">
        <v>5338</v>
      </c>
      <c r="AX49" s="5147" t="s">
        <v>5339</v>
      </c>
      <c r="AY49" s="1687" t="e">
        <f>$CC49&amp;CD49&amp;CE49&amp;$CF49&amp;CL49&amp;CM49&amp;CN49&amp;CO49&amp;CP49&amp;CQ49&amp;CR49&amp;CS49&amp;CT49&amp;CU49&amp;CV49&amp;CW49&amp;CX49&amp;CY49</f>
        <v>#VALUE!</v>
      </c>
      <c r="CB49" s="600"/>
      <c r="CC49" s="2784" t="e">
        <f t="shared" si="99"/>
        <v>#VALUE!</v>
      </c>
      <c r="CD49" s="2784" t="e">
        <f t="shared" si="60"/>
        <v>#VALUE!</v>
      </c>
      <c r="CE49" s="2784" t="str">
        <f t="shared" si="61"/>
        <v xml:space="preserve"> *El Número de Pueblos Originarios no puede superar el Total Procesados. </v>
      </c>
      <c r="CF49" s="2784" t="str">
        <f t="shared" si="62"/>
        <v xml:space="preserve"> *El Número de Migrantes no puede superar el Total Procesados. </v>
      </c>
      <c r="CG49" s="3488"/>
      <c r="CH49" s="3488"/>
      <c r="CI49" s="2783"/>
      <c r="CJ49" s="2783"/>
      <c r="CK49" s="2783"/>
      <c r="CL49" s="3488"/>
      <c r="CM49" s="2784" t="str">
        <f t="shared" si="127"/>
        <v>* El total de Procesados debe ser mayor o igual al total de Reactivos en el grupo de edad 15 - 19 años</v>
      </c>
      <c r="CN49" s="2784" t="str">
        <f t="shared" si="100"/>
        <v>* El total de Procesados debe ser mayor o igual al total de Reactivos en el grupo de edad 20 - 24 años</v>
      </c>
      <c r="CO49" s="2784" t="str">
        <f t="shared" si="66"/>
        <v>* El total de Procesados debe ser mayor o igual al total de Reactivos en el grupo de edad 25 - 29 años</v>
      </c>
      <c r="CP49" s="2784" t="str">
        <f t="shared" si="101"/>
        <v>* El total de Procesados debe ser mayor o igual al total de Reactivos en el grupo de edad 30 - 34 años</v>
      </c>
      <c r="CQ49" s="2784" t="str">
        <f t="shared" si="102"/>
        <v>* El total de Procesados debe ser mayor o igual al total de Reactivos en el grupo de edad 35 - 39 años</v>
      </c>
      <c r="CR49" s="2784" t="str">
        <f t="shared" si="103"/>
        <v>* El total de Procesados debe ser mayor o igual al total de Reactivos en el grupo de edad 40 - 44 años</v>
      </c>
      <c r="CS49" s="2784" t="str">
        <f t="shared" si="104"/>
        <v>* El total de Procesados debe ser mayor o igual al total de Reactivos en el grupo de edad 50 - 54 años</v>
      </c>
      <c r="CT49" s="2784" t="str">
        <f t="shared" si="105"/>
        <v>* El total de Procesados debe ser mayor o igual al total de Reactivos en el grupo de edad 55 - 59 años</v>
      </c>
      <c r="CU49" s="2784" t="str">
        <f t="shared" si="106"/>
        <v>* El total de Procesados debe ser mayor o igual al total de Reactivos en el grupo de edad 60 - 64 años</v>
      </c>
      <c r="CV49" s="3018"/>
      <c r="CW49" s="3018"/>
      <c r="CX49" s="3018"/>
      <c r="CY49" s="3018"/>
      <c r="DF49" s="2630"/>
      <c r="DG49" s="2784" t="e">
        <f t="shared" si="111"/>
        <v>#VALUE!</v>
      </c>
      <c r="DH49" s="2920" t="e">
        <f t="shared" si="78"/>
        <v>#VALUE!</v>
      </c>
      <c r="DI49" s="2920">
        <f t="shared" si="79"/>
        <v>1</v>
      </c>
      <c r="DJ49" s="2920">
        <f t="shared" si="80"/>
        <v>1</v>
      </c>
      <c r="DK49" s="2783"/>
      <c r="DL49" s="2783"/>
      <c r="DM49" s="2783"/>
      <c r="DN49" s="2783"/>
      <c r="DO49" s="2783"/>
      <c r="DP49" s="3018"/>
      <c r="DQ49" s="2920">
        <f t="shared" si="112"/>
        <v>1</v>
      </c>
      <c r="DR49" s="2920">
        <f t="shared" si="113"/>
        <v>1</v>
      </c>
      <c r="DS49" s="2920">
        <f t="shared" si="84"/>
        <v>1</v>
      </c>
      <c r="DT49" s="2920">
        <f t="shared" si="114"/>
        <v>1</v>
      </c>
      <c r="DU49" s="2920">
        <f t="shared" si="115"/>
        <v>1</v>
      </c>
      <c r="DV49" s="2920">
        <f t="shared" si="116"/>
        <v>1</v>
      </c>
      <c r="DW49" s="2920">
        <f t="shared" si="117"/>
        <v>1</v>
      </c>
      <c r="DX49" s="2920">
        <f t="shared" si="118"/>
        <v>1</v>
      </c>
      <c r="DY49" s="2920">
        <f t="shared" si="119"/>
        <v>1</v>
      </c>
      <c r="DZ49" s="3018"/>
      <c r="EA49" s="3018"/>
      <c r="EB49" s="3018"/>
      <c r="EC49" s="3018"/>
    </row>
    <row r="50" spans="1:133" x14ac:dyDescent="0.3">
      <c r="A50" s="6234">
        <v>11054217</v>
      </c>
      <c r="B50" s="3184" t="s">
        <v>2674</v>
      </c>
      <c r="C50" s="1928" t="s">
        <v>5292</v>
      </c>
      <c r="D50" s="3242" t="s">
        <v>5293</v>
      </c>
      <c r="E50" s="3479" t="s">
        <v>5294</v>
      </c>
      <c r="F50" s="5151" t="s">
        <v>5295</v>
      </c>
      <c r="G50" s="5038" t="s">
        <v>5296</v>
      </c>
      <c r="H50" s="5151" t="s">
        <v>5297</v>
      </c>
      <c r="I50" s="5038" t="s">
        <v>5298</v>
      </c>
      <c r="J50" s="5147" t="s">
        <v>5299</v>
      </c>
      <c r="K50" s="3479" t="s">
        <v>5300</v>
      </c>
      <c r="L50" s="3479" t="s">
        <v>5301</v>
      </c>
      <c r="M50" s="5038" t="s">
        <v>5302</v>
      </c>
      <c r="N50" s="5147" t="s">
        <v>5303</v>
      </c>
      <c r="O50" s="3479" t="s">
        <v>5304</v>
      </c>
      <c r="P50" s="3480" t="s">
        <v>5305</v>
      </c>
      <c r="Q50" s="5038" t="s">
        <v>5306</v>
      </c>
      <c r="R50" s="5151" t="s">
        <v>5307</v>
      </c>
      <c r="S50" s="5038" t="s">
        <v>5308</v>
      </c>
      <c r="T50" s="5151" t="s">
        <v>5309</v>
      </c>
      <c r="U50" s="5038" t="s">
        <v>5310</v>
      </c>
      <c r="V50" s="5151" t="s">
        <v>5311</v>
      </c>
      <c r="W50" s="5038" t="s">
        <v>5312</v>
      </c>
      <c r="X50" s="5151" t="s">
        <v>5313</v>
      </c>
      <c r="Y50" s="5038" t="s">
        <v>5314</v>
      </c>
      <c r="Z50" s="5151" t="s">
        <v>5315</v>
      </c>
      <c r="AA50" s="5038" t="s">
        <v>5316</v>
      </c>
      <c r="AB50" s="5151" t="s">
        <v>5317</v>
      </c>
      <c r="AC50" s="5038" t="s">
        <v>5318</v>
      </c>
      <c r="AD50" s="5151" t="s">
        <v>5319</v>
      </c>
      <c r="AE50" s="5038" t="s">
        <v>5320</v>
      </c>
      <c r="AF50" s="5151" t="s">
        <v>5321</v>
      </c>
      <c r="AG50" s="5038" t="s">
        <v>5322</v>
      </c>
      <c r="AH50" s="5151" t="s">
        <v>5323</v>
      </c>
      <c r="AI50" s="5038" t="s">
        <v>5324</v>
      </c>
      <c r="AJ50" s="5151" t="s">
        <v>5325</v>
      </c>
      <c r="AK50" s="5038" t="s">
        <v>5326</v>
      </c>
      <c r="AL50" s="5151" t="s">
        <v>5327</v>
      </c>
      <c r="AM50" s="5038" t="s">
        <v>5328</v>
      </c>
      <c r="AN50" s="5151" t="s">
        <v>5329</v>
      </c>
      <c r="AO50" s="5038" t="s">
        <v>5330</v>
      </c>
      <c r="AP50" s="5151" t="s">
        <v>5331</v>
      </c>
      <c r="AQ50" s="5038" t="s">
        <v>5332</v>
      </c>
      <c r="AR50" s="5145" t="s">
        <v>5333</v>
      </c>
      <c r="AS50" s="3479" t="s">
        <v>5334</v>
      </c>
      <c r="AT50" s="5145" t="s">
        <v>5335</v>
      </c>
      <c r="AU50" s="5146" t="s">
        <v>5336</v>
      </c>
      <c r="AV50" s="5145" t="s">
        <v>5337</v>
      </c>
      <c r="AW50" s="3479" t="s">
        <v>5338</v>
      </c>
      <c r="AX50" s="5147" t="s">
        <v>5339</v>
      </c>
      <c r="AY50" s="1687" t="e">
        <f>$CC50&amp;CD50&amp;CE50&amp;$CF50&amp;CG50&amp;CH50&amp;CI50&amp;CJ50&amp;CK50&amp;CL50&amp;CM50&amp;CN50&amp;CO50&amp;CP50&amp;CQ50&amp;CR50&amp;CS50&amp;CT50&amp;CU50&amp;CV50&amp;CW50&amp;CX50&amp;CY50</f>
        <v>#VALUE!</v>
      </c>
      <c r="CB50" s="600"/>
      <c r="CC50" s="2784" t="e">
        <f t="shared" si="99"/>
        <v>#VALUE!</v>
      </c>
      <c r="CD50" s="2784" t="e">
        <f t="shared" si="60"/>
        <v>#VALUE!</v>
      </c>
      <c r="CE50" s="2784" t="str">
        <f t="shared" si="61"/>
        <v xml:space="preserve"> *El Número de Pueblos Originarios no puede superar el Total Procesados. </v>
      </c>
      <c r="CF50" s="2784" t="str">
        <f t="shared" si="62"/>
        <v xml:space="preserve"> *El Número de Migrantes no puede superar el Total Procesados. </v>
      </c>
      <c r="CG50" s="2784" t="str">
        <f t="shared" ref="CG50:CG52" si="128">IF(E50&lt;F50,CONCATENATE("* El total de Procesados debe ser mayor o igual al total de Reactivos en el grupo de edad ",$E$11),"")</f>
        <v>* El total de Procesados debe ser mayor o igual al total de Reactivos en el grupo de edad Menos de 6 meses</v>
      </c>
      <c r="CH50" s="2784" t="str">
        <f t="shared" ref="CH50:CH52" si="129">IF(G50&lt;H50,CONCATENATE("* El total de Procesados debe ser mayor o igual al total de Reactivos en el grupo de edad ",$G$11),"")</f>
        <v>* El total de Procesados debe ser mayor o igual al total de Reactivos en el grupo de edad 6 - 11 meses</v>
      </c>
      <c r="CI50" s="2784" t="str">
        <f t="shared" ref="CI50:CI52" si="130">IF(I50&lt;J50,CONCATENATE("* El total de Procesados debe ser mayor o igual al total de Reactivos en el grupo de edad ",$I$11),"")</f>
        <v>* El total de Procesados debe ser mayor o igual al total de Reactivos en el grupo de edad 12-24 meses</v>
      </c>
      <c r="CJ50" s="2784" t="str">
        <f t="shared" ref="CJ50:CJ52" si="131">IF(K50&lt;L50,CONCATENATE("* El total de Procesados debe ser mayor o igual al total de Reactivos en el grupo de edad ",$K$11),"")</f>
        <v>* El total de Procesados debe ser mayor o igual al total de Reactivos en el grupo de edad 3 - 4 años</v>
      </c>
      <c r="CK50" s="2784" t="str">
        <f t="shared" ref="CK50:CK52" si="132">IF(M50&lt;N50,CONCATENATE("* El total de Procesados debe ser mayor o igual al total de Reactivos en el grupo de edad ",$M$11),"")</f>
        <v>* El total de Procesados debe ser mayor o igual al total de Reactivos en el grupo de edad 5 - 9 años</v>
      </c>
      <c r="CL50" s="2784" t="str">
        <f t="shared" ref="CL50:CL52" si="133">IF(O50&lt;P50,CONCATENATE("* El total de Procesados debe ser mayor o igual al total de Reactivos en el grupo de edad ",$O$11),"")</f>
        <v>* El total de Procesados debe ser mayor o igual al total de Reactivos en el grupo de edad 10 - 14 años</v>
      </c>
      <c r="CM50" s="2784" t="str">
        <f t="shared" si="127"/>
        <v>* El total de Procesados debe ser mayor o igual al total de Reactivos en el grupo de edad 15 - 19 años</v>
      </c>
      <c r="CN50" s="2784" t="str">
        <f t="shared" si="100"/>
        <v>* El total de Procesados debe ser mayor o igual al total de Reactivos en el grupo de edad 20 - 24 años</v>
      </c>
      <c r="CO50" s="2784" t="str">
        <f t="shared" si="66"/>
        <v>* El total de Procesados debe ser mayor o igual al total de Reactivos en el grupo de edad 25 - 29 años</v>
      </c>
      <c r="CP50" s="2784" t="str">
        <f t="shared" si="101"/>
        <v>* El total de Procesados debe ser mayor o igual al total de Reactivos en el grupo de edad 30 - 34 años</v>
      </c>
      <c r="CQ50" s="2784" t="str">
        <f t="shared" si="102"/>
        <v>* El total de Procesados debe ser mayor o igual al total de Reactivos en el grupo de edad 35 - 39 años</v>
      </c>
      <c r="CR50" s="2784" t="str">
        <f t="shared" si="103"/>
        <v>* El total de Procesados debe ser mayor o igual al total de Reactivos en el grupo de edad 40 - 44 años</v>
      </c>
      <c r="CS50" s="2784" t="str">
        <f t="shared" si="104"/>
        <v>* El total de Procesados debe ser mayor o igual al total de Reactivos en el grupo de edad 50 - 54 años</v>
      </c>
      <c r="CT50" s="2784" t="str">
        <f t="shared" si="105"/>
        <v>* El total de Procesados debe ser mayor o igual al total de Reactivos en el grupo de edad 55 - 59 años</v>
      </c>
      <c r="CU50" s="2784" t="str">
        <f t="shared" si="106"/>
        <v>* El total de Procesados debe ser mayor o igual al total de Reactivos en el grupo de edad 60 - 64 años</v>
      </c>
      <c r="CV50" s="2784" t="str">
        <f t="shared" ref="CV50:CV52" si="134">IF(AK50&lt;AL50,CONCATENATE("* El total de Procesados debe ser mayor o igual al total de Reactivos en el grupo de edad ",$AK$11),"")</f>
        <v>* El total de Procesados debe ser mayor o igual al total de Reactivos en el grupo de edad 65 - 69 años</v>
      </c>
      <c r="CW50" s="2784" t="str">
        <f t="shared" ref="CW50:CW52" si="135">IF(AM50&lt;AN50,CONCATENATE("* El total de Procesados debe ser mayor o igual al total de Reactivos en el grupo de edad ",$AM$11),"")</f>
        <v>* El total de Procesados debe ser mayor o igual al total de Reactivos en el grupo de edad 70 - 74 años</v>
      </c>
      <c r="CX50" s="2784" t="str">
        <f t="shared" ref="CX50:CX52" si="136">IF(AO50&lt;AP50,CONCATENATE("* El total de Procesados debe ser mayor o igual al total de Reactivos en el grupo de edad ",$AO$11),"")</f>
        <v>* El total de Procesados debe ser mayor o igual al total de Reactivos en el grupo de edad 75 - 79 años</v>
      </c>
      <c r="CY50" s="2784" t="str">
        <f t="shared" ref="CY50:CY52" si="137">IF(AQ50&lt;AR50,CONCATENATE("* El total de Procesados debe ser mayor o igual al total de Reactivos en el grupo de edad ",$AQ$11),"")</f>
        <v>* El total de Procesados debe ser mayor o igual al total de Reactivos en el grupo de edad 80 y más años</v>
      </c>
      <c r="DF50" s="2630"/>
      <c r="DG50" s="2784" t="e">
        <f t="shared" si="111"/>
        <v>#VALUE!</v>
      </c>
      <c r="DH50" s="2920" t="e">
        <f t="shared" si="78"/>
        <v>#VALUE!</v>
      </c>
      <c r="DI50" s="2920">
        <f t="shared" si="79"/>
        <v>1</v>
      </c>
      <c r="DJ50" s="2920">
        <f t="shared" si="80"/>
        <v>1</v>
      </c>
      <c r="DK50" s="2920">
        <f t="shared" ref="DK50:DK52" si="138">IF(E50&lt;F50,1,0)</f>
        <v>1</v>
      </c>
      <c r="DL50" s="2920">
        <f t="shared" ref="DL50:DL52" si="139">IF(G50&lt;H50,1,0)</f>
        <v>1</v>
      </c>
      <c r="DM50" s="2920">
        <f t="shared" ref="DM50:DM52" si="140">IF(I50&lt;J50,1,0)</f>
        <v>1</v>
      </c>
      <c r="DN50" s="2920">
        <f t="shared" ref="DN50:DN52" si="141">IF(K50&lt;L50,1,0)</f>
        <v>1</v>
      </c>
      <c r="DO50" s="2920">
        <f t="shared" ref="DO50:DO52" si="142">IF(M50&lt;N50,1,0)</f>
        <v>1</v>
      </c>
      <c r="DP50" s="2920">
        <f t="shared" ref="DP50:DP52" si="143">IF(O50&lt;P50,1,0)</f>
        <v>1</v>
      </c>
      <c r="DQ50" s="2920">
        <f t="shared" si="112"/>
        <v>1</v>
      </c>
      <c r="DR50" s="2920">
        <f t="shared" si="113"/>
        <v>1</v>
      </c>
      <c r="DS50" s="2920">
        <f t="shared" si="84"/>
        <v>1</v>
      </c>
      <c r="DT50" s="2920">
        <f t="shared" si="114"/>
        <v>1</v>
      </c>
      <c r="DU50" s="2920">
        <f t="shared" si="115"/>
        <v>1</v>
      </c>
      <c r="DV50" s="2920">
        <f t="shared" si="116"/>
        <v>1</v>
      </c>
      <c r="DW50" s="2920">
        <f t="shared" si="117"/>
        <v>1</v>
      </c>
      <c r="DX50" s="2920">
        <f t="shared" si="118"/>
        <v>1</v>
      </c>
      <c r="DY50" s="2920">
        <f t="shared" si="119"/>
        <v>1</v>
      </c>
      <c r="DZ50" s="2920">
        <f t="shared" ref="DZ50:DZ52" si="144">IF(AK50&lt;AL50,1,0)</f>
        <v>1</v>
      </c>
      <c r="EA50" s="2920">
        <f t="shared" ref="EA50:EA52" si="145">IF(AM50&lt;AN50,1,0)</f>
        <v>1</v>
      </c>
      <c r="EB50" s="2920">
        <f t="shared" ref="EB50:EB52" si="146">IF(AO50&lt;AP50,1,0)</f>
        <v>1</v>
      </c>
      <c r="EC50" s="2920">
        <f t="shared" ref="EC50:EC52" si="147">IF(AQ50&lt;AR50,1,0)</f>
        <v>1</v>
      </c>
    </row>
    <row r="51" spans="1:133" x14ac:dyDescent="0.3">
      <c r="A51" s="6234">
        <v>11054218</v>
      </c>
      <c r="B51" s="3184" t="s">
        <v>2675</v>
      </c>
      <c r="C51" s="1928" t="s">
        <v>5292</v>
      </c>
      <c r="D51" s="3242" t="s">
        <v>5293</v>
      </c>
      <c r="E51" s="3479" t="s">
        <v>5294</v>
      </c>
      <c r="F51" s="5151" t="s">
        <v>5295</v>
      </c>
      <c r="G51" s="5038" t="s">
        <v>5296</v>
      </c>
      <c r="H51" s="5151" t="s">
        <v>5297</v>
      </c>
      <c r="I51" s="5038" t="s">
        <v>5298</v>
      </c>
      <c r="J51" s="5147" t="s">
        <v>5299</v>
      </c>
      <c r="K51" s="3479" t="s">
        <v>5300</v>
      </c>
      <c r="L51" s="3479" t="s">
        <v>5301</v>
      </c>
      <c r="M51" s="5038" t="s">
        <v>5302</v>
      </c>
      <c r="N51" s="5147" t="s">
        <v>5303</v>
      </c>
      <c r="O51" s="3479" t="s">
        <v>5304</v>
      </c>
      <c r="P51" s="3480" t="s">
        <v>5305</v>
      </c>
      <c r="Q51" s="5038" t="s">
        <v>5306</v>
      </c>
      <c r="R51" s="5151" t="s">
        <v>5307</v>
      </c>
      <c r="S51" s="5038" t="s">
        <v>5308</v>
      </c>
      <c r="T51" s="5151" t="s">
        <v>5309</v>
      </c>
      <c r="U51" s="5038" t="s">
        <v>5310</v>
      </c>
      <c r="V51" s="5151" t="s">
        <v>5311</v>
      </c>
      <c r="W51" s="5038" t="s">
        <v>5312</v>
      </c>
      <c r="X51" s="5151" t="s">
        <v>5313</v>
      </c>
      <c r="Y51" s="5038" t="s">
        <v>5314</v>
      </c>
      <c r="Z51" s="5151" t="s">
        <v>5315</v>
      </c>
      <c r="AA51" s="5038" t="s">
        <v>5316</v>
      </c>
      <c r="AB51" s="5151" t="s">
        <v>5317</v>
      </c>
      <c r="AC51" s="5038" t="s">
        <v>5318</v>
      </c>
      <c r="AD51" s="5151" t="s">
        <v>5319</v>
      </c>
      <c r="AE51" s="5038" t="s">
        <v>5320</v>
      </c>
      <c r="AF51" s="5151" t="s">
        <v>5321</v>
      </c>
      <c r="AG51" s="5038" t="s">
        <v>5322</v>
      </c>
      <c r="AH51" s="5151" t="s">
        <v>5323</v>
      </c>
      <c r="AI51" s="5038" t="s">
        <v>5324</v>
      </c>
      <c r="AJ51" s="5151" t="s">
        <v>5325</v>
      </c>
      <c r="AK51" s="5038" t="s">
        <v>5326</v>
      </c>
      <c r="AL51" s="5151" t="s">
        <v>5327</v>
      </c>
      <c r="AM51" s="5038" t="s">
        <v>5328</v>
      </c>
      <c r="AN51" s="5151" t="s">
        <v>5329</v>
      </c>
      <c r="AO51" s="5038" t="s">
        <v>5330</v>
      </c>
      <c r="AP51" s="5151" t="s">
        <v>5331</v>
      </c>
      <c r="AQ51" s="5038" t="s">
        <v>5332</v>
      </c>
      <c r="AR51" s="5145" t="s">
        <v>5333</v>
      </c>
      <c r="AS51" s="3479" t="s">
        <v>5334</v>
      </c>
      <c r="AT51" s="5145" t="s">
        <v>5335</v>
      </c>
      <c r="AU51" s="5146" t="s">
        <v>5336</v>
      </c>
      <c r="AV51" s="5145" t="s">
        <v>5337</v>
      </c>
      <c r="AW51" s="3479" t="s">
        <v>5338</v>
      </c>
      <c r="AX51" s="5147" t="s">
        <v>5339</v>
      </c>
      <c r="AY51" s="1687" t="e">
        <f t="shared" ref="AY51:AY52" si="148">$CC51&amp;CD51&amp;CE51&amp;$CF51&amp;CG51&amp;CH51&amp;CI51&amp;CJ51&amp;CK51&amp;CL51&amp;CM51&amp;CN51&amp;CO51&amp;CP51&amp;CQ51&amp;CR51&amp;CS51&amp;CT51&amp;CU51&amp;CV51&amp;CW51&amp;CX51&amp;CY51</f>
        <v>#VALUE!</v>
      </c>
      <c r="CB51" s="600"/>
      <c r="CC51" s="2784" t="e">
        <f t="shared" si="99"/>
        <v>#VALUE!</v>
      </c>
      <c r="CD51" s="2784" t="e">
        <f t="shared" si="60"/>
        <v>#VALUE!</v>
      </c>
      <c r="CE51" s="2784" t="str">
        <f t="shared" si="61"/>
        <v xml:space="preserve"> *El Número de Pueblos Originarios no puede superar el Total Procesados. </v>
      </c>
      <c r="CF51" s="2784" t="str">
        <f t="shared" si="62"/>
        <v xml:space="preserve"> *El Número de Migrantes no puede superar el Total Procesados. </v>
      </c>
      <c r="CG51" s="2784" t="str">
        <f t="shared" si="128"/>
        <v>* El total de Procesados debe ser mayor o igual al total de Reactivos en el grupo de edad Menos de 6 meses</v>
      </c>
      <c r="CH51" s="2784" t="str">
        <f t="shared" si="129"/>
        <v>* El total de Procesados debe ser mayor o igual al total de Reactivos en el grupo de edad 6 - 11 meses</v>
      </c>
      <c r="CI51" s="2784" t="str">
        <f t="shared" si="130"/>
        <v>* El total de Procesados debe ser mayor o igual al total de Reactivos en el grupo de edad 12-24 meses</v>
      </c>
      <c r="CJ51" s="2784" t="str">
        <f t="shared" si="131"/>
        <v>* El total de Procesados debe ser mayor o igual al total de Reactivos en el grupo de edad 3 - 4 años</v>
      </c>
      <c r="CK51" s="2784" t="str">
        <f t="shared" si="132"/>
        <v>* El total de Procesados debe ser mayor o igual al total de Reactivos en el grupo de edad 5 - 9 años</v>
      </c>
      <c r="CL51" s="2784" t="str">
        <f t="shared" si="133"/>
        <v>* El total de Procesados debe ser mayor o igual al total de Reactivos en el grupo de edad 10 - 14 años</v>
      </c>
      <c r="CM51" s="2784" t="str">
        <f t="shared" si="127"/>
        <v>* El total de Procesados debe ser mayor o igual al total de Reactivos en el grupo de edad 15 - 19 años</v>
      </c>
      <c r="CN51" s="2784" t="str">
        <f t="shared" si="100"/>
        <v>* El total de Procesados debe ser mayor o igual al total de Reactivos en el grupo de edad 20 - 24 años</v>
      </c>
      <c r="CO51" s="2784" t="str">
        <f t="shared" si="66"/>
        <v>* El total de Procesados debe ser mayor o igual al total de Reactivos en el grupo de edad 25 - 29 años</v>
      </c>
      <c r="CP51" s="2784" t="str">
        <f t="shared" si="101"/>
        <v>* El total de Procesados debe ser mayor o igual al total de Reactivos en el grupo de edad 30 - 34 años</v>
      </c>
      <c r="CQ51" s="2784" t="str">
        <f t="shared" si="102"/>
        <v>* El total de Procesados debe ser mayor o igual al total de Reactivos en el grupo de edad 35 - 39 años</v>
      </c>
      <c r="CR51" s="2784" t="str">
        <f t="shared" si="103"/>
        <v>* El total de Procesados debe ser mayor o igual al total de Reactivos en el grupo de edad 40 - 44 años</v>
      </c>
      <c r="CS51" s="2784" t="str">
        <f t="shared" si="104"/>
        <v>* El total de Procesados debe ser mayor o igual al total de Reactivos en el grupo de edad 50 - 54 años</v>
      </c>
      <c r="CT51" s="2784" t="str">
        <f t="shared" si="105"/>
        <v>* El total de Procesados debe ser mayor o igual al total de Reactivos en el grupo de edad 55 - 59 años</v>
      </c>
      <c r="CU51" s="2784" t="str">
        <f t="shared" si="106"/>
        <v>* El total de Procesados debe ser mayor o igual al total de Reactivos en el grupo de edad 60 - 64 años</v>
      </c>
      <c r="CV51" s="2784" t="str">
        <f t="shared" si="134"/>
        <v>* El total de Procesados debe ser mayor o igual al total de Reactivos en el grupo de edad 65 - 69 años</v>
      </c>
      <c r="CW51" s="2784" t="str">
        <f t="shared" si="135"/>
        <v>* El total de Procesados debe ser mayor o igual al total de Reactivos en el grupo de edad 70 - 74 años</v>
      </c>
      <c r="CX51" s="2784" t="str">
        <f t="shared" si="136"/>
        <v>* El total de Procesados debe ser mayor o igual al total de Reactivos en el grupo de edad 75 - 79 años</v>
      </c>
      <c r="CY51" s="2784" t="str">
        <f t="shared" si="137"/>
        <v>* El total de Procesados debe ser mayor o igual al total de Reactivos en el grupo de edad 80 y más años</v>
      </c>
      <c r="DF51" s="2630"/>
      <c r="DG51" s="2784" t="e">
        <f t="shared" si="111"/>
        <v>#VALUE!</v>
      </c>
      <c r="DH51" s="2920" t="e">
        <f t="shared" si="78"/>
        <v>#VALUE!</v>
      </c>
      <c r="DI51" s="2920">
        <f t="shared" si="79"/>
        <v>1</v>
      </c>
      <c r="DJ51" s="2920">
        <f t="shared" si="80"/>
        <v>1</v>
      </c>
      <c r="DK51" s="2920">
        <f t="shared" si="138"/>
        <v>1</v>
      </c>
      <c r="DL51" s="2920">
        <f t="shared" si="139"/>
        <v>1</v>
      </c>
      <c r="DM51" s="2920">
        <f t="shared" si="140"/>
        <v>1</v>
      </c>
      <c r="DN51" s="2920">
        <f t="shared" si="141"/>
        <v>1</v>
      </c>
      <c r="DO51" s="2920">
        <f t="shared" si="142"/>
        <v>1</v>
      </c>
      <c r="DP51" s="2920">
        <f t="shared" si="143"/>
        <v>1</v>
      </c>
      <c r="DQ51" s="2920">
        <f t="shared" si="112"/>
        <v>1</v>
      </c>
      <c r="DR51" s="2920">
        <f t="shared" si="113"/>
        <v>1</v>
      </c>
      <c r="DS51" s="2920">
        <f t="shared" si="84"/>
        <v>1</v>
      </c>
      <c r="DT51" s="2920">
        <f t="shared" si="114"/>
        <v>1</v>
      </c>
      <c r="DU51" s="2920">
        <f t="shared" si="115"/>
        <v>1</v>
      </c>
      <c r="DV51" s="2920">
        <f t="shared" si="116"/>
        <v>1</v>
      </c>
      <c r="DW51" s="2920">
        <f t="shared" si="117"/>
        <v>1</v>
      </c>
      <c r="DX51" s="2920">
        <f t="shared" si="118"/>
        <v>1</v>
      </c>
      <c r="DY51" s="2920">
        <f t="shared" si="119"/>
        <v>1</v>
      </c>
      <c r="DZ51" s="2920">
        <f t="shared" si="144"/>
        <v>1</v>
      </c>
      <c r="EA51" s="2920">
        <f t="shared" si="145"/>
        <v>1</v>
      </c>
      <c r="EB51" s="2920">
        <f t="shared" si="146"/>
        <v>1</v>
      </c>
      <c r="EC51" s="2920">
        <f t="shared" si="147"/>
        <v>1</v>
      </c>
    </row>
    <row r="52" spans="1:133" x14ac:dyDescent="0.3">
      <c r="A52" s="6240">
        <v>11054219</v>
      </c>
      <c r="B52" s="5160" t="s">
        <v>2676</v>
      </c>
      <c r="C52" s="5107" t="s">
        <v>5292</v>
      </c>
      <c r="D52" s="5108" t="s">
        <v>5293</v>
      </c>
      <c r="E52" s="288" t="s">
        <v>5294</v>
      </c>
      <c r="F52" s="3491" t="s">
        <v>5295</v>
      </c>
      <c r="G52" s="3492" t="s">
        <v>5296</v>
      </c>
      <c r="H52" s="3491" t="s">
        <v>5297</v>
      </c>
      <c r="I52" s="3492" t="s">
        <v>5298</v>
      </c>
      <c r="J52" s="3493" t="s">
        <v>5299</v>
      </c>
      <c r="K52" s="288" t="s">
        <v>5300</v>
      </c>
      <c r="L52" s="288" t="s">
        <v>5301</v>
      </c>
      <c r="M52" s="3492" t="s">
        <v>5302</v>
      </c>
      <c r="N52" s="3493" t="s">
        <v>5303</v>
      </c>
      <c r="O52" s="288" t="s">
        <v>5304</v>
      </c>
      <c r="P52" s="3491" t="s">
        <v>5305</v>
      </c>
      <c r="Q52" s="3492" t="s">
        <v>5306</v>
      </c>
      <c r="R52" s="3491" t="s">
        <v>5307</v>
      </c>
      <c r="S52" s="3492" t="s">
        <v>5308</v>
      </c>
      <c r="T52" s="3491" t="s">
        <v>5309</v>
      </c>
      <c r="U52" s="3492" t="s">
        <v>5310</v>
      </c>
      <c r="V52" s="3491" t="s">
        <v>5311</v>
      </c>
      <c r="W52" s="3492" t="s">
        <v>5312</v>
      </c>
      <c r="X52" s="3491" t="s">
        <v>5313</v>
      </c>
      <c r="Y52" s="3492" t="s">
        <v>5314</v>
      </c>
      <c r="Z52" s="3491" t="s">
        <v>5315</v>
      </c>
      <c r="AA52" s="3492" t="s">
        <v>5316</v>
      </c>
      <c r="AB52" s="3491" t="s">
        <v>5317</v>
      </c>
      <c r="AC52" s="3492" t="s">
        <v>5318</v>
      </c>
      <c r="AD52" s="3491" t="s">
        <v>5319</v>
      </c>
      <c r="AE52" s="3492" t="s">
        <v>5320</v>
      </c>
      <c r="AF52" s="3491" t="s">
        <v>5321</v>
      </c>
      <c r="AG52" s="3492" t="s">
        <v>5322</v>
      </c>
      <c r="AH52" s="3491" t="s">
        <v>5323</v>
      </c>
      <c r="AI52" s="3492" t="s">
        <v>5324</v>
      </c>
      <c r="AJ52" s="3491" t="s">
        <v>5325</v>
      </c>
      <c r="AK52" s="3492" t="s">
        <v>5326</v>
      </c>
      <c r="AL52" s="3491" t="s">
        <v>5327</v>
      </c>
      <c r="AM52" s="3492" t="s">
        <v>5328</v>
      </c>
      <c r="AN52" s="3491" t="s">
        <v>5329</v>
      </c>
      <c r="AO52" s="3492" t="s">
        <v>5330</v>
      </c>
      <c r="AP52" s="3491" t="s">
        <v>5331</v>
      </c>
      <c r="AQ52" s="3492" t="s">
        <v>5332</v>
      </c>
      <c r="AR52" s="3494" t="s">
        <v>5333</v>
      </c>
      <c r="AS52" s="288" t="s">
        <v>5334</v>
      </c>
      <c r="AT52" s="3494" t="s">
        <v>5335</v>
      </c>
      <c r="AU52" s="3495" t="s">
        <v>5336</v>
      </c>
      <c r="AV52" s="3494" t="s">
        <v>5337</v>
      </c>
      <c r="AW52" s="6192" t="s">
        <v>5338</v>
      </c>
      <c r="AX52" s="3493" t="s">
        <v>5339</v>
      </c>
      <c r="AY52" s="1687" t="e">
        <f t="shared" si="148"/>
        <v>#VALUE!</v>
      </c>
      <c r="CB52" s="600"/>
      <c r="CC52" s="2784" t="e">
        <f t="shared" si="99"/>
        <v>#VALUE!</v>
      </c>
      <c r="CD52" s="2784" t="e">
        <f t="shared" si="60"/>
        <v>#VALUE!</v>
      </c>
      <c r="CE52" s="2784" t="str">
        <f t="shared" si="61"/>
        <v xml:space="preserve"> *El Número de Pueblos Originarios no puede superar el Total Procesados. </v>
      </c>
      <c r="CF52" s="2784" t="str">
        <f t="shared" si="62"/>
        <v xml:space="preserve"> *El Número de Migrantes no puede superar el Total Procesados. </v>
      </c>
      <c r="CG52" s="2784" t="str">
        <f t="shared" si="128"/>
        <v>* El total de Procesados debe ser mayor o igual al total de Reactivos en el grupo de edad Menos de 6 meses</v>
      </c>
      <c r="CH52" s="2784" t="str">
        <f t="shared" si="129"/>
        <v>* El total de Procesados debe ser mayor o igual al total de Reactivos en el grupo de edad 6 - 11 meses</v>
      </c>
      <c r="CI52" s="2784" t="str">
        <f t="shared" si="130"/>
        <v>* El total de Procesados debe ser mayor o igual al total de Reactivos en el grupo de edad 12-24 meses</v>
      </c>
      <c r="CJ52" s="2784" t="str">
        <f t="shared" si="131"/>
        <v>* El total de Procesados debe ser mayor o igual al total de Reactivos en el grupo de edad 3 - 4 años</v>
      </c>
      <c r="CK52" s="2784" t="str">
        <f t="shared" si="132"/>
        <v>* El total de Procesados debe ser mayor o igual al total de Reactivos en el grupo de edad 5 - 9 años</v>
      </c>
      <c r="CL52" s="2784" t="str">
        <f t="shared" si="133"/>
        <v>* El total de Procesados debe ser mayor o igual al total de Reactivos en el grupo de edad 10 - 14 años</v>
      </c>
      <c r="CM52" s="2784" t="str">
        <f t="shared" si="127"/>
        <v>* El total de Procesados debe ser mayor o igual al total de Reactivos en el grupo de edad 15 - 19 años</v>
      </c>
      <c r="CN52" s="2784" t="str">
        <f t="shared" si="100"/>
        <v>* El total de Procesados debe ser mayor o igual al total de Reactivos en el grupo de edad 20 - 24 años</v>
      </c>
      <c r="CO52" s="2784" t="str">
        <f t="shared" si="66"/>
        <v>* El total de Procesados debe ser mayor o igual al total de Reactivos en el grupo de edad 25 - 29 años</v>
      </c>
      <c r="CP52" s="2784" t="str">
        <f t="shared" si="101"/>
        <v>* El total de Procesados debe ser mayor o igual al total de Reactivos en el grupo de edad 30 - 34 años</v>
      </c>
      <c r="CQ52" s="2784" t="str">
        <f t="shared" si="102"/>
        <v>* El total de Procesados debe ser mayor o igual al total de Reactivos en el grupo de edad 35 - 39 años</v>
      </c>
      <c r="CR52" s="2784" t="str">
        <f t="shared" si="103"/>
        <v>* El total de Procesados debe ser mayor o igual al total de Reactivos en el grupo de edad 40 - 44 años</v>
      </c>
      <c r="CS52" s="2784" t="str">
        <f t="shared" si="104"/>
        <v>* El total de Procesados debe ser mayor o igual al total de Reactivos en el grupo de edad 50 - 54 años</v>
      </c>
      <c r="CT52" s="2784" t="str">
        <f t="shared" si="105"/>
        <v>* El total de Procesados debe ser mayor o igual al total de Reactivos en el grupo de edad 55 - 59 años</v>
      </c>
      <c r="CU52" s="2784" t="str">
        <f t="shared" si="106"/>
        <v>* El total de Procesados debe ser mayor o igual al total de Reactivos en el grupo de edad 60 - 64 años</v>
      </c>
      <c r="CV52" s="2784" t="str">
        <f t="shared" si="134"/>
        <v>* El total de Procesados debe ser mayor o igual al total de Reactivos en el grupo de edad 65 - 69 años</v>
      </c>
      <c r="CW52" s="2784" t="str">
        <f t="shared" si="135"/>
        <v>* El total de Procesados debe ser mayor o igual al total de Reactivos en el grupo de edad 70 - 74 años</v>
      </c>
      <c r="CX52" s="2784" t="str">
        <f t="shared" si="136"/>
        <v>* El total de Procesados debe ser mayor o igual al total de Reactivos en el grupo de edad 75 - 79 años</v>
      </c>
      <c r="CY52" s="2784" t="str">
        <f t="shared" si="137"/>
        <v>* El total de Procesados debe ser mayor o igual al total de Reactivos en el grupo de edad 80 y más años</v>
      </c>
      <c r="DF52" s="2630"/>
      <c r="DG52" s="2784" t="e">
        <f t="shared" si="111"/>
        <v>#VALUE!</v>
      </c>
      <c r="DH52" s="2920" t="e">
        <f t="shared" si="78"/>
        <v>#VALUE!</v>
      </c>
      <c r="DI52" s="2920">
        <f t="shared" si="79"/>
        <v>1</v>
      </c>
      <c r="DJ52" s="2920">
        <f t="shared" si="80"/>
        <v>1</v>
      </c>
      <c r="DK52" s="2920">
        <f t="shared" si="138"/>
        <v>1</v>
      </c>
      <c r="DL52" s="2920">
        <f t="shared" si="139"/>
        <v>1</v>
      </c>
      <c r="DM52" s="2920">
        <f t="shared" si="140"/>
        <v>1</v>
      </c>
      <c r="DN52" s="2920">
        <f t="shared" si="141"/>
        <v>1</v>
      </c>
      <c r="DO52" s="2920">
        <f t="shared" si="142"/>
        <v>1</v>
      </c>
      <c r="DP52" s="2920">
        <f t="shared" si="143"/>
        <v>1</v>
      </c>
      <c r="DQ52" s="2920">
        <f t="shared" si="112"/>
        <v>1</v>
      </c>
      <c r="DR52" s="2920">
        <f t="shared" si="113"/>
        <v>1</v>
      </c>
      <c r="DS52" s="2920">
        <f t="shared" si="84"/>
        <v>1</v>
      </c>
      <c r="DT52" s="2920">
        <f t="shared" si="114"/>
        <v>1</v>
      </c>
      <c r="DU52" s="2920">
        <f t="shared" si="115"/>
        <v>1</v>
      </c>
      <c r="DV52" s="2920">
        <f t="shared" si="116"/>
        <v>1</v>
      </c>
      <c r="DW52" s="2920">
        <f t="shared" si="117"/>
        <v>1</v>
      </c>
      <c r="DX52" s="2920">
        <f t="shared" si="118"/>
        <v>1</v>
      </c>
      <c r="DY52" s="2920">
        <f t="shared" si="119"/>
        <v>1</v>
      </c>
      <c r="DZ52" s="2920">
        <f t="shared" si="144"/>
        <v>1</v>
      </c>
      <c r="EA52" s="2920">
        <f t="shared" si="145"/>
        <v>1</v>
      </c>
      <c r="EB52" s="2920">
        <f t="shared" si="146"/>
        <v>1</v>
      </c>
      <c r="EC52" s="2920">
        <f t="shared" si="147"/>
        <v>1</v>
      </c>
    </row>
    <row r="53" spans="1:133" ht="18" customHeight="1" x14ac:dyDescent="0.3">
      <c r="A53" s="599"/>
      <c r="B53" s="5158" t="s">
        <v>2678</v>
      </c>
      <c r="C53" s="5158"/>
      <c r="D53" s="5158"/>
      <c r="E53" s="5158"/>
      <c r="F53" s="5158"/>
      <c r="G53" s="5158"/>
      <c r="H53" s="5158"/>
      <c r="I53" s="5158"/>
      <c r="J53" s="5158"/>
      <c r="K53" s="5158"/>
      <c r="L53" s="5158"/>
      <c r="M53" s="5158"/>
      <c r="N53" s="5158"/>
      <c r="O53" s="5158"/>
      <c r="P53" s="5158"/>
      <c r="Q53" s="5158"/>
      <c r="R53" s="5158"/>
      <c r="S53" s="5158"/>
      <c r="T53" s="5158"/>
      <c r="U53" s="5158"/>
      <c r="V53" s="5158"/>
      <c r="W53" s="5158"/>
      <c r="X53" s="5158"/>
      <c r="Y53" s="5158"/>
      <c r="Z53" s="5158"/>
      <c r="AA53" s="5158"/>
      <c r="AB53" s="5158"/>
      <c r="AC53" s="5158"/>
      <c r="AD53" s="5158"/>
      <c r="AE53" s="5158"/>
      <c r="AF53" s="5158"/>
      <c r="AG53" s="5158"/>
      <c r="AH53" s="5158"/>
      <c r="AI53" s="5158"/>
      <c r="AJ53" s="5158"/>
      <c r="AK53" s="5158"/>
      <c r="AL53" s="5158"/>
      <c r="AM53" s="5158"/>
      <c r="AN53" s="5158"/>
      <c r="AO53" s="5158"/>
      <c r="AP53" s="5158"/>
      <c r="AQ53" s="5158"/>
      <c r="AR53" s="5158"/>
      <c r="AS53" s="600"/>
      <c r="AT53" s="600"/>
      <c r="AU53" s="600"/>
      <c r="AV53" s="600"/>
      <c r="AW53" s="600"/>
      <c r="AX53" s="600"/>
    </row>
    <row r="54" spans="1:133" x14ac:dyDescent="0.3">
      <c r="A54" s="599"/>
      <c r="B54" s="7541" t="s">
        <v>2655</v>
      </c>
      <c r="C54" s="7542" t="s">
        <v>24</v>
      </c>
      <c r="D54" s="7523"/>
      <c r="E54" s="7524" t="s">
        <v>12</v>
      </c>
      <c r="F54" s="7525"/>
      <c r="G54" s="7525"/>
      <c r="H54" s="7525"/>
      <c r="I54" s="7525"/>
      <c r="J54" s="7525"/>
      <c r="K54" s="7525"/>
      <c r="L54" s="7525"/>
      <c r="M54" s="7525"/>
      <c r="N54" s="7525"/>
      <c r="O54" s="7525"/>
      <c r="P54" s="7525"/>
      <c r="Q54" s="7525"/>
      <c r="R54" s="7525"/>
      <c r="S54" s="7525"/>
      <c r="T54" s="7525"/>
      <c r="U54" s="7525"/>
      <c r="V54" s="7525"/>
      <c r="W54" s="7525"/>
      <c r="X54" s="7525"/>
      <c r="Y54" s="7525"/>
      <c r="Z54" s="7525"/>
      <c r="AA54" s="7525"/>
      <c r="AB54" s="7525"/>
      <c r="AC54" s="7525"/>
      <c r="AD54" s="7525"/>
      <c r="AE54" s="7525"/>
      <c r="AF54" s="7525"/>
      <c r="AG54" s="7525"/>
      <c r="AH54" s="7525"/>
      <c r="AI54" s="7525"/>
      <c r="AJ54" s="7525"/>
      <c r="AK54" s="7525"/>
      <c r="AL54" s="7525"/>
      <c r="AM54" s="7525"/>
      <c r="AN54" s="7525"/>
      <c r="AO54" s="7525"/>
      <c r="AP54" s="7525"/>
      <c r="AQ54" s="7525"/>
      <c r="AR54" s="7526"/>
      <c r="AS54" s="7527" t="s">
        <v>2656</v>
      </c>
      <c r="AT54" s="7528"/>
      <c r="AU54" s="7529" t="s">
        <v>48</v>
      </c>
      <c r="AV54" s="7530"/>
      <c r="AW54" s="7535" t="s">
        <v>2</v>
      </c>
      <c r="AX54" s="7538" t="s">
        <v>3</v>
      </c>
    </row>
    <row r="55" spans="1:133" x14ac:dyDescent="0.3">
      <c r="A55" s="599"/>
      <c r="B55" s="7108"/>
      <c r="C55" s="7151"/>
      <c r="D55" s="7150"/>
      <c r="E55" s="7533" t="s">
        <v>3778</v>
      </c>
      <c r="F55" s="7527"/>
      <c r="G55" s="7533" t="s">
        <v>3706</v>
      </c>
      <c r="H55" s="7527"/>
      <c r="I55" s="7533" t="s">
        <v>54</v>
      </c>
      <c r="J55" s="7534"/>
      <c r="K55" s="7527" t="s">
        <v>3705</v>
      </c>
      <c r="L55" s="7527"/>
      <c r="M55" s="7533" t="s">
        <v>37</v>
      </c>
      <c r="N55" s="7527"/>
      <c r="O55" s="7533" t="s">
        <v>38</v>
      </c>
      <c r="P55" s="7527"/>
      <c r="Q55" s="7533" t="s">
        <v>4</v>
      </c>
      <c r="R55" s="7527"/>
      <c r="S55" s="7533" t="s">
        <v>5</v>
      </c>
      <c r="T55" s="7527"/>
      <c r="U55" s="7533" t="s">
        <v>6</v>
      </c>
      <c r="V55" s="7534"/>
      <c r="W55" s="7533" t="s">
        <v>7</v>
      </c>
      <c r="X55" s="7534"/>
      <c r="Y55" s="7533" t="s">
        <v>8</v>
      </c>
      <c r="Z55" s="7534"/>
      <c r="AA55" s="7533" t="s">
        <v>9</v>
      </c>
      <c r="AB55" s="7534"/>
      <c r="AC55" s="7533" t="s">
        <v>10</v>
      </c>
      <c r="AD55" s="7534"/>
      <c r="AE55" s="7533" t="s">
        <v>11</v>
      </c>
      <c r="AF55" s="7534"/>
      <c r="AG55" s="7533" t="s">
        <v>18</v>
      </c>
      <c r="AH55" s="7534"/>
      <c r="AI55" s="7533" t="s">
        <v>19</v>
      </c>
      <c r="AJ55" s="7534"/>
      <c r="AK55" s="7533" t="s">
        <v>20</v>
      </c>
      <c r="AL55" s="7534"/>
      <c r="AM55" s="7533" t="s">
        <v>70</v>
      </c>
      <c r="AN55" s="7534"/>
      <c r="AO55" s="7533" t="s">
        <v>71</v>
      </c>
      <c r="AP55" s="7534"/>
      <c r="AQ55" s="7533" t="s">
        <v>32</v>
      </c>
      <c r="AR55" s="7528"/>
      <c r="AS55" s="7535" t="s">
        <v>22</v>
      </c>
      <c r="AT55" s="7539" t="s">
        <v>27</v>
      </c>
      <c r="AU55" s="7531"/>
      <c r="AV55" s="7532"/>
      <c r="AW55" s="7536"/>
      <c r="AX55" s="6324"/>
    </row>
    <row r="56" spans="1:133" x14ac:dyDescent="0.3">
      <c r="A56" s="599"/>
      <c r="B56" s="7109"/>
      <c r="C56" s="5136" t="s">
        <v>2657</v>
      </c>
      <c r="D56" s="5135" t="s">
        <v>2658</v>
      </c>
      <c r="E56" s="5133" t="s">
        <v>2657</v>
      </c>
      <c r="F56" s="5134" t="s">
        <v>2658</v>
      </c>
      <c r="G56" s="5133" t="s">
        <v>2657</v>
      </c>
      <c r="H56" s="5134" t="s">
        <v>2658</v>
      </c>
      <c r="I56" s="5133" t="s">
        <v>2657</v>
      </c>
      <c r="J56" s="5135" t="s">
        <v>2658</v>
      </c>
      <c r="K56" s="5136" t="s">
        <v>2657</v>
      </c>
      <c r="L56" s="5134" t="s">
        <v>2658</v>
      </c>
      <c r="M56" s="5133" t="s">
        <v>2657</v>
      </c>
      <c r="N56" s="5134" t="s">
        <v>2658</v>
      </c>
      <c r="O56" s="5133" t="s">
        <v>2657</v>
      </c>
      <c r="P56" s="5134" t="s">
        <v>2658</v>
      </c>
      <c r="Q56" s="5133" t="s">
        <v>2657</v>
      </c>
      <c r="R56" s="5134" t="s">
        <v>2658</v>
      </c>
      <c r="S56" s="5133" t="s">
        <v>2657</v>
      </c>
      <c r="T56" s="5134" t="s">
        <v>2658</v>
      </c>
      <c r="U56" s="5133" t="s">
        <v>2657</v>
      </c>
      <c r="V56" s="5134" t="s">
        <v>2658</v>
      </c>
      <c r="W56" s="5133" t="s">
        <v>2657</v>
      </c>
      <c r="X56" s="5134" t="s">
        <v>2658</v>
      </c>
      <c r="Y56" s="5133" t="s">
        <v>2657</v>
      </c>
      <c r="Z56" s="5134" t="s">
        <v>2658</v>
      </c>
      <c r="AA56" s="5133" t="s">
        <v>2657</v>
      </c>
      <c r="AB56" s="5134" t="s">
        <v>2658</v>
      </c>
      <c r="AC56" s="5133" t="s">
        <v>2657</v>
      </c>
      <c r="AD56" s="5134" t="s">
        <v>2658</v>
      </c>
      <c r="AE56" s="5133" t="s">
        <v>2657</v>
      </c>
      <c r="AF56" s="5134" t="s">
        <v>2658</v>
      </c>
      <c r="AG56" s="5133" t="s">
        <v>2657</v>
      </c>
      <c r="AH56" s="5134" t="s">
        <v>2658</v>
      </c>
      <c r="AI56" s="5133" t="s">
        <v>2657</v>
      </c>
      <c r="AJ56" s="5134" t="s">
        <v>2658</v>
      </c>
      <c r="AK56" s="5133" t="s">
        <v>2657</v>
      </c>
      <c r="AL56" s="5134" t="s">
        <v>2658</v>
      </c>
      <c r="AM56" s="5133" t="s">
        <v>2657</v>
      </c>
      <c r="AN56" s="5134" t="s">
        <v>2658</v>
      </c>
      <c r="AO56" s="5133" t="s">
        <v>2657</v>
      </c>
      <c r="AP56" s="5134" t="s">
        <v>2658</v>
      </c>
      <c r="AQ56" s="5133" t="s">
        <v>2657</v>
      </c>
      <c r="AR56" s="5137" t="s">
        <v>2658</v>
      </c>
      <c r="AS56" s="7537"/>
      <c r="AT56" s="7540"/>
      <c r="AU56" s="4800" t="s">
        <v>41</v>
      </c>
      <c r="AV56" s="5138" t="s">
        <v>42</v>
      </c>
      <c r="AW56" s="7537"/>
      <c r="AX56" s="7146"/>
    </row>
    <row r="57" spans="1:133" x14ac:dyDescent="0.3">
      <c r="A57" s="6234">
        <v>11056400</v>
      </c>
      <c r="B57" s="5159" t="s">
        <v>2659</v>
      </c>
      <c r="C57" s="5140" t="s">
        <v>5292</v>
      </c>
      <c r="D57" s="5141" t="s">
        <v>5293</v>
      </c>
      <c r="E57" s="3475" t="s">
        <v>5294</v>
      </c>
      <c r="F57" s="5149" t="s">
        <v>5295</v>
      </c>
      <c r="G57" s="5148" t="s">
        <v>5296</v>
      </c>
      <c r="H57" s="5149" t="s">
        <v>5297</v>
      </c>
      <c r="I57" s="5148" t="s">
        <v>5298</v>
      </c>
      <c r="J57" s="5149" t="s">
        <v>5299</v>
      </c>
      <c r="K57" s="5148" t="s">
        <v>5300</v>
      </c>
      <c r="L57" s="5149" t="s">
        <v>5301</v>
      </c>
      <c r="M57" s="5148" t="s">
        <v>5302</v>
      </c>
      <c r="N57" s="5150" t="s">
        <v>5303</v>
      </c>
      <c r="O57" s="3479" t="s">
        <v>5304</v>
      </c>
      <c r="P57" s="5151" t="s">
        <v>5305</v>
      </c>
      <c r="Q57" s="5038" t="s">
        <v>5306</v>
      </c>
      <c r="R57" s="5151" t="s">
        <v>5307</v>
      </c>
      <c r="S57" s="5038" t="s">
        <v>5308</v>
      </c>
      <c r="T57" s="5151" t="s">
        <v>5309</v>
      </c>
      <c r="U57" s="5038" t="s">
        <v>5310</v>
      </c>
      <c r="V57" s="5151" t="s">
        <v>5311</v>
      </c>
      <c r="W57" s="5038" t="s">
        <v>5312</v>
      </c>
      <c r="X57" s="5151" t="s">
        <v>5313</v>
      </c>
      <c r="Y57" s="5038" t="s">
        <v>5314</v>
      </c>
      <c r="Z57" s="5151" t="s">
        <v>5315</v>
      </c>
      <c r="AA57" s="5038" t="s">
        <v>5316</v>
      </c>
      <c r="AB57" s="5151" t="s">
        <v>5317</v>
      </c>
      <c r="AC57" s="5038" t="s">
        <v>5318</v>
      </c>
      <c r="AD57" s="5151" t="s">
        <v>5319</v>
      </c>
      <c r="AE57" s="5038" t="s">
        <v>5320</v>
      </c>
      <c r="AF57" s="5151" t="s">
        <v>5321</v>
      </c>
      <c r="AG57" s="5038" t="s">
        <v>5322</v>
      </c>
      <c r="AH57" s="5151" t="s">
        <v>5323</v>
      </c>
      <c r="AI57" s="5038" t="s">
        <v>5324</v>
      </c>
      <c r="AJ57" s="5151" t="s">
        <v>5325</v>
      </c>
      <c r="AK57" s="5038" t="s">
        <v>5326</v>
      </c>
      <c r="AL57" s="5151" t="s">
        <v>5327</v>
      </c>
      <c r="AM57" s="5038" t="s">
        <v>5328</v>
      </c>
      <c r="AN57" s="5151" t="s">
        <v>5329</v>
      </c>
      <c r="AO57" s="5038" t="s">
        <v>5330</v>
      </c>
      <c r="AP57" s="5151" t="s">
        <v>5331</v>
      </c>
      <c r="AQ57" s="5038" t="s">
        <v>5332</v>
      </c>
      <c r="AR57" s="5145" t="s">
        <v>5333</v>
      </c>
      <c r="AS57" s="3483" t="s">
        <v>5334</v>
      </c>
      <c r="AT57" s="5145" t="s">
        <v>5335</v>
      </c>
      <c r="AU57" s="5146" t="s">
        <v>5336</v>
      </c>
      <c r="AV57" s="5145" t="s">
        <v>5337</v>
      </c>
      <c r="AW57" s="3479" t="s">
        <v>5338</v>
      </c>
      <c r="AX57" s="5147" t="s">
        <v>5339</v>
      </c>
      <c r="AY57" s="1687" t="e">
        <f>CC57&amp;CD57&amp;CE57&amp;CF57&amp;CL57&amp;CM57&amp;CN57&amp;CO57&amp;CP57&amp;CQ57&amp;CR57&amp;CS57&amp;CT57&amp;CU57&amp;CV57&amp;CW57&amp;CX57&amp;CY57</f>
        <v>#VALUE!</v>
      </c>
      <c r="CB57" s="600"/>
      <c r="CC57" s="4747" t="str">
        <f>IF(C57&lt;&gt;(AT57)," * La suma de las columnas "&amp;AS$10&amp;""&amp;" DEBE SER IGUAL a los Exámenes Procesados. ","")</f>
        <v xml:space="preserve"> * La suma de las columnas POR SEXO (Procesados) DEBE SER IGUAL a los Exámenes Procesados. </v>
      </c>
      <c r="CD57" s="2784" t="e">
        <f>IF(AND($C57&gt;0,AND(AU57="",AV57="")),"* No olvide ingresar las columnas Trans Masculino o Femenino (*Digite CERO si no tiene). ",IF((AU57+AV57)&gt;$C57,"* El Número de Trans Masculino o Femenino no puede superar el Total Procesados. ",""))</f>
        <v>#VALUE!</v>
      </c>
      <c r="CE57" s="2784" t="str">
        <f>IF(AND($C57&gt;0,AW57=""),"* No olvide ingresar la columna "&amp;AW$10&amp;""&amp;" *(Digite CERO si no tiene). ",IF(AW57&gt;$C57," *El Número de "&amp;AW$10&amp;""&amp;" no puede superar el Total Procesados. ",""))</f>
        <v xml:space="preserve"> *El Número de Pueblos Originarios no puede superar el Total Procesados. </v>
      </c>
      <c r="CF57" s="2784" t="str">
        <f>IF(AND($C57&gt;0,AX57=""),"* No olvide ingresar la columna "&amp;AX$10&amp;""&amp;" *(Digite CERO si no tiene). ",IF(AX57&gt;$C57," *El Número de "&amp;AX$10&amp;""&amp;" no puede superar el Total Procesados. ",""))</f>
        <v xml:space="preserve"> *El Número de Migrantes no puede superar el Total Procesados. </v>
      </c>
      <c r="CG57" s="3018"/>
      <c r="CH57" s="3018"/>
      <c r="CI57" s="3018"/>
      <c r="CJ57" s="3018"/>
      <c r="CK57" s="3018"/>
      <c r="CL57" s="2784" t="str">
        <f>IF(O57&lt;P57,CONCATENATE("* El total de Procesados debe ser mayor o igual al total de Reactivos en el grupo de edad ",$O$11),"")</f>
        <v>* El total de Procesados debe ser mayor o igual al total de Reactivos en el grupo de edad 10 - 14 años</v>
      </c>
      <c r="CM57" s="2784" t="str">
        <f>IF(Q57&lt;R57,CONCATENATE("* El total de Procesados debe ser mayor o igual al total de Reactivos en el grupo de edad ",$Q$11),"")</f>
        <v>* El total de Procesados debe ser mayor o igual al total de Reactivos en el grupo de edad 15 - 19 años</v>
      </c>
      <c r="CN57" s="2784" t="str">
        <f>IF(S57&lt;T57,CONCATENATE("* El total de Procesados debe ser mayor o igual al total de Reactivos en el grupo de edad ",$S$11),"")</f>
        <v>* El total de Procesados debe ser mayor o igual al total de Reactivos en el grupo de edad 20 - 24 años</v>
      </c>
      <c r="CO57" s="2784" t="str">
        <f>IF($U57&lt;$V57,CONCATENATE("* El total de Procesados debe ser mayor o igual al total de Reactivos en el grupo de edad ",$U$11),"")</f>
        <v>* El total de Procesados debe ser mayor o igual al total de Reactivos en el grupo de edad 25 - 29 años</v>
      </c>
      <c r="CP57" s="2784" t="str">
        <f>IF(W57&lt;X57,CONCATENATE("* El total de Procesados debe ser mayor o igual al total de Reactivos en el grupo de edad ",$W$11),"")</f>
        <v>* El total de Procesados debe ser mayor o igual al total de Reactivos en el grupo de edad 30 - 34 años</v>
      </c>
      <c r="CQ57" s="2784" t="str">
        <f>IF(Y57&lt;Z57,CONCATENATE("* El total de Procesados debe ser mayor o igual al total de Reactivos en el grupo de edad ",$Y$11),"")</f>
        <v>* El total de Procesados debe ser mayor o igual al total de Reactivos en el grupo de edad 35 - 39 años</v>
      </c>
      <c r="CR57" s="2784" t="str">
        <f>IF(AA57&lt;AB57,CONCATENATE("* El total de Procesados debe ser mayor o igual al total de Reactivos en el grupo de edad ",$AA$11),"")</f>
        <v>* El total de Procesados debe ser mayor o igual al total de Reactivos en el grupo de edad 40 - 44 años</v>
      </c>
      <c r="CS57" s="2784" t="str">
        <f>IF(AE57&lt;AF57,CONCATENATE("* El total de Procesados debe ser mayor o igual al total de Reactivos en el grupo de edad ",$AE$11),"")</f>
        <v>* El total de Procesados debe ser mayor o igual al total de Reactivos en el grupo de edad 50 - 54 años</v>
      </c>
      <c r="CT57" s="2784" t="str">
        <f>IF(AG57&lt;AH57,CONCATENATE("* El total de Procesados debe ser mayor o igual al total de Reactivos en el grupo de edad ",$AG$11),"")</f>
        <v>* El total de Procesados debe ser mayor o igual al total de Reactivos en el grupo de edad 55 - 59 años</v>
      </c>
      <c r="CU57" s="2784" t="str">
        <f>IF(AI57&lt;AJ57,CONCATENATE("* El total de Procesados debe ser mayor o igual al total de Reactivos en el grupo de edad ",$AI$11),"")</f>
        <v>* El total de Procesados debe ser mayor o igual al total de Reactivos en el grupo de edad 60 - 64 años</v>
      </c>
      <c r="CV57" s="2784" t="str">
        <f>IF(AK57&lt;AL57,CONCATENATE("* El total de Procesados debe ser mayor o igual al total de Reactivos en el grupo de edad ",$AK$11),"")</f>
        <v>* El total de Procesados debe ser mayor o igual al total de Reactivos en el grupo de edad 65 - 69 años</v>
      </c>
      <c r="CW57" s="2784" t="str">
        <f>IF(AM57&lt;AN57,CONCATENATE("* El total de Procesados debe ser mayor o igual al total de Reactivos en el grupo de edad ",$AM$11),"")</f>
        <v>* El total de Procesados debe ser mayor o igual al total de Reactivos en el grupo de edad 70 - 74 años</v>
      </c>
      <c r="CX57" s="2784" t="str">
        <f>IF(AO57&lt;AP57,CONCATENATE("* El total de Procesados debe ser mayor o igual al total de Reactivos en el grupo de edad ",$AO$11),"")</f>
        <v>* El total de Procesados debe ser mayor o igual al total de Reactivos en el grupo de edad 75 - 79 años</v>
      </c>
      <c r="CY57" s="2784" t="str">
        <f>IF(AQ57&lt;AR57,CONCATENATE("* El total de Procesados debe ser mayor o igual al total de Reactivos en el grupo de edad ",$AQ$11),"")</f>
        <v>* El total de Procesados debe ser mayor o igual al total de Reactivos en el grupo de edad 80 y más años</v>
      </c>
      <c r="DF57" s="2630"/>
      <c r="DG57" s="4747">
        <f>IF(C57&lt;&gt;(AT57),1,0)</f>
        <v>1</v>
      </c>
      <c r="DH57" s="2920" t="e">
        <f>IF(AND($C57&gt;0,AND(AU57="",AV57="")),1,IF((AU57+AV57)&gt;$C57,1,0))</f>
        <v>#VALUE!</v>
      </c>
      <c r="DI57" s="2920">
        <f>IF(AND($C57&gt;0,AW57=""),1,IF(AW57&gt;$C57,1,0))</f>
        <v>1</v>
      </c>
      <c r="DJ57" s="2920">
        <f>IF(AND($C57&gt;0,AX57=""),1,IF(AX57&gt;$C57,1,0))</f>
        <v>1</v>
      </c>
      <c r="DK57" s="3018"/>
      <c r="DL57" s="3018"/>
      <c r="DM57" s="3018"/>
      <c r="DN57" s="3018"/>
      <c r="DO57" s="3018"/>
      <c r="DP57" s="2920">
        <f>IF(O57&lt;P57,1,0)</f>
        <v>1</v>
      </c>
      <c r="DQ57" s="2920">
        <f>IF(Q57&lt;R57,1,0)</f>
        <v>1</v>
      </c>
      <c r="DR57" s="2920">
        <f>IF(S57&lt;T57,1,0)</f>
        <v>1</v>
      </c>
      <c r="DS57" s="2920">
        <f>IF($U57&lt;$V57,1,0)</f>
        <v>1</v>
      </c>
      <c r="DT57" s="2920">
        <f>IF(W57&lt;X57,1,0)</f>
        <v>1</v>
      </c>
      <c r="DU57" s="2920">
        <f>IF(Y57&lt;Z57,1,0)</f>
        <v>1</v>
      </c>
      <c r="DV57" s="2920">
        <f>IF(AA57&lt;AB57,1,0)</f>
        <v>1</v>
      </c>
      <c r="DW57" s="2920">
        <f>IF(AE57&lt;AF57,1,0)</f>
        <v>1</v>
      </c>
      <c r="DX57" s="2920">
        <f>IF(AG57&lt;AH57,1,0)</f>
        <v>1</v>
      </c>
      <c r="DY57" s="2920">
        <f>IF(AI57&lt;AJ57,1,0)</f>
        <v>1</v>
      </c>
      <c r="DZ57" s="2920">
        <f>IF(AK57&lt;AL57,1,0)</f>
        <v>1</v>
      </c>
      <c r="EA57" s="2920">
        <f>IF(AM57&lt;AN57,1,0)</f>
        <v>1</v>
      </c>
      <c r="EB57" s="2920">
        <f>IF(AO57&lt;AP57,1,0)</f>
        <v>1</v>
      </c>
      <c r="EC57" s="2920">
        <f>IF(AQ57&lt;AR57,1,0)</f>
        <v>1</v>
      </c>
    </row>
    <row r="58" spans="1:133" x14ac:dyDescent="0.3">
      <c r="A58" s="6234">
        <v>11056401</v>
      </c>
      <c r="B58" s="3184" t="s">
        <v>2660</v>
      </c>
      <c r="C58" s="1928" t="s">
        <v>5292</v>
      </c>
      <c r="D58" s="3242" t="s">
        <v>5293</v>
      </c>
      <c r="E58" s="3475" t="s">
        <v>5294</v>
      </c>
      <c r="F58" s="5149" t="s">
        <v>5295</v>
      </c>
      <c r="G58" s="5148" t="s">
        <v>5296</v>
      </c>
      <c r="H58" s="5149" t="s">
        <v>5297</v>
      </c>
      <c r="I58" s="5148" t="s">
        <v>5298</v>
      </c>
      <c r="J58" s="5149" t="s">
        <v>5299</v>
      </c>
      <c r="K58" s="5148" t="s">
        <v>5300</v>
      </c>
      <c r="L58" s="5149" t="s">
        <v>5301</v>
      </c>
      <c r="M58" s="5148" t="s">
        <v>5302</v>
      </c>
      <c r="N58" s="5150" t="s">
        <v>5303</v>
      </c>
      <c r="O58" s="3479" t="s">
        <v>5304</v>
      </c>
      <c r="P58" s="5151" t="s">
        <v>5305</v>
      </c>
      <c r="Q58" s="5038" t="s">
        <v>5306</v>
      </c>
      <c r="R58" s="5151" t="s">
        <v>5307</v>
      </c>
      <c r="S58" s="5038" t="s">
        <v>5308</v>
      </c>
      <c r="T58" s="5151" t="s">
        <v>5309</v>
      </c>
      <c r="U58" s="5038" t="s">
        <v>5310</v>
      </c>
      <c r="V58" s="5151" t="s">
        <v>5311</v>
      </c>
      <c r="W58" s="5038" t="s">
        <v>5312</v>
      </c>
      <c r="X58" s="5151" t="s">
        <v>5313</v>
      </c>
      <c r="Y58" s="5038" t="s">
        <v>5314</v>
      </c>
      <c r="Z58" s="5151" t="s">
        <v>5315</v>
      </c>
      <c r="AA58" s="5038" t="s">
        <v>5316</v>
      </c>
      <c r="AB58" s="5151" t="s">
        <v>5317</v>
      </c>
      <c r="AC58" s="5038" t="s">
        <v>5318</v>
      </c>
      <c r="AD58" s="5151" t="s">
        <v>5319</v>
      </c>
      <c r="AE58" s="5038" t="s">
        <v>5320</v>
      </c>
      <c r="AF58" s="5151" t="s">
        <v>5321</v>
      </c>
      <c r="AG58" s="5038" t="s">
        <v>5322</v>
      </c>
      <c r="AH58" s="5151" t="s">
        <v>5323</v>
      </c>
      <c r="AI58" s="5038" t="s">
        <v>5324</v>
      </c>
      <c r="AJ58" s="5151" t="s">
        <v>5325</v>
      </c>
      <c r="AK58" s="5038" t="s">
        <v>5326</v>
      </c>
      <c r="AL58" s="5151" t="s">
        <v>5327</v>
      </c>
      <c r="AM58" s="5038" t="s">
        <v>5328</v>
      </c>
      <c r="AN58" s="5151" t="s">
        <v>5329</v>
      </c>
      <c r="AO58" s="5038" t="s">
        <v>5330</v>
      </c>
      <c r="AP58" s="5151" t="s">
        <v>5331</v>
      </c>
      <c r="AQ58" s="5038" t="s">
        <v>5332</v>
      </c>
      <c r="AR58" s="5145" t="s">
        <v>5333</v>
      </c>
      <c r="AS58" s="3483" t="s">
        <v>5334</v>
      </c>
      <c r="AT58" s="5145" t="s">
        <v>5335</v>
      </c>
      <c r="AU58" s="5146" t="s">
        <v>5336</v>
      </c>
      <c r="AV58" s="5145" t="s">
        <v>5337</v>
      </c>
      <c r="AW58" s="3479" t="s">
        <v>5338</v>
      </c>
      <c r="AX58" s="5147" t="s">
        <v>5339</v>
      </c>
      <c r="AY58" s="1687" t="e">
        <f t="shared" ref="AY58:AY61" si="149">CC58&amp;CD58&amp;CE58&amp;CF58&amp;CL58&amp;CM58&amp;CN58&amp;CO58&amp;CP58&amp;CQ58&amp;CR58&amp;CS58&amp;CT58&amp;CU58&amp;CV58&amp;CW58&amp;CX58&amp;CY58</f>
        <v>#VALUE!</v>
      </c>
      <c r="CB58" s="600"/>
      <c r="CC58" s="4747" t="str">
        <f t="shared" ref="CC58:CC61" si="150">IF(C58&lt;&gt;(AT58)," * La suma de las columnas "&amp;AS$10&amp;""&amp;" DEBE SER IGUAL a los Exámenes Procesados. ","")</f>
        <v xml:space="preserve"> * La suma de las columnas POR SEXO (Procesados) DEBE SER IGUAL a los Exámenes Procesados. </v>
      </c>
      <c r="CD58" s="2784" t="e">
        <f t="shared" ref="CD58:CD74" si="151">IF(AND($C58&gt;0,AND(AU58="",AV58="")),"* No olvide ingresar las columnas Trans Masculino o Femenino (*Digite CERO si no tiene). ",IF((AU58+AV58)&gt;$C58,"* El Número de Trans Masculino o Femenino no puede superar el Total Procesados. ",""))</f>
        <v>#VALUE!</v>
      </c>
      <c r="CE58" s="2784" t="str">
        <f t="shared" ref="CE58:CE74" si="152">IF(AND($C58&gt;0,AW58=""),"* No olvide ingresar la columna "&amp;AW$10&amp;""&amp;" *(Digite CERO si no tiene). ",IF(AW58&gt;$C58," *El Número de "&amp;AW$10&amp;""&amp;" no puede superar el Total Procesados. ",""))</f>
        <v xml:space="preserve"> *El Número de Pueblos Originarios no puede superar el Total Procesados. </v>
      </c>
      <c r="CF58" s="2784" t="str">
        <f t="shared" ref="CF58:CF74" si="153">IF(AND($C58&gt;0,AX58=""),"* No olvide ingresar la columna "&amp;AX$10&amp;""&amp;" *(Digite CERO si no tiene). ",IF(AX58&gt;$C58," *El Número de "&amp;AX$10&amp;""&amp;" no puede superar el Total Procesados. ",""))</f>
        <v xml:space="preserve"> *El Número de Migrantes no puede superar el Total Procesados. </v>
      </c>
      <c r="CG58" s="3018"/>
      <c r="CH58" s="3018"/>
      <c r="CI58" s="3018"/>
      <c r="CJ58" s="3018"/>
      <c r="CK58" s="3018"/>
      <c r="CL58" s="2784" t="str">
        <f t="shared" ref="CL58:CL61" si="154">IF(O58&lt;P58,CONCATENATE("* El total de Procesados debe ser mayor o igual al total de Reactivos en el grupo de edad ",$O$11),"")</f>
        <v>* El total de Procesados debe ser mayor o igual al total de Reactivos en el grupo de edad 10 - 14 años</v>
      </c>
      <c r="CM58" s="2784" t="str">
        <f t="shared" ref="CM58:CM63" si="155">IF(Q58&lt;R58,CONCATENATE("* El total de Procesados debe ser mayor o igual al total de Reactivos en el grupo de edad ",$Q$11),"")</f>
        <v>* El total de Procesados debe ser mayor o igual al total de Reactivos en el grupo de edad 15 - 19 años</v>
      </c>
      <c r="CN58" s="2784" t="str">
        <f t="shared" ref="CN58:CN65" si="156">IF(S58&lt;T58,CONCATENATE("* El total de Procesados debe ser mayor o igual al total de Reactivos en el grupo de edad ",$S$11),"")</f>
        <v>* El total de Procesados debe ser mayor o igual al total de Reactivos en el grupo de edad 20 - 24 años</v>
      </c>
      <c r="CO58" s="2784" t="str">
        <f t="shared" ref="CO58:CO74" si="157">IF($U58&lt;$V58,CONCATENATE("* El total de Procesados debe ser mayor o igual al total de Reactivos en el grupo de edad ",$U$11),"")</f>
        <v>* El total de Procesados debe ser mayor o igual al total de Reactivos en el grupo de edad 25 - 29 años</v>
      </c>
      <c r="CP58" s="2784" t="str">
        <f t="shared" ref="CP58:CP65" si="158">IF(W58&lt;X58,CONCATENATE("* El total de Procesados debe ser mayor o igual al total de Reactivos en el grupo de edad ",$W$11),"")</f>
        <v>* El total de Procesados debe ser mayor o igual al total de Reactivos en el grupo de edad 30 - 34 años</v>
      </c>
      <c r="CQ58" s="2784" t="str">
        <f t="shared" ref="CQ58:CQ65" si="159">IF(Y58&lt;Z58,CONCATENATE("* El total de Procesados debe ser mayor o igual al total de Reactivos en el grupo de edad ",$Y$11),"")</f>
        <v>* El total de Procesados debe ser mayor o igual al total de Reactivos en el grupo de edad 35 - 39 años</v>
      </c>
      <c r="CR58" s="2784" t="str">
        <f t="shared" ref="CR58:CR65" si="160">IF(AA58&lt;AB58,CONCATENATE("* El total de Procesados debe ser mayor o igual al total de Reactivos en el grupo de edad ",$AA$11),"")</f>
        <v>* El total de Procesados debe ser mayor o igual al total de Reactivos en el grupo de edad 40 - 44 años</v>
      </c>
      <c r="CS58" s="2784" t="str">
        <f t="shared" ref="CS58:CS65" si="161">IF(AE58&lt;AF58,CONCATENATE("* El total de Procesados debe ser mayor o igual al total de Reactivos en el grupo de edad ",$AE$11),"")</f>
        <v>* El total de Procesados debe ser mayor o igual al total de Reactivos en el grupo de edad 50 - 54 años</v>
      </c>
      <c r="CT58" s="2784" t="str">
        <f t="shared" ref="CT58:CT65" si="162">IF(AG58&lt;AH58,CONCATENATE("* El total de Procesados debe ser mayor o igual al total de Reactivos en el grupo de edad ",$AG$11),"")</f>
        <v>* El total de Procesados debe ser mayor o igual al total de Reactivos en el grupo de edad 55 - 59 años</v>
      </c>
      <c r="CU58" s="2784" t="str">
        <f t="shared" ref="CU58:CU65" si="163">IF(AI58&lt;AJ58,CONCATENATE("* El total de Procesados debe ser mayor o igual al total de Reactivos en el grupo de edad ",$AI$11),"")</f>
        <v>* El total de Procesados debe ser mayor o igual al total de Reactivos en el grupo de edad 60 - 64 años</v>
      </c>
      <c r="CV58" s="2784" t="str">
        <f t="shared" ref="CV58:CV65" si="164">IF(AK58&lt;AL58,CONCATENATE("* El total de Procesados debe ser mayor o igual al total de Reactivos en el grupo de edad ",$AK$11),"")</f>
        <v>* El total de Procesados debe ser mayor o igual al total de Reactivos en el grupo de edad 65 - 69 años</v>
      </c>
      <c r="CW58" s="2784" t="str">
        <f t="shared" ref="CW58:CW65" si="165">IF(AM58&lt;AN58,CONCATENATE("* El total de Procesados debe ser mayor o igual al total de Reactivos en el grupo de edad ",$AM$11),"")</f>
        <v>* El total de Procesados debe ser mayor o igual al total de Reactivos en el grupo de edad 70 - 74 años</v>
      </c>
      <c r="CX58" s="2784" t="str">
        <f t="shared" ref="CX58:CX65" si="166">IF(AO58&lt;AP58,CONCATENATE("* El total de Procesados debe ser mayor o igual al total de Reactivos en el grupo de edad ",$AO$11),"")</f>
        <v>* El total de Procesados debe ser mayor o igual al total de Reactivos en el grupo de edad 75 - 79 años</v>
      </c>
      <c r="CY58" s="2784" t="str">
        <f t="shared" ref="CY58:CY65" si="167">IF(AQ58&lt;AR58,CONCATENATE("* El total de Procesados debe ser mayor o igual al total de Reactivos en el grupo de edad ",$AQ$11),"")</f>
        <v>* El total de Procesados debe ser mayor o igual al total de Reactivos en el grupo de edad 80 y más años</v>
      </c>
      <c r="DF58" s="2630"/>
      <c r="DG58" s="4747">
        <f t="shared" ref="DG58:DG61" si="168">IF(C58&lt;&gt;(AT58),1,0)</f>
        <v>1</v>
      </c>
      <c r="DH58" s="2920" t="e">
        <f t="shared" ref="DH58:DH74" si="169">IF(AND($C58&gt;0,AND(AU58="",AV58="")),1,IF((AU58+AV58)&gt;$C58,1,0))</f>
        <v>#VALUE!</v>
      </c>
      <c r="DI58" s="2920">
        <f t="shared" ref="DI58:DI74" si="170">IF(AND($C58&gt;0,AW58=""),1,IF(AW58&gt;$C58,1,0))</f>
        <v>1</v>
      </c>
      <c r="DJ58" s="2920">
        <f t="shared" ref="DJ58:DJ74" si="171">IF(AND($C58&gt;0,AX58=""),1,IF(AX58&gt;$C58,1,0))</f>
        <v>1</v>
      </c>
      <c r="DK58" s="3018"/>
      <c r="DL58" s="3018"/>
      <c r="DM58" s="3018"/>
      <c r="DN58" s="3018"/>
      <c r="DO58" s="3018"/>
      <c r="DP58" s="2920">
        <f t="shared" ref="DP58:DP65" si="172">IF(O58&lt;P58,1,0)</f>
        <v>1</v>
      </c>
      <c r="DQ58" s="2920">
        <f t="shared" ref="DQ58:DQ65" si="173">IF(Q58&lt;R58,1,0)</f>
        <v>1</v>
      </c>
      <c r="DR58" s="2920">
        <f t="shared" ref="DR58:DR65" si="174">IF(S58&lt;T58,1,0)</f>
        <v>1</v>
      </c>
      <c r="DS58" s="2920">
        <f t="shared" ref="DS58:DS74" si="175">IF($U58&lt;$V58,1,0)</f>
        <v>1</v>
      </c>
      <c r="DT58" s="2920">
        <f t="shared" ref="DT58:DT65" si="176">IF(W58&lt;X58,1,0)</f>
        <v>1</v>
      </c>
      <c r="DU58" s="2920">
        <f t="shared" ref="DU58:DU65" si="177">IF(Y58&lt;Z58,1,0)</f>
        <v>1</v>
      </c>
      <c r="DV58" s="2920">
        <f t="shared" ref="DV58:DV65" si="178">IF(AA58&lt;AB58,1,0)</f>
        <v>1</v>
      </c>
      <c r="DW58" s="2920">
        <f t="shared" ref="DW58:DW65" si="179">IF(AE58&lt;AF58,1,0)</f>
        <v>1</v>
      </c>
      <c r="DX58" s="2920">
        <f t="shared" ref="DX58:DX65" si="180">IF(AG58&lt;AH58,1,0)</f>
        <v>1</v>
      </c>
      <c r="DY58" s="2920">
        <f t="shared" ref="DY58:DY65" si="181">IF(AI58&lt;AJ58,1,0)</f>
        <v>1</v>
      </c>
      <c r="DZ58" s="2920">
        <f t="shared" ref="DZ58:DZ65" si="182">IF(AK58&lt;AL58,1,0)</f>
        <v>1</v>
      </c>
      <c r="EA58" s="2920">
        <f t="shared" ref="EA58:EA65" si="183">IF(AM58&lt;AN58,1,0)</f>
        <v>1</v>
      </c>
      <c r="EB58" s="2920">
        <f t="shared" ref="EB58:EB65" si="184">IF(AO58&lt;AP58,1,0)</f>
        <v>1</v>
      </c>
      <c r="EC58" s="2920">
        <f t="shared" ref="EC58:EC65" si="185">IF(AQ58&lt;AR58,1,0)</f>
        <v>1</v>
      </c>
    </row>
    <row r="59" spans="1:133" x14ac:dyDescent="0.3">
      <c r="A59" s="6234">
        <v>11056402</v>
      </c>
      <c r="B59" s="3184" t="s">
        <v>2661</v>
      </c>
      <c r="C59" s="1928" t="s">
        <v>5292</v>
      </c>
      <c r="D59" s="3242" t="s">
        <v>5293</v>
      </c>
      <c r="E59" s="3475" t="s">
        <v>5294</v>
      </c>
      <c r="F59" s="5149" t="s">
        <v>5295</v>
      </c>
      <c r="G59" s="5148" t="s">
        <v>5296</v>
      </c>
      <c r="H59" s="5149" t="s">
        <v>5297</v>
      </c>
      <c r="I59" s="5148" t="s">
        <v>5298</v>
      </c>
      <c r="J59" s="5149" t="s">
        <v>5299</v>
      </c>
      <c r="K59" s="5148" t="s">
        <v>5300</v>
      </c>
      <c r="L59" s="5149" t="s">
        <v>5301</v>
      </c>
      <c r="M59" s="5148" t="s">
        <v>5302</v>
      </c>
      <c r="N59" s="5150" t="s">
        <v>5303</v>
      </c>
      <c r="O59" s="3479" t="s">
        <v>5304</v>
      </c>
      <c r="P59" s="5151" t="s">
        <v>5305</v>
      </c>
      <c r="Q59" s="5038" t="s">
        <v>5306</v>
      </c>
      <c r="R59" s="5151" t="s">
        <v>5307</v>
      </c>
      <c r="S59" s="5038" t="s">
        <v>5308</v>
      </c>
      <c r="T59" s="5151" t="s">
        <v>5309</v>
      </c>
      <c r="U59" s="5038" t="s">
        <v>5310</v>
      </c>
      <c r="V59" s="5151" t="s">
        <v>5311</v>
      </c>
      <c r="W59" s="5038" t="s">
        <v>5312</v>
      </c>
      <c r="X59" s="5151" t="s">
        <v>5313</v>
      </c>
      <c r="Y59" s="5038" t="s">
        <v>5314</v>
      </c>
      <c r="Z59" s="5151" t="s">
        <v>5315</v>
      </c>
      <c r="AA59" s="5038" t="s">
        <v>5316</v>
      </c>
      <c r="AB59" s="5151" t="s">
        <v>5317</v>
      </c>
      <c r="AC59" s="5038" t="s">
        <v>5318</v>
      </c>
      <c r="AD59" s="5151" t="s">
        <v>5319</v>
      </c>
      <c r="AE59" s="5038" t="s">
        <v>5320</v>
      </c>
      <c r="AF59" s="5151" t="s">
        <v>5321</v>
      </c>
      <c r="AG59" s="5038" t="s">
        <v>5322</v>
      </c>
      <c r="AH59" s="5151" t="s">
        <v>5323</v>
      </c>
      <c r="AI59" s="5038" t="s">
        <v>5324</v>
      </c>
      <c r="AJ59" s="5151" t="s">
        <v>5325</v>
      </c>
      <c r="AK59" s="5038" t="s">
        <v>5326</v>
      </c>
      <c r="AL59" s="5151" t="s">
        <v>5327</v>
      </c>
      <c r="AM59" s="5038" t="s">
        <v>5328</v>
      </c>
      <c r="AN59" s="5151" t="s">
        <v>5329</v>
      </c>
      <c r="AO59" s="5038" t="s">
        <v>5330</v>
      </c>
      <c r="AP59" s="5151" t="s">
        <v>5331</v>
      </c>
      <c r="AQ59" s="5038" t="s">
        <v>5332</v>
      </c>
      <c r="AR59" s="5145" t="s">
        <v>5333</v>
      </c>
      <c r="AS59" s="3483" t="s">
        <v>5334</v>
      </c>
      <c r="AT59" s="5145" t="s">
        <v>5335</v>
      </c>
      <c r="AU59" s="5146" t="s">
        <v>5336</v>
      </c>
      <c r="AV59" s="5145" t="s">
        <v>5337</v>
      </c>
      <c r="AW59" s="3479" t="s">
        <v>5338</v>
      </c>
      <c r="AX59" s="5147" t="s">
        <v>5339</v>
      </c>
      <c r="AY59" s="1687" t="e">
        <f t="shared" si="149"/>
        <v>#VALUE!</v>
      </c>
      <c r="CB59" s="600"/>
      <c r="CC59" s="4747" t="str">
        <f t="shared" si="150"/>
        <v xml:space="preserve"> * La suma de las columnas POR SEXO (Procesados) DEBE SER IGUAL a los Exámenes Procesados. </v>
      </c>
      <c r="CD59" s="2784" t="e">
        <f t="shared" si="151"/>
        <v>#VALUE!</v>
      </c>
      <c r="CE59" s="2784" t="str">
        <f t="shared" si="152"/>
        <v xml:space="preserve"> *El Número de Pueblos Originarios no puede superar el Total Procesados. </v>
      </c>
      <c r="CF59" s="2784" t="str">
        <f t="shared" si="153"/>
        <v xml:space="preserve"> *El Número de Migrantes no puede superar el Total Procesados. </v>
      </c>
      <c r="CG59" s="3018"/>
      <c r="CH59" s="3018"/>
      <c r="CI59" s="3018"/>
      <c r="CJ59" s="3018"/>
      <c r="CK59" s="3018"/>
      <c r="CL59" s="2784" t="str">
        <f t="shared" si="154"/>
        <v>* El total de Procesados debe ser mayor o igual al total de Reactivos en el grupo de edad 10 - 14 años</v>
      </c>
      <c r="CM59" s="2784" t="str">
        <f t="shared" si="155"/>
        <v>* El total de Procesados debe ser mayor o igual al total de Reactivos en el grupo de edad 15 - 19 años</v>
      </c>
      <c r="CN59" s="2784" t="str">
        <f t="shared" si="156"/>
        <v>* El total de Procesados debe ser mayor o igual al total de Reactivos en el grupo de edad 20 - 24 años</v>
      </c>
      <c r="CO59" s="2784" t="str">
        <f t="shared" si="157"/>
        <v>* El total de Procesados debe ser mayor o igual al total de Reactivos en el grupo de edad 25 - 29 años</v>
      </c>
      <c r="CP59" s="2784" t="str">
        <f t="shared" si="158"/>
        <v>* El total de Procesados debe ser mayor o igual al total de Reactivos en el grupo de edad 30 - 34 años</v>
      </c>
      <c r="CQ59" s="2784" t="str">
        <f t="shared" si="159"/>
        <v>* El total de Procesados debe ser mayor o igual al total de Reactivos en el grupo de edad 35 - 39 años</v>
      </c>
      <c r="CR59" s="2784" t="str">
        <f t="shared" si="160"/>
        <v>* El total de Procesados debe ser mayor o igual al total de Reactivos en el grupo de edad 40 - 44 años</v>
      </c>
      <c r="CS59" s="2784" t="str">
        <f t="shared" si="161"/>
        <v>* El total de Procesados debe ser mayor o igual al total de Reactivos en el grupo de edad 50 - 54 años</v>
      </c>
      <c r="CT59" s="2784" t="str">
        <f t="shared" si="162"/>
        <v>* El total de Procesados debe ser mayor o igual al total de Reactivos en el grupo de edad 55 - 59 años</v>
      </c>
      <c r="CU59" s="2784" t="str">
        <f t="shared" si="163"/>
        <v>* El total de Procesados debe ser mayor o igual al total de Reactivos en el grupo de edad 60 - 64 años</v>
      </c>
      <c r="CV59" s="2784" t="str">
        <f t="shared" si="164"/>
        <v>* El total de Procesados debe ser mayor o igual al total de Reactivos en el grupo de edad 65 - 69 años</v>
      </c>
      <c r="CW59" s="2784" t="str">
        <f t="shared" si="165"/>
        <v>* El total de Procesados debe ser mayor o igual al total de Reactivos en el grupo de edad 70 - 74 años</v>
      </c>
      <c r="CX59" s="2784" t="str">
        <f t="shared" si="166"/>
        <v>* El total de Procesados debe ser mayor o igual al total de Reactivos en el grupo de edad 75 - 79 años</v>
      </c>
      <c r="CY59" s="2784" t="str">
        <f t="shared" si="167"/>
        <v>* El total de Procesados debe ser mayor o igual al total de Reactivos en el grupo de edad 80 y más años</v>
      </c>
      <c r="DF59" s="2630"/>
      <c r="DG59" s="4747">
        <f t="shared" si="168"/>
        <v>1</v>
      </c>
      <c r="DH59" s="2920" t="e">
        <f t="shared" si="169"/>
        <v>#VALUE!</v>
      </c>
      <c r="DI59" s="2920">
        <f t="shared" si="170"/>
        <v>1</v>
      </c>
      <c r="DJ59" s="2920">
        <f t="shared" si="171"/>
        <v>1</v>
      </c>
      <c r="DK59" s="3018"/>
      <c r="DL59" s="3018"/>
      <c r="DM59" s="3018"/>
      <c r="DN59" s="3018"/>
      <c r="DO59" s="3018"/>
      <c r="DP59" s="2920">
        <f t="shared" si="172"/>
        <v>1</v>
      </c>
      <c r="DQ59" s="2920">
        <f t="shared" si="173"/>
        <v>1</v>
      </c>
      <c r="DR59" s="2920">
        <f t="shared" si="174"/>
        <v>1</v>
      </c>
      <c r="DS59" s="2920">
        <f t="shared" si="175"/>
        <v>1</v>
      </c>
      <c r="DT59" s="2920">
        <f t="shared" si="176"/>
        <v>1</v>
      </c>
      <c r="DU59" s="2920">
        <f t="shared" si="177"/>
        <v>1</v>
      </c>
      <c r="DV59" s="2920">
        <f t="shared" si="178"/>
        <v>1</v>
      </c>
      <c r="DW59" s="2920">
        <f t="shared" si="179"/>
        <v>1</v>
      </c>
      <c r="DX59" s="2920">
        <f t="shared" si="180"/>
        <v>1</v>
      </c>
      <c r="DY59" s="2920">
        <f t="shared" si="181"/>
        <v>1</v>
      </c>
      <c r="DZ59" s="2920">
        <f t="shared" si="182"/>
        <v>1</v>
      </c>
      <c r="EA59" s="2920">
        <f t="shared" si="183"/>
        <v>1</v>
      </c>
      <c r="EB59" s="2920">
        <f t="shared" si="184"/>
        <v>1</v>
      </c>
      <c r="EC59" s="2920">
        <f t="shared" si="185"/>
        <v>1</v>
      </c>
    </row>
    <row r="60" spans="1:133" x14ac:dyDescent="0.3">
      <c r="A60" s="6234">
        <v>11056403</v>
      </c>
      <c r="B60" s="3184" t="s">
        <v>2662</v>
      </c>
      <c r="C60" s="1928" t="s">
        <v>5292</v>
      </c>
      <c r="D60" s="3242" t="s">
        <v>5293</v>
      </c>
      <c r="E60" s="3475" t="s">
        <v>5294</v>
      </c>
      <c r="F60" s="5149" t="s">
        <v>5295</v>
      </c>
      <c r="G60" s="5148" t="s">
        <v>5296</v>
      </c>
      <c r="H60" s="5149" t="s">
        <v>5297</v>
      </c>
      <c r="I60" s="5148" t="s">
        <v>5298</v>
      </c>
      <c r="J60" s="5149" t="s">
        <v>5299</v>
      </c>
      <c r="K60" s="5148" t="s">
        <v>5300</v>
      </c>
      <c r="L60" s="5149" t="s">
        <v>5301</v>
      </c>
      <c r="M60" s="5148" t="s">
        <v>5302</v>
      </c>
      <c r="N60" s="5150" t="s">
        <v>5303</v>
      </c>
      <c r="O60" s="3479" t="s">
        <v>5304</v>
      </c>
      <c r="P60" s="5151" t="s">
        <v>5305</v>
      </c>
      <c r="Q60" s="5038" t="s">
        <v>5306</v>
      </c>
      <c r="R60" s="5151" t="s">
        <v>5307</v>
      </c>
      <c r="S60" s="5038" t="s">
        <v>5308</v>
      </c>
      <c r="T60" s="5151" t="s">
        <v>5309</v>
      </c>
      <c r="U60" s="5038" t="s">
        <v>5310</v>
      </c>
      <c r="V60" s="5151" t="s">
        <v>5311</v>
      </c>
      <c r="W60" s="5038" t="s">
        <v>5312</v>
      </c>
      <c r="X60" s="5151" t="s">
        <v>5313</v>
      </c>
      <c r="Y60" s="5038" t="s">
        <v>5314</v>
      </c>
      <c r="Z60" s="5151" t="s">
        <v>5315</v>
      </c>
      <c r="AA60" s="5038" t="s">
        <v>5316</v>
      </c>
      <c r="AB60" s="5151" t="s">
        <v>5317</v>
      </c>
      <c r="AC60" s="5038" t="s">
        <v>5318</v>
      </c>
      <c r="AD60" s="5151" t="s">
        <v>5319</v>
      </c>
      <c r="AE60" s="5038" t="s">
        <v>5320</v>
      </c>
      <c r="AF60" s="5151" t="s">
        <v>5321</v>
      </c>
      <c r="AG60" s="5038" t="s">
        <v>5322</v>
      </c>
      <c r="AH60" s="5151" t="s">
        <v>5323</v>
      </c>
      <c r="AI60" s="5038" t="s">
        <v>5324</v>
      </c>
      <c r="AJ60" s="5151" t="s">
        <v>5325</v>
      </c>
      <c r="AK60" s="5038" t="s">
        <v>5326</v>
      </c>
      <c r="AL60" s="5151" t="s">
        <v>5327</v>
      </c>
      <c r="AM60" s="5038" t="s">
        <v>5328</v>
      </c>
      <c r="AN60" s="5151" t="s">
        <v>5329</v>
      </c>
      <c r="AO60" s="5038" t="s">
        <v>5330</v>
      </c>
      <c r="AP60" s="5151" t="s">
        <v>5331</v>
      </c>
      <c r="AQ60" s="5038" t="s">
        <v>5332</v>
      </c>
      <c r="AR60" s="5145" t="s">
        <v>5333</v>
      </c>
      <c r="AS60" s="3483" t="s">
        <v>5334</v>
      </c>
      <c r="AT60" s="5145" t="s">
        <v>5335</v>
      </c>
      <c r="AU60" s="5146" t="s">
        <v>5336</v>
      </c>
      <c r="AV60" s="5145" t="s">
        <v>5337</v>
      </c>
      <c r="AW60" s="3479" t="s">
        <v>5338</v>
      </c>
      <c r="AX60" s="5147" t="s">
        <v>5339</v>
      </c>
      <c r="AY60" s="1687" t="e">
        <f t="shared" si="149"/>
        <v>#VALUE!</v>
      </c>
      <c r="CB60" s="600"/>
      <c r="CC60" s="4747" t="str">
        <f t="shared" si="150"/>
        <v xml:space="preserve"> * La suma de las columnas POR SEXO (Procesados) DEBE SER IGUAL a los Exámenes Procesados. </v>
      </c>
      <c r="CD60" s="2784" t="e">
        <f t="shared" si="151"/>
        <v>#VALUE!</v>
      </c>
      <c r="CE60" s="2784" t="str">
        <f t="shared" si="152"/>
        <v xml:space="preserve"> *El Número de Pueblos Originarios no puede superar el Total Procesados. </v>
      </c>
      <c r="CF60" s="2784" t="str">
        <f t="shared" si="153"/>
        <v xml:space="preserve"> *El Número de Migrantes no puede superar el Total Procesados. </v>
      </c>
      <c r="CG60" s="3018"/>
      <c r="CH60" s="3018"/>
      <c r="CI60" s="3018"/>
      <c r="CJ60" s="3018"/>
      <c r="CK60" s="3018"/>
      <c r="CL60" s="2784" t="str">
        <f t="shared" si="154"/>
        <v>* El total de Procesados debe ser mayor o igual al total de Reactivos en el grupo de edad 10 - 14 años</v>
      </c>
      <c r="CM60" s="2784" t="str">
        <f t="shared" si="155"/>
        <v>* El total de Procesados debe ser mayor o igual al total de Reactivos en el grupo de edad 15 - 19 años</v>
      </c>
      <c r="CN60" s="2784" t="str">
        <f t="shared" si="156"/>
        <v>* El total de Procesados debe ser mayor o igual al total de Reactivos en el grupo de edad 20 - 24 años</v>
      </c>
      <c r="CO60" s="2784" t="str">
        <f t="shared" si="157"/>
        <v>* El total de Procesados debe ser mayor o igual al total de Reactivos en el grupo de edad 25 - 29 años</v>
      </c>
      <c r="CP60" s="2784" t="str">
        <f t="shared" si="158"/>
        <v>* El total de Procesados debe ser mayor o igual al total de Reactivos en el grupo de edad 30 - 34 años</v>
      </c>
      <c r="CQ60" s="2784" t="str">
        <f t="shared" si="159"/>
        <v>* El total de Procesados debe ser mayor o igual al total de Reactivos en el grupo de edad 35 - 39 años</v>
      </c>
      <c r="CR60" s="2784" t="str">
        <f t="shared" si="160"/>
        <v>* El total de Procesados debe ser mayor o igual al total de Reactivos en el grupo de edad 40 - 44 años</v>
      </c>
      <c r="CS60" s="2784" t="str">
        <f t="shared" si="161"/>
        <v>* El total de Procesados debe ser mayor o igual al total de Reactivos en el grupo de edad 50 - 54 años</v>
      </c>
      <c r="CT60" s="2784" t="str">
        <f t="shared" si="162"/>
        <v>* El total de Procesados debe ser mayor o igual al total de Reactivos en el grupo de edad 55 - 59 años</v>
      </c>
      <c r="CU60" s="2784" t="str">
        <f t="shared" si="163"/>
        <v>* El total de Procesados debe ser mayor o igual al total de Reactivos en el grupo de edad 60 - 64 años</v>
      </c>
      <c r="CV60" s="2784" t="str">
        <f t="shared" si="164"/>
        <v>* El total de Procesados debe ser mayor o igual al total de Reactivos en el grupo de edad 65 - 69 años</v>
      </c>
      <c r="CW60" s="2784" t="str">
        <f t="shared" si="165"/>
        <v>* El total de Procesados debe ser mayor o igual al total de Reactivos en el grupo de edad 70 - 74 años</v>
      </c>
      <c r="CX60" s="2784" t="str">
        <f t="shared" si="166"/>
        <v>* El total de Procesados debe ser mayor o igual al total de Reactivos en el grupo de edad 75 - 79 años</v>
      </c>
      <c r="CY60" s="2784" t="str">
        <f t="shared" si="167"/>
        <v>* El total de Procesados debe ser mayor o igual al total de Reactivos en el grupo de edad 80 y más años</v>
      </c>
      <c r="DF60" s="2630"/>
      <c r="DG60" s="4747">
        <f t="shared" si="168"/>
        <v>1</v>
      </c>
      <c r="DH60" s="2920" t="e">
        <f t="shared" si="169"/>
        <v>#VALUE!</v>
      </c>
      <c r="DI60" s="2920">
        <f t="shared" si="170"/>
        <v>1</v>
      </c>
      <c r="DJ60" s="2920">
        <f t="shared" si="171"/>
        <v>1</v>
      </c>
      <c r="DK60" s="3018"/>
      <c r="DL60" s="3018"/>
      <c r="DM60" s="3018"/>
      <c r="DN60" s="3018"/>
      <c r="DO60" s="3018"/>
      <c r="DP60" s="2920">
        <f t="shared" si="172"/>
        <v>1</v>
      </c>
      <c r="DQ60" s="2920">
        <f t="shared" si="173"/>
        <v>1</v>
      </c>
      <c r="DR60" s="2920">
        <f t="shared" si="174"/>
        <v>1</v>
      </c>
      <c r="DS60" s="2920">
        <f t="shared" si="175"/>
        <v>1</v>
      </c>
      <c r="DT60" s="2920">
        <f t="shared" si="176"/>
        <v>1</v>
      </c>
      <c r="DU60" s="2920">
        <f t="shared" si="177"/>
        <v>1</v>
      </c>
      <c r="DV60" s="2920">
        <f t="shared" si="178"/>
        <v>1</v>
      </c>
      <c r="DW60" s="2920">
        <f t="shared" si="179"/>
        <v>1</v>
      </c>
      <c r="DX60" s="2920">
        <f t="shared" si="180"/>
        <v>1</v>
      </c>
      <c r="DY60" s="2920">
        <f t="shared" si="181"/>
        <v>1</v>
      </c>
      <c r="DZ60" s="2920">
        <f t="shared" si="182"/>
        <v>1</v>
      </c>
      <c r="EA60" s="2920">
        <f t="shared" si="183"/>
        <v>1</v>
      </c>
      <c r="EB60" s="2920">
        <f t="shared" si="184"/>
        <v>1</v>
      </c>
      <c r="EC60" s="2920">
        <f t="shared" si="185"/>
        <v>1</v>
      </c>
    </row>
    <row r="61" spans="1:133" x14ac:dyDescent="0.3">
      <c r="A61" s="6234">
        <v>11056404</v>
      </c>
      <c r="B61" s="3239" t="s">
        <v>2663</v>
      </c>
      <c r="C61" s="1928" t="s">
        <v>5292</v>
      </c>
      <c r="D61" s="3242" t="s">
        <v>5293</v>
      </c>
      <c r="E61" s="3475" t="s">
        <v>5294</v>
      </c>
      <c r="F61" s="5149" t="s">
        <v>5295</v>
      </c>
      <c r="G61" s="5148" t="s">
        <v>5296</v>
      </c>
      <c r="H61" s="5149" t="s">
        <v>5297</v>
      </c>
      <c r="I61" s="5148" t="s">
        <v>5298</v>
      </c>
      <c r="J61" s="5149" t="s">
        <v>5299</v>
      </c>
      <c r="K61" s="5148" t="s">
        <v>5300</v>
      </c>
      <c r="L61" s="5149" t="s">
        <v>5301</v>
      </c>
      <c r="M61" s="5148" t="s">
        <v>5302</v>
      </c>
      <c r="N61" s="5150" t="s">
        <v>5303</v>
      </c>
      <c r="O61" s="3479" t="s">
        <v>5304</v>
      </c>
      <c r="P61" s="5151" t="s">
        <v>5305</v>
      </c>
      <c r="Q61" s="5038" t="s">
        <v>5306</v>
      </c>
      <c r="R61" s="5151" t="s">
        <v>5307</v>
      </c>
      <c r="S61" s="5038" t="s">
        <v>5308</v>
      </c>
      <c r="T61" s="5151" t="s">
        <v>5309</v>
      </c>
      <c r="U61" s="5038" t="s">
        <v>5310</v>
      </c>
      <c r="V61" s="5151" t="s">
        <v>5311</v>
      </c>
      <c r="W61" s="5038" t="s">
        <v>5312</v>
      </c>
      <c r="X61" s="5151" t="s">
        <v>5313</v>
      </c>
      <c r="Y61" s="5038" t="s">
        <v>5314</v>
      </c>
      <c r="Z61" s="5151" t="s">
        <v>5315</v>
      </c>
      <c r="AA61" s="5038" t="s">
        <v>5316</v>
      </c>
      <c r="AB61" s="5151" t="s">
        <v>5317</v>
      </c>
      <c r="AC61" s="5038" t="s">
        <v>5318</v>
      </c>
      <c r="AD61" s="5151" t="s">
        <v>5319</v>
      </c>
      <c r="AE61" s="5038" t="s">
        <v>5320</v>
      </c>
      <c r="AF61" s="5151" t="s">
        <v>5321</v>
      </c>
      <c r="AG61" s="5038" t="s">
        <v>5322</v>
      </c>
      <c r="AH61" s="5151" t="s">
        <v>5323</v>
      </c>
      <c r="AI61" s="5038" t="s">
        <v>5324</v>
      </c>
      <c r="AJ61" s="5151" t="s">
        <v>5325</v>
      </c>
      <c r="AK61" s="5038" t="s">
        <v>5326</v>
      </c>
      <c r="AL61" s="5151" t="s">
        <v>5327</v>
      </c>
      <c r="AM61" s="5038" t="s">
        <v>5328</v>
      </c>
      <c r="AN61" s="5151" t="s">
        <v>5329</v>
      </c>
      <c r="AO61" s="5038" t="s">
        <v>5330</v>
      </c>
      <c r="AP61" s="5151" t="s">
        <v>5331</v>
      </c>
      <c r="AQ61" s="5038" t="s">
        <v>5332</v>
      </c>
      <c r="AR61" s="5145" t="s">
        <v>5333</v>
      </c>
      <c r="AS61" s="3483" t="s">
        <v>5334</v>
      </c>
      <c r="AT61" s="5145" t="s">
        <v>5335</v>
      </c>
      <c r="AU61" s="5146" t="s">
        <v>5336</v>
      </c>
      <c r="AV61" s="5145" t="s">
        <v>5337</v>
      </c>
      <c r="AW61" s="3479" t="s">
        <v>5338</v>
      </c>
      <c r="AX61" s="5147" t="s">
        <v>5339</v>
      </c>
      <c r="AY61" s="1687" t="e">
        <f t="shared" si="149"/>
        <v>#VALUE!</v>
      </c>
      <c r="CB61" s="600"/>
      <c r="CC61" s="4747" t="str">
        <f t="shared" si="150"/>
        <v xml:space="preserve"> * La suma de las columnas POR SEXO (Procesados) DEBE SER IGUAL a los Exámenes Procesados. </v>
      </c>
      <c r="CD61" s="2784" t="e">
        <f t="shared" si="151"/>
        <v>#VALUE!</v>
      </c>
      <c r="CE61" s="2784" t="str">
        <f t="shared" si="152"/>
        <v xml:space="preserve"> *El Número de Pueblos Originarios no puede superar el Total Procesados. </v>
      </c>
      <c r="CF61" s="2784" t="str">
        <f t="shared" si="153"/>
        <v xml:space="preserve"> *El Número de Migrantes no puede superar el Total Procesados. </v>
      </c>
      <c r="CG61" s="3018"/>
      <c r="CH61" s="3018"/>
      <c r="CI61" s="3018"/>
      <c r="CJ61" s="3018"/>
      <c r="CK61" s="3018"/>
      <c r="CL61" s="2784" t="str">
        <f t="shared" si="154"/>
        <v>* El total de Procesados debe ser mayor o igual al total de Reactivos en el grupo de edad 10 - 14 años</v>
      </c>
      <c r="CM61" s="2784" t="str">
        <f t="shared" si="155"/>
        <v>* El total de Procesados debe ser mayor o igual al total de Reactivos en el grupo de edad 15 - 19 años</v>
      </c>
      <c r="CN61" s="2784" t="str">
        <f t="shared" si="156"/>
        <v>* El total de Procesados debe ser mayor o igual al total de Reactivos en el grupo de edad 20 - 24 años</v>
      </c>
      <c r="CO61" s="2784" t="str">
        <f t="shared" si="157"/>
        <v>* El total de Procesados debe ser mayor o igual al total de Reactivos en el grupo de edad 25 - 29 años</v>
      </c>
      <c r="CP61" s="2784" t="str">
        <f t="shared" si="158"/>
        <v>* El total de Procesados debe ser mayor o igual al total de Reactivos en el grupo de edad 30 - 34 años</v>
      </c>
      <c r="CQ61" s="2784" t="str">
        <f t="shared" si="159"/>
        <v>* El total de Procesados debe ser mayor o igual al total de Reactivos en el grupo de edad 35 - 39 años</v>
      </c>
      <c r="CR61" s="2784" t="str">
        <f t="shared" si="160"/>
        <v>* El total de Procesados debe ser mayor o igual al total de Reactivos en el grupo de edad 40 - 44 años</v>
      </c>
      <c r="CS61" s="2784" t="str">
        <f t="shared" si="161"/>
        <v>* El total de Procesados debe ser mayor o igual al total de Reactivos en el grupo de edad 50 - 54 años</v>
      </c>
      <c r="CT61" s="2784" t="str">
        <f t="shared" si="162"/>
        <v>* El total de Procesados debe ser mayor o igual al total de Reactivos en el grupo de edad 55 - 59 años</v>
      </c>
      <c r="CU61" s="2784" t="str">
        <f t="shared" si="163"/>
        <v>* El total de Procesados debe ser mayor o igual al total de Reactivos en el grupo de edad 60 - 64 años</v>
      </c>
      <c r="CV61" s="2784" t="str">
        <f t="shared" si="164"/>
        <v>* El total de Procesados debe ser mayor o igual al total de Reactivos en el grupo de edad 65 - 69 años</v>
      </c>
      <c r="CW61" s="2784" t="str">
        <f t="shared" si="165"/>
        <v>* El total de Procesados debe ser mayor o igual al total de Reactivos en el grupo de edad 70 - 74 años</v>
      </c>
      <c r="CX61" s="2784" t="str">
        <f t="shared" si="166"/>
        <v>* El total de Procesados debe ser mayor o igual al total de Reactivos en el grupo de edad 75 - 79 años</v>
      </c>
      <c r="CY61" s="2784" t="str">
        <f t="shared" si="167"/>
        <v>* El total de Procesados debe ser mayor o igual al total de Reactivos en el grupo de edad 80 y más años</v>
      </c>
      <c r="DF61" s="2630"/>
      <c r="DG61" s="4747">
        <f t="shared" si="168"/>
        <v>1</v>
      </c>
      <c r="DH61" s="2920" t="e">
        <f t="shared" si="169"/>
        <v>#VALUE!</v>
      </c>
      <c r="DI61" s="2920">
        <f t="shared" si="170"/>
        <v>1</v>
      </c>
      <c r="DJ61" s="2920">
        <f t="shared" si="171"/>
        <v>1</v>
      </c>
      <c r="DK61" s="3018"/>
      <c r="DL61" s="3018"/>
      <c r="DM61" s="3018"/>
      <c r="DN61" s="3018"/>
      <c r="DO61" s="3018"/>
      <c r="DP61" s="2920">
        <f t="shared" si="172"/>
        <v>1</v>
      </c>
      <c r="DQ61" s="2920">
        <f t="shared" si="173"/>
        <v>1</v>
      </c>
      <c r="DR61" s="2920">
        <f t="shared" si="174"/>
        <v>1</v>
      </c>
      <c r="DS61" s="2920">
        <f t="shared" si="175"/>
        <v>1</v>
      </c>
      <c r="DT61" s="2920">
        <f t="shared" si="176"/>
        <v>1</v>
      </c>
      <c r="DU61" s="2920">
        <f t="shared" si="177"/>
        <v>1</v>
      </c>
      <c r="DV61" s="2920">
        <f t="shared" si="178"/>
        <v>1</v>
      </c>
      <c r="DW61" s="2920">
        <f t="shared" si="179"/>
        <v>1</v>
      </c>
      <c r="DX61" s="2920">
        <f t="shared" si="180"/>
        <v>1</v>
      </c>
      <c r="DY61" s="2920">
        <f t="shared" si="181"/>
        <v>1</v>
      </c>
      <c r="DZ61" s="2920">
        <f t="shared" si="182"/>
        <v>1</v>
      </c>
      <c r="EA61" s="2920">
        <f t="shared" si="183"/>
        <v>1</v>
      </c>
      <c r="EB61" s="2920">
        <f t="shared" si="184"/>
        <v>1</v>
      </c>
      <c r="EC61" s="2920">
        <f t="shared" si="185"/>
        <v>1</v>
      </c>
    </row>
    <row r="62" spans="1:133" x14ac:dyDescent="0.3">
      <c r="A62" s="6234">
        <v>11056405</v>
      </c>
      <c r="B62" s="3239" t="s">
        <v>2664</v>
      </c>
      <c r="C62" s="1928" t="s">
        <v>5292</v>
      </c>
      <c r="D62" s="3242" t="s">
        <v>5293</v>
      </c>
      <c r="E62" s="3475" t="s">
        <v>5294</v>
      </c>
      <c r="F62" s="5149" t="s">
        <v>5295</v>
      </c>
      <c r="G62" s="5148" t="s">
        <v>5296</v>
      </c>
      <c r="H62" s="5149" t="s">
        <v>5297</v>
      </c>
      <c r="I62" s="5148" t="s">
        <v>5298</v>
      </c>
      <c r="J62" s="5149" t="s">
        <v>5299</v>
      </c>
      <c r="K62" s="5148" t="s">
        <v>5300</v>
      </c>
      <c r="L62" s="5149" t="s">
        <v>5301</v>
      </c>
      <c r="M62" s="5148" t="s">
        <v>5302</v>
      </c>
      <c r="N62" s="5150" t="s">
        <v>5303</v>
      </c>
      <c r="O62" s="3479" t="s">
        <v>5304</v>
      </c>
      <c r="P62" s="5151" t="s">
        <v>5305</v>
      </c>
      <c r="Q62" s="5038" t="s">
        <v>5306</v>
      </c>
      <c r="R62" s="5151" t="s">
        <v>5307</v>
      </c>
      <c r="S62" s="5038" t="s">
        <v>5308</v>
      </c>
      <c r="T62" s="5151" t="s">
        <v>5309</v>
      </c>
      <c r="U62" s="5038" t="s">
        <v>5310</v>
      </c>
      <c r="V62" s="5151" t="s">
        <v>5311</v>
      </c>
      <c r="W62" s="5038" t="s">
        <v>5312</v>
      </c>
      <c r="X62" s="5151" t="s">
        <v>5313</v>
      </c>
      <c r="Y62" s="5038" t="s">
        <v>5314</v>
      </c>
      <c r="Z62" s="5151" t="s">
        <v>5315</v>
      </c>
      <c r="AA62" s="5038" t="s">
        <v>5316</v>
      </c>
      <c r="AB62" s="5151" t="s">
        <v>5317</v>
      </c>
      <c r="AC62" s="5038" t="s">
        <v>5318</v>
      </c>
      <c r="AD62" s="5151" t="s">
        <v>5319</v>
      </c>
      <c r="AE62" s="5038" t="s">
        <v>5320</v>
      </c>
      <c r="AF62" s="5151" t="s">
        <v>5321</v>
      </c>
      <c r="AG62" s="5038" t="s">
        <v>5322</v>
      </c>
      <c r="AH62" s="5151" t="s">
        <v>5323</v>
      </c>
      <c r="AI62" s="5038" t="s">
        <v>5324</v>
      </c>
      <c r="AJ62" s="5151" t="s">
        <v>5325</v>
      </c>
      <c r="AK62" s="5038" t="s">
        <v>5326</v>
      </c>
      <c r="AL62" s="5151" t="s">
        <v>5327</v>
      </c>
      <c r="AM62" s="5038" t="s">
        <v>5328</v>
      </c>
      <c r="AN62" s="5151" t="s">
        <v>5329</v>
      </c>
      <c r="AO62" s="5038" t="s">
        <v>5330</v>
      </c>
      <c r="AP62" s="5151" t="s">
        <v>5331</v>
      </c>
      <c r="AQ62" s="5038" t="s">
        <v>5332</v>
      </c>
      <c r="AR62" s="5145" t="s">
        <v>5333</v>
      </c>
      <c r="AS62" s="3479" t="s">
        <v>5334</v>
      </c>
      <c r="AT62" s="5145" t="s">
        <v>5335</v>
      </c>
      <c r="AU62" s="5146" t="s">
        <v>5336</v>
      </c>
      <c r="AV62" s="5145" t="s">
        <v>5337</v>
      </c>
      <c r="AW62" s="3479" t="s">
        <v>5338</v>
      </c>
      <c r="AX62" s="5147" t="s">
        <v>5339</v>
      </c>
      <c r="AY62" s="1687" t="e">
        <f>CC62&amp;CD62&amp;CE62&amp;CF62&amp;CL62&amp;CM62&amp;CN62&amp;CO62&amp;CP62&amp;CQ62&amp;CR62&amp;CS62&amp;CT62&amp;CU62&amp;CV62&amp;CW62&amp;CX62&amp;CY62</f>
        <v>#VALUE!</v>
      </c>
      <c r="CB62" s="600"/>
      <c r="CC62" s="2784" t="e">
        <f>IF(C62&lt;&gt;(AT62+AS62)," * La suma de las columnas "&amp;AS$10&amp;""&amp;" DEBE SER IGUAL a los Exámenes Procesados. ","")</f>
        <v>#VALUE!</v>
      </c>
      <c r="CD62" s="2784" t="e">
        <f t="shared" si="151"/>
        <v>#VALUE!</v>
      </c>
      <c r="CE62" s="2784" t="str">
        <f t="shared" si="152"/>
        <v xml:space="preserve"> *El Número de Pueblos Originarios no puede superar el Total Procesados. </v>
      </c>
      <c r="CF62" s="2784" t="str">
        <f t="shared" si="153"/>
        <v xml:space="preserve"> *El Número de Migrantes no puede superar el Total Procesados. </v>
      </c>
      <c r="CG62" s="3018"/>
      <c r="CH62" s="3018"/>
      <c r="CI62" s="3018"/>
      <c r="CJ62" s="3018"/>
      <c r="CK62" s="3018"/>
      <c r="CL62" s="2784" t="str">
        <f>IF(O62&lt;P62,CONCATENATE("* El total de Procesados debe ser mayor o igual al total de Reactivos en el grupo de edad ",$O$11),"")</f>
        <v>* El total de Procesados debe ser mayor o igual al total de Reactivos en el grupo de edad 10 - 14 años</v>
      </c>
      <c r="CM62" s="2784" t="str">
        <f t="shared" si="155"/>
        <v>* El total de Procesados debe ser mayor o igual al total de Reactivos en el grupo de edad 15 - 19 años</v>
      </c>
      <c r="CN62" s="2784" t="str">
        <f t="shared" si="156"/>
        <v>* El total de Procesados debe ser mayor o igual al total de Reactivos en el grupo de edad 20 - 24 años</v>
      </c>
      <c r="CO62" s="2784" t="str">
        <f t="shared" si="157"/>
        <v>* El total de Procesados debe ser mayor o igual al total de Reactivos en el grupo de edad 25 - 29 años</v>
      </c>
      <c r="CP62" s="2784" t="str">
        <f t="shared" si="158"/>
        <v>* El total de Procesados debe ser mayor o igual al total de Reactivos en el grupo de edad 30 - 34 años</v>
      </c>
      <c r="CQ62" s="2784" t="str">
        <f t="shared" si="159"/>
        <v>* El total de Procesados debe ser mayor o igual al total de Reactivos en el grupo de edad 35 - 39 años</v>
      </c>
      <c r="CR62" s="2784" t="str">
        <f t="shared" si="160"/>
        <v>* El total de Procesados debe ser mayor o igual al total de Reactivos en el grupo de edad 40 - 44 años</v>
      </c>
      <c r="CS62" s="2784" t="str">
        <f t="shared" si="161"/>
        <v>* El total de Procesados debe ser mayor o igual al total de Reactivos en el grupo de edad 50 - 54 años</v>
      </c>
      <c r="CT62" s="2784" t="str">
        <f t="shared" si="162"/>
        <v>* El total de Procesados debe ser mayor o igual al total de Reactivos en el grupo de edad 55 - 59 años</v>
      </c>
      <c r="CU62" s="2784" t="str">
        <f t="shared" si="163"/>
        <v>* El total de Procesados debe ser mayor o igual al total de Reactivos en el grupo de edad 60 - 64 años</v>
      </c>
      <c r="CV62" s="2784" t="str">
        <f t="shared" si="164"/>
        <v>* El total de Procesados debe ser mayor o igual al total de Reactivos en el grupo de edad 65 - 69 años</v>
      </c>
      <c r="CW62" s="2784" t="str">
        <f t="shared" si="165"/>
        <v>* El total de Procesados debe ser mayor o igual al total de Reactivos en el grupo de edad 70 - 74 años</v>
      </c>
      <c r="CX62" s="2784" t="str">
        <f t="shared" si="166"/>
        <v>* El total de Procesados debe ser mayor o igual al total de Reactivos en el grupo de edad 75 - 79 años</v>
      </c>
      <c r="CY62" s="2784" t="str">
        <f t="shared" si="167"/>
        <v>* El total de Procesados debe ser mayor o igual al total de Reactivos en el grupo de edad 80 y más años</v>
      </c>
      <c r="DF62" s="2630"/>
      <c r="DG62" s="2784" t="e">
        <f>IF(C62&lt;&gt;(AT62+AS62),1,0)</f>
        <v>#VALUE!</v>
      </c>
      <c r="DH62" s="2920" t="e">
        <f t="shared" si="169"/>
        <v>#VALUE!</v>
      </c>
      <c r="DI62" s="2920">
        <f t="shared" si="170"/>
        <v>1</v>
      </c>
      <c r="DJ62" s="2920">
        <f t="shared" si="171"/>
        <v>1</v>
      </c>
      <c r="DK62" s="3018"/>
      <c r="DL62" s="3018"/>
      <c r="DM62" s="3018"/>
      <c r="DN62" s="3018"/>
      <c r="DO62" s="3018"/>
      <c r="DP62" s="2920">
        <f t="shared" si="172"/>
        <v>1</v>
      </c>
      <c r="DQ62" s="2920">
        <f t="shared" si="173"/>
        <v>1</v>
      </c>
      <c r="DR62" s="2920">
        <f t="shared" si="174"/>
        <v>1</v>
      </c>
      <c r="DS62" s="2920">
        <f t="shared" si="175"/>
        <v>1</v>
      </c>
      <c r="DT62" s="2920">
        <f t="shared" si="176"/>
        <v>1</v>
      </c>
      <c r="DU62" s="2920">
        <f t="shared" si="177"/>
        <v>1</v>
      </c>
      <c r="DV62" s="2920">
        <f t="shared" si="178"/>
        <v>1</v>
      </c>
      <c r="DW62" s="2920">
        <f t="shared" si="179"/>
        <v>1</v>
      </c>
      <c r="DX62" s="2920">
        <f t="shared" si="180"/>
        <v>1</v>
      </c>
      <c r="DY62" s="2920">
        <f t="shared" si="181"/>
        <v>1</v>
      </c>
      <c r="DZ62" s="2920">
        <f t="shared" si="182"/>
        <v>1</v>
      </c>
      <c r="EA62" s="2920">
        <f t="shared" si="183"/>
        <v>1</v>
      </c>
      <c r="EB62" s="2920">
        <f t="shared" si="184"/>
        <v>1</v>
      </c>
      <c r="EC62" s="2920">
        <f t="shared" si="185"/>
        <v>1</v>
      </c>
    </row>
    <row r="63" spans="1:133" x14ac:dyDescent="0.3">
      <c r="A63" s="6234">
        <v>11056406</v>
      </c>
      <c r="B63" s="3239" t="s">
        <v>2665</v>
      </c>
      <c r="C63" s="1928" t="s">
        <v>5292</v>
      </c>
      <c r="D63" s="3242" t="s">
        <v>5293</v>
      </c>
      <c r="E63" s="3475" t="s">
        <v>5294</v>
      </c>
      <c r="F63" s="5149" t="s">
        <v>5295</v>
      </c>
      <c r="G63" s="5148" t="s">
        <v>5296</v>
      </c>
      <c r="H63" s="5149" t="s">
        <v>5297</v>
      </c>
      <c r="I63" s="5148" t="s">
        <v>5298</v>
      </c>
      <c r="J63" s="5149" t="s">
        <v>5299</v>
      </c>
      <c r="K63" s="5148" t="s">
        <v>5300</v>
      </c>
      <c r="L63" s="5149" t="s">
        <v>5301</v>
      </c>
      <c r="M63" s="5148" t="s">
        <v>5302</v>
      </c>
      <c r="N63" s="5150" t="s">
        <v>5303</v>
      </c>
      <c r="O63" s="3479" t="s">
        <v>5304</v>
      </c>
      <c r="P63" s="5151" t="s">
        <v>5305</v>
      </c>
      <c r="Q63" s="5038" t="s">
        <v>5306</v>
      </c>
      <c r="R63" s="5151" t="s">
        <v>5307</v>
      </c>
      <c r="S63" s="5038" t="s">
        <v>5308</v>
      </c>
      <c r="T63" s="5151" t="s">
        <v>5309</v>
      </c>
      <c r="U63" s="5038" t="s">
        <v>5310</v>
      </c>
      <c r="V63" s="5151" t="s">
        <v>5311</v>
      </c>
      <c r="W63" s="5038" t="s">
        <v>5312</v>
      </c>
      <c r="X63" s="5151" t="s">
        <v>5313</v>
      </c>
      <c r="Y63" s="5038" t="s">
        <v>5314</v>
      </c>
      <c r="Z63" s="5151" t="s">
        <v>5315</v>
      </c>
      <c r="AA63" s="5038" t="s">
        <v>5316</v>
      </c>
      <c r="AB63" s="5151" t="s">
        <v>5317</v>
      </c>
      <c r="AC63" s="5038" t="s">
        <v>5318</v>
      </c>
      <c r="AD63" s="5151" t="s">
        <v>5319</v>
      </c>
      <c r="AE63" s="5038" t="s">
        <v>5320</v>
      </c>
      <c r="AF63" s="5151" t="s">
        <v>5321</v>
      </c>
      <c r="AG63" s="5038" t="s">
        <v>5322</v>
      </c>
      <c r="AH63" s="5151" t="s">
        <v>5323</v>
      </c>
      <c r="AI63" s="5038" t="s">
        <v>5324</v>
      </c>
      <c r="AJ63" s="5151" t="s">
        <v>5325</v>
      </c>
      <c r="AK63" s="5038" t="s">
        <v>5326</v>
      </c>
      <c r="AL63" s="5151" t="s">
        <v>5327</v>
      </c>
      <c r="AM63" s="5038" t="s">
        <v>5328</v>
      </c>
      <c r="AN63" s="5151" t="s">
        <v>5329</v>
      </c>
      <c r="AO63" s="5038" t="s">
        <v>5330</v>
      </c>
      <c r="AP63" s="5151" t="s">
        <v>5331</v>
      </c>
      <c r="AQ63" s="5038" t="s">
        <v>5332</v>
      </c>
      <c r="AR63" s="5145" t="s">
        <v>5333</v>
      </c>
      <c r="AS63" s="3483" t="s">
        <v>5334</v>
      </c>
      <c r="AT63" s="5145" t="s">
        <v>5335</v>
      </c>
      <c r="AU63" s="5146" t="s">
        <v>5336</v>
      </c>
      <c r="AV63" s="5145" t="s">
        <v>5337</v>
      </c>
      <c r="AW63" s="3479" t="s">
        <v>5338</v>
      </c>
      <c r="AX63" s="5147" t="s">
        <v>5339</v>
      </c>
      <c r="AY63" s="1687" t="e">
        <f>CC63&amp;CD63&amp;CE63&amp;CF63&amp;CL63&amp;CM63&amp;CN63&amp;CO63&amp;CP63&amp;CQ63&amp;CR63&amp;CS63&amp;CT63&amp;CU63&amp;CV63&amp;CW63&amp;CX63&amp;CY63</f>
        <v>#VALUE!</v>
      </c>
      <c r="CB63" s="600"/>
      <c r="CC63" s="4747" t="str">
        <f t="shared" ref="CC63:CC65" si="186">IF(C63&lt;&gt;(AT63)," * La suma de las columnas "&amp;AS$10&amp;""&amp;" DEBE SER IGUAL a los Exámenes Procesados. ","")</f>
        <v xml:space="preserve"> * La suma de las columnas POR SEXO (Procesados) DEBE SER IGUAL a los Exámenes Procesados. </v>
      </c>
      <c r="CD63" s="2784" t="e">
        <f t="shared" si="151"/>
        <v>#VALUE!</v>
      </c>
      <c r="CE63" s="2784" t="str">
        <f t="shared" si="152"/>
        <v xml:space="preserve"> *El Número de Pueblos Originarios no puede superar el Total Procesados. </v>
      </c>
      <c r="CF63" s="2784" t="str">
        <f t="shared" si="153"/>
        <v xml:space="preserve"> *El Número de Migrantes no puede superar el Total Procesados. </v>
      </c>
      <c r="CG63" s="3018"/>
      <c r="CH63" s="3018"/>
      <c r="CI63" s="3018"/>
      <c r="CJ63" s="3018"/>
      <c r="CK63" s="3018"/>
      <c r="CL63" s="2784" t="str">
        <f t="shared" ref="CL63" si="187">IF(O63&lt;P63,CONCATENATE("* El total de Procesados debe ser mayor o igual al total de Reactivos en el grupo de edad ",$O$11),"")</f>
        <v>* El total de Procesados debe ser mayor o igual al total de Reactivos en el grupo de edad 10 - 14 años</v>
      </c>
      <c r="CM63" s="2784" t="str">
        <f t="shared" si="155"/>
        <v>* El total de Procesados debe ser mayor o igual al total de Reactivos en el grupo de edad 15 - 19 años</v>
      </c>
      <c r="CN63" s="2784" t="str">
        <f t="shared" si="156"/>
        <v>* El total de Procesados debe ser mayor o igual al total de Reactivos en el grupo de edad 20 - 24 años</v>
      </c>
      <c r="CO63" s="2784" t="str">
        <f t="shared" si="157"/>
        <v>* El total de Procesados debe ser mayor o igual al total de Reactivos en el grupo de edad 25 - 29 años</v>
      </c>
      <c r="CP63" s="2784" t="str">
        <f t="shared" si="158"/>
        <v>* El total de Procesados debe ser mayor o igual al total de Reactivos en el grupo de edad 30 - 34 años</v>
      </c>
      <c r="CQ63" s="2784" t="str">
        <f t="shared" si="159"/>
        <v>* El total de Procesados debe ser mayor o igual al total de Reactivos en el grupo de edad 35 - 39 años</v>
      </c>
      <c r="CR63" s="2784" t="str">
        <f t="shared" si="160"/>
        <v>* El total de Procesados debe ser mayor o igual al total de Reactivos en el grupo de edad 40 - 44 años</v>
      </c>
      <c r="CS63" s="2784" t="str">
        <f t="shared" si="161"/>
        <v>* El total de Procesados debe ser mayor o igual al total de Reactivos en el grupo de edad 50 - 54 años</v>
      </c>
      <c r="CT63" s="2784" t="str">
        <f t="shared" si="162"/>
        <v>* El total de Procesados debe ser mayor o igual al total de Reactivos en el grupo de edad 55 - 59 años</v>
      </c>
      <c r="CU63" s="2784" t="str">
        <f t="shared" si="163"/>
        <v>* El total de Procesados debe ser mayor o igual al total de Reactivos en el grupo de edad 60 - 64 años</v>
      </c>
      <c r="CV63" s="2784" t="str">
        <f t="shared" si="164"/>
        <v>* El total de Procesados debe ser mayor o igual al total de Reactivos en el grupo de edad 65 - 69 años</v>
      </c>
      <c r="CW63" s="2784" t="str">
        <f t="shared" si="165"/>
        <v>* El total de Procesados debe ser mayor o igual al total de Reactivos en el grupo de edad 70 - 74 años</v>
      </c>
      <c r="CX63" s="2784" t="str">
        <f t="shared" si="166"/>
        <v>* El total de Procesados debe ser mayor o igual al total de Reactivos en el grupo de edad 75 - 79 años</v>
      </c>
      <c r="CY63" s="2784" t="str">
        <f t="shared" si="167"/>
        <v>* El total de Procesados debe ser mayor o igual al total de Reactivos en el grupo de edad 80 y más años</v>
      </c>
      <c r="DF63" s="2630"/>
      <c r="DG63" s="4747">
        <f>IF(C63&lt;&gt;(AT63),1,0)</f>
        <v>1</v>
      </c>
      <c r="DH63" s="2920" t="e">
        <f t="shared" si="169"/>
        <v>#VALUE!</v>
      </c>
      <c r="DI63" s="2920">
        <f t="shared" si="170"/>
        <v>1</v>
      </c>
      <c r="DJ63" s="2920">
        <f t="shared" si="171"/>
        <v>1</v>
      </c>
      <c r="DK63" s="3018"/>
      <c r="DL63" s="3018"/>
      <c r="DM63" s="3018"/>
      <c r="DN63" s="3018"/>
      <c r="DO63" s="3018"/>
      <c r="DP63" s="2920">
        <f t="shared" si="172"/>
        <v>1</v>
      </c>
      <c r="DQ63" s="2920">
        <f t="shared" si="173"/>
        <v>1</v>
      </c>
      <c r="DR63" s="2920">
        <f t="shared" si="174"/>
        <v>1</v>
      </c>
      <c r="DS63" s="2920">
        <f t="shared" si="175"/>
        <v>1</v>
      </c>
      <c r="DT63" s="2920">
        <f t="shared" si="176"/>
        <v>1</v>
      </c>
      <c r="DU63" s="2920">
        <f t="shared" si="177"/>
        <v>1</v>
      </c>
      <c r="DV63" s="2920">
        <f t="shared" si="178"/>
        <v>1</v>
      </c>
      <c r="DW63" s="2920">
        <f t="shared" si="179"/>
        <v>1</v>
      </c>
      <c r="DX63" s="2920">
        <f t="shared" si="180"/>
        <v>1</v>
      </c>
      <c r="DY63" s="2920">
        <f t="shared" si="181"/>
        <v>1</v>
      </c>
      <c r="DZ63" s="2920">
        <f t="shared" si="182"/>
        <v>1</v>
      </c>
      <c r="EA63" s="2920">
        <f t="shared" si="183"/>
        <v>1</v>
      </c>
      <c r="EB63" s="2920">
        <f t="shared" si="184"/>
        <v>1</v>
      </c>
      <c r="EC63" s="2920">
        <f t="shared" si="185"/>
        <v>1</v>
      </c>
    </row>
    <row r="64" spans="1:133" x14ac:dyDescent="0.3">
      <c r="A64" s="6234">
        <v>11056407</v>
      </c>
      <c r="B64" s="3184" t="s">
        <v>2666</v>
      </c>
      <c r="C64" s="1928" t="s">
        <v>5292</v>
      </c>
      <c r="D64" s="3242" t="s">
        <v>5293</v>
      </c>
      <c r="E64" s="3475" t="s">
        <v>5294</v>
      </c>
      <c r="F64" s="5149" t="s">
        <v>5295</v>
      </c>
      <c r="G64" s="5148" t="s">
        <v>5296</v>
      </c>
      <c r="H64" s="5149" t="s">
        <v>5297</v>
      </c>
      <c r="I64" s="5148" t="s">
        <v>5298</v>
      </c>
      <c r="J64" s="5149" t="s">
        <v>5299</v>
      </c>
      <c r="K64" s="5148" t="s">
        <v>5300</v>
      </c>
      <c r="L64" s="5149" t="s">
        <v>5301</v>
      </c>
      <c r="M64" s="5148" t="s">
        <v>5302</v>
      </c>
      <c r="N64" s="5150" t="s">
        <v>5303</v>
      </c>
      <c r="O64" s="3479" t="s">
        <v>5304</v>
      </c>
      <c r="P64" s="5151" t="s">
        <v>5305</v>
      </c>
      <c r="Q64" s="5038" t="s">
        <v>5306</v>
      </c>
      <c r="R64" s="5151" t="s">
        <v>5307</v>
      </c>
      <c r="S64" s="5038" t="s">
        <v>5308</v>
      </c>
      <c r="T64" s="5151" t="s">
        <v>5309</v>
      </c>
      <c r="U64" s="5038" t="s">
        <v>5310</v>
      </c>
      <c r="V64" s="5151" t="s">
        <v>5311</v>
      </c>
      <c r="W64" s="5038" t="s">
        <v>5312</v>
      </c>
      <c r="X64" s="5151" t="s">
        <v>5313</v>
      </c>
      <c r="Y64" s="5038" t="s">
        <v>5314</v>
      </c>
      <c r="Z64" s="5151" t="s">
        <v>5315</v>
      </c>
      <c r="AA64" s="5038" t="s">
        <v>5316</v>
      </c>
      <c r="AB64" s="5151" t="s">
        <v>5317</v>
      </c>
      <c r="AC64" s="5038" t="s">
        <v>5318</v>
      </c>
      <c r="AD64" s="5151" t="s">
        <v>5319</v>
      </c>
      <c r="AE64" s="5038" t="s">
        <v>5320</v>
      </c>
      <c r="AF64" s="5151" t="s">
        <v>5321</v>
      </c>
      <c r="AG64" s="5038" t="s">
        <v>5322</v>
      </c>
      <c r="AH64" s="5151" t="s">
        <v>5323</v>
      </c>
      <c r="AI64" s="5038" t="s">
        <v>5324</v>
      </c>
      <c r="AJ64" s="5151" t="s">
        <v>5325</v>
      </c>
      <c r="AK64" s="5038" t="s">
        <v>5326</v>
      </c>
      <c r="AL64" s="5151" t="s">
        <v>5327</v>
      </c>
      <c r="AM64" s="5038" t="s">
        <v>5328</v>
      </c>
      <c r="AN64" s="5151" t="s">
        <v>5329</v>
      </c>
      <c r="AO64" s="5038" t="s">
        <v>5330</v>
      </c>
      <c r="AP64" s="5151" t="s">
        <v>5331</v>
      </c>
      <c r="AQ64" s="5038" t="s">
        <v>5332</v>
      </c>
      <c r="AR64" s="5145" t="s">
        <v>5333</v>
      </c>
      <c r="AS64" s="3483" t="s">
        <v>5334</v>
      </c>
      <c r="AT64" s="5145" t="s">
        <v>5335</v>
      </c>
      <c r="AU64" s="5146" t="s">
        <v>5336</v>
      </c>
      <c r="AV64" s="5145" t="s">
        <v>5337</v>
      </c>
      <c r="AW64" s="3479" t="s">
        <v>5338</v>
      </c>
      <c r="AX64" s="5147" t="s">
        <v>5339</v>
      </c>
      <c r="AY64" s="1687" t="e">
        <f t="shared" ref="AY64" si="188">CC64&amp;CD64&amp;CE64&amp;CF64&amp;CL64&amp;CM64&amp;CN64&amp;CO64&amp;CP64&amp;CQ64&amp;CR64&amp;CS64&amp;CT64&amp;CU64&amp;CV64&amp;CW64&amp;CX64&amp;CY64</f>
        <v>#VALUE!</v>
      </c>
      <c r="CB64" s="600"/>
      <c r="CC64" s="4747" t="str">
        <f t="shared" si="186"/>
        <v xml:space="preserve"> * La suma de las columnas POR SEXO (Procesados) DEBE SER IGUAL a los Exámenes Procesados. </v>
      </c>
      <c r="CD64" s="2784" t="e">
        <f t="shared" si="151"/>
        <v>#VALUE!</v>
      </c>
      <c r="CE64" s="2784" t="str">
        <f t="shared" si="152"/>
        <v xml:space="preserve"> *El Número de Pueblos Originarios no puede superar el Total Procesados. </v>
      </c>
      <c r="CF64" s="2784" t="str">
        <f t="shared" si="153"/>
        <v xml:space="preserve"> *El Número de Migrantes no puede superar el Total Procesados. </v>
      </c>
      <c r="CG64" s="3018"/>
      <c r="CH64" s="3018"/>
      <c r="CI64" s="3018"/>
      <c r="CJ64" s="3018"/>
      <c r="CK64" s="3018"/>
      <c r="CL64" s="2784" t="str">
        <f>IF(O64&lt;P64,CONCATENATE("* El total de Procesados debe ser mayor o igual al total de Reactivos en el grupo de edad ",$O$11),"")</f>
        <v>* El total de Procesados debe ser mayor o igual al total de Reactivos en el grupo de edad 10 - 14 años</v>
      </c>
      <c r="CM64" s="2784" t="str">
        <f>IF(Q64&lt;R64,CONCATENATE("* El total de Procesados debe ser mayor o igual al total de Reactivos en el grupo de edad ",$Q$11),"")</f>
        <v>* El total de Procesados debe ser mayor o igual al total de Reactivos en el grupo de edad 15 - 19 años</v>
      </c>
      <c r="CN64" s="2784" t="str">
        <f t="shared" si="156"/>
        <v>* El total de Procesados debe ser mayor o igual al total de Reactivos en el grupo de edad 20 - 24 años</v>
      </c>
      <c r="CO64" s="2784" t="str">
        <f t="shared" si="157"/>
        <v>* El total de Procesados debe ser mayor o igual al total de Reactivos en el grupo de edad 25 - 29 años</v>
      </c>
      <c r="CP64" s="2784" t="str">
        <f t="shared" si="158"/>
        <v>* El total de Procesados debe ser mayor o igual al total de Reactivos en el grupo de edad 30 - 34 años</v>
      </c>
      <c r="CQ64" s="2784" t="str">
        <f t="shared" si="159"/>
        <v>* El total de Procesados debe ser mayor o igual al total de Reactivos en el grupo de edad 35 - 39 años</v>
      </c>
      <c r="CR64" s="2784" t="str">
        <f t="shared" si="160"/>
        <v>* El total de Procesados debe ser mayor o igual al total de Reactivos en el grupo de edad 40 - 44 años</v>
      </c>
      <c r="CS64" s="2784" t="str">
        <f t="shared" si="161"/>
        <v>* El total de Procesados debe ser mayor o igual al total de Reactivos en el grupo de edad 50 - 54 años</v>
      </c>
      <c r="CT64" s="2784" t="str">
        <f t="shared" si="162"/>
        <v>* El total de Procesados debe ser mayor o igual al total de Reactivos en el grupo de edad 55 - 59 años</v>
      </c>
      <c r="CU64" s="2784" t="str">
        <f t="shared" si="163"/>
        <v>* El total de Procesados debe ser mayor o igual al total de Reactivos en el grupo de edad 60 - 64 años</v>
      </c>
      <c r="CV64" s="2784" t="str">
        <f t="shared" si="164"/>
        <v>* El total de Procesados debe ser mayor o igual al total de Reactivos en el grupo de edad 65 - 69 años</v>
      </c>
      <c r="CW64" s="2784" t="str">
        <f t="shared" si="165"/>
        <v>* El total de Procesados debe ser mayor o igual al total de Reactivos en el grupo de edad 70 - 74 años</v>
      </c>
      <c r="CX64" s="2784" t="str">
        <f t="shared" si="166"/>
        <v>* El total de Procesados debe ser mayor o igual al total de Reactivos en el grupo de edad 75 - 79 años</v>
      </c>
      <c r="CY64" s="2784" t="str">
        <f t="shared" si="167"/>
        <v>* El total de Procesados debe ser mayor o igual al total de Reactivos en el grupo de edad 80 y más años</v>
      </c>
      <c r="DF64" s="2630"/>
      <c r="DG64" s="4747">
        <f t="shared" ref="DG64:DG65" si="189">IF(C64&lt;&gt;(AT64),1,0)</f>
        <v>1</v>
      </c>
      <c r="DH64" s="2920" t="e">
        <f t="shared" si="169"/>
        <v>#VALUE!</v>
      </c>
      <c r="DI64" s="2920">
        <f t="shared" si="170"/>
        <v>1</v>
      </c>
      <c r="DJ64" s="2920">
        <f t="shared" si="171"/>
        <v>1</v>
      </c>
      <c r="DK64" s="3018"/>
      <c r="DL64" s="3018"/>
      <c r="DM64" s="3018"/>
      <c r="DN64" s="3018"/>
      <c r="DO64" s="3018"/>
      <c r="DP64" s="2920">
        <f t="shared" si="172"/>
        <v>1</v>
      </c>
      <c r="DQ64" s="2920">
        <f t="shared" si="173"/>
        <v>1</v>
      </c>
      <c r="DR64" s="2920">
        <f t="shared" si="174"/>
        <v>1</v>
      </c>
      <c r="DS64" s="2920">
        <f t="shared" si="175"/>
        <v>1</v>
      </c>
      <c r="DT64" s="2920">
        <f t="shared" si="176"/>
        <v>1</v>
      </c>
      <c r="DU64" s="2920">
        <f t="shared" si="177"/>
        <v>1</v>
      </c>
      <c r="DV64" s="2920">
        <f t="shared" si="178"/>
        <v>1</v>
      </c>
      <c r="DW64" s="2920">
        <f t="shared" si="179"/>
        <v>1</v>
      </c>
      <c r="DX64" s="2920">
        <f t="shared" si="180"/>
        <v>1</v>
      </c>
      <c r="DY64" s="2920">
        <f t="shared" si="181"/>
        <v>1</v>
      </c>
      <c r="DZ64" s="2920">
        <f t="shared" si="182"/>
        <v>1</v>
      </c>
      <c r="EA64" s="2920">
        <f t="shared" si="183"/>
        <v>1</v>
      </c>
      <c r="EB64" s="2920">
        <f t="shared" si="184"/>
        <v>1</v>
      </c>
      <c r="EC64" s="2920">
        <f t="shared" si="185"/>
        <v>1</v>
      </c>
    </row>
    <row r="65" spans="1:133" x14ac:dyDescent="0.3">
      <c r="A65" s="6234">
        <v>11056408</v>
      </c>
      <c r="B65" s="3184" t="s">
        <v>2667</v>
      </c>
      <c r="C65" s="1928" t="s">
        <v>5292</v>
      </c>
      <c r="D65" s="3242" t="s">
        <v>5293</v>
      </c>
      <c r="E65" s="3479" t="s">
        <v>5294</v>
      </c>
      <c r="F65" s="5151" t="s">
        <v>5295</v>
      </c>
      <c r="G65" s="5038" t="s">
        <v>5296</v>
      </c>
      <c r="H65" s="5151" t="s">
        <v>5297</v>
      </c>
      <c r="I65" s="5038" t="s">
        <v>5298</v>
      </c>
      <c r="J65" s="5147" t="s">
        <v>5299</v>
      </c>
      <c r="K65" s="3479" t="s">
        <v>5300</v>
      </c>
      <c r="L65" s="3479" t="s">
        <v>5301</v>
      </c>
      <c r="M65" s="5038" t="s">
        <v>5302</v>
      </c>
      <c r="N65" s="5147" t="s">
        <v>5303</v>
      </c>
      <c r="O65" s="3479" t="s">
        <v>5304</v>
      </c>
      <c r="P65" s="5151" t="s">
        <v>5305</v>
      </c>
      <c r="Q65" s="5038" t="s">
        <v>5306</v>
      </c>
      <c r="R65" s="5151" t="s">
        <v>5307</v>
      </c>
      <c r="S65" s="5038" t="s">
        <v>5308</v>
      </c>
      <c r="T65" s="5151" t="s">
        <v>5309</v>
      </c>
      <c r="U65" s="5038" t="s">
        <v>5310</v>
      </c>
      <c r="V65" s="5151" t="s">
        <v>5311</v>
      </c>
      <c r="W65" s="5038" t="s">
        <v>5312</v>
      </c>
      <c r="X65" s="5151" t="s">
        <v>5313</v>
      </c>
      <c r="Y65" s="5038" t="s">
        <v>5314</v>
      </c>
      <c r="Z65" s="5151" t="s">
        <v>5315</v>
      </c>
      <c r="AA65" s="5038" t="s">
        <v>5316</v>
      </c>
      <c r="AB65" s="5151" t="s">
        <v>5317</v>
      </c>
      <c r="AC65" s="5038" t="s">
        <v>5318</v>
      </c>
      <c r="AD65" s="5151" t="s">
        <v>5319</v>
      </c>
      <c r="AE65" s="5038" t="s">
        <v>5320</v>
      </c>
      <c r="AF65" s="5151" t="s">
        <v>5321</v>
      </c>
      <c r="AG65" s="5038" t="s">
        <v>5322</v>
      </c>
      <c r="AH65" s="5151" t="s">
        <v>5323</v>
      </c>
      <c r="AI65" s="5038" t="s">
        <v>5324</v>
      </c>
      <c r="AJ65" s="5151" t="s">
        <v>5325</v>
      </c>
      <c r="AK65" s="5038" t="s">
        <v>5326</v>
      </c>
      <c r="AL65" s="5151" t="s">
        <v>5327</v>
      </c>
      <c r="AM65" s="5038" t="s">
        <v>5328</v>
      </c>
      <c r="AN65" s="5151" t="s">
        <v>5329</v>
      </c>
      <c r="AO65" s="5038" t="s">
        <v>5330</v>
      </c>
      <c r="AP65" s="5151" t="s">
        <v>5331</v>
      </c>
      <c r="AQ65" s="5038" t="s">
        <v>5332</v>
      </c>
      <c r="AR65" s="5145" t="s">
        <v>5333</v>
      </c>
      <c r="AS65" s="3483" t="s">
        <v>5334</v>
      </c>
      <c r="AT65" s="5145" t="s">
        <v>5335</v>
      </c>
      <c r="AU65" s="5146" t="s">
        <v>5336</v>
      </c>
      <c r="AV65" s="5145" t="s">
        <v>5337</v>
      </c>
      <c r="AW65" s="3479" t="s">
        <v>5338</v>
      </c>
      <c r="AX65" s="5147" t="s">
        <v>5339</v>
      </c>
      <c r="AY65" s="1687" t="e">
        <f>CC65&amp;CD65&amp;CE65&amp;CF65&amp;CG65&amp;CH65&amp;CI65&amp;CJ65&amp;CK65&amp;CL65&amp;CM65&amp;CN65&amp;CO65&amp;CP65&amp;CQ65&amp;CR65&amp;CS65&amp;CT65&amp;CU65&amp;CV65&amp;CW65&amp;CX65&amp;CY65</f>
        <v>#VALUE!</v>
      </c>
      <c r="CB65" s="600"/>
      <c r="CC65" s="4747" t="str">
        <f t="shared" si="186"/>
        <v xml:space="preserve"> * La suma de las columnas POR SEXO (Procesados) DEBE SER IGUAL a los Exámenes Procesados. </v>
      </c>
      <c r="CD65" s="2784" t="e">
        <f t="shared" si="151"/>
        <v>#VALUE!</v>
      </c>
      <c r="CE65" s="2784" t="str">
        <f t="shared" si="152"/>
        <v xml:space="preserve"> *El Número de Pueblos Originarios no puede superar el Total Procesados. </v>
      </c>
      <c r="CF65" s="2784" t="str">
        <f t="shared" si="153"/>
        <v xml:space="preserve"> *El Número de Migrantes no puede superar el Total Procesados. </v>
      </c>
      <c r="CG65" s="2784" t="str">
        <f>IF(E65&lt;F65,CONCATENATE("* El total de Procesados debe ser mayor o igual al total de Reactivos en el grupo de edad ",$E$11),"")</f>
        <v>* El total de Procesados debe ser mayor o igual al total de Reactivos en el grupo de edad Menos de 6 meses</v>
      </c>
      <c r="CH65" s="2784" t="str">
        <f>IF(G65&lt;H65,CONCATENATE("* El total de Procesados debe ser mayor o igual al total de Reactivos en el grupo de edad ",$G$11),"")</f>
        <v>* El total de Procesados debe ser mayor o igual al total de Reactivos en el grupo de edad 6 - 11 meses</v>
      </c>
      <c r="CI65" s="2784" t="str">
        <f>IF(I65&lt;J65,CONCATENATE("* El total de Procesados debe ser mayor o igual al total de Reactivos en el grupo de edad ",$I$11),"")</f>
        <v>* El total de Procesados debe ser mayor o igual al total de Reactivos en el grupo de edad 12-24 meses</v>
      </c>
      <c r="CJ65" s="2784" t="str">
        <f>IF(K65&lt;L65,CONCATENATE("* El total de Procesados debe ser mayor o igual al total de Reactivos en el grupo de edad ",$K$11),"")</f>
        <v>* El total de Procesados debe ser mayor o igual al total de Reactivos en el grupo de edad 3 - 4 años</v>
      </c>
      <c r="CK65" s="2784" t="str">
        <f>IF(M65&lt;N65,CONCATENATE("* El total de Procesados debe ser mayor o igual al total de Reactivos en el grupo de edad ",$M$11),"")</f>
        <v>* El total de Procesados debe ser mayor o igual al total de Reactivos en el grupo de edad 5 - 9 años</v>
      </c>
      <c r="CL65" s="2784" t="str">
        <f>IF(O65&lt;P65,CONCATENATE("* El total de Procesados debe ser mayor o igual al total de Reactivos en el grupo de edad ",$O$11),"")</f>
        <v>* El total de Procesados debe ser mayor o igual al total de Reactivos en el grupo de edad 10 - 14 años</v>
      </c>
      <c r="CM65" s="2784" t="str">
        <f>IF(Q65&lt;R65,CONCATENATE("* El total de Procesados debe ser mayor o igual al total de Reactivos en el grupo de edad ",$Q$11),"")</f>
        <v>* El total de Procesados debe ser mayor o igual al total de Reactivos en el grupo de edad 15 - 19 años</v>
      </c>
      <c r="CN65" s="2784" t="str">
        <f t="shared" si="156"/>
        <v>* El total de Procesados debe ser mayor o igual al total de Reactivos en el grupo de edad 20 - 24 años</v>
      </c>
      <c r="CO65" s="2784" t="str">
        <f t="shared" si="157"/>
        <v>* El total de Procesados debe ser mayor o igual al total de Reactivos en el grupo de edad 25 - 29 años</v>
      </c>
      <c r="CP65" s="2784" t="str">
        <f t="shared" si="158"/>
        <v>* El total de Procesados debe ser mayor o igual al total de Reactivos en el grupo de edad 30 - 34 años</v>
      </c>
      <c r="CQ65" s="2784" t="str">
        <f t="shared" si="159"/>
        <v>* El total de Procesados debe ser mayor o igual al total de Reactivos en el grupo de edad 35 - 39 años</v>
      </c>
      <c r="CR65" s="2784" t="str">
        <f t="shared" si="160"/>
        <v>* El total de Procesados debe ser mayor o igual al total de Reactivos en el grupo de edad 40 - 44 años</v>
      </c>
      <c r="CS65" s="2784" t="str">
        <f t="shared" si="161"/>
        <v>* El total de Procesados debe ser mayor o igual al total de Reactivos en el grupo de edad 50 - 54 años</v>
      </c>
      <c r="CT65" s="2784" t="str">
        <f t="shared" si="162"/>
        <v>* El total de Procesados debe ser mayor o igual al total de Reactivos en el grupo de edad 55 - 59 años</v>
      </c>
      <c r="CU65" s="2784" t="str">
        <f t="shared" si="163"/>
        <v>* El total de Procesados debe ser mayor o igual al total de Reactivos en el grupo de edad 60 - 64 años</v>
      </c>
      <c r="CV65" s="2784" t="str">
        <f t="shared" si="164"/>
        <v>* El total de Procesados debe ser mayor o igual al total de Reactivos en el grupo de edad 65 - 69 años</v>
      </c>
      <c r="CW65" s="2784" t="str">
        <f t="shared" si="165"/>
        <v>* El total de Procesados debe ser mayor o igual al total de Reactivos en el grupo de edad 70 - 74 años</v>
      </c>
      <c r="CX65" s="2784" t="str">
        <f t="shared" si="166"/>
        <v>* El total de Procesados debe ser mayor o igual al total de Reactivos en el grupo de edad 75 - 79 años</v>
      </c>
      <c r="CY65" s="2784" t="str">
        <f t="shared" si="167"/>
        <v>* El total de Procesados debe ser mayor o igual al total de Reactivos en el grupo de edad 80 y más años</v>
      </c>
      <c r="DF65" s="2630"/>
      <c r="DG65" s="4747">
        <f t="shared" si="189"/>
        <v>1</v>
      </c>
      <c r="DH65" s="2920" t="e">
        <f t="shared" si="169"/>
        <v>#VALUE!</v>
      </c>
      <c r="DI65" s="2920">
        <f t="shared" si="170"/>
        <v>1</v>
      </c>
      <c r="DJ65" s="2920">
        <f t="shared" si="171"/>
        <v>1</v>
      </c>
      <c r="DK65" s="2920">
        <f>IF(E65&lt;F65,1,0)</f>
        <v>1</v>
      </c>
      <c r="DL65" s="2920">
        <f>IF(G65&lt;H65,1,0)</f>
        <v>1</v>
      </c>
      <c r="DM65" s="2920">
        <f>IF(I65&lt;J65,1,0)</f>
        <v>1</v>
      </c>
      <c r="DN65" s="2920">
        <f>IF(K65&lt;L65,1,0)</f>
        <v>1</v>
      </c>
      <c r="DO65" s="2920">
        <f>IF(M65&lt;N65,1,0)</f>
        <v>1</v>
      </c>
      <c r="DP65" s="2920">
        <f t="shared" si="172"/>
        <v>1</v>
      </c>
      <c r="DQ65" s="2920">
        <f t="shared" si="173"/>
        <v>1</v>
      </c>
      <c r="DR65" s="2920">
        <f t="shared" si="174"/>
        <v>1</v>
      </c>
      <c r="DS65" s="2920">
        <f t="shared" si="175"/>
        <v>1</v>
      </c>
      <c r="DT65" s="2920">
        <f t="shared" si="176"/>
        <v>1</v>
      </c>
      <c r="DU65" s="2920">
        <f t="shared" si="177"/>
        <v>1</v>
      </c>
      <c r="DV65" s="2920">
        <f t="shared" si="178"/>
        <v>1</v>
      </c>
      <c r="DW65" s="2920">
        <f t="shared" si="179"/>
        <v>1</v>
      </c>
      <c r="DX65" s="2920">
        <f t="shared" si="180"/>
        <v>1</v>
      </c>
      <c r="DY65" s="2920">
        <f t="shared" si="181"/>
        <v>1</v>
      </c>
      <c r="DZ65" s="2920">
        <f t="shared" si="182"/>
        <v>1</v>
      </c>
      <c r="EA65" s="2920">
        <f t="shared" si="183"/>
        <v>1</v>
      </c>
      <c r="EB65" s="2920">
        <f t="shared" si="184"/>
        <v>1</v>
      </c>
      <c r="EC65" s="2920">
        <f t="shared" si="185"/>
        <v>1</v>
      </c>
    </row>
    <row r="66" spans="1:133" ht="20.399999999999999" x14ac:dyDescent="0.3">
      <c r="A66" s="6234">
        <v>11056409</v>
      </c>
      <c r="B66" s="3239" t="s">
        <v>2668</v>
      </c>
      <c r="C66" s="1928" t="s">
        <v>5292</v>
      </c>
      <c r="D66" s="3242" t="s">
        <v>5293</v>
      </c>
      <c r="E66" s="3479" t="s">
        <v>5294</v>
      </c>
      <c r="F66" s="5151" t="s">
        <v>5295</v>
      </c>
      <c r="G66" s="5038" t="s">
        <v>5296</v>
      </c>
      <c r="H66" s="5151" t="s">
        <v>5297</v>
      </c>
      <c r="I66" s="5038" t="s">
        <v>5298</v>
      </c>
      <c r="J66" s="5147" t="s">
        <v>5299</v>
      </c>
      <c r="K66" s="5152" t="s">
        <v>5300</v>
      </c>
      <c r="L66" s="5153" t="s">
        <v>5301</v>
      </c>
      <c r="M66" s="5152" t="s">
        <v>5302</v>
      </c>
      <c r="N66" s="5153" t="s">
        <v>5303</v>
      </c>
      <c r="O66" s="5152" t="s">
        <v>5304</v>
      </c>
      <c r="P66" s="5153" t="s">
        <v>5305</v>
      </c>
      <c r="Q66" s="5152" t="s">
        <v>5306</v>
      </c>
      <c r="R66" s="5153" t="s">
        <v>5307</v>
      </c>
      <c r="S66" s="5152" t="s">
        <v>5308</v>
      </c>
      <c r="T66" s="5153" t="s">
        <v>5309</v>
      </c>
      <c r="U66" s="5152" t="s">
        <v>5310</v>
      </c>
      <c r="V66" s="5153" t="s">
        <v>5311</v>
      </c>
      <c r="W66" s="5152" t="s">
        <v>5312</v>
      </c>
      <c r="X66" s="5153" t="s">
        <v>5313</v>
      </c>
      <c r="Y66" s="5152" t="s">
        <v>5314</v>
      </c>
      <c r="Z66" s="5153" t="s">
        <v>5315</v>
      </c>
      <c r="AA66" s="5152" t="s">
        <v>5316</v>
      </c>
      <c r="AB66" s="5153" t="s">
        <v>5317</v>
      </c>
      <c r="AC66" s="5152" t="s">
        <v>5318</v>
      </c>
      <c r="AD66" s="5153" t="s">
        <v>5319</v>
      </c>
      <c r="AE66" s="5152" t="s">
        <v>5320</v>
      </c>
      <c r="AF66" s="5153" t="s">
        <v>5321</v>
      </c>
      <c r="AG66" s="5152" t="s">
        <v>5322</v>
      </c>
      <c r="AH66" s="5153" t="s">
        <v>5323</v>
      </c>
      <c r="AI66" s="5152" t="s">
        <v>5324</v>
      </c>
      <c r="AJ66" s="5153" t="s">
        <v>5325</v>
      </c>
      <c r="AK66" s="5152" t="s">
        <v>5326</v>
      </c>
      <c r="AL66" s="5153" t="s">
        <v>5327</v>
      </c>
      <c r="AM66" s="5152" t="s">
        <v>5328</v>
      </c>
      <c r="AN66" s="5153" t="s">
        <v>5329</v>
      </c>
      <c r="AO66" s="5152" t="s">
        <v>5330</v>
      </c>
      <c r="AP66" s="5153" t="s">
        <v>5331</v>
      </c>
      <c r="AQ66" s="5152" t="s">
        <v>5332</v>
      </c>
      <c r="AR66" s="5154" t="s">
        <v>5333</v>
      </c>
      <c r="AS66" s="3479" t="s">
        <v>5334</v>
      </c>
      <c r="AT66" s="5145" t="s">
        <v>5335</v>
      </c>
      <c r="AU66" s="5146" t="s">
        <v>5336</v>
      </c>
      <c r="AV66" s="5145" t="s">
        <v>5337</v>
      </c>
      <c r="AW66" s="3479" t="s">
        <v>5338</v>
      </c>
      <c r="AX66" s="5147" t="s">
        <v>5339</v>
      </c>
      <c r="AY66" s="1687" t="e">
        <f>CC66&amp;CD66&amp;CE66&amp;CF66&amp;CL66&amp;CM66&amp;CN66&amp;CO66&amp;CP66&amp;CQ66&amp;CR66&amp;CS66&amp;CT66&amp;CU66&amp;CV66&amp;CW66&amp;CX66&amp;CY66&amp;CG66&amp;CH66&amp;CI66</f>
        <v>#VALUE!</v>
      </c>
      <c r="CB66" s="600"/>
      <c r="CC66" s="2784" t="e">
        <f>IF(C66&lt;&gt;(AT66+AS66)," * La suma de las columnas "&amp;AS$10&amp;""&amp;" DEBE SER IGUAL a los Exámenes Procesados. ","")</f>
        <v>#VALUE!</v>
      </c>
      <c r="CD66" s="2784" t="e">
        <f t="shared" si="151"/>
        <v>#VALUE!</v>
      </c>
      <c r="CE66" s="2784" t="str">
        <f t="shared" si="152"/>
        <v xml:space="preserve"> *El Número de Pueblos Originarios no puede superar el Total Procesados. </v>
      </c>
      <c r="CF66" s="2784" t="str">
        <f t="shared" si="153"/>
        <v xml:space="preserve"> *El Número de Migrantes no puede superar el Total Procesados. </v>
      </c>
      <c r="CG66" s="2784" t="str">
        <f>IF(E66&lt;F66,CONCATENATE("* El total de Procesados debe ser mayor o igual al total de Reactivos en el grupo de edad ",$E$11),"")</f>
        <v>* El total de Procesados debe ser mayor o igual al total de Reactivos en el grupo de edad Menos de 6 meses</v>
      </c>
      <c r="CH66" s="2784" t="str">
        <f>IF(G66&lt;H66,CONCATENATE("* El total de Procesados debe ser mayor o igual al total de Reactivos en el grupo de edad ",$G$11),"")</f>
        <v>* El total de Procesados debe ser mayor o igual al total de Reactivos en el grupo de edad 6 - 11 meses</v>
      </c>
      <c r="CI66" s="2784" t="str">
        <f>IF(I66&lt;J66,CONCATENATE("* El total de Procesados debe ser mayor o igual al total de Reactivos en el grupo de edad ",$I$11),"")</f>
        <v>* El total de Procesados debe ser mayor o igual al total de Reactivos en el grupo de edad 12-24 meses</v>
      </c>
      <c r="CJ66" s="2783"/>
      <c r="CK66" s="2783"/>
      <c r="CL66" s="3488"/>
      <c r="CM66" s="2783"/>
      <c r="CN66" s="2783"/>
      <c r="CO66" s="2783"/>
      <c r="CP66" s="2783"/>
      <c r="CQ66" s="2783"/>
      <c r="CR66" s="2783"/>
      <c r="CS66" s="2783"/>
      <c r="CT66" s="2783"/>
      <c r="CU66" s="2783"/>
      <c r="CV66" s="2783"/>
      <c r="CW66" s="2783"/>
      <c r="CX66" s="2783"/>
      <c r="CY66" s="2783"/>
      <c r="DF66" s="2630"/>
      <c r="DG66" s="2784" t="e">
        <f>IF(C66&lt;&gt;(AT66+AS66),1,0)</f>
        <v>#VALUE!</v>
      </c>
      <c r="DH66" s="2920" t="e">
        <f t="shared" si="169"/>
        <v>#VALUE!</v>
      </c>
      <c r="DI66" s="2920">
        <f t="shared" si="170"/>
        <v>1</v>
      </c>
      <c r="DJ66" s="2920">
        <f t="shared" si="171"/>
        <v>1</v>
      </c>
      <c r="DK66" s="2920">
        <f>IF(E66&lt;F66,1,0)</f>
        <v>1</v>
      </c>
      <c r="DL66" s="2920">
        <f>IF(G66&lt;H66,1,0)</f>
        <v>1</v>
      </c>
      <c r="DM66" s="2920">
        <f>IF(I66&lt;J66,1,0)</f>
        <v>1</v>
      </c>
      <c r="DN66" s="2783"/>
      <c r="DO66" s="2783"/>
      <c r="DP66" s="3018"/>
      <c r="DQ66" s="3018"/>
      <c r="DR66" s="3018"/>
      <c r="DS66" s="3018"/>
      <c r="DT66" s="3018"/>
      <c r="DU66" s="3018"/>
      <c r="DV66" s="3018"/>
      <c r="DW66" s="3018"/>
      <c r="DX66" s="3018"/>
      <c r="DY66" s="3018"/>
      <c r="DZ66" s="3018"/>
      <c r="EA66" s="3018"/>
      <c r="EB66" s="3018"/>
      <c r="EC66" s="3018"/>
    </row>
    <row r="67" spans="1:133" x14ac:dyDescent="0.3">
      <c r="A67" s="6234">
        <v>11056410</v>
      </c>
      <c r="B67" s="3239" t="s">
        <v>2669</v>
      </c>
      <c r="C67" s="1928" t="s">
        <v>5292</v>
      </c>
      <c r="D67" s="3242" t="s">
        <v>5293</v>
      </c>
      <c r="E67" s="3475" t="s">
        <v>5294</v>
      </c>
      <c r="F67" s="5149" t="s">
        <v>5295</v>
      </c>
      <c r="G67" s="5148" t="s">
        <v>5296</v>
      </c>
      <c r="H67" s="5149" t="s">
        <v>5297</v>
      </c>
      <c r="I67" s="5148" t="s">
        <v>5298</v>
      </c>
      <c r="J67" s="5149" t="s">
        <v>5299</v>
      </c>
      <c r="K67" s="5148" t="s">
        <v>5300</v>
      </c>
      <c r="L67" s="5149" t="s">
        <v>5301</v>
      </c>
      <c r="M67" s="5148" t="s">
        <v>5302</v>
      </c>
      <c r="N67" s="5150" t="s">
        <v>5303</v>
      </c>
      <c r="O67" s="3475" t="s">
        <v>5304</v>
      </c>
      <c r="P67" s="5149" t="s">
        <v>5305</v>
      </c>
      <c r="Q67" s="5038" t="s">
        <v>5306</v>
      </c>
      <c r="R67" s="5151" t="s">
        <v>5307</v>
      </c>
      <c r="S67" s="5038" t="s">
        <v>5308</v>
      </c>
      <c r="T67" s="5151" t="s">
        <v>5309</v>
      </c>
      <c r="U67" s="5038" t="s">
        <v>5310</v>
      </c>
      <c r="V67" s="5151" t="s">
        <v>5311</v>
      </c>
      <c r="W67" s="5038" t="s">
        <v>5312</v>
      </c>
      <c r="X67" s="5151" t="s">
        <v>5313</v>
      </c>
      <c r="Y67" s="5038" t="s">
        <v>5314</v>
      </c>
      <c r="Z67" s="5151" t="s">
        <v>5315</v>
      </c>
      <c r="AA67" s="5038" t="s">
        <v>5316</v>
      </c>
      <c r="AB67" s="5151" t="s">
        <v>5317</v>
      </c>
      <c r="AC67" s="5038" t="s">
        <v>5318</v>
      </c>
      <c r="AD67" s="5151" t="s">
        <v>5319</v>
      </c>
      <c r="AE67" s="5038" t="s">
        <v>5320</v>
      </c>
      <c r="AF67" s="5151" t="s">
        <v>5321</v>
      </c>
      <c r="AG67" s="5038" t="s">
        <v>5322</v>
      </c>
      <c r="AH67" s="5151" t="s">
        <v>5323</v>
      </c>
      <c r="AI67" s="5038" t="s">
        <v>5324</v>
      </c>
      <c r="AJ67" s="5151" t="s">
        <v>5325</v>
      </c>
      <c r="AK67" s="5038" t="s">
        <v>5326</v>
      </c>
      <c r="AL67" s="5151" t="s">
        <v>5327</v>
      </c>
      <c r="AM67" s="5038" t="s">
        <v>5328</v>
      </c>
      <c r="AN67" s="5151" t="s">
        <v>5329</v>
      </c>
      <c r="AO67" s="5038" t="s">
        <v>5330</v>
      </c>
      <c r="AP67" s="5151" t="s">
        <v>5331</v>
      </c>
      <c r="AQ67" s="5038" t="s">
        <v>5332</v>
      </c>
      <c r="AR67" s="5145" t="s">
        <v>5333</v>
      </c>
      <c r="AS67" s="3479" t="s">
        <v>5334</v>
      </c>
      <c r="AT67" s="5145" t="s">
        <v>5335</v>
      </c>
      <c r="AU67" s="5146" t="s">
        <v>5336</v>
      </c>
      <c r="AV67" s="5145" t="s">
        <v>5337</v>
      </c>
      <c r="AW67" s="3479" t="s">
        <v>5338</v>
      </c>
      <c r="AX67" s="5147" t="s">
        <v>5339</v>
      </c>
      <c r="AY67" s="1687" t="e">
        <f>CC67&amp;CD67&amp;CE67&amp;CF67&amp;CL67&amp;CM67&amp;CN67&amp;CO67&amp;CP67&amp;CQ67&amp;CR67&amp;CS67&amp;CT67&amp;CU67&amp;CV67&amp;CW67&amp;CX67&amp;CY67&amp;CG67&amp;CH67&amp;CI67</f>
        <v>#VALUE!</v>
      </c>
      <c r="CB67" s="600"/>
      <c r="CC67" s="2784" t="e">
        <f t="shared" ref="CC67:CC74" si="190">IF(C67&lt;&gt;(AT67+AS67)," * La suma de las columnas "&amp;AS$10&amp;""&amp;" DEBE SER IGUAL a los Exámenes Procesados. ","")</f>
        <v>#VALUE!</v>
      </c>
      <c r="CD67" s="2784" t="e">
        <f t="shared" si="151"/>
        <v>#VALUE!</v>
      </c>
      <c r="CE67" s="2784" t="str">
        <f t="shared" si="152"/>
        <v xml:space="preserve"> *El Número de Pueblos Originarios no puede superar el Total Procesados. </v>
      </c>
      <c r="CF67" s="2784" t="str">
        <f t="shared" si="153"/>
        <v xml:space="preserve"> *El Número de Migrantes no puede superar el Total Procesados. </v>
      </c>
      <c r="CG67" s="3488"/>
      <c r="CH67" s="3488"/>
      <c r="CI67" s="2783"/>
      <c r="CJ67" s="2783"/>
      <c r="CK67" s="2783"/>
      <c r="CL67" s="3488"/>
      <c r="CM67" s="2784" t="str">
        <f>IF(Q67&lt;R67,CONCATENATE("* El total de Procesados debe ser mayor o igual al total de Reactivos en el grupo de edad ",$Q$11),"")</f>
        <v>* El total de Procesados debe ser mayor o igual al total de Reactivos en el grupo de edad 15 - 19 años</v>
      </c>
      <c r="CN67" s="2784" t="str">
        <f t="shared" ref="CN67:CN74" si="191">IF(S67&lt;T67,CONCATENATE("* El total de Procesados debe ser mayor o igual al total de Reactivos en el grupo de edad ",$S$11),"")</f>
        <v>* El total de Procesados debe ser mayor o igual al total de Reactivos en el grupo de edad 20 - 24 años</v>
      </c>
      <c r="CO67" s="2784" t="str">
        <f t="shared" si="157"/>
        <v>* El total de Procesados debe ser mayor o igual al total de Reactivos en el grupo de edad 25 - 29 años</v>
      </c>
      <c r="CP67" s="2784" t="str">
        <f t="shared" ref="CP67:CP74" si="192">IF(W67&lt;X67,CONCATENATE("* El total de Procesados debe ser mayor o igual al total de Reactivos en el grupo de edad ",$W$11),"")</f>
        <v>* El total de Procesados debe ser mayor o igual al total de Reactivos en el grupo de edad 30 - 34 años</v>
      </c>
      <c r="CQ67" s="2784" t="str">
        <f t="shared" ref="CQ67:CQ74" si="193">IF(Y67&lt;Z67,CONCATENATE("* El total de Procesados debe ser mayor o igual al total de Reactivos en el grupo de edad ",$Y$11),"")</f>
        <v>* El total de Procesados debe ser mayor o igual al total de Reactivos en el grupo de edad 35 - 39 años</v>
      </c>
      <c r="CR67" s="2784" t="str">
        <f t="shared" ref="CR67:CR74" si="194">IF(AA67&lt;AB67,CONCATENATE("* El total de Procesados debe ser mayor o igual al total de Reactivos en el grupo de edad ",$AA$11),"")</f>
        <v>* El total de Procesados debe ser mayor o igual al total de Reactivos en el grupo de edad 40 - 44 años</v>
      </c>
      <c r="CS67" s="2784" t="str">
        <f t="shared" ref="CS67:CS74" si="195">IF(AE67&lt;AF67,CONCATENATE("* El total de Procesados debe ser mayor o igual al total de Reactivos en el grupo de edad ",$AE$11),"")</f>
        <v>* El total de Procesados debe ser mayor o igual al total de Reactivos en el grupo de edad 50 - 54 años</v>
      </c>
      <c r="CT67" s="2784" t="str">
        <f t="shared" ref="CT67:CT74" si="196">IF(AG67&lt;AH67,CONCATENATE("* El total de Procesados debe ser mayor o igual al total de Reactivos en el grupo de edad ",$AG$11),"")</f>
        <v>* El total de Procesados debe ser mayor o igual al total de Reactivos en el grupo de edad 55 - 59 años</v>
      </c>
      <c r="CU67" s="2784" t="str">
        <f t="shared" ref="CU67:CU74" si="197">IF(AI67&lt;AJ67,CONCATENATE("* El total de Procesados debe ser mayor o igual al total de Reactivos en el grupo de edad ",$AI$11),"")</f>
        <v>* El total de Procesados debe ser mayor o igual al total de Reactivos en el grupo de edad 60 - 64 años</v>
      </c>
      <c r="CV67" s="2784" t="str">
        <f t="shared" ref="CV67:CV70" si="198">IF(AK67&lt;AL67,CONCATENATE("* El total de Procesados debe ser mayor o igual al total de Reactivos en el grupo de edad ",$AK$11),"")</f>
        <v>* El total de Procesados debe ser mayor o igual al total de Reactivos en el grupo de edad 65 - 69 años</v>
      </c>
      <c r="CW67" s="2784" t="str">
        <f t="shared" ref="CW67:CW70" si="199">IF(AM67&lt;AN67,CONCATENATE("* El total de Procesados debe ser mayor o igual al total de Reactivos en el grupo de edad ",$AM$11),"")</f>
        <v>* El total de Procesados debe ser mayor o igual al total de Reactivos en el grupo de edad 70 - 74 años</v>
      </c>
      <c r="CX67" s="2784" t="str">
        <f t="shared" ref="CX67:CX70" si="200">IF(AO67&lt;AP67,CONCATENATE("* El total de Procesados debe ser mayor o igual al total de Reactivos en el grupo de edad ",$AO$11),"")</f>
        <v>* El total de Procesados debe ser mayor o igual al total de Reactivos en el grupo de edad 75 - 79 años</v>
      </c>
      <c r="CY67" s="2784" t="str">
        <f t="shared" ref="CY67:CY70" si="201">IF(AQ67&lt;AR67,CONCATENATE("* El total de Procesados debe ser mayor o igual al total de Reactivos en el grupo de edad ",$AQ$11),"")</f>
        <v>* El total de Procesados debe ser mayor o igual al total de Reactivos en el grupo de edad 80 y más años</v>
      </c>
      <c r="DF67" s="2630"/>
      <c r="DG67" s="2784" t="e">
        <f t="shared" ref="DG67:DG74" si="202">IF(C67&lt;&gt;(AT67+AS67),1,0)</f>
        <v>#VALUE!</v>
      </c>
      <c r="DH67" s="2920" t="e">
        <f t="shared" si="169"/>
        <v>#VALUE!</v>
      </c>
      <c r="DI67" s="2920">
        <f t="shared" si="170"/>
        <v>1</v>
      </c>
      <c r="DJ67" s="2920">
        <f t="shared" si="171"/>
        <v>1</v>
      </c>
      <c r="DK67" s="2783"/>
      <c r="DL67" s="2783"/>
      <c r="DM67" s="2783"/>
      <c r="DN67" s="2783"/>
      <c r="DO67" s="2783"/>
      <c r="DP67" s="3018"/>
      <c r="DQ67" s="2920">
        <f t="shared" ref="DQ67:DQ74" si="203">IF(Q67&lt;R67,1,0)</f>
        <v>1</v>
      </c>
      <c r="DR67" s="2920">
        <f t="shared" ref="DR67:DR74" si="204">IF(S67&lt;T67,1,0)</f>
        <v>1</v>
      </c>
      <c r="DS67" s="2920">
        <f t="shared" si="175"/>
        <v>1</v>
      </c>
      <c r="DT67" s="2920">
        <f t="shared" ref="DT67:DT74" si="205">IF(W67&lt;X67,1,0)</f>
        <v>1</v>
      </c>
      <c r="DU67" s="2920">
        <f t="shared" ref="DU67:DU74" si="206">IF(Y67&lt;Z67,1,0)</f>
        <v>1</v>
      </c>
      <c r="DV67" s="2920">
        <f t="shared" ref="DV67:DV74" si="207">IF(AA67&lt;AB67,1,0)</f>
        <v>1</v>
      </c>
      <c r="DW67" s="2920">
        <f t="shared" ref="DW67:DW74" si="208">IF(AE67&lt;AF67,1,0)</f>
        <v>1</v>
      </c>
      <c r="DX67" s="2920">
        <f t="shared" ref="DX67:DX74" si="209">IF(AG67&lt;AH67,1,0)</f>
        <v>1</v>
      </c>
      <c r="DY67" s="2920">
        <f t="shared" ref="DY67:DY74" si="210">IF(AI67&lt;AJ67,1,0)</f>
        <v>1</v>
      </c>
      <c r="DZ67" s="2920">
        <f t="shared" ref="DZ67:DZ70" si="211">IF(AK67&lt;AL67,1,0)</f>
        <v>1</v>
      </c>
      <c r="EA67" s="2920">
        <f t="shared" ref="EA67:EA70" si="212">IF(AM67&lt;AN67,1,0)</f>
        <v>1</v>
      </c>
      <c r="EB67" s="2920">
        <f t="shared" ref="EB67:EB70" si="213">IF(AO67&lt;AP67,1,0)</f>
        <v>1</v>
      </c>
      <c r="EC67" s="2920">
        <f t="shared" ref="EC67:EC70" si="214">IF(AQ67&lt;AR67,1,0)</f>
        <v>1</v>
      </c>
    </row>
    <row r="68" spans="1:133" x14ac:dyDescent="0.3">
      <c r="A68" s="6234">
        <v>11056411</v>
      </c>
      <c r="B68" s="3184" t="s">
        <v>2670</v>
      </c>
      <c r="C68" s="1928" t="s">
        <v>5292</v>
      </c>
      <c r="D68" s="3242" t="s">
        <v>5293</v>
      </c>
      <c r="E68" s="3483" t="s">
        <v>5294</v>
      </c>
      <c r="F68" s="5153" t="s">
        <v>5295</v>
      </c>
      <c r="G68" s="5152" t="s">
        <v>5296</v>
      </c>
      <c r="H68" s="5153" t="s">
        <v>5297</v>
      </c>
      <c r="I68" s="5152" t="s">
        <v>5298</v>
      </c>
      <c r="J68" s="5155" t="s">
        <v>5299</v>
      </c>
      <c r="K68" s="3483" t="s">
        <v>5300</v>
      </c>
      <c r="L68" s="3483" t="s">
        <v>5301</v>
      </c>
      <c r="M68" s="5152" t="s">
        <v>5302</v>
      </c>
      <c r="N68" s="5155" t="s">
        <v>5303</v>
      </c>
      <c r="O68" s="3479" t="s">
        <v>5304</v>
      </c>
      <c r="P68" s="5151" t="s">
        <v>5305</v>
      </c>
      <c r="Q68" s="5038" t="s">
        <v>5306</v>
      </c>
      <c r="R68" s="5151" t="s">
        <v>5307</v>
      </c>
      <c r="S68" s="5038" t="s">
        <v>5308</v>
      </c>
      <c r="T68" s="5151" t="s">
        <v>5309</v>
      </c>
      <c r="U68" s="5038" t="s">
        <v>5310</v>
      </c>
      <c r="V68" s="5151" t="s">
        <v>5311</v>
      </c>
      <c r="W68" s="5038" t="s">
        <v>5312</v>
      </c>
      <c r="X68" s="5151" t="s">
        <v>5313</v>
      </c>
      <c r="Y68" s="5038" t="s">
        <v>5314</v>
      </c>
      <c r="Z68" s="5151" t="s">
        <v>5315</v>
      </c>
      <c r="AA68" s="5038" t="s">
        <v>5316</v>
      </c>
      <c r="AB68" s="5151" t="s">
        <v>5317</v>
      </c>
      <c r="AC68" s="5038" t="s">
        <v>5318</v>
      </c>
      <c r="AD68" s="5151" t="s">
        <v>5319</v>
      </c>
      <c r="AE68" s="5038" t="s">
        <v>5320</v>
      </c>
      <c r="AF68" s="5151" t="s">
        <v>5321</v>
      </c>
      <c r="AG68" s="5038" t="s">
        <v>5322</v>
      </c>
      <c r="AH68" s="5151" t="s">
        <v>5323</v>
      </c>
      <c r="AI68" s="5038" t="s">
        <v>5324</v>
      </c>
      <c r="AJ68" s="5151" t="s">
        <v>5325</v>
      </c>
      <c r="AK68" s="5038" t="s">
        <v>5326</v>
      </c>
      <c r="AL68" s="5151" t="s">
        <v>5327</v>
      </c>
      <c r="AM68" s="5038" t="s">
        <v>5328</v>
      </c>
      <c r="AN68" s="5151" t="s">
        <v>5329</v>
      </c>
      <c r="AO68" s="5038" t="s">
        <v>5330</v>
      </c>
      <c r="AP68" s="5151" t="s">
        <v>5331</v>
      </c>
      <c r="AQ68" s="5038" t="s">
        <v>5332</v>
      </c>
      <c r="AR68" s="5145" t="s">
        <v>5333</v>
      </c>
      <c r="AS68" s="3479" t="s">
        <v>5334</v>
      </c>
      <c r="AT68" s="5145" t="s">
        <v>5335</v>
      </c>
      <c r="AU68" s="5146" t="s">
        <v>5336</v>
      </c>
      <c r="AV68" s="5145" t="s">
        <v>5337</v>
      </c>
      <c r="AW68" s="3479" t="s">
        <v>5338</v>
      </c>
      <c r="AX68" s="5147" t="s">
        <v>5339</v>
      </c>
      <c r="AY68" s="1687" t="e">
        <f>CC68&amp;CD68&amp;CE68&amp;CF68&amp;CL68&amp;CM68&amp;CN68&amp;CO68&amp;CP68&amp;CQ68&amp;CR68&amp;CS68&amp;CT68&amp;CU68&amp;CV68&amp;CW68&amp;CX68&amp;CY68&amp;CG68&amp;CH68&amp;CI68</f>
        <v>#VALUE!</v>
      </c>
      <c r="CB68" s="600"/>
      <c r="CC68" s="2784" t="e">
        <f t="shared" si="190"/>
        <v>#VALUE!</v>
      </c>
      <c r="CD68" s="2784" t="e">
        <f t="shared" si="151"/>
        <v>#VALUE!</v>
      </c>
      <c r="CE68" s="2784" t="str">
        <f t="shared" si="152"/>
        <v xml:space="preserve"> *El Número de Pueblos Originarios no puede superar el Total Procesados. </v>
      </c>
      <c r="CF68" s="2784" t="str">
        <f t="shared" si="153"/>
        <v xml:space="preserve"> *El Número de Migrantes no puede superar el Total Procesados. </v>
      </c>
      <c r="CG68" s="3488"/>
      <c r="CH68" s="3488"/>
      <c r="CI68" s="2783"/>
      <c r="CJ68" s="2783"/>
      <c r="CK68" s="2783"/>
      <c r="CL68" s="2784" t="str">
        <f>IF(O68&lt;P68,CONCATENATE("* El total de Procesados debe ser mayor o igual al total de Reactivos en el grupo de edad ",$O$11),"")</f>
        <v>* El total de Procesados debe ser mayor o igual al total de Reactivos en el grupo de edad 10 - 14 años</v>
      </c>
      <c r="CM68" s="2784" t="str">
        <f t="shared" ref="CM68" si="215">IF(Q68&lt;R68,CONCATENATE("* El total de Procesados debe ser mayor o igual al total de Reactivos en el grupo de edad ",$Q$11),"")</f>
        <v>* El total de Procesados debe ser mayor o igual al total de Reactivos en el grupo de edad 15 - 19 años</v>
      </c>
      <c r="CN68" s="2784" t="str">
        <f t="shared" si="191"/>
        <v>* El total de Procesados debe ser mayor o igual al total de Reactivos en el grupo de edad 20 - 24 años</v>
      </c>
      <c r="CO68" s="2784" t="str">
        <f t="shared" si="157"/>
        <v>* El total de Procesados debe ser mayor o igual al total de Reactivos en el grupo de edad 25 - 29 años</v>
      </c>
      <c r="CP68" s="2784" t="str">
        <f t="shared" si="192"/>
        <v>* El total de Procesados debe ser mayor o igual al total de Reactivos en el grupo de edad 30 - 34 años</v>
      </c>
      <c r="CQ68" s="2784" t="str">
        <f t="shared" si="193"/>
        <v>* El total de Procesados debe ser mayor o igual al total de Reactivos en el grupo de edad 35 - 39 años</v>
      </c>
      <c r="CR68" s="2784" t="str">
        <f t="shared" si="194"/>
        <v>* El total de Procesados debe ser mayor o igual al total de Reactivos en el grupo de edad 40 - 44 años</v>
      </c>
      <c r="CS68" s="2784" t="str">
        <f t="shared" si="195"/>
        <v>* El total de Procesados debe ser mayor o igual al total de Reactivos en el grupo de edad 50 - 54 años</v>
      </c>
      <c r="CT68" s="2784" t="str">
        <f t="shared" si="196"/>
        <v>* El total de Procesados debe ser mayor o igual al total de Reactivos en el grupo de edad 55 - 59 años</v>
      </c>
      <c r="CU68" s="2784" t="str">
        <f t="shared" si="197"/>
        <v>* El total de Procesados debe ser mayor o igual al total de Reactivos en el grupo de edad 60 - 64 años</v>
      </c>
      <c r="CV68" s="2784" t="str">
        <f t="shared" si="198"/>
        <v>* El total de Procesados debe ser mayor o igual al total de Reactivos en el grupo de edad 65 - 69 años</v>
      </c>
      <c r="CW68" s="2784" t="str">
        <f t="shared" si="199"/>
        <v>* El total de Procesados debe ser mayor o igual al total de Reactivos en el grupo de edad 70 - 74 años</v>
      </c>
      <c r="CX68" s="2784" t="str">
        <f t="shared" si="200"/>
        <v>* El total de Procesados debe ser mayor o igual al total de Reactivos en el grupo de edad 75 - 79 años</v>
      </c>
      <c r="CY68" s="2784" t="str">
        <f t="shared" si="201"/>
        <v>* El total de Procesados debe ser mayor o igual al total de Reactivos en el grupo de edad 80 y más años</v>
      </c>
      <c r="DF68" s="2630"/>
      <c r="DG68" s="2784" t="e">
        <f t="shared" si="202"/>
        <v>#VALUE!</v>
      </c>
      <c r="DH68" s="2920" t="e">
        <f t="shared" si="169"/>
        <v>#VALUE!</v>
      </c>
      <c r="DI68" s="2920">
        <f t="shared" si="170"/>
        <v>1</v>
      </c>
      <c r="DJ68" s="2920">
        <f t="shared" si="171"/>
        <v>1</v>
      </c>
      <c r="DK68" s="2783"/>
      <c r="DL68" s="2783"/>
      <c r="DM68" s="2783"/>
      <c r="DN68" s="2783"/>
      <c r="DO68" s="2783"/>
      <c r="DP68" s="2920">
        <f t="shared" ref="DP68:DP69" si="216">IF(O68&lt;P68,1,0)</f>
        <v>1</v>
      </c>
      <c r="DQ68" s="2920">
        <f t="shared" si="203"/>
        <v>1</v>
      </c>
      <c r="DR68" s="2920">
        <f t="shared" si="204"/>
        <v>1</v>
      </c>
      <c r="DS68" s="2920">
        <f t="shared" si="175"/>
        <v>1</v>
      </c>
      <c r="DT68" s="2920">
        <f t="shared" si="205"/>
        <v>1</v>
      </c>
      <c r="DU68" s="2920">
        <f t="shared" si="206"/>
        <v>1</v>
      </c>
      <c r="DV68" s="2920">
        <f t="shared" si="207"/>
        <v>1</v>
      </c>
      <c r="DW68" s="2920">
        <f t="shared" si="208"/>
        <v>1</v>
      </c>
      <c r="DX68" s="2920">
        <f t="shared" si="209"/>
        <v>1</v>
      </c>
      <c r="DY68" s="2920">
        <f t="shared" si="210"/>
        <v>1</v>
      </c>
      <c r="DZ68" s="2920">
        <f t="shared" si="211"/>
        <v>1</v>
      </c>
      <c r="EA68" s="2920">
        <f t="shared" si="212"/>
        <v>1</v>
      </c>
      <c r="EB68" s="2920">
        <f t="shared" si="213"/>
        <v>1</v>
      </c>
      <c r="EC68" s="2920">
        <f t="shared" si="214"/>
        <v>1</v>
      </c>
    </row>
    <row r="69" spans="1:133" x14ac:dyDescent="0.3">
      <c r="A69" s="6234">
        <v>11056412</v>
      </c>
      <c r="B69" s="3184" t="s">
        <v>2671</v>
      </c>
      <c r="C69" s="1928" t="s">
        <v>5292</v>
      </c>
      <c r="D69" s="3242" t="s">
        <v>5293</v>
      </c>
      <c r="E69" s="3479" t="s">
        <v>5294</v>
      </c>
      <c r="F69" s="5151" t="s">
        <v>5295</v>
      </c>
      <c r="G69" s="5038" t="s">
        <v>5296</v>
      </c>
      <c r="H69" s="5151" t="s">
        <v>5297</v>
      </c>
      <c r="I69" s="5038" t="s">
        <v>5298</v>
      </c>
      <c r="J69" s="5147" t="s">
        <v>5299</v>
      </c>
      <c r="K69" s="3479" t="s">
        <v>5300</v>
      </c>
      <c r="L69" s="3479" t="s">
        <v>5301</v>
      </c>
      <c r="M69" s="5038" t="s">
        <v>5302</v>
      </c>
      <c r="N69" s="5147" t="s">
        <v>5303</v>
      </c>
      <c r="O69" s="3479" t="s">
        <v>5304</v>
      </c>
      <c r="P69" s="5151" t="s">
        <v>5305</v>
      </c>
      <c r="Q69" s="5038" t="s">
        <v>5306</v>
      </c>
      <c r="R69" s="5151" t="s">
        <v>5307</v>
      </c>
      <c r="S69" s="5038" t="s">
        <v>5308</v>
      </c>
      <c r="T69" s="5151" t="s">
        <v>5309</v>
      </c>
      <c r="U69" s="5038" t="s">
        <v>5310</v>
      </c>
      <c r="V69" s="5151" t="s">
        <v>5311</v>
      </c>
      <c r="W69" s="5038" t="s">
        <v>5312</v>
      </c>
      <c r="X69" s="5151" t="s">
        <v>5313</v>
      </c>
      <c r="Y69" s="5038" t="s">
        <v>5314</v>
      </c>
      <c r="Z69" s="5151" t="s">
        <v>5315</v>
      </c>
      <c r="AA69" s="5038" t="s">
        <v>5316</v>
      </c>
      <c r="AB69" s="5151" t="s">
        <v>5317</v>
      </c>
      <c r="AC69" s="5038" t="s">
        <v>5318</v>
      </c>
      <c r="AD69" s="5151" t="s">
        <v>5319</v>
      </c>
      <c r="AE69" s="5038" t="s">
        <v>5320</v>
      </c>
      <c r="AF69" s="5151" t="s">
        <v>5321</v>
      </c>
      <c r="AG69" s="5038" t="s">
        <v>5322</v>
      </c>
      <c r="AH69" s="5151" t="s">
        <v>5323</v>
      </c>
      <c r="AI69" s="5038" t="s">
        <v>5324</v>
      </c>
      <c r="AJ69" s="5151" t="s">
        <v>5325</v>
      </c>
      <c r="AK69" s="5038" t="s">
        <v>5326</v>
      </c>
      <c r="AL69" s="5151" t="s">
        <v>5327</v>
      </c>
      <c r="AM69" s="5038" t="s">
        <v>5328</v>
      </c>
      <c r="AN69" s="5151" t="s">
        <v>5329</v>
      </c>
      <c r="AO69" s="5038" t="s">
        <v>5330</v>
      </c>
      <c r="AP69" s="5151" t="s">
        <v>5331</v>
      </c>
      <c r="AQ69" s="5038" t="s">
        <v>5332</v>
      </c>
      <c r="AR69" s="5145" t="s">
        <v>5333</v>
      </c>
      <c r="AS69" s="3479" t="s">
        <v>5334</v>
      </c>
      <c r="AT69" s="5145" t="s">
        <v>5335</v>
      </c>
      <c r="AU69" s="5146" t="s">
        <v>5336</v>
      </c>
      <c r="AV69" s="5145" t="s">
        <v>5337</v>
      </c>
      <c r="AW69" s="3479" t="s">
        <v>5338</v>
      </c>
      <c r="AX69" s="5147" t="s">
        <v>5339</v>
      </c>
      <c r="AY69" s="1687" t="e">
        <f>CC69&amp;CD69&amp;CE69&amp;CF69&amp;CL69&amp;CM69&amp;CN69&amp;CO69&amp;CP69&amp;CQ69&amp;CR69&amp;CS69&amp;CT69&amp;CU69&amp;CV69&amp;CW69&amp;CX69&amp;CY69&amp;CG69&amp;CH69&amp;CI69&amp;CJ69&amp;CK69</f>
        <v>#VALUE!</v>
      </c>
      <c r="CB69" s="600"/>
      <c r="CC69" s="2784" t="e">
        <f t="shared" si="190"/>
        <v>#VALUE!</v>
      </c>
      <c r="CD69" s="2784" t="e">
        <f t="shared" si="151"/>
        <v>#VALUE!</v>
      </c>
      <c r="CE69" s="2784" t="str">
        <f t="shared" si="152"/>
        <v xml:space="preserve"> *El Número de Pueblos Originarios no puede superar el Total Procesados. </v>
      </c>
      <c r="CF69" s="2784" t="str">
        <f t="shared" si="153"/>
        <v xml:space="preserve"> *El Número de Migrantes no puede superar el Total Procesados. </v>
      </c>
      <c r="CG69" s="2784" t="str">
        <f>IF(E69&lt;F69,CONCATENATE("* El total de Procesados debe ser mayor o igual al total de Reactivos en el grupo de edad ",$E$11),"")</f>
        <v>* El total de Procesados debe ser mayor o igual al total de Reactivos en el grupo de edad Menos de 6 meses</v>
      </c>
      <c r="CH69" s="2784" t="str">
        <f>IF(G69&lt;H69,CONCATENATE("* El total de Procesados debe ser mayor o igual al total de Reactivos en el grupo de edad ",$G$11),"")</f>
        <v>* El total de Procesados debe ser mayor o igual al total de Reactivos en el grupo de edad 6 - 11 meses</v>
      </c>
      <c r="CI69" s="2784" t="str">
        <f>IF(I69&lt;J69,CONCATENATE("* El total de Procesados debe ser mayor o igual al total de Reactivos en el grupo de edad ",$I$11),"")</f>
        <v>* El total de Procesados debe ser mayor o igual al total de Reactivos en el grupo de edad 12-24 meses</v>
      </c>
      <c r="CJ69" s="2784" t="str">
        <f>IF(K69&lt;L69,CONCATENATE("* El total de Procesados debe ser mayor o igual al total de Reactivos en el grupo de edad ",$K$11),"")</f>
        <v>* El total de Procesados debe ser mayor o igual al total de Reactivos en el grupo de edad 3 - 4 años</v>
      </c>
      <c r="CK69" s="2784" t="str">
        <f>IF(M69&lt;N69,CONCATENATE("* El total de Procesados debe ser mayor o igual al total de Reactivos en el grupo de edad ",$M$11),"")</f>
        <v>* El total de Procesados debe ser mayor o igual al total de Reactivos en el grupo de edad 5 - 9 años</v>
      </c>
      <c r="CL69" s="2784" t="str">
        <f>IF(O69&lt;P69,CONCATENATE("* El total de Procesados debe ser mayor o igual al total de Reactivos en el grupo de edad ",$O$11),"")</f>
        <v>* El total de Procesados debe ser mayor o igual al total de Reactivos en el grupo de edad 10 - 14 años</v>
      </c>
      <c r="CM69" s="2784" t="str">
        <f>IF(Q69&lt;R69,CONCATENATE("* El total de Procesados debe ser mayor o igual al total de Reactivos en el grupo de edad ",$Q$11),"")</f>
        <v>* El total de Procesados debe ser mayor o igual al total de Reactivos en el grupo de edad 15 - 19 años</v>
      </c>
      <c r="CN69" s="2784" t="str">
        <f t="shared" si="191"/>
        <v>* El total de Procesados debe ser mayor o igual al total de Reactivos en el grupo de edad 20 - 24 años</v>
      </c>
      <c r="CO69" s="2784" t="str">
        <f t="shared" si="157"/>
        <v>* El total de Procesados debe ser mayor o igual al total de Reactivos en el grupo de edad 25 - 29 años</v>
      </c>
      <c r="CP69" s="2784" t="str">
        <f t="shared" si="192"/>
        <v>* El total de Procesados debe ser mayor o igual al total de Reactivos en el grupo de edad 30 - 34 años</v>
      </c>
      <c r="CQ69" s="2784" t="str">
        <f t="shared" si="193"/>
        <v>* El total de Procesados debe ser mayor o igual al total de Reactivos en el grupo de edad 35 - 39 años</v>
      </c>
      <c r="CR69" s="2784" t="str">
        <f t="shared" si="194"/>
        <v>* El total de Procesados debe ser mayor o igual al total de Reactivos en el grupo de edad 40 - 44 años</v>
      </c>
      <c r="CS69" s="2784" t="str">
        <f t="shared" si="195"/>
        <v>* El total de Procesados debe ser mayor o igual al total de Reactivos en el grupo de edad 50 - 54 años</v>
      </c>
      <c r="CT69" s="2784" t="str">
        <f t="shared" si="196"/>
        <v>* El total de Procesados debe ser mayor o igual al total de Reactivos en el grupo de edad 55 - 59 años</v>
      </c>
      <c r="CU69" s="2784" t="str">
        <f t="shared" si="197"/>
        <v>* El total de Procesados debe ser mayor o igual al total de Reactivos en el grupo de edad 60 - 64 años</v>
      </c>
      <c r="CV69" s="2784" t="str">
        <f t="shared" si="198"/>
        <v>* El total de Procesados debe ser mayor o igual al total de Reactivos en el grupo de edad 65 - 69 años</v>
      </c>
      <c r="CW69" s="2784" t="str">
        <f t="shared" si="199"/>
        <v>* El total de Procesados debe ser mayor o igual al total de Reactivos en el grupo de edad 70 - 74 años</v>
      </c>
      <c r="CX69" s="2784" t="str">
        <f t="shared" si="200"/>
        <v>* El total de Procesados debe ser mayor o igual al total de Reactivos en el grupo de edad 75 - 79 años</v>
      </c>
      <c r="CY69" s="2784" t="str">
        <f t="shared" si="201"/>
        <v>* El total de Procesados debe ser mayor o igual al total de Reactivos en el grupo de edad 80 y más años</v>
      </c>
      <c r="DF69" s="2630"/>
      <c r="DG69" s="2784" t="e">
        <f t="shared" si="202"/>
        <v>#VALUE!</v>
      </c>
      <c r="DH69" s="2920" t="e">
        <f t="shared" si="169"/>
        <v>#VALUE!</v>
      </c>
      <c r="DI69" s="2920">
        <f t="shared" si="170"/>
        <v>1</v>
      </c>
      <c r="DJ69" s="2920">
        <f t="shared" si="171"/>
        <v>1</v>
      </c>
      <c r="DK69" s="2920">
        <f>IF(E69&lt;F69,1,0)</f>
        <v>1</v>
      </c>
      <c r="DL69" s="2920">
        <f>IF(G69&lt;H69,1,0)</f>
        <v>1</v>
      </c>
      <c r="DM69" s="2920">
        <f>IF(I69&lt;J69,1,0)</f>
        <v>1</v>
      </c>
      <c r="DN69" s="2920">
        <f>IF(K69&lt;L69,1,0)</f>
        <v>1</v>
      </c>
      <c r="DO69" s="2920">
        <f>IF(M69&lt;N69,1,0)</f>
        <v>1</v>
      </c>
      <c r="DP69" s="2920">
        <f t="shared" si="216"/>
        <v>1</v>
      </c>
      <c r="DQ69" s="2920">
        <f t="shared" si="203"/>
        <v>1</v>
      </c>
      <c r="DR69" s="2920">
        <f t="shared" si="204"/>
        <v>1</v>
      </c>
      <c r="DS69" s="2920">
        <f t="shared" si="175"/>
        <v>1</v>
      </c>
      <c r="DT69" s="2920">
        <f t="shared" si="205"/>
        <v>1</v>
      </c>
      <c r="DU69" s="2920">
        <f t="shared" si="206"/>
        <v>1</v>
      </c>
      <c r="DV69" s="2920">
        <f t="shared" si="207"/>
        <v>1</v>
      </c>
      <c r="DW69" s="2920">
        <f t="shared" si="208"/>
        <v>1</v>
      </c>
      <c r="DX69" s="2920">
        <f t="shared" si="209"/>
        <v>1</v>
      </c>
      <c r="DY69" s="2920">
        <f t="shared" si="210"/>
        <v>1</v>
      </c>
      <c r="DZ69" s="2920">
        <f t="shared" si="211"/>
        <v>1</v>
      </c>
      <c r="EA69" s="2920">
        <f t="shared" si="212"/>
        <v>1</v>
      </c>
      <c r="EB69" s="2920">
        <f t="shared" si="213"/>
        <v>1</v>
      </c>
      <c r="EC69" s="2920">
        <f t="shared" si="214"/>
        <v>1</v>
      </c>
    </row>
    <row r="70" spans="1:133" x14ac:dyDescent="0.3">
      <c r="A70" s="6234">
        <v>11056413</v>
      </c>
      <c r="B70" s="3485" t="s">
        <v>2672</v>
      </c>
      <c r="C70" s="1928" t="s">
        <v>5292</v>
      </c>
      <c r="D70" s="3242" t="s">
        <v>5293</v>
      </c>
      <c r="E70" s="3475" t="s">
        <v>5294</v>
      </c>
      <c r="F70" s="5149" t="s">
        <v>5295</v>
      </c>
      <c r="G70" s="5148" t="s">
        <v>5296</v>
      </c>
      <c r="H70" s="5149" t="s">
        <v>5297</v>
      </c>
      <c r="I70" s="5148" t="s">
        <v>5298</v>
      </c>
      <c r="J70" s="5149" t="s">
        <v>5299</v>
      </c>
      <c r="K70" s="5148" t="s">
        <v>5300</v>
      </c>
      <c r="L70" s="5149" t="s">
        <v>5301</v>
      </c>
      <c r="M70" s="5148" t="s">
        <v>5302</v>
      </c>
      <c r="N70" s="5150" t="s">
        <v>5303</v>
      </c>
      <c r="O70" s="3475" t="s">
        <v>5304</v>
      </c>
      <c r="P70" s="5149" t="s">
        <v>5305</v>
      </c>
      <c r="Q70" s="5038" t="s">
        <v>5306</v>
      </c>
      <c r="R70" s="5151" t="s">
        <v>5307</v>
      </c>
      <c r="S70" s="5038" t="s">
        <v>5308</v>
      </c>
      <c r="T70" s="5151" t="s">
        <v>5309</v>
      </c>
      <c r="U70" s="5038" t="s">
        <v>5310</v>
      </c>
      <c r="V70" s="5151" t="s">
        <v>5311</v>
      </c>
      <c r="W70" s="5038" t="s">
        <v>5312</v>
      </c>
      <c r="X70" s="5151" t="s">
        <v>5313</v>
      </c>
      <c r="Y70" s="5038" t="s">
        <v>5314</v>
      </c>
      <c r="Z70" s="5151" t="s">
        <v>5315</v>
      </c>
      <c r="AA70" s="5038" t="s">
        <v>5316</v>
      </c>
      <c r="AB70" s="5151" t="s">
        <v>5317</v>
      </c>
      <c r="AC70" s="5038" t="s">
        <v>5318</v>
      </c>
      <c r="AD70" s="5151" t="s">
        <v>5319</v>
      </c>
      <c r="AE70" s="5038" t="s">
        <v>5320</v>
      </c>
      <c r="AF70" s="5151" t="s">
        <v>5321</v>
      </c>
      <c r="AG70" s="5038" t="s">
        <v>5322</v>
      </c>
      <c r="AH70" s="5151" t="s">
        <v>5323</v>
      </c>
      <c r="AI70" s="5038" t="s">
        <v>5324</v>
      </c>
      <c r="AJ70" s="5151" t="s">
        <v>5325</v>
      </c>
      <c r="AK70" s="5038" t="s">
        <v>5326</v>
      </c>
      <c r="AL70" s="5151" t="s">
        <v>5327</v>
      </c>
      <c r="AM70" s="5038" t="s">
        <v>5328</v>
      </c>
      <c r="AN70" s="5151" t="s">
        <v>5329</v>
      </c>
      <c r="AO70" s="5038" t="s">
        <v>5330</v>
      </c>
      <c r="AP70" s="5151" t="s">
        <v>5331</v>
      </c>
      <c r="AQ70" s="5038" t="s">
        <v>5332</v>
      </c>
      <c r="AR70" s="5145" t="s">
        <v>5333</v>
      </c>
      <c r="AS70" s="3479" t="s">
        <v>5334</v>
      </c>
      <c r="AT70" s="5145" t="s">
        <v>5335</v>
      </c>
      <c r="AU70" s="5146" t="s">
        <v>5336</v>
      </c>
      <c r="AV70" s="5145" t="s">
        <v>5337</v>
      </c>
      <c r="AW70" s="3479" t="s">
        <v>5338</v>
      </c>
      <c r="AX70" s="5147" t="s">
        <v>5339</v>
      </c>
      <c r="AY70" s="1687" t="e">
        <f>CC70&amp;CD70&amp;CE70&amp;CF70&amp;CL70&amp;CM70&amp;CN70&amp;CO70&amp;CP70&amp;CQ70&amp;CR70&amp;CS70&amp;CT70&amp;CU70&amp;CV70&amp;CW70&amp;CX70&amp;CY70&amp;CG70&amp;CH70&amp;CI70</f>
        <v>#VALUE!</v>
      </c>
      <c r="CB70" s="600"/>
      <c r="CC70" s="2784" t="e">
        <f t="shared" si="190"/>
        <v>#VALUE!</v>
      </c>
      <c r="CD70" s="2784" t="e">
        <f t="shared" si="151"/>
        <v>#VALUE!</v>
      </c>
      <c r="CE70" s="2784" t="str">
        <f t="shared" si="152"/>
        <v xml:space="preserve"> *El Número de Pueblos Originarios no puede superar el Total Procesados. </v>
      </c>
      <c r="CF70" s="2784" t="str">
        <f t="shared" si="153"/>
        <v xml:space="preserve"> *El Número de Migrantes no puede superar el Total Procesados. </v>
      </c>
      <c r="CG70" s="3488"/>
      <c r="CH70" s="3488"/>
      <c r="CI70" s="2783"/>
      <c r="CJ70" s="2783"/>
      <c r="CK70" s="2783"/>
      <c r="CL70" s="3488"/>
      <c r="CM70" s="2784" t="str">
        <f t="shared" ref="CM70:CM74" si="217">IF(Q70&lt;R70,CONCATENATE("* El total de Procesados debe ser mayor o igual al total de Reactivos en el grupo de edad ",$Q$11),"")</f>
        <v>* El total de Procesados debe ser mayor o igual al total de Reactivos en el grupo de edad 15 - 19 años</v>
      </c>
      <c r="CN70" s="2784" t="str">
        <f t="shared" si="191"/>
        <v>* El total de Procesados debe ser mayor o igual al total de Reactivos en el grupo de edad 20 - 24 años</v>
      </c>
      <c r="CO70" s="2784" t="str">
        <f t="shared" si="157"/>
        <v>* El total de Procesados debe ser mayor o igual al total de Reactivos en el grupo de edad 25 - 29 años</v>
      </c>
      <c r="CP70" s="2784" t="str">
        <f t="shared" si="192"/>
        <v>* El total de Procesados debe ser mayor o igual al total de Reactivos en el grupo de edad 30 - 34 años</v>
      </c>
      <c r="CQ70" s="2784" t="str">
        <f t="shared" si="193"/>
        <v>* El total de Procesados debe ser mayor o igual al total de Reactivos en el grupo de edad 35 - 39 años</v>
      </c>
      <c r="CR70" s="2784" t="str">
        <f t="shared" si="194"/>
        <v>* El total de Procesados debe ser mayor o igual al total de Reactivos en el grupo de edad 40 - 44 años</v>
      </c>
      <c r="CS70" s="2784" t="str">
        <f t="shared" si="195"/>
        <v>* El total de Procesados debe ser mayor o igual al total de Reactivos en el grupo de edad 50 - 54 años</v>
      </c>
      <c r="CT70" s="2784" t="str">
        <f t="shared" si="196"/>
        <v>* El total de Procesados debe ser mayor o igual al total de Reactivos en el grupo de edad 55 - 59 años</v>
      </c>
      <c r="CU70" s="2784" t="str">
        <f t="shared" si="197"/>
        <v>* El total de Procesados debe ser mayor o igual al total de Reactivos en el grupo de edad 60 - 64 años</v>
      </c>
      <c r="CV70" s="2784" t="str">
        <f t="shared" si="198"/>
        <v>* El total de Procesados debe ser mayor o igual al total de Reactivos en el grupo de edad 65 - 69 años</v>
      </c>
      <c r="CW70" s="2784" t="str">
        <f t="shared" si="199"/>
        <v>* El total de Procesados debe ser mayor o igual al total de Reactivos en el grupo de edad 70 - 74 años</v>
      </c>
      <c r="CX70" s="2784" t="str">
        <f t="shared" si="200"/>
        <v>* El total de Procesados debe ser mayor o igual al total de Reactivos en el grupo de edad 75 - 79 años</v>
      </c>
      <c r="CY70" s="2784" t="str">
        <f t="shared" si="201"/>
        <v>* El total de Procesados debe ser mayor o igual al total de Reactivos en el grupo de edad 80 y más años</v>
      </c>
      <c r="DF70" s="2630"/>
      <c r="DG70" s="2784" t="e">
        <f t="shared" si="202"/>
        <v>#VALUE!</v>
      </c>
      <c r="DH70" s="2920" t="e">
        <f t="shared" si="169"/>
        <v>#VALUE!</v>
      </c>
      <c r="DI70" s="2920">
        <f t="shared" si="170"/>
        <v>1</v>
      </c>
      <c r="DJ70" s="2920">
        <f t="shared" si="171"/>
        <v>1</v>
      </c>
      <c r="DK70" s="2783"/>
      <c r="DL70" s="2783"/>
      <c r="DM70" s="2783"/>
      <c r="DN70" s="2783"/>
      <c r="DO70" s="2783"/>
      <c r="DP70" s="3018"/>
      <c r="DQ70" s="2920">
        <f t="shared" si="203"/>
        <v>1</v>
      </c>
      <c r="DR70" s="2920">
        <f t="shared" si="204"/>
        <v>1</v>
      </c>
      <c r="DS70" s="2920">
        <f t="shared" si="175"/>
        <v>1</v>
      </c>
      <c r="DT70" s="2920">
        <f t="shared" si="205"/>
        <v>1</v>
      </c>
      <c r="DU70" s="2920">
        <f t="shared" si="206"/>
        <v>1</v>
      </c>
      <c r="DV70" s="2920">
        <f t="shared" si="207"/>
        <v>1</v>
      </c>
      <c r="DW70" s="2920">
        <f t="shared" si="208"/>
        <v>1</v>
      </c>
      <c r="DX70" s="2920">
        <f t="shared" si="209"/>
        <v>1</v>
      </c>
      <c r="DY70" s="2920">
        <f t="shared" si="210"/>
        <v>1</v>
      </c>
      <c r="DZ70" s="2920">
        <f t="shared" si="211"/>
        <v>1</v>
      </c>
      <c r="EA70" s="2920">
        <f t="shared" si="212"/>
        <v>1</v>
      </c>
      <c r="EB70" s="2920">
        <f t="shared" si="213"/>
        <v>1</v>
      </c>
      <c r="EC70" s="2920">
        <f t="shared" si="214"/>
        <v>1</v>
      </c>
    </row>
    <row r="71" spans="1:133" x14ac:dyDescent="0.3">
      <c r="A71" s="6234">
        <v>11056414</v>
      </c>
      <c r="B71" s="3184" t="s">
        <v>2673</v>
      </c>
      <c r="C71" s="1928" t="s">
        <v>5292</v>
      </c>
      <c r="D71" s="3242" t="s">
        <v>5293</v>
      </c>
      <c r="E71" s="3475" t="s">
        <v>5294</v>
      </c>
      <c r="F71" s="5149" t="s">
        <v>5295</v>
      </c>
      <c r="G71" s="5148" t="s">
        <v>5296</v>
      </c>
      <c r="H71" s="5149" t="s">
        <v>5297</v>
      </c>
      <c r="I71" s="5148" t="s">
        <v>5298</v>
      </c>
      <c r="J71" s="5149" t="s">
        <v>5299</v>
      </c>
      <c r="K71" s="5148" t="s">
        <v>5300</v>
      </c>
      <c r="L71" s="5149" t="s">
        <v>5301</v>
      </c>
      <c r="M71" s="5148" t="s">
        <v>5302</v>
      </c>
      <c r="N71" s="5150" t="s">
        <v>5303</v>
      </c>
      <c r="O71" s="3475" t="s">
        <v>5304</v>
      </c>
      <c r="P71" s="5149" t="s">
        <v>5305</v>
      </c>
      <c r="Q71" s="5038" t="s">
        <v>5306</v>
      </c>
      <c r="R71" s="5151" t="s">
        <v>5307</v>
      </c>
      <c r="S71" s="5038" t="s">
        <v>5308</v>
      </c>
      <c r="T71" s="5151" t="s">
        <v>5309</v>
      </c>
      <c r="U71" s="5038" t="s">
        <v>5310</v>
      </c>
      <c r="V71" s="5151" t="s">
        <v>5311</v>
      </c>
      <c r="W71" s="5038" t="s">
        <v>5312</v>
      </c>
      <c r="X71" s="5151" t="s">
        <v>5313</v>
      </c>
      <c r="Y71" s="5038" t="s">
        <v>5314</v>
      </c>
      <c r="Z71" s="5151" t="s">
        <v>5315</v>
      </c>
      <c r="AA71" s="5038" t="s">
        <v>5316</v>
      </c>
      <c r="AB71" s="5151" t="s">
        <v>5317</v>
      </c>
      <c r="AC71" s="5038" t="s">
        <v>5318</v>
      </c>
      <c r="AD71" s="5151" t="s">
        <v>5319</v>
      </c>
      <c r="AE71" s="5038" t="s">
        <v>5320</v>
      </c>
      <c r="AF71" s="5151" t="s">
        <v>5321</v>
      </c>
      <c r="AG71" s="5038" t="s">
        <v>5322</v>
      </c>
      <c r="AH71" s="5151" t="s">
        <v>5323</v>
      </c>
      <c r="AI71" s="5038" t="s">
        <v>5324</v>
      </c>
      <c r="AJ71" s="5151" t="s">
        <v>5325</v>
      </c>
      <c r="AK71" s="5148" t="s">
        <v>5326</v>
      </c>
      <c r="AL71" s="5149" t="s">
        <v>5327</v>
      </c>
      <c r="AM71" s="5148" t="s">
        <v>5328</v>
      </c>
      <c r="AN71" s="5149" t="s">
        <v>5329</v>
      </c>
      <c r="AO71" s="5148" t="s">
        <v>5330</v>
      </c>
      <c r="AP71" s="5149" t="s">
        <v>5331</v>
      </c>
      <c r="AQ71" s="5148" t="s">
        <v>5332</v>
      </c>
      <c r="AR71" s="5156" t="s">
        <v>5333</v>
      </c>
      <c r="AS71" s="3479" t="s">
        <v>5334</v>
      </c>
      <c r="AT71" s="5145" t="s">
        <v>5335</v>
      </c>
      <c r="AU71" s="5146" t="s">
        <v>5336</v>
      </c>
      <c r="AV71" s="5145" t="s">
        <v>5337</v>
      </c>
      <c r="AW71" s="3479" t="s">
        <v>5338</v>
      </c>
      <c r="AX71" s="5147" t="s">
        <v>5339</v>
      </c>
      <c r="AY71" s="1687" t="e">
        <f>CC71&amp;CD71&amp;CE71&amp;CF71&amp;CL71&amp;CM71&amp;CN71&amp;CO71&amp;CP71&amp;CQ71&amp;CR71&amp;CS71&amp;CT71&amp;CU71&amp;CV71&amp;CW71&amp;CX71&amp;CY71&amp;CG71&amp;CH71&amp;CI71</f>
        <v>#VALUE!</v>
      </c>
      <c r="CB71" s="600"/>
      <c r="CC71" s="2784" t="e">
        <f t="shared" si="190"/>
        <v>#VALUE!</v>
      </c>
      <c r="CD71" s="2784" t="e">
        <f t="shared" si="151"/>
        <v>#VALUE!</v>
      </c>
      <c r="CE71" s="2784" t="str">
        <f t="shared" si="152"/>
        <v xml:space="preserve"> *El Número de Pueblos Originarios no puede superar el Total Procesados. </v>
      </c>
      <c r="CF71" s="2784" t="str">
        <f t="shared" si="153"/>
        <v xml:space="preserve"> *El Número de Migrantes no puede superar el Total Procesados. </v>
      </c>
      <c r="CG71" s="3488"/>
      <c r="CH71" s="3488"/>
      <c r="CI71" s="2783"/>
      <c r="CJ71" s="2783"/>
      <c r="CK71" s="2783"/>
      <c r="CL71" s="3488"/>
      <c r="CM71" s="2784" t="str">
        <f t="shared" si="217"/>
        <v>* El total de Procesados debe ser mayor o igual al total de Reactivos en el grupo de edad 15 - 19 años</v>
      </c>
      <c r="CN71" s="2784" t="str">
        <f t="shared" si="191"/>
        <v>* El total de Procesados debe ser mayor o igual al total de Reactivos en el grupo de edad 20 - 24 años</v>
      </c>
      <c r="CO71" s="2784" t="str">
        <f t="shared" si="157"/>
        <v>* El total de Procesados debe ser mayor o igual al total de Reactivos en el grupo de edad 25 - 29 años</v>
      </c>
      <c r="CP71" s="2784" t="str">
        <f t="shared" si="192"/>
        <v>* El total de Procesados debe ser mayor o igual al total de Reactivos en el grupo de edad 30 - 34 años</v>
      </c>
      <c r="CQ71" s="2784" t="str">
        <f t="shared" si="193"/>
        <v>* El total de Procesados debe ser mayor o igual al total de Reactivos en el grupo de edad 35 - 39 años</v>
      </c>
      <c r="CR71" s="2784" t="str">
        <f t="shared" si="194"/>
        <v>* El total de Procesados debe ser mayor o igual al total de Reactivos en el grupo de edad 40 - 44 años</v>
      </c>
      <c r="CS71" s="2784" t="str">
        <f t="shared" si="195"/>
        <v>* El total de Procesados debe ser mayor o igual al total de Reactivos en el grupo de edad 50 - 54 años</v>
      </c>
      <c r="CT71" s="2784" t="str">
        <f t="shared" si="196"/>
        <v>* El total de Procesados debe ser mayor o igual al total de Reactivos en el grupo de edad 55 - 59 años</v>
      </c>
      <c r="CU71" s="2784" t="str">
        <f t="shared" si="197"/>
        <v>* El total de Procesados debe ser mayor o igual al total de Reactivos en el grupo de edad 60 - 64 años</v>
      </c>
      <c r="CV71" s="3018"/>
      <c r="CW71" s="3018"/>
      <c r="CX71" s="3018"/>
      <c r="CY71" s="3018"/>
      <c r="DF71" s="2630"/>
      <c r="DG71" s="2784" t="e">
        <f t="shared" si="202"/>
        <v>#VALUE!</v>
      </c>
      <c r="DH71" s="2920" t="e">
        <f t="shared" si="169"/>
        <v>#VALUE!</v>
      </c>
      <c r="DI71" s="2920">
        <f t="shared" si="170"/>
        <v>1</v>
      </c>
      <c r="DJ71" s="2920">
        <f t="shared" si="171"/>
        <v>1</v>
      </c>
      <c r="DK71" s="2783"/>
      <c r="DL71" s="2783"/>
      <c r="DM71" s="2783"/>
      <c r="DN71" s="2783"/>
      <c r="DO71" s="2783"/>
      <c r="DP71" s="3018"/>
      <c r="DQ71" s="2920">
        <f t="shared" si="203"/>
        <v>1</v>
      </c>
      <c r="DR71" s="2920">
        <f t="shared" si="204"/>
        <v>1</v>
      </c>
      <c r="DS71" s="2920">
        <f t="shared" si="175"/>
        <v>1</v>
      </c>
      <c r="DT71" s="2920">
        <f t="shared" si="205"/>
        <v>1</v>
      </c>
      <c r="DU71" s="2920">
        <f t="shared" si="206"/>
        <v>1</v>
      </c>
      <c r="DV71" s="2920">
        <f t="shared" si="207"/>
        <v>1</v>
      </c>
      <c r="DW71" s="2920">
        <f t="shared" si="208"/>
        <v>1</v>
      </c>
      <c r="DX71" s="2920">
        <f t="shared" si="209"/>
        <v>1</v>
      </c>
      <c r="DY71" s="2920">
        <f t="shared" si="210"/>
        <v>1</v>
      </c>
      <c r="DZ71" s="3018"/>
      <c r="EA71" s="3018"/>
      <c r="EB71" s="3018"/>
      <c r="EC71" s="3018"/>
    </row>
    <row r="72" spans="1:133" x14ac:dyDescent="0.3">
      <c r="A72" s="6234">
        <v>11056415</v>
      </c>
      <c r="B72" s="3184" t="s">
        <v>2674</v>
      </c>
      <c r="C72" s="1928" t="s">
        <v>5292</v>
      </c>
      <c r="D72" s="3242" t="s">
        <v>5293</v>
      </c>
      <c r="E72" s="3479" t="s">
        <v>5294</v>
      </c>
      <c r="F72" s="5151" t="s">
        <v>5295</v>
      </c>
      <c r="G72" s="5038" t="s">
        <v>5296</v>
      </c>
      <c r="H72" s="5151" t="s">
        <v>5297</v>
      </c>
      <c r="I72" s="5038" t="s">
        <v>5298</v>
      </c>
      <c r="J72" s="5147" t="s">
        <v>5299</v>
      </c>
      <c r="K72" s="3479" t="s">
        <v>5300</v>
      </c>
      <c r="L72" s="3479" t="s">
        <v>5301</v>
      </c>
      <c r="M72" s="5038" t="s">
        <v>5302</v>
      </c>
      <c r="N72" s="5147" t="s">
        <v>5303</v>
      </c>
      <c r="O72" s="3479" t="s">
        <v>5304</v>
      </c>
      <c r="P72" s="5151" t="s">
        <v>5305</v>
      </c>
      <c r="Q72" s="5038" t="s">
        <v>5306</v>
      </c>
      <c r="R72" s="5151" t="s">
        <v>5307</v>
      </c>
      <c r="S72" s="5038" t="s">
        <v>5308</v>
      </c>
      <c r="T72" s="5151" t="s">
        <v>5309</v>
      </c>
      <c r="U72" s="5038" t="s">
        <v>5310</v>
      </c>
      <c r="V72" s="5151" t="s">
        <v>5311</v>
      </c>
      <c r="W72" s="5038" t="s">
        <v>5312</v>
      </c>
      <c r="X72" s="5151" t="s">
        <v>5313</v>
      </c>
      <c r="Y72" s="5038" t="s">
        <v>5314</v>
      </c>
      <c r="Z72" s="5151" t="s">
        <v>5315</v>
      </c>
      <c r="AA72" s="5038" t="s">
        <v>5316</v>
      </c>
      <c r="AB72" s="5151" t="s">
        <v>5317</v>
      </c>
      <c r="AC72" s="5038" t="s">
        <v>5318</v>
      </c>
      <c r="AD72" s="5151" t="s">
        <v>5319</v>
      </c>
      <c r="AE72" s="5038" t="s">
        <v>5320</v>
      </c>
      <c r="AF72" s="5151" t="s">
        <v>5321</v>
      </c>
      <c r="AG72" s="5038" t="s">
        <v>5322</v>
      </c>
      <c r="AH72" s="5151" t="s">
        <v>5323</v>
      </c>
      <c r="AI72" s="5038" t="s">
        <v>5324</v>
      </c>
      <c r="AJ72" s="5151" t="s">
        <v>5325</v>
      </c>
      <c r="AK72" s="5038" t="s">
        <v>5326</v>
      </c>
      <c r="AL72" s="5151" t="s">
        <v>5327</v>
      </c>
      <c r="AM72" s="5038" t="s">
        <v>5328</v>
      </c>
      <c r="AN72" s="5151" t="s">
        <v>5329</v>
      </c>
      <c r="AO72" s="5038" t="s">
        <v>5330</v>
      </c>
      <c r="AP72" s="5151" t="s">
        <v>5331</v>
      </c>
      <c r="AQ72" s="5038" t="s">
        <v>5332</v>
      </c>
      <c r="AR72" s="5145" t="s">
        <v>5333</v>
      </c>
      <c r="AS72" s="3479" t="s">
        <v>5334</v>
      </c>
      <c r="AT72" s="5145" t="s">
        <v>5335</v>
      </c>
      <c r="AU72" s="5146" t="s">
        <v>5336</v>
      </c>
      <c r="AV72" s="5145" t="s">
        <v>5337</v>
      </c>
      <c r="AW72" s="3479" t="s">
        <v>5338</v>
      </c>
      <c r="AX72" s="5147" t="s">
        <v>5339</v>
      </c>
      <c r="AY72" s="1687" t="e">
        <f>CC72&amp;CD72&amp;CE72&amp;CF72&amp;CL72&amp;CM72&amp;CN72&amp;CO72&amp;CP72&amp;CQ72&amp;CR72&amp;CS72&amp;CT72&amp;CU72&amp;CV72&amp;CW72&amp;CX72&amp;CY72&amp;CG72&amp;CH72&amp;CI72&amp;CJ72&amp;CK72</f>
        <v>#VALUE!</v>
      </c>
      <c r="CB72" s="600"/>
      <c r="CC72" s="2784" t="e">
        <f t="shared" si="190"/>
        <v>#VALUE!</v>
      </c>
      <c r="CD72" s="2784" t="e">
        <f t="shared" si="151"/>
        <v>#VALUE!</v>
      </c>
      <c r="CE72" s="2784" t="str">
        <f t="shared" si="152"/>
        <v xml:space="preserve"> *El Número de Pueblos Originarios no puede superar el Total Procesados. </v>
      </c>
      <c r="CF72" s="2784" t="str">
        <f t="shared" si="153"/>
        <v xml:space="preserve"> *El Número de Migrantes no puede superar el Total Procesados. </v>
      </c>
      <c r="CG72" s="2784" t="str">
        <f t="shared" ref="CG72:CG74" si="218">IF(E72&lt;F72,CONCATENATE("* El total de Procesados debe ser mayor o igual al total de Reactivos en el grupo de edad ",$E$11),"")</f>
        <v>* El total de Procesados debe ser mayor o igual al total de Reactivos en el grupo de edad Menos de 6 meses</v>
      </c>
      <c r="CH72" s="2784" t="str">
        <f t="shared" ref="CH72:CH74" si="219">IF(G72&lt;H72,CONCATENATE("* El total de Procesados debe ser mayor o igual al total de Reactivos en el grupo de edad ",$G$11),"")</f>
        <v>* El total de Procesados debe ser mayor o igual al total de Reactivos en el grupo de edad 6 - 11 meses</v>
      </c>
      <c r="CI72" s="2784" t="str">
        <f t="shared" ref="CI72:CI74" si="220">IF(I72&lt;J72,CONCATENATE("* El total de Procesados debe ser mayor o igual al total de Reactivos en el grupo de edad ",$I$11),"")</f>
        <v>* El total de Procesados debe ser mayor o igual al total de Reactivos en el grupo de edad 12-24 meses</v>
      </c>
      <c r="CJ72" s="2784" t="str">
        <f t="shared" ref="CJ72:CJ74" si="221">IF(K72&lt;L72,CONCATENATE("* El total de Procesados debe ser mayor o igual al total de Reactivos en el grupo de edad ",$K$11),"")</f>
        <v>* El total de Procesados debe ser mayor o igual al total de Reactivos en el grupo de edad 3 - 4 años</v>
      </c>
      <c r="CK72" s="2784" t="str">
        <f t="shared" ref="CK72:CK74" si="222">IF(M72&lt;N72,CONCATENATE("* El total de Procesados debe ser mayor o igual al total de Reactivos en el grupo de edad ",$M$11),"")</f>
        <v>* El total de Procesados debe ser mayor o igual al total de Reactivos en el grupo de edad 5 - 9 años</v>
      </c>
      <c r="CL72" s="2784" t="str">
        <f t="shared" ref="CL72:CL74" si="223">IF(O72&lt;P72,CONCATENATE("* El total de Procesados debe ser mayor o igual al total de Reactivos en el grupo de edad ",$O$11),"")</f>
        <v>* El total de Procesados debe ser mayor o igual al total de Reactivos en el grupo de edad 10 - 14 años</v>
      </c>
      <c r="CM72" s="2784" t="str">
        <f t="shared" si="217"/>
        <v>* El total de Procesados debe ser mayor o igual al total de Reactivos en el grupo de edad 15 - 19 años</v>
      </c>
      <c r="CN72" s="2784" t="str">
        <f t="shared" si="191"/>
        <v>* El total de Procesados debe ser mayor o igual al total de Reactivos en el grupo de edad 20 - 24 años</v>
      </c>
      <c r="CO72" s="2784" t="str">
        <f t="shared" si="157"/>
        <v>* El total de Procesados debe ser mayor o igual al total de Reactivos en el grupo de edad 25 - 29 años</v>
      </c>
      <c r="CP72" s="2784" t="str">
        <f t="shared" si="192"/>
        <v>* El total de Procesados debe ser mayor o igual al total de Reactivos en el grupo de edad 30 - 34 años</v>
      </c>
      <c r="CQ72" s="2784" t="str">
        <f t="shared" si="193"/>
        <v>* El total de Procesados debe ser mayor o igual al total de Reactivos en el grupo de edad 35 - 39 años</v>
      </c>
      <c r="CR72" s="2784" t="str">
        <f t="shared" si="194"/>
        <v>* El total de Procesados debe ser mayor o igual al total de Reactivos en el grupo de edad 40 - 44 años</v>
      </c>
      <c r="CS72" s="2784" t="str">
        <f t="shared" si="195"/>
        <v>* El total de Procesados debe ser mayor o igual al total de Reactivos en el grupo de edad 50 - 54 años</v>
      </c>
      <c r="CT72" s="2784" t="str">
        <f t="shared" si="196"/>
        <v>* El total de Procesados debe ser mayor o igual al total de Reactivos en el grupo de edad 55 - 59 años</v>
      </c>
      <c r="CU72" s="2784" t="str">
        <f t="shared" si="197"/>
        <v>* El total de Procesados debe ser mayor o igual al total de Reactivos en el grupo de edad 60 - 64 años</v>
      </c>
      <c r="CV72" s="2784" t="str">
        <f t="shared" ref="CV72:CV74" si="224">IF(AK72&lt;AL72,CONCATENATE("* El total de Procesados debe ser mayor o igual al total de Reactivos en el grupo de edad ",$AK$11),"")</f>
        <v>* El total de Procesados debe ser mayor o igual al total de Reactivos en el grupo de edad 65 - 69 años</v>
      </c>
      <c r="CW72" s="2784" t="str">
        <f t="shared" ref="CW72:CW74" si="225">IF(AM72&lt;AN72,CONCATENATE("* El total de Procesados debe ser mayor o igual al total de Reactivos en el grupo de edad ",$AM$11),"")</f>
        <v>* El total de Procesados debe ser mayor o igual al total de Reactivos en el grupo de edad 70 - 74 años</v>
      </c>
      <c r="CX72" s="2784" t="str">
        <f t="shared" ref="CX72:CX74" si="226">IF(AO72&lt;AP72,CONCATENATE("* El total de Procesados debe ser mayor o igual al total de Reactivos en el grupo de edad ",$AO$11),"")</f>
        <v>* El total de Procesados debe ser mayor o igual al total de Reactivos en el grupo de edad 75 - 79 años</v>
      </c>
      <c r="CY72" s="2784" t="str">
        <f t="shared" ref="CY72:CY74" si="227">IF(AQ72&lt;AR72,CONCATENATE("* El total de Procesados debe ser mayor o igual al total de Reactivos en el grupo de edad ",$AQ$11),"")</f>
        <v>* El total de Procesados debe ser mayor o igual al total de Reactivos en el grupo de edad 80 y más años</v>
      </c>
      <c r="DF72" s="2630"/>
      <c r="DG72" s="2784" t="e">
        <f t="shared" si="202"/>
        <v>#VALUE!</v>
      </c>
      <c r="DH72" s="2920" t="e">
        <f t="shared" si="169"/>
        <v>#VALUE!</v>
      </c>
      <c r="DI72" s="2920">
        <f t="shared" si="170"/>
        <v>1</v>
      </c>
      <c r="DJ72" s="2920">
        <f t="shared" si="171"/>
        <v>1</v>
      </c>
      <c r="DK72" s="2920">
        <f t="shared" ref="DK72:DK74" si="228">IF(E72&lt;F72,1,0)</f>
        <v>1</v>
      </c>
      <c r="DL72" s="2920">
        <f t="shared" ref="DL72:DL74" si="229">IF(G72&lt;H72,1,0)</f>
        <v>1</v>
      </c>
      <c r="DM72" s="2920">
        <f t="shared" ref="DM72:DM74" si="230">IF(I72&lt;J72,1,0)</f>
        <v>1</v>
      </c>
      <c r="DN72" s="2920">
        <f t="shared" ref="DN72:DN74" si="231">IF(K72&lt;L72,1,0)</f>
        <v>1</v>
      </c>
      <c r="DO72" s="2920">
        <f t="shared" ref="DO72:DO74" si="232">IF(M72&lt;N72,1,0)</f>
        <v>1</v>
      </c>
      <c r="DP72" s="2920">
        <f t="shared" ref="DP72:DP74" si="233">IF(O72&lt;P72,1,0)</f>
        <v>1</v>
      </c>
      <c r="DQ72" s="2920">
        <f t="shared" si="203"/>
        <v>1</v>
      </c>
      <c r="DR72" s="2920">
        <f t="shared" si="204"/>
        <v>1</v>
      </c>
      <c r="DS72" s="2920">
        <f t="shared" si="175"/>
        <v>1</v>
      </c>
      <c r="DT72" s="2920">
        <f t="shared" si="205"/>
        <v>1</v>
      </c>
      <c r="DU72" s="2920">
        <f t="shared" si="206"/>
        <v>1</v>
      </c>
      <c r="DV72" s="2920">
        <f t="shared" si="207"/>
        <v>1</v>
      </c>
      <c r="DW72" s="2920">
        <f t="shared" si="208"/>
        <v>1</v>
      </c>
      <c r="DX72" s="2920">
        <f t="shared" si="209"/>
        <v>1</v>
      </c>
      <c r="DY72" s="2920">
        <f t="shared" si="210"/>
        <v>1</v>
      </c>
      <c r="DZ72" s="2920">
        <f t="shared" ref="DZ72:DZ74" si="234">IF(AK72&lt;AL72,1,0)</f>
        <v>1</v>
      </c>
      <c r="EA72" s="2920">
        <f t="shared" ref="EA72:EA74" si="235">IF(AM72&lt;AN72,1,0)</f>
        <v>1</v>
      </c>
      <c r="EB72" s="2920">
        <f t="shared" ref="EB72:EB74" si="236">IF(AO72&lt;AP72,1,0)</f>
        <v>1</v>
      </c>
      <c r="EC72" s="2920">
        <f t="shared" ref="EC72:EC74" si="237">IF(AQ72&lt;AR72,1,0)</f>
        <v>1</v>
      </c>
    </row>
    <row r="73" spans="1:133" x14ac:dyDescent="0.3">
      <c r="A73" s="6234">
        <v>11056416</v>
      </c>
      <c r="B73" s="3184" t="s">
        <v>2675</v>
      </c>
      <c r="C73" s="1928" t="s">
        <v>5292</v>
      </c>
      <c r="D73" s="3242" t="s">
        <v>5293</v>
      </c>
      <c r="E73" s="3479" t="s">
        <v>5294</v>
      </c>
      <c r="F73" s="5151" t="s">
        <v>5295</v>
      </c>
      <c r="G73" s="5038" t="s">
        <v>5296</v>
      </c>
      <c r="H73" s="5151" t="s">
        <v>5297</v>
      </c>
      <c r="I73" s="5038" t="s">
        <v>5298</v>
      </c>
      <c r="J73" s="5147" t="s">
        <v>5299</v>
      </c>
      <c r="K73" s="3479" t="s">
        <v>5300</v>
      </c>
      <c r="L73" s="3479" t="s">
        <v>5301</v>
      </c>
      <c r="M73" s="5038" t="s">
        <v>5302</v>
      </c>
      <c r="N73" s="5147" t="s">
        <v>5303</v>
      </c>
      <c r="O73" s="3479" t="s">
        <v>5304</v>
      </c>
      <c r="P73" s="5151" t="s">
        <v>5305</v>
      </c>
      <c r="Q73" s="5038" t="s">
        <v>5306</v>
      </c>
      <c r="R73" s="5151" t="s">
        <v>5307</v>
      </c>
      <c r="S73" s="5038" t="s">
        <v>5308</v>
      </c>
      <c r="T73" s="5151" t="s">
        <v>5309</v>
      </c>
      <c r="U73" s="5038" t="s">
        <v>5310</v>
      </c>
      <c r="V73" s="5151" t="s">
        <v>5311</v>
      </c>
      <c r="W73" s="5038" t="s">
        <v>5312</v>
      </c>
      <c r="X73" s="5151" t="s">
        <v>5313</v>
      </c>
      <c r="Y73" s="5038" t="s">
        <v>5314</v>
      </c>
      <c r="Z73" s="5151" t="s">
        <v>5315</v>
      </c>
      <c r="AA73" s="5038" t="s">
        <v>5316</v>
      </c>
      <c r="AB73" s="5151" t="s">
        <v>5317</v>
      </c>
      <c r="AC73" s="5038" t="s">
        <v>5318</v>
      </c>
      <c r="AD73" s="5151" t="s">
        <v>5319</v>
      </c>
      <c r="AE73" s="5038" t="s">
        <v>5320</v>
      </c>
      <c r="AF73" s="5151" t="s">
        <v>5321</v>
      </c>
      <c r="AG73" s="5038" t="s">
        <v>5322</v>
      </c>
      <c r="AH73" s="5151" t="s">
        <v>5323</v>
      </c>
      <c r="AI73" s="5038" t="s">
        <v>5324</v>
      </c>
      <c r="AJ73" s="5151" t="s">
        <v>5325</v>
      </c>
      <c r="AK73" s="5038" t="s">
        <v>5326</v>
      </c>
      <c r="AL73" s="5151" t="s">
        <v>5327</v>
      </c>
      <c r="AM73" s="5038" t="s">
        <v>5328</v>
      </c>
      <c r="AN73" s="5151" t="s">
        <v>5329</v>
      </c>
      <c r="AO73" s="5038" t="s">
        <v>5330</v>
      </c>
      <c r="AP73" s="5151" t="s">
        <v>5331</v>
      </c>
      <c r="AQ73" s="5038" t="s">
        <v>5332</v>
      </c>
      <c r="AR73" s="5145" t="s">
        <v>5333</v>
      </c>
      <c r="AS73" s="3479" t="s">
        <v>5334</v>
      </c>
      <c r="AT73" s="5145" t="s">
        <v>5335</v>
      </c>
      <c r="AU73" s="5146" t="s">
        <v>5336</v>
      </c>
      <c r="AV73" s="5145" t="s">
        <v>5337</v>
      </c>
      <c r="AW73" s="3479" t="s">
        <v>5338</v>
      </c>
      <c r="AX73" s="5147" t="s">
        <v>5339</v>
      </c>
      <c r="AY73" s="1687" t="e">
        <f t="shared" ref="AY73:AY74" si="238">CC73&amp;CD73&amp;CE73&amp;CF73&amp;CL73&amp;CM73&amp;CN73&amp;CO73&amp;CP73&amp;CQ73&amp;CR73&amp;CS73&amp;CT73&amp;CU73&amp;CV73&amp;CW73&amp;CX73&amp;CY73&amp;CG73&amp;CH73&amp;CI73&amp;CJ73&amp;CK73</f>
        <v>#VALUE!</v>
      </c>
      <c r="CB73" s="600"/>
      <c r="CC73" s="2784" t="e">
        <f t="shared" si="190"/>
        <v>#VALUE!</v>
      </c>
      <c r="CD73" s="2784" t="e">
        <f t="shared" si="151"/>
        <v>#VALUE!</v>
      </c>
      <c r="CE73" s="2784" t="str">
        <f t="shared" si="152"/>
        <v xml:space="preserve"> *El Número de Pueblos Originarios no puede superar el Total Procesados. </v>
      </c>
      <c r="CF73" s="2784" t="str">
        <f t="shared" si="153"/>
        <v xml:space="preserve"> *El Número de Migrantes no puede superar el Total Procesados. </v>
      </c>
      <c r="CG73" s="2784" t="str">
        <f t="shared" si="218"/>
        <v>* El total de Procesados debe ser mayor o igual al total de Reactivos en el grupo de edad Menos de 6 meses</v>
      </c>
      <c r="CH73" s="2784" t="str">
        <f t="shared" si="219"/>
        <v>* El total de Procesados debe ser mayor o igual al total de Reactivos en el grupo de edad 6 - 11 meses</v>
      </c>
      <c r="CI73" s="2784" t="str">
        <f t="shared" si="220"/>
        <v>* El total de Procesados debe ser mayor o igual al total de Reactivos en el grupo de edad 12-24 meses</v>
      </c>
      <c r="CJ73" s="2784" t="str">
        <f t="shared" si="221"/>
        <v>* El total de Procesados debe ser mayor o igual al total de Reactivos en el grupo de edad 3 - 4 años</v>
      </c>
      <c r="CK73" s="2784" t="str">
        <f t="shared" si="222"/>
        <v>* El total de Procesados debe ser mayor o igual al total de Reactivos en el grupo de edad 5 - 9 años</v>
      </c>
      <c r="CL73" s="2784" t="str">
        <f t="shared" si="223"/>
        <v>* El total de Procesados debe ser mayor o igual al total de Reactivos en el grupo de edad 10 - 14 años</v>
      </c>
      <c r="CM73" s="2784" t="str">
        <f t="shared" si="217"/>
        <v>* El total de Procesados debe ser mayor o igual al total de Reactivos en el grupo de edad 15 - 19 años</v>
      </c>
      <c r="CN73" s="2784" t="str">
        <f t="shared" si="191"/>
        <v>* El total de Procesados debe ser mayor o igual al total de Reactivos en el grupo de edad 20 - 24 años</v>
      </c>
      <c r="CO73" s="2784" t="str">
        <f t="shared" si="157"/>
        <v>* El total de Procesados debe ser mayor o igual al total de Reactivos en el grupo de edad 25 - 29 años</v>
      </c>
      <c r="CP73" s="2784" t="str">
        <f t="shared" si="192"/>
        <v>* El total de Procesados debe ser mayor o igual al total de Reactivos en el grupo de edad 30 - 34 años</v>
      </c>
      <c r="CQ73" s="2784" t="str">
        <f t="shared" si="193"/>
        <v>* El total de Procesados debe ser mayor o igual al total de Reactivos en el grupo de edad 35 - 39 años</v>
      </c>
      <c r="CR73" s="2784" t="str">
        <f t="shared" si="194"/>
        <v>* El total de Procesados debe ser mayor o igual al total de Reactivos en el grupo de edad 40 - 44 años</v>
      </c>
      <c r="CS73" s="2784" t="str">
        <f t="shared" si="195"/>
        <v>* El total de Procesados debe ser mayor o igual al total de Reactivos en el grupo de edad 50 - 54 años</v>
      </c>
      <c r="CT73" s="2784" t="str">
        <f t="shared" si="196"/>
        <v>* El total de Procesados debe ser mayor o igual al total de Reactivos en el grupo de edad 55 - 59 años</v>
      </c>
      <c r="CU73" s="2784" t="str">
        <f t="shared" si="197"/>
        <v>* El total de Procesados debe ser mayor o igual al total de Reactivos en el grupo de edad 60 - 64 años</v>
      </c>
      <c r="CV73" s="2784" t="str">
        <f t="shared" si="224"/>
        <v>* El total de Procesados debe ser mayor o igual al total de Reactivos en el grupo de edad 65 - 69 años</v>
      </c>
      <c r="CW73" s="2784" t="str">
        <f t="shared" si="225"/>
        <v>* El total de Procesados debe ser mayor o igual al total de Reactivos en el grupo de edad 70 - 74 años</v>
      </c>
      <c r="CX73" s="2784" t="str">
        <f t="shared" si="226"/>
        <v>* El total de Procesados debe ser mayor o igual al total de Reactivos en el grupo de edad 75 - 79 años</v>
      </c>
      <c r="CY73" s="2784" t="str">
        <f t="shared" si="227"/>
        <v>* El total de Procesados debe ser mayor o igual al total de Reactivos en el grupo de edad 80 y más años</v>
      </c>
      <c r="DF73" s="2630"/>
      <c r="DG73" s="2784" t="e">
        <f t="shared" si="202"/>
        <v>#VALUE!</v>
      </c>
      <c r="DH73" s="2920" t="e">
        <f t="shared" si="169"/>
        <v>#VALUE!</v>
      </c>
      <c r="DI73" s="2920">
        <f t="shared" si="170"/>
        <v>1</v>
      </c>
      <c r="DJ73" s="2920">
        <f t="shared" si="171"/>
        <v>1</v>
      </c>
      <c r="DK73" s="2920">
        <f t="shared" si="228"/>
        <v>1</v>
      </c>
      <c r="DL73" s="2920">
        <f t="shared" si="229"/>
        <v>1</v>
      </c>
      <c r="DM73" s="2920">
        <f t="shared" si="230"/>
        <v>1</v>
      </c>
      <c r="DN73" s="2920">
        <f t="shared" si="231"/>
        <v>1</v>
      </c>
      <c r="DO73" s="2920">
        <f t="shared" si="232"/>
        <v>1</v>
      </c>
      <c r="DP73" s="2920">
        <f t="shared" si="233"/>
        <v>1</v>
      </c>
      <c r="DQ73" s="2920">
        <f t="shared" si="203"/>
        <v>1</v>
      </c>
      <c r="DR73" s="2920">
        <f t="shared" si="204"/>
        <v>1</v>
      </c>
      <c r="DS73" s="2920">
        <f t="shared" si="175"/>
        <v>1</v>
      </c>
      <c r="DT73" s="2920">
        <f t="shared" si="205"/>
        <v>1</v>
      </c>
      <c r="DU73" s="2920">
        <f t="shared" si="206"/>
        <v>1</v>
      </c>
      <c r="DV73" s="2920">
        <f t="shared" si="207"/>
        <v>1</v>
      </c>
      <c r="DW73" s="2920">
        <f t="shared" si="208"/>
        <v>1</v>
      </c>
      <c r="DX73" s="2920">
        <f t="shared" si="209"/>
        <v>1</v>
      </c>
      <c r="DY73" s="2920">
        <f t="shared" si="210"/>
        <v>1</v>
      </c>
      <c r="DZ73" s="2920">
        <f t="shared" si="234"/>
        <v>1</v>
      </c>
      <c r="EA73" s="2920">
        <f t="shared" si="235"/>
        <v>1</v>
      </c>
      <c r="EB73" s="2920">
        <f t="shared" si="236"/>
        <v>1</v>
      </c>
      <c r="EC73" s="2920">
        <f t="shared" si="237"/>
        <v>1</v>
      </c>
    </row>
    <row r="74" spans="1:133" x14ac:dyDescent="0.3">
      <c r="A74" s="6240">
        <v>11056417</v>
      </c>
      <c r="B74" s="5160" t="s">
        <v>2676</v>
      </c>
      <c r="C74" s="5107" t="s">
        <v>5292</v>
      </c>
      <c r="D74" s="5108" t="s">
        <v>5293</v>
      </c>
      <c r="E74" s="288" t="s">
        <v>5294</v>
      </c>
      <c r="F74" s="3491" t="s">
        <v>5295</v>
      </c>
      <c r="G74" s="3492" t="s">
        <v>5296</v>
      </c>
      <c r="H74" s="3491" t="s">
        <v>5297</v>
      </c>
      <c r="I74" s="3492" t="s">
        <v>5298</v>
      </c>
      <c r="J74" s="3493" t="s">
        <v>5299</v>
      </c>
      <c r="K74" s="288" t="s">
        <v>5300</v>
      </c>
      <c r="L74" s="288" t="s">
        <v>5301</v>
      </c>
      <c r="M74" s="3492" t="s">
        <v>5302</v>
      </c>
      <c r="N74" s="3493" t="s">
        <v>5303</v>
      </c>
      <c r="O74" s="288" t="s">
        <v>5304</v>
      </c>
      <c r="P74" s="3491" t="s">
        <v>5305</v>
      </c>
      <c r="Q74" s="3492" t="s">
        <v>5306</v>
      </c>
      <c r="R74" s="3491" t="s">
        <v>5307</v>
      </c>
      <c r="S74" s="3492" t="s">
        <v>5308</v>
      </c>
      <c r="T74" s="3491" t="s">
        <v>5309</v>
      </c>
      <c r="U74" s="3492" t="s">
        <v>5310</v>
      </c>
      <c r="V74" s="3491" t="s">
        <v>5311</v>
      </c>
      <c r="W74" s="3492" t="s">
        <v>5312</v>
      </c>
      <c r="X74" s="3491" t="s">
        <v>5313</v>
      </c>
      <c r="Y74" s="3492" t="s">
        <v>5314</v>
      </c>
      <c r="Z74" s="3491" t="s">
        <v>5315</v>
      </c>
      <c r="AA74" s="3492" t="s">
        <v>5316</v>
      </c>
      <c r="AB74" s="3491" t="s">
        <v>5317</v>
      </c>
      <c r="AC74" s="3492" t="s">
        <v>5318</v>
      </c>
      <c r="AD74" s="3491" t="s">
        <v>5319</v>
      </c>
      <c r="AE74" s="3492" t="s">
        <v>5320</v>
      </c>
      <c r="AF74" s="3491" t="s">
        <v>5321</v>
      </c>
      <c r="AG74" s="3492" t="s">
        <v>5322</v>
      </c>
      <c r="AH74" s="3491" t="s">
        <v>5323</v>
      </c>
      <c r="AI74" s="3492" t="s">
        <v>5324</v>
      </c>
      <c r="AJ74" s="3491" t="s">
        <v>5325</v>
      </c>
      <c r="AK74" s="3492" t="s">
        <v>5326</v>
      </c>
      <c r="AL74" s="3491" t="s">
        <v>5327</v>
      </c>
      <c r="AM74" s="3492" t="s">
        <v>5328</v>
      </c>
      <c r="AN74" s="3491" t="s">
        <v>5329</v>
      </c>
      <c r="AO74" s="3492" t="s">
        <v>5330</v>
      </c>
      <c r="AP74" s="3491" t="s">
        <v>5331</v>
      </c>
      <c r="AQ74" s="3492" t="s">
        <v>5332</v>
      </c>
      <c r="AR74" s="3494" t="s">
        <v>5333</v>
      </c>
      <c r="AS74" s="288" t="s">
        <v>5334</v>
      </c>
      <c r="AT74" s="3494" t="s">
        <v>5335</v>
      </c>
      <c r="AU74" s="3495" t="s">
        <v>5336</v>
      </c>
      <c r="AV74" s="3494" t="s">
        <v>5337</v>
      </c>
      <c r="AW74" s="288" t="s">
        <v>5338</v>
      </c>
      <c r="AX74" s="3493" t="s">
        <v>5339</v>
      </c>
      <c r="AY74" s="1687" t="e">
        <f t="shared" si="238"/>
        <v>#VALUE!</v>
      </c>
      <c r="CB74" s="600"/>
      <c r="CC74" s="2784" t="e">
        <f t="shared" si="190"/>
        <v>#VALUE!</v>
      </c>
      <c r="CD74" s="2784" t="e">
        <f t="shared" si="151"/>
        <v>#VALUE!</v>
      </c>
      <c r="CE74" s="2784" t="str">
        <f t="shared" si="152"/>
        <v xml:space="preserve"> *El Número de Pueblos Originarios no puede superar el Total Procesados. </v>
      </c>
      <c r="CF74" s="2784" t="str">
        <f t="shared" si="153"/>
        <v xml:space="preserve"> *El Número de Migrantes no puede superar el Total Procesados. </v>
      </c>
      <c r="CG74" s="2784" t="str">
        <f t="shared" si="218"/>
        <v>* El total de Procesados debe ser mayor o igual al total de Reactivos en el grupo de edad Menos de 6 meses</v>
      </c>
      <c r="CH74" s="2784" t="str">
        <f t="shared" si="219"/>
        <v>* El total de Procesados debe ser mayor o igual al total de Reactivos en el grupo de edad 6 - 11 meses</v>
      </c>
      <c r="CI74" s="2784" t="str">
        <f t="shared" si="220"/>
        <v>* El total de Procesados debe ser mayor o igual al total de Reactivos en el grupo de edad 12-24 meses</v>
      </c>
      <c r="CJ74" s="2784" t="str">
        <f t="shared" si="221"/>
        <v>* El total de Procesados debe ser mayor o igual al total de Reactivos en el grupo de edad 3 - 4 años</v>
      </c>
      <c r="CK74" s="2784" t="str">
        <f t="shared" si="222"/>
        <v>* El total de Procesados debe ser mayor o igual al total de Reactivos en el grupo de edad 5 - 9 años</v>
      </c>
      <c r="CL74" s="2784" t="str">
        <f t="shared" si="223"/>
        <v>* El total de Procesados debe ser mayor o igual al total de Reactivos en el grupo de edad 10 - 14 años</v>
      </c>
      <c r="CM74" s="2784" t="str">
        <f t="shared" si="217"/>
        <v>* El total de Procesados debe ser mayor o igual al total de Reactivos en el grupo de edad 15 - 19 años</v>
      </c>
      <c r="CN74" s="2784" t="str">
        <f t="shared" si="191"/>
        <v>* El total de Procesados debe ser mayor o igual al total de Reactivos en el grupo de edad 20 - 24 años</v>
      </c>
      <c r="CO74" s="2784" t="str">
        <f t="shared" si="157"/>
        <v>* El total de Procesados debe ser mayor o igual al total de Reactivos en el grupo de edad 25 - 29 años</v>
      </c>
      <c r="CP74" s="2784" t="str">
        <f t="shared" si="192"/>
        <v>* El total de Procesados debe ser mayor o igual al total de Reactivos en el grupo de edad 30 - 34 años</v>
      </c>
      <c r="CQ74" s="2784" t="str">
        <f t="shared" si="193"/>
        <v>* El total de Procesados debe ser mayor o igual al total de Reactivos en el grupo de edad 35 - 39 años</v>
      </c>
      <c r="CR74" s="2784" t="str">
        <f t="shared" si="194"/>
        <v>* El total de Procesados debe ser mayor o igual al total de Reactivos en el grupo de edad 40 - 44 años</v>
      </c>
      <c r="CS74" s="2784" t="str">
        <f t="shared" si="195"/>
        <v>* El total de Procesados debe ser mayor o igual al total de Reactivos en el grupo de edad 50 - 54 años</v>
      </c>
      <c r="CT74" s="2784" t="str">
        <f t="shared" si="196"/>
        <v>* El total de Procesados debe ser mayor o igual al total de Reactivos en el grupo de edad 55 - 59 años</v>
      </c>
      <c r="CU74" s="2784" t="str">
        <f t="shared" si="197"/>
        <v>* El total de Procesados debe ser mayor o igual al total de Reactivos en el grupo de edad 60 - 64 años</v>
      </c>
      <c r="CV74" s="2784" t="str">
        <f t="shared" si="224"/>
        <v>* El total de Procesados debe ser mayor o igual al total de Reactivos en el grupo de edad 65 - 69 años</v>
      </c>
      <c r="CW74" s="2784" t="str">
        <f t="shared" si="225"/>
        <v>* El total de Procesados debe ser mayor o igual al total de Reactivos en el grupo de edad 70 - 74 años</v>
      </c>
      <c r="CX74" s="2784" t="str">
        <f t="shared" si="226"/>
        <v>* El total de Procesados debe ser mayor o igual al total de Reactivos en el grupo de edad 75 - 79 años</v>
      </c>
      <c r="CY74" s="2784" t="str">
        <f t="shared" si="227"/>
        <v>* El total de Procesados debe ser mayor o igual al total de Reactivos en el grupo de edad 80 y más años</v>
      </c>
      <c r="DF74" s="2630"/>
      <c r="DG74" s="2784" t="e">
        <f t="shared" si="202"/>
        <v>#VALUE!</v>
      </c>
      <c r="DH74" s="2920" t="e">
        <f t="shared" si="169"/>
        <v>#VALUE!</v>
      </c>
      <c r="DI74" s="2920">
        <f t="shared" si="170"/>
        <v>1</v>
      </c>
      <c r="DJ74" s="2920">
        <f t="shared" si="171"/>
        <v>1</v>
      </c>
      <c r="DK74" s="2920">
        <f t="shared" si="228"/>
        <v>1</v>
      </c>
      <c r="DL74" s="2920">
        <f t="shared" si="229"/>
        <v>1</v>
      </c>
      <c r="DM74" s="2920">
        <f t="shared" si="230"/>
        <v>1</v>
      </c>
      <c r="DN74" s="2920">
        <f t="shared" si="231"/>
        <v>1</v>
      </c>
      <c r="DO74" s="2920">
        <f t="shared" si="232"/>
        <v>1</v>
      </c>
      <c r="DP74" s="2920">
        <f t="shared" si="233"/>
        <v>1</v>
      </c>
      <c r="DQ74" s="2920">
        <f t="shared" si="203"/>
        <v>1</v>
      </c>
      <c r="DR74" s="2920">
        <f t="shared" si="204"/>
        <v>1</v>
      </c>
      <c r="DS74" s="2920">
        <f t="shared" si="175"/>
        <v>1</v>
      </c>
      <c r="DT74" s="2920">
        <f t="shared" si="205"/>
        <v>1</v>
      </c>
      <c r="DU74" s="2920">
        <f t="shared" si="206"/>
        <v>1</v>
      </c>
      <c r="DV74" s="2920">
        <f t="shared" si="207"/>
        <v>1</v>
      </c>
      <c r="DW74" s="2920">
        <f t="shared" si="208"/>
        <v>1</v>
      </c>
      <c r="DX74" s="2920">
        <f t="shared" si="209"/>
        <v>1</v>
      </c>
      <c r="DY74" s="2920">
        <f t="shared" si="210"/>
        <v>1</v>
      </c>
      <c r="DZ74" s="2920">
        <f t="shared" si="234"/>
        <v>1</v>
      </c>
      <c r="EA74" s="2920">
        <f t="shared" si="235"/>
        <v>1</v>
      </c>
      <c r="EB74" s="2920">
        <f t="shared" si="236"/>
        <v>1</v>
      </c>
      <c r="EC74" s="2920">
        <f t="shared" si="237"/>
        <v>1</v>
      </c>
    </row>
    <row r="75" spans="1:133" ht="18" customHeight="1" x14ac:dyDescent="0.3">
      <c r="A75" s="599"/>
      <c r="B75" s="5158" t="s">
        <v>2679</v>
      </c>
      <c r="C75" s="5158"/>
      <c r="D75" s="5158"/>
      <c r="E75" s="5158"/>
      <c r="F75" s="5158"/>
      <c r="G75" s="5158"/>
      <c r="H75" s="5158"/>
      <c r="I75" s="5158"/>
      <c r="J75" s="5158"/>
      <c r="K75" s="5158"/>
      <c r="L75" s="5158"/>
      <c r="M75" s="5158"/>
      <c r="N75" s="5158"/>
      <c r="O75" s="5158"/>
      <c r="P75" s="5158"/>
      <c r="Q75" s="5158"/>
      <c r="R75" s="5158"/>
      <c r="S75" s="5158"/>
      <c r="T75" s="5158"/>
      <c r="U75" s="5158"/>
      <c r="V75" s="5158"/>
      <c r="W75" s="5158"/>
      <c r="X75" s="5158"/>
      <c r="Y75" s="5158"/>
      <c r="Z75" s="5158"/>
      <c r="AA75" s="5158"/>
      <c r="AB75" s="5158"/>
      <c r="AC75" s="5158"/>
      <c r="AD75" s="5158"/>
      <c r="AE75" s="5158"/>
      <c r="AF75" s="5158"/>
      <c r="AG75" s="5158"/>
      <c r="AH75" s="5158"/>
      <c r="AI75" s="5158"/>
      <c r="AJ75" s="5158"/>
      <c r="AK75" s="5158"/>
      <c r="AL75" s="5158"/>
      <c r="AM75" s="5158"/>
      <c r="AN75" s="5158"/>
      <c r="AO75" s="5158"/>
      <c r="AP75" s="5158"/>
      <c r="AQ75" s="5158"/>
      <c r="AR75" s="5158"/>
      <c r="AS75" s="600"/>
      <c r="AT75" s="600"/>
      <c r="AU75" s="600"/>
      <c r="AV75" s="600"/>
      <c r="AW75" s="600"/>
      <c r="AX75" s="600"/>
    </row>
    <row r="76" spans="1:133" x14ac:dyDescent="0.3">
      <c r="A76" s="599"/>
      <c r="B76" s="7541" t="s">
        <v>2655</v>
      </c>
      <c r="C76" s="7542" t="s">
        <v>24</v>
      </c>
      <c r="D76" s="7523"/>
      <c r="E76" s="7524" t="s">
        <v>12</v>
      </c>
      <c r="F76" s="7525"/>
      <c r="G76" s="7525"/>
      <c r="H76" s="7525"/>
      <c r="I76" s="7525"/>
      <c r="J76" s="7525"/>
      <c r="K76" s="7525"/>
      <c r="L76" s="7525"/>
      <c r="M76" s="7525"/>
      <c r="N76" s="7525"/>
      <c r="O76" s="7525"/>
      <c r="P76" s="7525"/>
      <c r="Q76" s="7525"/>
      <c r="R76" s="7525"/>
      <c r="S76" s="7525"/>
      <c r="T76" s="7525"/>
      <c r="U76" s="7525"/>
      <c r="V76" s="7525"/>
      <c r="W76" s="7525"/>
      <c r="X76" s="7525"/>
      <c r="Y76" s="7525"/>
      <c r="Z76" s="7525"/>
      <c r="AA76" s="7525"/>
      <c r="AB76" s="7525"/>
      <c r="AC76" s="7525"/>
      <c r="AD76" s="7525"/>
      <c r="AE76" s="7525"/>
      <c r="AF76" s="7525"/>
      <c r="AG76" s="7525"/>
      <c r="AH76" s="7525"/>
      <c r="AI76" s="7525"/>
      <c r="AJ76" s="7525"/>
      <c r="AK76" s="7525"/>
      <c r="AL76" s="7525"/>
      <c r="AM76" s="7525"/>
      <c r="AN76" s="7525"/>
      <c r="AO76" s="7525"/>
      <c r="AP76" s="7525"/>
      <c r="AQ76" s="7525"/>
      <c r="AR76" s="7526"/>
      <c r="AS76" s="7527" t="s">
        <v>2656</v>
      </c>
      <c r="AT76" s="7528"/>
      <c r="AU76" s="7529" t="s">
        <v>48</v>
      </c>
      <c r="AV76" s="7530"/>
      <c r="AW76" s="7535" t="s">
        <v>2</v>
      </c>
      <c r="AX76" s="7538" t="s">
        <v>3</v>
      </c>
    </row>
    <row r="77" spans="1:133" x14ac:dyDescent="0.3">
      <c r="A77" s="599"/>
      <c r="B77" s="7108"/>
      <c r="C77" s="7151"/>
      <c r="D77" s="7150"/>
      <c r="E77" s="7533" t="s">
        <v>3778</v>
      </c>
      <c r="F77" s="7527"/>
      <c r="G77" s="7533" t="s">
        <v>3706</v>
      </c>
      <c r="H77" s="7527"/>
      <c r="I77" s="7533" t="s">
        <v>54</v>
      </c>
      <c r="J77" s="7534"/>
      <c r="K77" s="7527" t="s">
        <v>3705</v>
      </c>
      <c r="L77" s="7527"/>
      <c r="M77" s="7533" t="s">
        <v>37</v>
      </c>
      <c r="N77" s="7527"/>
      <c r="O77" s="7533" t="s">
        <v>38</v>
      </c>
      <c r="P77" s="7527"/>
      <c r="Q77" s="7533" t="s">
        <v>4</v>
      </c>
      <c r="R77" s="7527"/>
      <c r="S77" s="7533" t="s">
        <v>5</v>
      </c>
      <c r="T77" s="7527"/>
      <c r="U77" s="7533" t="s">
        <v>6</v>
      </c>
      <c r="V77" s="7534"/>
      <c r="W77" s="7533" t="s">
        <v>7</v>
      </c>
      <c r="X77" s="7534"/>
      <c r="Y77" s="7533" t="s">
        <v>8</v>
      </c>
      <c r="Z77" s="7534"/>
      <c r="AA77" s="7533" t="s">
        <v>9</v>
      </c>
      <c r="AB77" s="7534"/>
      <c r="AC77" s="7533" t="s">
        <v>10</v>
      </c>
      <c r="AD77" s="7534"/>
      <c r="AE77" s="7533" t="s">
        <v>11</v>
      </c>
      <c r="AF77" s="7534"/>
      <c r="AG77" s="7533" t="s">
        <v>18</v>
      </c>
      <c r="AH77" s="7534"/>
      <c r="AI77" s="7533" t="s">
        <v>19</v>
      </c>
      <c r="AJ77" s="7534"/>
      <c r="AK77" s="7533" t="s">
        <v>20</v>
      </c>
      <c r="AL77" s="7534"/>
      <c r="AM77" s="7533" t="s">
        <v>70</v>
      </c>
      <c r="AN77" s="7534"/>
      <c r="AO77" s="7533" t="s">
        <v>71</v>
      </c>
      <c r="AP77" s="7534"/>
      <c r="AQ77" s="7533" t="s">
        <v>32</v>
      </c>
      <c r="AR77" s="7528"/>
      <c r="AS77" s="7535" t="s">
        <v>22</v>
      </c>
      <c r="AT77" s="7539" t="s">
        <v>27</v>
      </c>
      <c r="AU77" s="7531"/>
      <c r="AV77" s="7532"/>
      <c r="AW77" s="7536"/>
      <c r="AX77" s="6324"/>
    </row>
    <row r="78" spans="1:133" x14ac:dyDescent="0.3">
      <c r="A78" s="599"/>
      <c r="B78" s="7109"/>
      <c r="C78" s="5136" t="s">
        <v>2657</v>
      </c>
      <c r="D78" s="5135" t="s">
        <v>2658</v>
      </c>
      <c r="E78" s="5133" t="s">
        <v>2657</v>
      </c>
      <c r="F78" s="5134" t="s">
        <v>2658</v>
      </c>
      <c r="G78" s="5133" t="s">
        <v>2657</v>
      </c>
      <c r="H78" s="5134" t="s">
        <v>2658</v>
      </c>
      <c r="I78" s="5133" t="s">
        <v>2657</v>
      </c>
      <c r="J78" s="5135" t="s">
        <v>2658</v>
      </c>
      <c r="K78" s="5136" t="s">
        <v>2657</v>
      </c>
      <c r="L78" s="5134" t="s">
        <v>2658</v>
      </c>
      <c r="M78" s="5133" t="s">
        <v>2657</v>
      </c>
      <c r="N78" s="5134" t="s">
        <v>2658</v>
      </c>
      <c r="O78" s="5133" t="s">
        <v>2657</v>
      </c>
      <c r="P78" s="5134" t="s">
        <v>2658</v>
      </c>
      <c r="Q78" s="5133" t="s">
        <v>2657</v>
      </c>
      <c r="R78" s="5134" t="s">
        <v>2658</v>
      </c>
      <c r="S78" s="5133" t="s">
        <v>2657</v>
      </c>
      <c r="T78" s="5134" t="s">
        <v>2658</v>
      </c>
      <c r="U78" s="5133" t="s">
        <v>2657</v>
      </c>
      <c r="V78" s="5134" t="s">
        <v>2658</v>
      </c>
      <c r="W78" s="5133" t="s">
        <v>2657</v>
      </c>
      <c r="X78" s="5134" t="s">
        <v>2658</v>
      </c>
      <c r="Y78" s="5133" t="s">
        <v>2657</v>
      </c>
      <c r="Z78" s="5134" t="s">
        <v>2658</v>
      </c>
      <c r="AA78" s="5133" t="s">
        <v>2657</v>
      </c>
      <c r="AB78" s="5134" t="s">
        <v>2658</v>
      </c>
      <c r="AC78" s="5133" t="s">
        <v>2657</v>
      </c>
      <c r="AD78" s="5134" t="s">
        <v>2658</v>
      </c>
      <c r="AE78" s="5133" t="s">
        <v>2657</v>
      </c>
      <c r="AF78" s="5134" t="s">
        <v>2658</v>
      </c>
      <c r="AG78" s="5133" t="s">
        <v>2657</v>
      </c>
      <c r="AH78" s="5134" t="s">
        <v>2658</v>
      </c>
      <c r="AI78" s="5133" t="s">
        <v>2657</v>
      </c>
      <c r="AJ78" s="5134" t="s">
        <v>2658</v>
      </c>
      <c r="AK78" s="5133" t="s">
        <v>2657</v>
      </c>
      <c r="AL78" s="5134" t="s">
        <v>2658</v>
      </c>
      <c r="AM78" s="5133" t="s">
        <v>2657</v>
      </c>
      <c r="AN78" s="5134" t="s">
        <v>2658</v>
      </c>
      <c r="AO78" s="5133" t="s">
        <v>2657</v>
      </c>
      <c r="AP78" s="5134" t="s">
        <v>2658</v>
      </c>
      <c r="AQ78" s="5133" t="s">
        <v>2657</v>
      </c>
      <c r="AR78" s="5137" t="s">
        <v>2658</v>
      </c>
      <c r="AS78" s="7537"/>
      <c r="AT78" s="7540"/>
      <c r="AU78" s="4800" t="s">
        <v>41</v>
      </c>
      <c r="AV78" s="5138" t="s">
        <v>42</v>
      </c>
      <c r="AW78" s="7537"/>
      <c r="AX78" s="7146"/>
    </row>
    <row r="79" spans="1:133" x14ac:dyDescent="0.3">
      <c r="A79" s="6234">
        <v>11056418</v>
      </c>
      <c r="B79" s="5159" t="s">
        <v>2659</v>
      </c>
      <c r="C79" s="5140" t="s">
        <v>5292</v>
      </c>
      <c r="D79" s="5141" t="s">
        <v>5293</v>
      </c>
      <c r="E79" s="3475" t="s">
        <v>5294</v>
      </c>
      <c r="F79" s="5149" t="s">
        <v>5295</v>
      </c>
      <c r="G79" s="5148" t="s">
        <v>5296</v>
      </c>
      <c r="H79" s="5149" t="s">
        <v>5297</v>
      </c>
      <c r="I79" s="5148" t="s">
        <v>5298</v>
      </c>
      <c r="J79" s="5149" t="s">
        <v>5299</v>
      </c>
      <c r="K79" s="5148" t="s">
        <v>5300</v>
      </c>
      <c r="L79" s="5149" t="s">
        <v>5301</v>
      </c>
      <c r="M79" s="5148" t="s">
        <v>5302</v>
      </c>
      <c r="N79" s="5150" t="s">
        <v>5303</v>
      </c>
      <c r="O79" s="3479" t="s">
        <v>5304</v>
      </c>
      <c r="P79" s="5151" t="s">
        <v>5305</v>
      </c>
      <c r="Q79" s="5038" t="s">
        <v>5306</v>
      </c>
      <c r="R79" s="5151" t="s">
        <v>5307</v>
      </c>
      <c r="S79" s="5038" t="s">
        <v>5308</v>
      </c>
      <c r="T79" s="5151" t="s">
        <v>5309</v>
      </c>
      <c r="U79" s="5038" t="s">
        <v>5310</v>
      </c>
      <c r="V79" s="5151" t="s">
        <v>5311</v>
      </c>
      <c r="W79" s="5038" t="s">
        <v>5312</v>
      </c>
      <c r="X79" s="5151" t="s">
        <v>5313</v>
      </c>
      <c r="Y79" s="5038" t="s">
        <v>5314</v>
      </c>
      <c r="Z79" s="5151" t="s">
        <v>5315</v>
      </c>
      <c r="AA79" s="5038" t="s">
        <v>5316</v>
      </c>
      <c r="AB79" s="5151" t="s">
        <v>5317</v>
      </c>
      <c r="AC79" s="5038" t="s">
        <v>5318</v>
      </c>
      <c r="AD79" s="5151" t="s">
        <v>5319</v>
      </c>
      <c r="AE79" s="5038" t="s">
        <v>5320</v>
      </c>
      <c r="AF79" s="5151" t="s">
        <v>5321</v>
      </c>
      <c r="AG79" s="5038" t="s">
        <v>5322</v>
      </c>
      <c r="AH79" s="5151" t="s">
        <v>5323</v>
      </c>
      <c r="AI79" s="5038" t="s">
        <v>5324</v>
      </c>
      <c r="AJ79" s="5151" t="s">
        <v>5325</v>
      </c>
      <c r="AK79" s="5038" t="s">
        <v>5326</v>
      </c>
      <c r="AL79" s="5151" t="s">
        <v>5327</v>
      </c>
      <c r="AM79" s="5038" t="s">
        <v>5328</v>
      </c>
      <c r="AN79" s="5151" t="s">
        <v>5329</v>
      </c>
      <c r="AO79" s="5038" t="s">
        <v>5330</v>
      </c>
      <c r="AP79" s="5151" t="s">
        <v>5331</v>
      </c>
      <c r="AQ79" s="5038" t="s">
        <v>5332</v>
      </c>
      <c r="AR79" s="5145" t="s">
        <v>5333</v>
      </c>
      <c r="AS79" s="3483" t="s">
        <v>5334</v>
      </c>
      <c r="AT79" s="5145" t="s">
        <v>5335</v>
      </c>
      <c r="AU79" s="5146" t="s">
        <v>5336</v>
      </c>
      <c r="AV79" s="5145" t="s">
        <v>5337</v>
      </c>
      <c r="AW79" s="3479" t="s">
        <v>5338</v>
      </c>
      <c r="AX79" s="5147" t="s">
        <v>5339</v>
      </c>
      <c r="AY79" s="1687" t="e">
        <f>CC79&amp;CD79&amp;CE79&amp;CF79&amp;CL79&amp;CM79&amp;CN79&amp;CO79&amp;CP79&amp;CQ79&amp;CR79&amp;CS79&amp;CT79&amp;CU79&amp;CV79&amp;CW79&amp;CX79&amp;CY79</f>
        <v>#VALUE!</v>
      </c>
      <c r="CB79" s="600"/>
      <c r="CC79" s="4747" t="str">
        <f>IF(C79&lt;&gt;(AT79)," * La suma de las columnas "&amp;AS$10&amp;""&amp;" DEBE SER IGUAL a los Exámenes Procesados. ","")</f>
        <v xml:space="preserve"> * La suma de las columnas POR SEXO (Procesados) DEBE SER IGUAL a los Exámenes Procesados. </v>
      </c>
      <c r="CD79" s="2784" t="e">
        <f>IF(AND($C79&gt;0,AND(AU79="",AV79="")),"* No olvide ingresar las columnas Trans Masculino o Femenino (*Digite CERO si no tiene). ",IF((AU79+AV79)&gt;$C79,"* El Número de Trans Masculino o Femenino no puede superar el Total Procesados. ",""))</f>
        <v>#VALUE!</v>
      </c>
      <c r="CE79" s="2784" t="str">
        <f>IF(AND($C79&gt;0,AW79=""),"* No olvide ingresar la columna "&amp;AW$10&amp;""&amp;" *(Digite CERO si no tiene). ",IF(AW79&gt;$C79," *El Número de "&amp;AW$10&amp;""&amp;" no puede superar el Total Procesados. ",""))</f>
        <v xml:space="preserve"> *El Número de Pueblos Originarios no puede superar el Total Procesados. </v>
      </c>
      <c r="CF79" s="2784" t="str">
        <f>IF(AND($C79&gt;0,AX79=""),"* No olvide ingresar la columna "&amp;AX$10&amp;""&amp;" *(Digite CERO si no tiene). ",IF(AX79&gt;$C79," *El Número de "&amp;AX$10&amp;""&amp;" no puede superar el Total Procesados. ",""))</f>
        <v xml:space="preserve"> *El Número de Migrantes no puede superar el Total Procesados. </v>
      </c>
      <c r="CG79" s="3018"/>
      <c r="CH79" s="3018"/>
      <c r="CI79" s="3018"/>
      <c r="CJ79" s="3018"/>
      <c r="CK79" s="3018"/>
      <c r="CL79" s="2784" t="str">
        <f>IF(O79&lt;P79,CONCATENATE("* El total de Procesados debe ser mayor o igual al total de Reactivos en el grupo de edad ",$O$11),"")</f>
        <v>* El total de Procesados debe ser mayor o igual al total de Reactivos en el grupo de edad 10 - 14 años</v>
      </c>
      <c r="CM79" s="2784" t="str">
        <f>IF(Q79&lt;R79,CONCATENATE("* El total de Procesados debe ser mayor o igual al total de Reactivos en el grupo de edad ",$Q$11),"")</f>
        <v>* El total de Procesados debe ser mayor o igual al total de Reactivos en el grupo de edad 15 - 19 años</v>
      </c>
      <c r="CN79" s="2784" t="str">
        <f>IF(S79&lt;T79,CONCATENATE("* El total de Procesados debe ser mayor o igual al total de Reactivos en el grupo de edad ",$S$11),"")</f>
        <v>* El total de Procesados debe ser mayor o igual al total de Reactivos en el grupo de edad 20 - 24 años</v>
      </c>
      <c r="CO79" s="2784" t="str">
        <f>IF($U79&lt;$V79,CONCATENATE("* El total de Procesados debe ser mayor o igual al total de Reactivos en el grupo de edad ",$U$11),"")</f>
        <v>* El total de Procesados debe ser mayor o igual al total de Reactivos en el grupo de edad 25 - 29 años</v>
      </c>
      <c r="CP79" s="2784" t="str">
        <f>IF(W79&lt;X79,CONCATENATE("* El total de Procesados debe ser mayor o igual al total de Reactivos en el grupo de edad ",$W$11),"")</f>
        <v>* El total de Procesados debe ser mayor o igual al total de Reactivos en el grupo de edad 30 - 34 años</v>
      </c>
      <c r="CQ79" s="2784" t="str">
        <f>IF(Y79&lt;Z79,CONCATENATE("* El total de Procesados debe ser mayor o igual al total de Reactivos en el grupo de edad ",$Y$11),"")</f>
        <v>* El total de Procesados debe ser mayor o igual al total de Reactivos en el grupo de edad 35 - 39 años</v>
      </c>
      <c r="CR79" s="2784" t="str">
        <f>IF(AA79&lt;AB79,CONCATENATE("* El total de Procesados debe ser mayor o igual al total de Reactivos en el grupo de edad ",$AA$11),"")</f>
        <v>* El total de Procesados debe ser mayor o igual al total de Reactivos en el grupo de edad 40 - 44 años</v>
      </c>
      <c r="CS79" s="2784" t="str">
        <f>IF(AE79&lt;AF79,CONCATENATE("* El total de Procesados debe ser mayor o igual al total de Reactivos en el grupo de edad ",$AE$11),"")</f>
        <v>* El total de Procesados debe ser mayor o igual al total de Reactivos en el grupo de edad 50 - 54 años</v>
      </c>
      <c r="CT79" s="2784" t="str">
        <f>IF(AG79&lt;AH79,CONCATENATE("* El total de Procesados debe ser mayor o igual al total de Reactivos en el grupo de edad ",$AG$11),"")</f>
        <v>* El total de Procesados debe ser mayor o igual al total de Reactivos en el grupo de edad 55 - 59 años</v>
      </c>
      <c r="CU79" s="2784" t="str">
        <f>IF(AI79&lt;AJ79,CONCATENATE("* El total de Procesados debe ser mayor o igual al total de Reactivos en el grupo de edad ",$AI$11),"")</f>
        <v>* El total de Procesados debe ser mayor o igual al total de Reactivos en el grupo de edad 60 - 64 años</v>
      </c>
      <c r="CV79" s="2784" t="str">
        <f>IF(AK79&lt;AL79,CONCATENATE("* El total de Procesados debe ser mayor o igual al total de Reactivos en el grupo de edad ",$AK$11),"")</f>
        <v>* El total de Procesados debe ser mayor o igual al total de Reactivos en el grupo de edad 65 - 69 años</v>
      </c>
      <c r="CW79" s="2784" t="str">
        <f>IF(AM79&lt;AN79,CONCATENATE("* El total de Procesados debe ser mayor o igual al total de Reactivos en el grupo de edad ",$AM$11),"")</f>
        <v>* El total de Procesados debe ser mayor o igual al total de Reactivos en el grupo de edad 70 - 74 años</v>
      </c>
      <c r="CX79" s="2784" t="str">
        <f>IF(AO79&lt;AP79,CONCATENATE("* El total de Procesados debe ser mayor o igual al total de Reactivos en el grupo de edad ",$AO$11),"")</f>
        <v>* El total de Procesados debe ser mayor o igual al total de Reactivos en el grupo de edad 75 - 79 años</v>
      </c>
      <c r="CY79" s="2784" t="str">
        <f>IF(AQ79&lt;AR79,CONCATENATE("* El total de Procesados debe ser mayor o igual al total de Reactivos en el grupo de edad ",$AQ$11),"")</f>
        <v>* El total de Procesados debe ser mayor o igual al total de Reactivos en el grupo de edad 80 y más años</v>
      </c>
      <c r="DF79" s="2630"/>
      <c r="DG79" s="4747">
        <f>IF(C79&lt;&gt;(AT79),1,0)</f>
        <v>1</v>
      </c>
      <c r="DH79" s="2920" t="e">
        <f>IF(AND($C79&gt;0,AND(AU79="",AV79="")),1,IF((AU79+AV79)&gt;$C79,1,0))</f>
        <v>#VALUE!</v>
      </c>
      <c r="DI79" s="2920">
        <f>IF(AND($C79&gt;0,AW79=""),1,IF(AW79&gt;$C79,1,0))</f>
        <v>1</v>
      </c>
      <c r="DJ79" s="2920">
        <f>IF(AND($C79&gt;0,AX79=""),1,IF(AX79&gt;$C79,1,0))</f>
        <v>1</v>
      </c>
      <c r="DK79" s="3018"/>
      <c r="DL79" s="3018"/>
      <c r="DM79" s="3018"/>
      <c r="DN79" s="3018"/>
      <c r="DO79" s="3018"/>
      <c r="DP79" s="2920">
        <f>IF(O79&lt;P79,1,0)</f>
        <v>1</v>
      </c>
      <c r="DQ79" s="2920">
        <f>IF(Q79&lt;R79,1,0)</f>
        <v>1</v>
      </c>
      <c r="DR79" s="2920">
        <f>IF(S79&lt;T79,1,0)</f>
        <v>1</v>
      </c>
      <c r="DS79" s="2920">
        <f>IF($U79&lt;$V79,1,0)</f>
        <v>1</v>
      </c>
      <c r="DT79" s="2920">
        <f>IF(W79&lt;X79,1,0)</f>
        <v>1</v>
      </c>
      <c r="DU79" s="2920">
        <f>IF(Y79&lt;Z79,1,0)</f>
        <v>1</v>
      </c>
      <c r="DV79" s="2920">
        <f>IF(AA79&lt;AB79,1,0)</f>
        <v>1</v>
      </c>
      <c r="DW79" s="2920">
        <f>IF(AE79&lt;AF79,1,0)</f>
        <v>1</v>
      </c>
      <c r="DX79" s="2920">
        <f>IF(AG79&lt;AH79,1,0)</f>
        <v>1</v>
      </c>
      <c r="DY79" s="2920">
        <f>IF(AI79&lt;AJ79,1,0)</f>
        <v>1</v>
      </c>
      <c r="DZ79" s="2920">
        <f>IF(AK79&lt;AL79,1,0)</f>
        <v>1</v>
      </c>
      <c r="EA79" s="2920">
        <f>IF(AM79&lt;AN79,1,0)</f>
        <v>1</v>
      </c>
      <c r="EB79" s="2920">
        <f>IF(AO79&lt;AP79,1,0)</f>
        <v>1</v>
      </c>
      <c r="EC79" s="2920">
        <f>IF(AQ79&lt;AR79,1,0)</f>
        <v>1</v>
      </c>
    </row>
    <row r="80" spans="1:133" x14ac:dyDescent="0.3">
      <c r="A80" s="6234">
        <v>11056419</v>
      </c>
      <c r="B80" s="3184" t="s">
        <v>2660</v>
      </c>
      <c r="C80" s="1928" t="s">
        <v>5292</v>
      </c>
      <c r="D80" s="3242" t="s">
        <v>5293</v>
      </c>
      <c r="E80" s="3475" t="s">
        <v>5294</v>
      </c>
      <c r="F80" s="5149" t="s">
        <v>5295</v>
      </c>
      <c r="G80" s="5148" t="s">
        <v>5296</v>
      </c>
      <c r="H80" s="5149" t="s">
        <v>5297</v>
      </c>
      <c r="I80" s="5148" t="s">
        <v>5298</v>
      </c>
      <c r="J80" s="5149" t="s">
        <v>5299</v>
      </c>
      <c r="K80" s="5148" t="s">
        <v>5300</v>
      </c>
      <c r="L80" s="5149" t="s">
        <v>5301</v>
      </c>
      <c r="M80" s="5148" t="s">
        <v>5302</v>
      </c>
      <c r="N80" s="5150" t="s">
        <v>5303</v>
      </c>
      <c r="O80" s="3479" t="s">
        <v>5304</v>
      </c>
      <c r="P80" s="5151" t="s">
        <v>5305</v>
      </c>
      <c r="Q80" s="5038" t="s">
        <v>5306</v>
      </c>
      <c r="R80" s="5151" t="s">
        <v>5307</v>
      </c>
      <c r="S80" s="5038" t="s">
        <v>5308</v>
      </c>
      <c r="T80" s="5151" t="s">
        <v>5309</v>
      </c>
      <c r="U80" s="5038" t="s">
        <v>5310</v>
      </c>
      <c r="V80" s="5151" t="s">
        <v>5311</v>
      </c>
      <c r="W80" s="5038" t="s">
        <v>5312</v>
      </c>
      <c r="X80" s="5151" t="s">
        <v>5313</v>
      </c>
      <c r="Y80" s="5038" t="s">
        <v>5314</v>
      </c>
      <c r="Z80" s="5151" t="s">
        <v>5315</v>
      </c>
      <c r="AA80" s="5038" t="s">
        <v>5316</v>
      </c>
      <c r="AB80" s="5151" t="s">
        <v>5317</v>
      </c>
      <c r="AC80" s="5038" t="s">
        <v>5318</v>
      </c>
      <c r="AD80" s="5151" t="s">
        <v>5319</v>
      </c>
      <c r="AE80" s="5038" t="s">
        <v>5320</v>
      </c>
      <c r="AF80" s="5151" t="s">
        <v>5321</v>
      </c>
      <c r="AG80" s="5038" t="s">
        <v>5322</v>
      </c>
      <c r="AH80" s="5151" t="s">
        <v>5323</v>
      </c>
      <c r="AI80" s="5038" t="s">
        <v>5324</v>
      </c>
      <c r="AJ80" s="5151" t="s">
        <v>5325</v>
      </c>
      <c r="AK80" s="5038" t="s">
        <v>5326</v>
      </c>
      <c r="AL80" s="5151" t="s">
        <v>5327</v>
      </c>
      <c r="AM80" s="5038" t="s">
        <v>5328</v>
      </c>
      <c r="AN80" s="5151" t="s">
        <v>5329</v>
      </c>
      <c r="AO80" s="5038" t="s">
        <v>5330</v>
      </c>
      <c r="AP80" s="5151" t="s">
        <v>5331</v>
      </c>
      <c r="AQ80" s="5038" t="s">
        <v>5332</v>
      </c>
      <c r="AR80" s="5145" t="s">
        <v>5333</v>
      </c>
      <c r="AS80" s="3483" t="s">
        <v>5334</v>
      </c>
      <c r="AT80" s="5145" t="s">
        <v>5335</v>
      </c>
      <c r="AU80" s="5146" t="s">
        <v>5336</v>
      </c>
      <c r="AV80" s="5145" t="s">
        <v>5337</v>
      </c>
      <c r="AW80" s="3479" t="s">
        <v>5338</v>
      </c>
      <c r="AX80" s="5147" t="s">
        <v>5339</v>
      </c>
      <c r="AY80" s="1687" t="e">
        <f>CC80&amp;CD80&amp;CE80&amp;CF80&amp;CL80&amp;CM80&amp;CN80&amp;CO80&amp;CP80&amp;CQ80&amp;CR80&amp;CS80&amp;CT80&amp;CU80&amp;CV80&amp;CW80&amp;CX80&amp;CY80</f>
        <v>#VALUE!</v>
      </c>
      <c r="CB80" s="600"/>
      <c r="CC80" s="4747" t="str">
        <f t="shared" ref="CC80:CC83" si="239">IF(C80&lt;&gt;(AT80)," * La suma de las columnas "&amp;AS$10&amp;""&amp;" DEBE SER IGUAL a los Exámenes Procesados. ","")</f>
        <v xml:space="preserve"> * La suma de las columnas POR SEXO (Procesados) DEBE SER IGUAL a los Exámenes Procesados. </v>
      </c>
      <c r="CD80" s="2784" t="e">
        <f t="shared" ref="CD80:CD96" si="240">IF(AND($C80&gt;0,AND(AU80="",AV80="")),"* No olvide ingresar las columnas Trans Masculino o Femenino (*Digite CERO si no tiene). ",IF((AU80+AV80)&gt;$C80,"* El Número de Trans Masculino o Femenino no puede superar el Total Procesados. ",""))</f>
        <v>#VALUE!</v>
      </c>
      <c r="CE80" s="2784" t="str">
        <f t="shared" ref="CE80:CE96" si="241">IF(AND($C80&gt;0,AW80=""),"* No olvide ingresar la columna "&amp;AW$10&amp;""&amp;" *(Digite CERO si no tiene). ",IF(AW80&gt;$C80," *El Número de "&amp;AW$10&amp;""&amp;" no puede superar el Total Procesados. ",""))</f>
        <v xml:space="preserve"> *El Número de Pueblos Originarios no puede superar el Total Procesados. </v>
      </c>
      <c r="CF80" s="2784" t="str">
        <f t="shared" ref="CF80:CF96" si="242">IF(AND($C80&gt;0,AX80=""),"* No olvide ingresar la columna "&amp;AX$10&amp;""&amp;" *(Digite CERO si no tiene). ",IF(AX80&gt;$C80," *El Número de "&amp;AX$10&amp;""&amp;" no puede superar el Total Procesados. ",""))</f>
        <v xml:space="preserve"> *El Número de Migrantes no puede superar el Total Procesados. </v>
      </c>
      <c r="CG80" s="3018"/>
      <c r="CH80" s="3018"/>
      <c r="CI80" s="3018"/>
      <c r="CJ80" s="3018"/>
      <c r="CK80" s="3018"/>
      <c r="CL80" s="2784" t="str">
        <f t="shared" ref="CL80:CL83" si="243">IF(O80&lt;P80,CONCATENATE("* El total de Procesados debe ser mayor o igual al total de Reactivos en el grupo de edad ",$O$11),"")</f>
        <v>* El total de Procesados debe ser mayor o igual al total de Reactivos en el grupo de edad 10 - 14 años</v>
      </c>
      <c r="CM80" s="2784" t="str">
        <f t="shared" ref="CM80:CM85" si="244">IF(Q80&lt;R80,CONCATENATE("* El total de Procesados debe ser mayor o igual al total de Reactivos en el grupo de edad ",$Q$11),"")</f>
        <v>* El total de Procesados debe ser mayor o igual al total de Reactivos en el grupo de edad 15 - 19 años</v>
      </c>
      <c r="CN80" s="2784" t="str">
        <f t="shared" ref="CN80:CN87" si="245">IF(S80&lt;T80,CONCATENATE("* El total de Procesados debe ser mayor o igual al total de Reactivos en el grupo de edad ",$S$11),"")</f>
        <v>* El total de Procesados debe ser mayor o igual al total de Reactivos en el grupo de edad 20 - 24 años</v>
      </c>
      <c r="CO80" s="2784" t="str">
        <f t="shared" ref="CO80:CO96" si="246">IF($U80&lt;$V80,CONCATENATE("* El total de Procesados debe ser mayor o igual al total de Reactivos en el grupo de edad ",$U$11),"")</f>
        <v>* El total de Procesados debe ser mayor o igual al total de Reactivos en el grupo de edad 25 - 29 años</v>
      </c>
      <c r="CP80" s="2784" t="str">
        <f t="shared" ref="CP80:CP87" si="247">IF(W80&lt;X80,CONCATENATE("* El total de Procesados debe ser mayor o igual al total de Reactivos en el grupo de edad ",$W$11),"")</f>
        <v>* El total de Procesados debe ser mayor o igual al total de Reactivos en el grupo de edad 30 - 34 años</v>
      </c>
      <c r="CQ80" s="2784" t="str">
        <f t="shared" ref="CQ80:CQ87" si="248">IF(Y80&lt;Z80,CONCATENATE("* El total de Procesados debe ser mayor o igual al total de Reactivos en el grupo de edad ",$Y$11),"")</f>
        <v>* El total de Procesados debe ser mayor o igual al total de Reactivos en el grupo de edad 35 - 39 años</v>
      </c>
      <c r="CR80" s="2784" t="str">
        <f t="shared" ref="CR80:CR87" si="249">IF(AA80&lt;AB80,CONCATENATE("* El total de Procesados debe ser mayor o igual al total de Reactivos en el grupo de edad ",$AA$11),"")</f>
        <v>* El total de Procesados debe ser mayor o igual al total de Reactivos en el grupo de edad 40 - 44 años</v>
      </c>
      <c r="CS80" s="2784" t="str">
        <f t="shared" ref="CS80:CS87" si="250">IF(AE80&lt;AF80,CONCATENATE("* El total de Procesados debe ser mayor o igual al total de Reactivos en el grupo de edad ",$AE$11),"")</f>
        <v>* El total de Procesados debe ser mayor o igual al total de Reactivos en el grupo de edad 50 - 54 años</v>
      </c>
      <c r="CT80" s="2784" t="str">
        <f t="shared" ref="CT80:CT87" si="251">IF(AG80&lt;AH80,CONCATENATE("* El total de Procesados debe ser mayor o igual al total de Reactivos en el grupo de edad ",$AG$11),"")</f>
        <v>* El total de Procesados debe ser mayor o igual al total de Reactivos en el grupo de edad 55 - 59 años</v>
      </c>
      <c r="CU80" s="2784" t="str">
        <f t="shared" ref="CU80:CU87" si="252">IF(AI80&lt;AJ80,CONCATENATE("* El total de Procesados debe ser mayor o igual al total de Reactivos en el grupo de edad ",$AI$11),"")</f>
        <v>* El total de Procesados debe ser mayor o igual al total de Reactivos en el grupo de edad 60 - 64 años</v>
      </c>
      <c r="CV80" s="2784" t="str">
        <f t="shared" ref="CV80:CV87" si="253">IF(AK80&lt;AL80,CONCATENATE("* El total de Procesados debe ser mayor o igual al total de Reactivos en el grupo de edad ",$AK$11),"")</f>
        <v>* El total de Procesados debe ser mayor o igual al total de Reactivos en el grupo de edad 65 - 69 años</v>
      </c>
      <c r="CW80" s="2784" t="str">
        <f t="shared" ref="CW80:CW87" si="254">IF(AM80&lt;AN80,CONCATENATE("* El total de Procesados debe ser mayor o igual al total de Reactivos en el grupo de edad ",$AM$11),"")</f>
        <v>* El total de Procesados debe ser mayor o igual al total de Reactivos en el grupo de edad 70 - 74 años</v>
      </c>
      <c r="CX80" s="2784" t="str">
        <f t="shared" ref="CX80:CX87" si="255">IF(AO80&lt;AP80,CONCATENATE("* El total de Procesados debe ser mayor o igual al total de Reactivos en el grupo de edad ",$AO$11),"")</f>
        <v>* El total de Procesados debe ser mayor o igual al total de Reactivos en el grupo de edad 75 - 79 años</v>
      </c>
      <c r="CY80" s="2784" t="str">
        <f t="shared" ref="CY80:CY87" si="256">IF(AQ80&lt;AR80,CONCATENATE("* El total de Procesados debe ser mayor o igual al total de Reactivos en el grupo de edad ",$AQ$11),"")</f>
        <v>* El total de Procesados debe ser mayor o igual al total de Reactivos en el grupo de edad 80 y más años</v>
      </c>
      <c r="DF80" s="2630"/>
      <c r="DG80" s="4747">
        <f t="shared" ref="DG80:DG83" si="257">IF(C80&lt;&gt;(AT80),1,0)</f>
        <v>1</v>
      </c>
      <c r="DH80" s="2920" t="e">
        <f t="shared" ref="DH80:DH96" si="258">IF(AND($C80&gt;0,AND(AU80="",AV80="")),1,IF((AU80+AV80)&gt;$C80,1,0))</f>
        <v>#VALUE!</v>
      </c>
      <c r="DI80" s="2920">
        <f t="shared" ref="DI80:DI96" si="259">IF(AND($C80&gt;0,AW80=""),1,IF(AW80&gt;$C80,1,0))</f>
        <v>1</v>
      </c>
      <c r="DJ80" s="2920">
        <f t="shared" ref="DJ80:DJ96" si="260">IF(AND($C80&gt;0,AX80=""),1,IF(AX80&gt;$C80,1,0))</f>
        <v>1</v>
      </c>
      <c r="DK80" s="3018"/>
      <c r="DL80" s="3018"/>
      <c r="DM80" s="3018"/>
      <c r="DN80" s="3018"/>
      <c r="DO80" s="3018"/>
      <c r="DP80" s="2920">
        <f t="shared" ref="DP80:DP87" si="261">IF(O80&lt;P80,1,0)</f>
        <v>1</v>
      </c>
      <c r="DQ80" s="2920">
        <f t="shared" ref="DQ80:DQ87" si="262">IF(Q80&lt;R80,1,0)</f>
        <v>1</v>
      </c>
      <c r="DR80" s="2920">
        <f t="shared" ref="DR80:DR87" si="263">IF(S80&lt;T80,1,0)</f>
        <v>1</v>
      </c>
      <c r="DS80" s="2920">
        <f t="shared" ref="DS80:DS96" si="264">IF($U80&lt;$V80,1,0)</f>
        <v>1</v>
      </c>
      <c r="DT80" s="2920">
        <f t="shared" ref="DT80:DT87" si="265">IF(W80&lt;X80,1,0)</f>
        <v>1</v>
      </c>
      <c r="DU80" s="2920">
        <f t="shared" ref="DU80:DU87" si="266">IF(Y80&lt;Z80,1,0)</f>
        <v>1</v>
      </c>
      <c r="DV80" s="2920">
        <f t="shared" ref="DV80:DV87" si="267">IF(AA80&lt;AB80,1,0)</f>
        <v>1</v>
      </c>
      <c r="DW80" s="2920">
        <f t="shared" ref="DW80:DW87" si="268">IF(AE80&lt;AF80,1,0)</f>
        <v>1</v>
      </c>
      <c r="DX80" s="2920">
        <f t="shared" ref="DX80:DX87" si="269">IF(AG80&lt;AH80,1,0)</f>
        <v>1</v>
      </c>
      <c r="DY80" s="2920">
        <f t="shared" ref="DY80:DY87" si="270">IF(AI80&lt;AJ80,1,0)</f>
        <v>1</v>
      </c>
      <c r="DZ80" s="2920">
        <f t="shared" ref="DZ80:DZ87" si="271">IF(AK80&lt;AL80,1,0)</f>
        <v>1</v>
      </c>
      <c r="EA80" s="2920">
        <f t="shared" ref="EA80:EA87" si="272">IF(AM80&lt;AN80,1,0)</f>
        <v>1</v>
      </c>
      <c r="EB80" s="2920">
        <f t="shared" ref="EB80:EB87" si="273">IF(AO80&lt;AP80,1,0)</f>
        <v>1</v>
      </c>
      <c r="EC80" s="2920">
        <f t="shared" ref="EC80:EC87" si="274">IF(AQ80&lt;AR80,1,0)</f>
        <v>1</v>
      </c>
    </row>
    <row r="81" spans="1:133" x14ac:dyDescent="0.3">
      <c r="A81" s="6234">
        <v>11056420</v>
      </c>
      <c r="B81" s="3184" t="s">
        <v>2661</v>
      </c>
      <c r="C81" s="1928" t="s">
        <v>5292</v>
      </c>
      <c r="D81" s="3242" t="s">
        <v>5293</v>
      </c>
      <c r="E81" s="3475" t="s">
        <v>5294</v>
      </c>
      <c r="F81" s="5149" t="s">
        <v>5295</v>
      </c>
      <c r="G81" s="5148" t="s">
        <v>5296</v>
      </c>
      <c r="H81" s="5149" t="s">
        <v>5297</v>
      </c>
      <c r="I81" s="5148" t="s">
        <v>5298</v>
      </c>
      <c r="J81" s="5149" t="s">
        <v>5299</v>
      </c>
      <c r="K81" s="5148" t="s">
        <v>5300</v>
      </c>
      <c r="L81" s="5149" t="s">
        <v>5301</v>
      </c>
      <c r="M81" s="5148" t="s">
        <v>5302</v>
      </c>
      <c r="N81" s="5150" t="s">
        <v>5303</v>
      </c>
      <c r="O81" s="3479" t="s">
        <v>5304</v>
      </c>
      <c r="P81" s="5151" t="s">
        <v>5305</v>
      </c>
      <c r="Q81" s="5038" t="s">
        <v>5306</v>
      </c>
      <c r="R81" s="5151" t="s">
        <v>5307</v>
      </c>
      <c r="S81" s="5038" t="s">
        <v>5308</v>
      </c>
      <c r="T81" s="5151" t="s">
        <v>5309</v>
      </c>
      <c r="U81" s="5038" t="s">
        <v>5310</v>
      </c>
      <c r="V81" s="5151" t="s">
        <v>5311</v>
      </c>
      <c r="W81" s="5038" t="s">
        <v>5312</v>
      </c>
      <c r="X81" s="5151" t="s">
        <v>5313</v>
      </c>
      <c r="Y81" s="5038" t="s">
        <v>5314</v>
      </c>
      <c r="Z81" s="5151" t="s">
        <v>5315</v>
      </c>
      <c r="AA81" s="5038" t="s">
        <v>5316</v>
      </c>
      <c r="AB81" s="5151" t="s">
        <v>5317</v>
      </c>
      <c r="AC81" s="5038" t="s">
        <v>5318</v>
      </c>
      <c r="AD81" s="5151" t="s">
        <v>5319</v>
      </c>
      <c r="AE81" s="5038" t="s">
        <v>5320</v>
      </c>
      <c r="AF81" s="5151" t="s">
        <v>5321</v>
      </c>
      <c r="AG81" s="5038" t="s">
        <v>5322</v>
      </c>
      <c r="AH81" s="5151" t="s">
        <v>5323</v>
      </c>
      <c r="AI81" s="5038" t="s">
        <v>5324</v>
      </c>
      <c r="AJ81" s="5151" t="s">
        <v>5325</v>
      </c>
      <c r="AK81" s="5038" t="s">
        <v>5326</v>
      </c>
      <c r="AL81" s="5151" t="s">
        <v>5327</v>
      </c>
      <c r="AM81" s="5038" t="s">
        <v>5328</v>
      </c>
      <c r="AN81" s="5151" t="s">
        <v>5329</v>
      </c>
      <c r="AO81" s="5038" t="s">
        <v>5330</v>
      </c>
      <c r="AP81" s="5151" t="s">
        <v>5331</v>
      </c>
      <c r="AQ81" s="5038" t="s">
        <v>5332</v>
      </c>
      <c r="AR81" s="5145" t="s">
        <v>5333</v>
      </c>
      <c r="AS81" s="3483" t="s">
        <v>5334</v>
      </c>
      <c r="AT81" s="5145" t="s">
        <v>5335</v>
      </c>
      <c r="AU81" s="5146" t="s">
        <v>5336</v>
      </c>
      <c r="AV81" s="5145" t="s">
        <v>5337</v>
      </c>
      <c r="AW81" s="3479" t="s">
        <v>5338</v>
      </c>
      <c r="AX81" s="5147" t="s">
        <v>5339</v>
      </c>
      <c r="AY81" s="1687" t="e">
        <f t="shared" ref="AY81:AY83" si="275">CC81&amp;CD81&amp;CE81&amp;CF81&amp;CL81&amp;CM81&amp;CN81&amp;CO81&amp;CP81&amp;CQ81&amp;CR81&amp;CS81&amp;CT81&amp;CU81&amp;CV81&amp;CW81&amp;CX81&amp;CY81</f>
        <v>#VALUE!</v>
      </c>
      <c r="CB81" s="600"/>
      <c r="CC81" s="4747" t="str">
        <f t="shared" si="239"/>
        <v xml:space="preserve"> * La suma de las columnas POR SEXO (Procesados) DEBE SER IGUAL a los Exámenes Procesados. </v>
      </c>
      <c r="CD81" s="2784" t="e">
        <f t="shared" si="240"/>
        <v>#VALUE!</v>
      </c>
      <c r="CE81" s="2784" t="str">
        <f t="shared" si="241"/>
        <v xml:space="preserve"> *El Número de Pueblos Originarios no puede superar el Total Procesados. </v>
      </c>
      <c r="CF81" s="2784" t="str">
        <f t="shared" si="242"/>
        <v xml:space="preserve"> *El Número de Migrantes no puede superar el Total Procesados. </v>
      </c>
      <c r="CG81" s="3018"/>
      <c r="CH81" s="3018"/>
      <c r="CI81" s="3018"/>
      <c r="CJ81" s="3018"/>
      <c r="CK81" s="3018"/>
      <c r="CL81" s="2784" t="str">
        <f t="shared" si="243"/>
        <v>* El total de Procesados debe ser mayor o igual al total de Reactivos en el grupo de edad 10 - 14 años</v>
      </c>
      <c r="CM81" s="2784" t="str">
        <f t="shared" si="244"/>
        <v>* El total de Procesados debe ser mayor o igual al total de Reactivos en el grupo de edad 15 - 19 años</v>
      </c>
      <c r="CN81" s="2784" t="str">
        <f t="shared" si="245"/>
        <v>* El total de Procesados debe ser mayor o igual al total de Reactivos en el grupo de edad 20 - 24 años</v>
      </c>
      <c r="CO81" s="2784" t="str">
        <f t="shared" si="246"/>
        <v>* El total de Procesados debe ser mayor o igual al total de Reactivos en el grupo de edad 25 - 29 años</v>
      </c>
      <c r="CP81" s="2784" t="str">
        <f t="shared" si="247"/>
        <v>* El total de Procesados debe ser mayor o igual al total de Reactivos en el grupo de edad 30 - 34 años</v>
      </c>
      <c r="CQ81" s="2784" t="str">
        <f t="shared" si="248"/>
        <v>* El total de Procesados debe ser mayor o igual al total de Reactivos en el grupo de edad 35 - 39 años</v>
      </c>
      <c r="CR81" s="2784" t="str">
        <f t="shared" si="249"/>
        <v>* El total de Procesados debe ser mayor o igual al total de Reactivos en el grupo de edad 40 - 44 años</v>
      </c>
      <c r="CS81" s="2784" t="str">
        <f t="shared" si="250"/>
        <v>* El total de Procesados debe ser mayor o igual al total de Reactivos en el grupo de edad 50 - 54 años</v>
      </c>
      <c r="CT81" s="2784" t="str">
        <f t="shared" si="251"/>
        <v>* El total de Procesados debe ser mayor o igual al total de Reactivos en el grupo de edad 55 - 59 años</v>
      </c>
      <c r="CU81" s="2784" t="str">
        <f t="shared" si="252"/>
        <v>* El total de Procesados debe ser mayor o igual al total de Reactivos en el grupo de edad 60 - 64 años</v>
      </c>
      <c r="CV81" s="2784" t="str">
        <f t="shared" si="253"/>
        <v>* El total de Procesados debe ser mayor o igual al total de Reactivos en el grupo de edad 65 - 69 años</v>
      </c>
      <c r="CW81" s="2784" t="str">
        <f t="shared" si="254"/>
        <v>* El total de Procesados debe ser mayor o igual al total de Reactivos en el grupo de edad 70 - 74 años</v>
      </c>
      <c r="CX81" s="2784" t="str">
        <f t="shared" si="255"/>
        <v>* El total de Procesados debe ser mayor o igual al total de Reactivos en el grupo de edad 75 - 79 años</v>
      </c>
      <c r="CY81" s="2784" t="str">
        <f t="shared" si="256"/>
        <v>* El total de Procesados debe ser mayor o igual al total de Reactivos en el grupo de edad 80 y más años</v>
      </c>
      <c r="DF81" s="2630"/>
      <c r="DG81" s="4747">
        <f t="shared" si="257"/>
        <v>1</v>
      </c>
      <c r="DH81" s="2920" t="e">
        <f t="shared" si="258"/>
        <v>#VALUE!</v>
      </c>
      <c r="DI81" s="2920">
        <f t="shared" si="259"/>
        <v>1</v>
      </c>
      <c r="DJ81" s="2920">
        <f t="shared" si="260"/>
        <v>1</v>
      </c>
      <c r="DK81" s="3018"/>
      <c r="DL81" s="3018"/>
      <c r="DM81" s="3018"/>
      <c r="DN81" s="3018"/>
      <c r="DO81" s="3018"/>
      <c r="DP81" s="2920">
        <f t="shared" si="261"/>
        <v>1</v>
      </c>
      <c r="DQ81" s="2920">
        <f t="shared" si="262"/>
        <v>1</v>
      </c>
      <c r="DR81" s="2920">
        <f t="shared" si="263"/>
        <v>1</v>
      </c>
      <c r="DS81" s="2920">
        <f t="shared" si="264"/>
        <v>1</v>
      </c>
      <c r="DT81" s="2920">
        <f t="shared" si="265"/>
        <v>1</v>
      </c>
      <c r="DU81" s="2920">
        <f t="shared" si="266"/>
        <v>1</v>
      </c>
      <c r="DV81" s="2920">
        <f t="shared" si="267"/>
        <v>1</v>
      </c>
      <c r="DW81" s="2920">
        <f t="shared" si="268"/>
        <v>1</v>
      </c>
      <c r="DX81" s="2920">
        <f t="shared" si="269"/>
        <v>1</v>
      </c>
      <c r="DY81" s="2920">
        <f t="shared" si="270"/>
        <v>1</v>
      </c>
      <c r="DZ81" s="2920">
        <f t="shared" si="271"/>
        <v>1</v>
      </c>
      <c r="EA81" s="2920">
        <f t="shared" si="272"/>
        <v>1</v>
      </c>
      <c r="EB81" s="2920">
        <f t="shared" si="273"/>
        <v>1</v>
      </c>
      <c r="EC81" s="2920">
        <f t="shared" si="274"/>
        <v>1</v>
      </c>
    </row>
    <row r="82" spans="1:133" x14ac:dyDescent="0.3">
      <c r="A82" s="6234">
        <v>11056421</v>
      </c>
      <c r="B82" s="3184" t="s">
        <v>2662</v>
      </c>
      <c r="C82" s="1928" t="s">
        <v>5292</v>
      </c>
      <c r="D82" s="3242" t="s">
        <v>5293</v>
      </c>
      <c r="E82" s="3475" t="s">
        <v>5294</v>
      </c>
      <c r="F82" s="5149" t="s">
        <v>5295</v>
      </c>
      <c r="G82" s="5148" t="s">
        <v>5296</v>
      </c>
      <c r="H82" s="5149" t="s">
        <v>5297</v>
      </c>
      <c r="I82" s="5148" t="s">
        <v>5298</v>
      </c>
      <c r="J82" s="5149" t="s">
        <v>5299</v>
      </c>
      <c r="K82" s="5148" t="s">
        <v>5300</v>
      </c>
      <c r="L82" s="5149" t="s">
        <v>5301</v>
      </c>
      <c r="M82" s="5148" t="s">
        <v>5302</v>
      </c>
      <c r="N82" s="5150" t="s">
        <v>5303</v>
      </c>
      <c r="O82" s="3479" t="s">
        <v>5304</v>
      </c>
      <c r="P82" s="5151" t="s">
        <v>5305</v>
      </c>
      <c r="Q82" s="5038" t="s">
        <v>5306</v>
      </c>
      <c r="R82" s="5151" t="s">
        <v>5307</v>
      </c>
      <c r="S82" s="5038" t="s">
        <v>5308</v>
      </c>
      <c r="T82" s="5151" t="s">
        <v>5309</v>
      </c>
      <c r="U82" s="5038" t="s">
        <v>5310</v>
      </c>
      <c r="V82" s="5151" t="s">
        <v>5311</v>
      </c>
      <c r="W82" s="5038" t="s">
        <v>5312</v>
      </c>
      <c r="X82" s="5151" t="s">
        <v>5313</v>
      </c>
      <c r="Y82" s="5038" t="s">
        <v>5314</v>
      </c>
      <c r="Z82" s="5151" t="s">
        <v>5315</v>
      </c>
      <c r="AA82" s="5038" t="s">
        <v>5316</v>
      </c>
      <c r="AB82" s="5151" t="s">
        <v>5317</v>
      </c>
      <c r="AC82" s="5038" t="s">
        <v>5318</v>
      </c>
      <c r="AD82" s="5151" t="s">
        <v>5319</v>
      </c>
      <c r="AE82" s="5038" t="s">
        <v>5320</v>
      </c>
      <c r="AF82" s="5151" t="s">
        <v>5321</v>
      </c>
      <c r="AG82" s="5038" t="s">
        <v>5322</v>
      </c>
      <c r="AH82" s="5151" t="s">
        <v>5323</v>
      </c>
      <c r="AI82" s="5038" t="s">
        <v>5324</v>
      </c>
      <c r="AJ82" s="5151" t="s">
        <v>5325</v>
      </c>
      <c r="AK82" s="5038" t="s">
        <v>5326</v>
      </c>
      <c r="AL82" s="5151" t="s">
        <v>5327</v>
      </c>
      <c r="AM82" s="5038" t="s">
        <v>5328</v>
      </c>
      <c r="AN82" s="5151" t="s">
        <v>5329</v>
      </c>
      <c r="AO82" s="5038" t="s">
        <v>5330</v>
      </c>
      <c r="AP82" s="5151" t="s">
        <v>5331</v>
      </c>
      <c r="AQ82" s="5038" t="s">
        <v>5332</v>
      </c>
      <c r="AR82" s="5145" t="s">
        <v>5333</v>
      </c>
      <c r="AS82" s="3483" t="s">
        <v>5334</v>
      </c>
      <c r="AT82" s="5145" t="s">
        <v>5335</v>
      </c>
      <c r="AU82" s="5146" t="s">
        <v>5336</v>
      </c>
      <c r="AV82" s="5145" t="s">
        <v>5337</v>
      </c>
      <c r="AW82" s="3479" t="s">
        <v>5338</v>
      </c>
      <c r="AX82" s="5147" t="s">
        <v>5339</v>
      </c>
      <c r="AY82" s="1687" t="e">
        <f t="shared" si="275"/>
        <v>#VALUE!</v>
      </c>
      <c r="CB82" s="600"/>
      <c r="CC82" s="4747" t="str">
        <f t="shared" si="239"/>
        <v xml:space="preserve"> * La suma de las columnas POR SEXO (Procesados) DEBE SER IGUAL a los Exámenes Procesados. </v>
      </c>
      <c r="CD82" s="2784" t="e">
        <f t="shared" si="240"/>
        <v>#VALUE!</v>
      </c>
      <c r="CE82" s="2784" t="str">
        <f t="shared" si="241"/>
        <v xml:space="preserve"> *El Número de Pueblos Originarios no puede superar el Total Procesados. </v>
      </c>
      <c r="CF82" s="2784" t="str">
        <f t="shared" si="242"/>
        <v xml:space="preserve"> *El Número de Migrantes no puede superar el Total Procesados. </v>
      </c>
      <c r="CG82" s="3018"/>
      <c r="CH82" s="3018"/>
      <c r="CI82" s="3018"/>
      <c r="CJ82" s="3018"/>
      <c r="CK82" s="3018"/>
      <c r="CL82" s="2784" t="str">
        <f t="shared" si="243"/>
        <v>* El total de Procesados debe ser mayor o igual al total de Reactivos en el grupo de edad 10 - 14 años</v>
      </c>
      <c r="CM82" s="2784" t="str">
        <f t="shared" si="244"/>
        <v>* El total de Procesados debe ser mayor o igual al total de Reactivos en el grupo de edad 15 - 19 años</v>
      </c>
      <c r="CN82" s="2784" t="str">
        <f t="shared" si="245"/>
        <v>* El total de Procesados debe ser mayor o igual al total de Reactivos en el grupo de edad 20 - 24 años</v>
      </c>
      <c r="CO82" s="2784" t="str">
        <f t="shared" si="246"/>
        <v>* El total de Procesados debe ser mayor o igual al total de Reactivos en el grupo de edad 25 - 29 años</v>
      </c>
      <c r="CP82" s="2784" t="str">
        <f t="shared" si="247"/>
        <v>* El total de Procesados debe ser mayor o igual al total de Reactivos en el grupo de edad 30 - 34 años</v>
      </c>
      <c r="CQ82" s="2784" t="str">
        <f t="shared" si="248"/>
        <v>* El total de Procesados debe ser mayor o igual al total de Reactivos en el grupo de edad 35 - 39 años</v>
      </c>
      <c r="CR82" s="2784" t="str">
        <f t="shared" si="249"/>
        <v>* El total de Procesados debe ser mayor o igual al total de Reactivos en el grupo de edad 40 - 44 años</v>
      </c>
      <c r="CS82" s="2784" t="str">
        <f t="shared" si="250"/>
        <v>* El total de Procesados debe ser mayor o igual al total de Reactivos en el grupo de edad 50 - 54 años</v>
      </c>
      <c r="CT82" s="2784" t="str">
        <f t="shared" si="251"/>
        <v>* El total de Procesados debe ser mayor o igual al total de Reactivos en el grupo de edad 55 - 59 años</v>
      </c>
      <c r="CU82" s="2784" t="str">
        <f t="shared" si="252"/>
        <v>* El total de Procesados debe ser mayor o igual al total de Reactivos en el grupo de edad 60 - 64 años</v>
      </c>
      <c r="CV82" s="2784" t="str">
        <f t="shared" si="253"/>
        <v>* El total de Procesados debe ser mayor o igual al total de Reactivos en el grupo de edad 65 - 69 años</v>
      </c>
      <c r="CW82" s="2784" t="str">
        <f t="shared" si="254"/>
        <v>* El total de Procesados debe ser mayor o igual al total de Reactivos en el grupo de edad 70 - 74 años</v>
      </c>
      <c r="CX82" s="2784" t="str">
        <f t="shared" si="255"/>
        <v>* El total de Procesados debe ser mayor o igual al total de Reactivos en el grupo de edad 75 - 79 años</v>
      </c>
      <c r="CY82" s="2784" t="str">
        <f t="shared" si="256"/>
        <v>* El total de Procesados debe ser mayor o igual al total de Reactivos en el grupo de edad 80 y más años</v>
      </c>
      <c r="DF82" s="2630"/>
      <c r="DG82" s="4747">
        <f t="shared" si="257"/>
        <v>1</v>
      </c>
      <c r="DH82" s="2920" t="e">
        <f t="shared" si="258"/>
        <v>#VALUE!</v>
      </c>
      <c r="DI82" s="2920">
        <f t="shared" si="259"/>
        <v>1</v>
      </c>
      <c r="DJ82" s="2920">
        <f t="shared" si="260"/>
        <v>1</v>
      </c>
      <c r="DK82" s="3018"/>
      <c r="DL82" s="3018"/>
      <c r="DM82" s="3018"/>
      <c r="DN82" s="3018"/>
      <c r="DO82" s="3018"/>
      <c r="DP82" s="2920">
        <f t="shared" si="261"/>
        <v>1</v>
      </c>
      <c r="DQ82" s="2920">
        <f t="shared" si="262"/>
        <v>1</v>
      </c>
      <c r="DR82" s="2920">
        <f t="shared" si="263"/>
        <v>1</v>
      </c>
      <c r="DS82" s="2920">
        <f t="shared" si="264"/>
        <v>1</v>
      </c>
      <c r="DT82" s="2920">
        <f t="shared" si="265"/>
        <v>1</v>
      </c>
      <c r="DU82" s="2920">
        <f t="shared" si="266"/>
        <v>1</v>
      </c>
      <c r="DV82" s="2920">
        <f t="shared" si="267"/>
        <v>1</v>
      </c>
      <c r="DW82" s="2920">
        <f t="shared" si="268"/>
        <v>1</v>
      </c>
      <c r="DX82" s="2920">
        <f t="shared" si="269"/>
        <v>1</v>
      </c>
      <c r="DY82" s="2920">
        <f t="shared" si="270"/>
        <v>1</v>
      </c>
      <c r="DZ82" s="2920">
        <f t="shared" si="271"/>
        <v>1</v>
      </c>
      <c r="EA82" s="2920">
        <f t="shared" si="272"/>
        <v>1</v>
      </c>
      <c r="EB82" s="2920">
        <f t="shared" si="273"/>
        <v>1</v>
      </c>
      <c r="EC82" s="2920">
        <f t="shared" si="274"/>
        <v>1</v>
      </c>
    </row>
    <row r="83" spans="1:133" x14ac:dyDescent="0.3">
      <c r="A83" s="6234">
        <v>11056422</v>
      </c>
      <c r="B83" s="3239" t="s">
        <v>2663</v>
      </c>
      <c r="C83" s="1928" t="s">
        <v>5292</v>
      </c>
      <c r="D83" s="3242" t="s">
        <v>5293</v>
      </c>
      <c r="E83" s="3475" t="s">
        <v>5294</v>
      </c>
      <c r="F83" s="5149" t="s">
        <v>5295</v>
      </c>
      <c r="G83" s="5148" t="s">
        <v>5296</v>
      </c>
      <c r="H83" s="5149" t="s">
        <v>5297</v>
      </c>
      <c r="I83" s="5148" t="s">
        <v>5298</v>
      </c>
      <c r="J83" s="5149" t="s">
        <v>5299</v>
      </c>
      <c r="K83" s="5148" t="s">
        <v>5300</v>
      </c>
      <c r="L83" s="5149" t="s">
        <v>5301</v>
      </c>
      <c r="M83" s="5148" t="s">
        <v>5302</v>
      </c>
      <c r="N83" s="5150" t="s">
        <v>5303</v>
      </c>
      <c r="O83" s="3479" t="s">
        <v>5304</v>
      </c>
      <c r="P83" s="5151" t="s">
        <v>5305</v>
      </c>
      <c r="Q83" s="5038" t="s">
        <v>5306</v>
      </c>
      <c r="R83" s="5151" t="s">
        <v>5307</v>
      </c>
      <c r="S83" s="5038" t="s">
        <v>5308</v>
      </c>
      <c r="T83" s="5151" t="s">
        <v>5309</v>
      </c>
      <c r="U83" s="5038" t="s">
        <v>5310</v>
      </c>
      <c r="V83" s="5151" t="s">
        <v>5311</v>
      </c>
      <c r="W83" s="5038" t="s">
        <v>5312</v>
      </c>
      <c r="X83" s="5151" t="s">
        <v>5313</v>
      </c>
      <c r="Y83" s="5038" t="s">
        <v>5314</v>
      </c>
      <c r="Z83" s="5151" t="s">
        <v>5315</v>
      </c>
      <c r="AA83" s="5038" t="s">
        <v>5316</v>
      </c>
      <c r="AB83" s="5151" t="s">
        <v>5317</v>
      </c>
      <c r="AC83" s="5038" t="s">
        <v>5318</v>
      </c>
      <c r="AD83" s="5151" t="s">
        <v>5319</v>
      </c>
      <c r="AE83" s="5038" t="s">
        <v>5320</v>
      </c>
      <c r="AF83" s="5151" t="s">
        <v>5321</v>
      </c>
      <c r="AG83" s="5038" t="s">
        <v>5322</v>
      </c>
      <c r="AH83" s="5151" t="s">
        <v>5323</v>
      </c>
      <c r="AI83" s="5038" t="s">
        <v>5324</v>
      </c>
      <c r="AJ83" s="5151" t="s">
        <v>5325</v>
      </c>
      <c r="AK83" s="5038" t="s">
        <v>5326</v>
      </c>
      <c r="AL83" s="5151" t="s">
        <v>5327</v>
      </c>
      <c r="AM83" s="5038" t="s">
        <v>5328</v>
      </c>
      <c r="AN83" s="5151" t="s">
        <v>5329</v>
      </c>
      <c r="AO83" s="5038" t="s">
        <v>5330</v>
      </c>
      <c r="AP83" s="5151" t="s">
        <v>5331</v>
      </c>
      <c r="AQ83" s="5038" t="s">
        <v>5332</v>
      </c>
      <c r="AR83" s="5145" t="s">
        <v>5333</v>
      </c>
      <c r="AS83" s="3483" t="s">
        <v>5334</v>
      </c>
      <c r="AT83" s="5145" t="s">
        <v>5335</v>
      </c>
      <c r="AU83" s="5146" t="s">
        <v>5336</v>
      </c>
      <c r="AV83" s="5145" t="s">
        <v>5337</v>
      </c>
      <c r="AW83" s="3479" t="s">
        <v>5338</v>
      </c>
      <c r="AX83" s="5147" t="s">
        <v>5339</v>
      </c>
      <c r="AY83" s="1687" t="e">
        <f t="shared" si="275"/>
        <v>#VALUE!</v>
      </c>
      <c r="CB83" s="600"/>
      <c r="CC83" s="4747" t="str">
        <f t="shared" si="239"/>
        <v xml:space="preserve"> * La suma de las columnas POR SEXO (Procesados) DEBE SER IGUAL a los Exámenes Procesados. </v>
      </c>
      <c r="CD83" s="2784" t="e">
        <f t="shared" si="240"/>
        <v>#VALUE!</v>
      </c>
      <c r="CE83" s="2784" t="str">
        <f t="shared" si="241"/>
        <v xml:space="preserve"> *El Número de Pueblos Originarios no puede superar el Total Procesados. </v>
      </c>
      <c r="CF83" s="2784" t="str">
        <f t="shared" si="242"/>
        <v xml:space="preserve"> *El Número de Migrantes no puede superar el Total Procesados. </v>
      </c>
      <c r="CG83" s="3018"/>
      <c r="CH83" s="3018"/>
      <c r="CI83" s="3018"/>
      <c r="CJ83" s="3018"/>
      <c r="CK83" s="3018"/>
      <c r="CL83" s="2784" t="str">
        <f t="shared" si="243"/>
        <v>* El total de Procesados debe ser mayor o igual al total de Reactivos en el grupo de edad 10 - 14 años</v>
      </c>
      <c r="CM83" s="2784" t="str">
        <f t="shared" si="244"/>
        <v>* El total de Procesados debe ser mayor o igual al total de Reactivos en el grupo de edad 15 - 19 años</v>
      </c>
      <c r="CN83" s="2784" t="str">
        <f t="shared" si="245"/>
        <v>* El total de Procesados debe ser mayor o igual al total de Reactivos en el grupo de edad 20 - 24 años</v>
      </c>
      <c r="CO83" s="2784" t="str">
        <f t="shared" si="246"/>
        <v>* El total de Procesados debe ser mayor o igual al total de Reactivos en el grupo de edad 25 - 29 años</v>
      </c>
      <c r="CP83" s="2784" t="str">
        <f t="shared" si="247"/>
        <v>* El total de Procesados debe ser mayor o igual al total de Reactivos en el grupo de edad 30 - 34 años</v>
      </c>
      <c r="CQ83" s="2784" t="str">
        <f t="shared" si="248"/>
        <v>* El total de Procesados debe ser mayor o igual al total de Reactivos en el grupo de edad 35 - 39 años</v>
      </c>
      <c r="CR83" s="2784" t="str">
        <f t="shared" si="249"/>
        <v>* El total de Procesados debe ser mayor o igual al total de Reactivos en el grupo de edad 40 - 44 años</v>
      </c>
      <c r="CS83" s="2784" t="str">
        <f t="shared" si="250"/>
        <v>* El total de Procesados debe ser mayor o igual al total de Reactivos en el grupo de edad 50 - 54 años</v>
      </c>
      <c r="CT83" s="2784" t="str">
        <f t="shared" si="251"/>
        <v>* El total de Procesados debe ser mayor o igual al total de Reactivos en el grupo de edad 55 - 59 años</v>
      </c>
      <c r="CU83" s="2784" t="str">
        <f t="shared" si="252"/>
        <v>* El total de Procesados debe ser mayor o igual al total de Reactivos en el grupo de edad 60 - 64 años</v>
      </c>
      <c r="CV83" s="2784" t="str">
        <f t="shared" si="253"/>
        <v>* El total de Procesados debe ser mayor o igual al total de Reactivos en el grupo de edad 65 - 69 años</v>
      </c>
      <c r="CW83" s="2784" t="str">
        <f t="shared" si="254"/>
        <v>* El total de Procesados debe ser mayor o igual al total de Reactivos en el grupo de edad 70 - 74 años</v>
      </c>
      <c r="CX83" s="2784" t="str">
        <f t="shared" si="255"/>
        <v>* El total de Procesados debe ser mayor o igual al total de Reactivos en el grupo de edad 75 - 79 años</v>
      </c>
      <c r="CY83" s="2784" t="str">
        <f t="shared" si="256"/>
        <v>* El total de Procesados debe ser mayor o igual al total de Reactivos en el grupo de edad 80 y más años</v>
      </c>
      <c r="DF83" s="2630"/>
      <c r="DG83" s="4747">
        <f t="shared" si="257"/>
        <v>1</v>
      </c>
      <c r="DH83" s="2920" t="e">
        <f t="shared" si="258"/>
        <v>#VALUE!</v>
      </c>
      <c r="DI83" s="2920">
        <f t="shared" si="259"/>
        <v>1</v>
      </c>
      <c r="DJ83" s="2920">
        <f t="shared" si="260"/>
        <v>1</v>
      </c>
      <c r="DK83" s="3018"/>
      <c r="DL83" s="3018"/>
      <c r="DM83" s="3018"/>
      <c r="DN83" s="3018"/>
      <c r="DO83" s="3018"/>
      <c r="DP83" s="2920">
        <f t="shared" si="261"/>
        <v>1</v>
      </c>
      <c r="DQ83" s="2920">
        <f t="shared" si="262"/>
        <v>1</v>
      </c>
      <c r="DR83" s="2920">
        <f t="shared" si="263"/>
        <v>1</v>
      </c>
      <c r="DS83" s="2920">
        <f t="shared" si="264"/>
        <v>1</v>
      </c>
      <c r="DT83" s="2920">
        <f t="shared" si="265"/>
        <v>1</v>
      </c>
      <c r="DU83" s="2920">
        <f t="shared" si="266"/>
        <v>1</v>
      </c>
      <c r="DV83" s="2920">
        <f t="shared" si="267"/>
        <v>1</v>
      </c>
      <c r="DW83" s="2920">
        <f t="shared" si="268"/>
        <v>1</v>
      </c>
      <c r="DX83" s="2920">
        <f t="shared" si="269"/>
        <v>1</v>
      </c>
      <c r="DY83" s="2920">
        <f t="shared" si="270"/>
        <v>1</v>
      </c>
      <c r="DZ83" s="2920">
        <f t="shared" si="271"/>
        <v>1</v>
      </c>
      <c r="EA83" s="2920">
        <f t="shared" si="272"/>
        <v>1</v>
      </c>
      <c r="EB83" s="2920">
        <f t="shared" si="273"/>
        <v>1</v>
      </c>
      <c r="EC83" s="2920">
        <f t="shared" si="274"/>
        <v>1</v>
      </c>
    </row>
    <row r="84" spans="1:133" x14ac:dyDescent="0.3">
      <c r="A84" s="6234">
        <v>11056423</v>
      </c>
      <c r="B84" s="3239" t="s">
        <v>2664</v>
      </c>
      <c r="C84" s="1928" t="s">
        <v>5292</v>
      </c>
      <c r="D84" s="3242" t="s">
        <v>5293</v>
      </c>
      <c r="E84" s="3475" t="s">
        <v>5294</v>
      </c>
      <c r="F84" s="5149" t="s">
        <v>5295</v>
      </c>
      <c r="G84" s="5148" t="s">
        <v>5296</v>
      </c>
      <c r="H84" s="5149" t="s">
        <v>5297</v>
      </c>
      <c r="I84" s="5148" t="s">
        <v>5298</v>
      </c>
      <c r="J84" s="5149" t="s">
        <v>5299</v>
      </c>
      <c r="K84" s="5148" t="s">
        <v>5300</v>
      </c>
      <c r="L84" s="5149" t="s">
        <v>5301</v>
      </c>
      <c r="M84" s="5148" t="s">
        <v>5302</v>
      </c>
      <c r="N84" s="5150" t="s">
        <v>5303</v>
      </c>
      <c r="O84" s="3479" t="s">
        <v>5304</v>
      </c>
      <c r="P84" s="5151" t="s">
        <v>5305</v>
      </c>
      <c r="Q84" s="5038" t="s">
        <v>5306</v>
      </c>
      <c r="R84" s="5151" t="s">
        <v>5307</v>
      </c>
      <c r="S84" s="5038" t="s">
        <v>5308</v>
      </c>
      <c r="T84" s="5151" t="s">
        <v>5309</v>
      </c>
      <c r="U84" s="5038" t="s">
        <v>5310</v>
      </c>
      <c r="V84" s="5151" t="s">
        <v>5311</v>
      </c>
      <c r="W84" s="5038" t="s">
        <v>5312</v>
      </c>
      <c r="X84" s="5151" t="s">
        <v>5313</v>
      </c>
      <c r="Y84" s="5038" t="s">
        <v>5314</v>
      </c>
      <c r="Z84" s="5151" t="s">
        <v>5315</v>
      </c>
      <c r="AA84" s="5038" t="s">
        <v>5316</v>
      </c>
      <c r="AB84" s="5151" t="s">
        <v>5317</v>
      </c>
      <c r="AC84" s="5038" t="s">
        <v>5318</v>
      </c>
      <c r="AD84" s="5151" t="s">
        <v>5319</v>
      </c>
      <c r="AE84" s="5038" t="s">
        <v>5320</v>
      </c>
      <c r="AF84" s="5151" t="s">
        <v>5321</v>
      </c>
      <c r="AG84" s="5038" t="s">
        <v>5322</v>
      </c>
      <c r="AH84" s="5151" t="s">
        <v>5323</v>
      </c>
      <c r="AI84" s="5038" t="s">
        <v>5324</v>
      </c>
      <c r="AJ84" s="5151" t="s">
        <v>5325</v>
      </c>
      <c r="AK84" s="5038" t="s">
        <v>5326</v>
      </c>
      <c r="AL84" s="5151" t="s">
        <v>5327</v>
      </c>
      <c r="AM84" s="5038" t="s">
        <v>5328</v>
      </c>
      <c r="AN84" s="5151" t="s">
        <v>5329</v>
      </c>
      <c r="AO84" s="5038" t="s">
        <v>5330</v>
      </c>
      <c r="AP84" s="5151" t="s">
        <v>5331</v>
      </c>
      <c r="AQ84" s="5038" t="s">
        <v>5332</v>
      </c>
      <c r="AR84" s="5145" t="s">
        <v>5333</v>
      </c>
      <c r="AS84" s="3479" t="s">
        <v>5334</v>
      </c>
      <c r="AT84" s="5145" t="s">
        <v>5335</v>
      </c>
      <c r="AU84" s="5146" t="s">
        <v>5336</v>
      </c>
      <c r="AV84" s="5145" t="s">
        <v>5337</v>
      </c>
      <c r="AW84" s="3479" t="s">
        <v>5338</v>
      </c>
      <c r="AX84" s="5147" t="s">
        <v>5339</v>
      </c>
      <c r="AY84" s="1687" t="e">
        <f>CC84&amp;CD84&amp;CE84&amp;CF84&amp;CL84&amp;CM84&amp;CN84&amp;CO84&amp;CP84&amp;CQ84&amp;CR84&amp;CS84&amp;CT84&amp;CU84&amp;CV84&amp;CW84&amp;CX84&amp;CY84</f>
        <v>#VALUE!</v>
      </c>
      <c r="CB84" s="600"/>
      <c r="CC84" s="2784" t="e">
        <f>IF(C84&lt;&gt;(AT84+AS84)," * La suma de las columnas "&amp;AS$10&amp;""&amp;" DEBE SER IGUAL a los Exámenes Procesados. ","")</f>
        <v>#VALUE!</v>
      </c>
      <c r="CD84" s="2784" t="e">
        <f t="shared" si="240"/>
        <v>#VALUE!</v>
      </c>
      <c r="CE84" s="2784" t="str">
        <f t="shared" si="241"/>
        <v xml:space="preserve"> *El Número de Pueblos Originarios no puede superar el Total Procesados. </v>
      </c>
      <c r="CF84" s="2784" t="str">
        <f t="shared" si="242"/>
        <v xml:space="preserve"> *El Número de Migrantes no puede superar el Total Procesados. </v>
      </c>
      <c r="CG84" s="3018"/>
      <c r="CH84" s="3018"/>
      <c r="CI84" s="3018"/>
      <c r="CJ84" s="3018"/>
      <c r="CK84" s="3018"/>
      <c r="CL84" s="2784" t="str">
        <f>IF(O84&lt;P84,CONCATENATE("* El total de Procesados debe ser mayor o igual al total de Reactivos en el grupo de edad ",$O$11),"")</f>
        <v>* El total de Procesados debe ser mayor o igual al total de Reactivos en el grupo de edad 10 - 14 años</v>
      </c>
      <c r="CM84" s="2784" t="str">
        <f t="shared" si="244"/>
        <v>* El total de Procesados debe ser mayor o igual al total de Reactivos en el grupo de edad 15 - 19 años</v>
      </c>
      <c r="CN84" s="2784" t="str">
        <f t="shared" si="245"/>
        <v>* El total de Procesados debe ser mayor o igual al total de Reactivos en el grupo de edad 20 - 24 años</v>
      </c>
      <c r="CO84" s="2784" t="str">
        <f t="shared" si="246"/>
        <v>* El total de Procesados debe ser mayor o igual al total de Reactivos en el grupo de edad 25 - 29 años</v>
      </c>
      <c r="CP84" s="2784" t="str">
        <f t="shared" si="247"/>
        <v>* El total de Procesados debe ser mayor o igual al total de Reactivos en el grupo de edad 30 - 34 años</v>
      </c>
      <c r="CQ84" s="2784" t="str">
        <f t="shared" si="248"/>
        <v>* El total de Procesados debe ser mayor o igual al total de Reactivos en el grupo de edad 35 - 39 años</v>
      </c>
      <c r="CR84" s="2784" t="str">
        <f t="shared" si="249"/>
        <v>* El total de Procesados debe ser mayor o igual al total de Reactivos en el grupo de edad 40 - 44 años</v>
      </c>
      <c r="CS84" s="2784" t="str">
        <f t="shared" si="250"/>
        <v>* El total de Procesados debe ser mayor o igual al total de Reactivos en el grupo de edad 50 - 54 años</v>
      </c>
      <c r="CT84" s="2784" t="str">
        <f t="shared" si="251"/>
        <v>* El total de Procesados debe ser mayor o igual al total de Reactivos en el grupo de edad 55 - 59 años</v>
      </c>
      <c r="CU84" s="2784" t="str">
        <f t="shared" si="252"/>
        <v>* El total de Procesados debe ser mayor o igual al total de Reactivos en el grupo de edad 60 - 64 años</v>
      </c>
      <c r="CV84" s="2784" t="str">
        <f t="shared" si="253"/>
        <v>* El total de Procesados debe ser mayor o igual al total de Reactivos en el grupo de edad 65 - 69 años</v>
      </c>
      <c r="CW84" s="2784" t="str">
        <f t="shared" si="254"/>
        <v>* El total de Procesados debe ser mayor o igual al total de Reactivos en el grupo de edad 70 - 74 años</v>
      </c>
      <c r="CX84" s="2784" t="str">
        <f t="shared" si="255"/>
        <v>* El total de Procesados debe ser mayor o igual al total de Reactivos en el grupo de edad 75 - 79 años</v>
      </c>
      <c r="CY84" s="2784" t="str">
        <f t="shared" si="256"/>
        <v>* El total de Procesados debe ser mayor o igual al total de Reactivos en el grupo de edad 80 y más años</v>
      </c>
      <c r="DF84" s="2630"/>
      <c r="DG84" s="2784" t="e">
        <f>IF(C84&lt;&gt;(AT84+AS84),1,0)</f>
        <v>#VALUE!</v>
      </c>
      <c r="DH84" s="2920" t="e">
        <f t="shared" si="258"/>
        <v>#VALUE!</v>
      </c>
      <c r="DI84" s="2920">
        <f t="shared" si="259"/>
        <v>1</v>
      </c>
      <c r="DJ84" s="2920">
        <f t="shared" si="260"/>
        <v>1</v>
      </c>
      <c r="DK84" s="3018"/>
      <c r="DL84" s="3018"/>
      <c r="DM84" s="3018"/>
      <c r="DN84" s="3018"/>
      <c r="DO84" s="3018"/>
      <c r="DP84" s="2920">
        <f t="shared" si="261"/>
        <v>1</v>
      </c>
      <c r="DQ84" s="2920">
        <f t="shared" si="262"/>
        <v>1</v>
      </c>
      <c r="DR84" s="2920">
        <f t="shared" si="263"/>
        <v>1</v>
      </c>
      <c r="DS84" s="2920">
        <f t="shared" si="264"/>
        <v>1</v>
      </c>
      <c r="DT84" s="2920">
        <f t="shared" si="265"/>
        <v>1</v>
      </c>
      <c r="DU84" s="2920">
        <f t="shared" si="266"/>
        <v>1</v>
      </c>
      <c r="DV84" s="2920">
        <f t="shared" si="267"/>
        <v>1</v>
      </c>
      <c r="DW84" s="2920">
        <f t="shared" si="268"/>
        <v>1</v>
      </c>
      <c r="DX84" s="2920">
        <f t="shared" si="269"/>
        <v>1</v>
      </c>
      <c r="DY84" s="2920">
        <f t="shared" si="270"/>
        <v>1</v>
      </c>
      <c r="DZ84" s="2920">
        <f t="shared" si="271"/>
        <v>1</v>
      </c>
      <c r="EA84" s="2920">
        <f t="shared" si="272"/>
        <v>1</v>
      </c>
      <c r="EB84" s="2920">
        <f t="shared" si="273"/>
        <v>1</v>
      </c>
      <c r="EC84" s="2920">
        <f t="shared" si="274"/>
        <v>1</v>
      </c>
    </row>
    <row r="85" spans="1:133" x14ac:dyDescent="0.3">
      <c r="A85" s="6234">
        <v>11056424</v>
      </c>
      <c r="B85" s="3239" t="s">
        <v>2665</v>
      </c>
      <c r="C85" s="1928" t="s">
        <v>5292</v>
      </c>
      <c r="D85" s="3242" t="s">
        <v>5293</v>
      </c>
      <c r="E85" s="3475" t="s">
        <v>5294</v>
      </c>
      <c r="F85" s="5149" t="s">
        <v>5295</v>
      </c>
      <c r="G85" s="5148" t="s">
        <v>5296</v>
      </c>
      <c r="H85" s="5149" t="s">
        <v>5297</v>
      </c>
      <c r="I85" s="5148" t="s">
        <v>5298</v>
      </c>
      <c r="J85" s="5149" t="s">
        <v>5299</v>
      </c>
      <c r="K85" s="5148" t="s">
        <v>5300</v>
      </c>
      <c r="L85" s="5149" t="s">
        <v>5301</v>
      </c>
      <c r="M85" s="5148" t="s">
        <v>5302</v>
      </c>
      <c r="N85" s="5150" t="s">
        <v>5303</v>
      </c>
      <c r="O85" s="3479" t="s">
        <v>5304</v>
      </c>
      <c r="P85" s="5151" t="s">
        <v>5305</v>
      </c>
      <c r="Q85" s="5038" t="s">
        <v>5306</v>
      </c>
      <c r="R85" s="5151" t="s">
        <v>5307</v>
      </c>
      <c r="S85" s="5038" t="s">
        <v>5308</v>
      </c>
      <c r="T85" s="5151" t="s">
        <v>5309</v>
      </c>
      <c r="U85" s="5038" t="s">
        <v>5310</v>
      </c>
      <c r="V85" s="5151" t="s">
        <v>5311</v>
      </c>
      <c r="W85" s="5038" t="s">
        <v>5312</v>
      </c>
      <c r="X85" s="5151" t="s">
        <v>5313</v>
      </c>
      <c r="Y85" s="5038" t="s">
        <v>5314</v>
      </c>
      <c r="Z85" s="5151" t="s">
        <v>5315</v>
      </c>
      <c r="AA85" s="5038" t="s">
        <v>5316</v>
      </c>
      <c r="AB85" s="5151" t="s">
        <v>5317</v>
      </c>
      <c r="AC85" s="5038" t="s">
        <v>5318</v>
      </c>
      <c r="AD85" s="5151" t="s">
        <v>5319</v>
      </c>
      <c r="AE85" s="5038" t="s">
        <v>5320</v>
      </c>
      <c r="AF85" s="5151" t="s">
        <v>5321</v>
      </c>
      <c r="AG85" s="5038" t="s">
        <v>5322</v>
      </c>
      <c r="AH85" s="5151" t="s">
        <v>5323</v>
      </c>
      <c r="AI85" s="5038" t="s">
        <v>5324</v>
      </c>
      <c r="AJ85" s="5151" t="s">
        <v>5325</v>
      </c>
      <c r="AK85" s="5038" t="s">
        <v>5326</v>
      </c>
      <c r="AL85" s="5151" t="s">
        <v>5327</v>
      </c>
      <c r="AM85" s="5038" t="s">
        <v>5328</v>
      </c>
      <c r="AN85" s="5151" t="s">
        <v>5329</v>
      </c>
      <c r="AO85" s="5038" t="s">
        <v>5330</v>
      </c>
      <c r="AP85" s="5151" t="s">
        <v>5331</v>
      </c>
      <c r="AQ85" s="5038" t="s">
        <v>5332</v>
      </c>
      <c r="AR85" s="5145" t="s">
        <v>5333</v>
      </c>
      <c r="AS85" s="3483" t="s">
        <v>5334</v>
      </c>
      <c r="AT85" s="5145" t="s">
        <v>5335</v>
      </c>
      <c r="AU85" s="5146" t="s">
        <v>5336</v>
      </c>
      <c r="AV85" s="5145" t="s">
        <v>5337</v>
      </c>
      <c r="AW85" s="3479" t="s">
        <v>5338</v>
      </c>
      <c r="AX85" s="5147" t="s">
        <v>5339</v>
      </c>
      <c r="AY85" s="1687" t="e">
        <f>CC85&amp;CD85&amp;CE85&amp;CF85&amp;CL85&amp;CM85&amp;CN85&amp;CO85&amp;CP85&amp;CQ85&amp;CR85&amp;CS85&amp;CT85&amp;CU85&amp;CV85&amp;CW85&amp;CX85&amp;CY85</f>
        <v>#VALUE!</v>
      </c>
      <c r="CB85" s="600"/>
      <c r="CC85" s="4747" t="str">
        <f t="shared" ref="CC85:CC87" si="276">IF(C85&lt;&gt;(AT85)," * La suma de las columnas "&amp;AS$10&amp;""&amp;" DEBE SER IGUAL a los Exámenes Procesados. ","")</f>
        <v xml:space="preserve"> * La suma de las columnas POR SEXO (Procesados) DEBE SER IGUAL a los Exámenes Procesados. </v>
      </c>
      <c r="CD85" s="2784" t="e">
        <f t="shared" si="240"/>
        <v>#VALUE!</v>
      </c>
      <c r="CE85" s="2784" t="str">
        <f t="shared" si="241"/>
        <v xml:space="preserve"> *El Número de Pueblos Originarios no puede superar el Total Procesados. </v>
      </c>
      <c r="CF85" s="2784" t="str">
        <f t="shared" si="242"/>
        <v xml:space="preserve"> *El Número de Migrantes no puede superar el Total Procesados. </v>
      </c>
      <c r="CG85" s="3018"/>
      <c r="CH85" s="3018"/>
      <c r="CI85" s="3018"/>
      <c r="CJ85" s="3018"/>
      <c r="CK85" s="3018"/>
      <c r="CL85" s="2784" t="str">
        <f t="shared" ref="CL85" si="277">IF(O85&lt;P85,CONCATENATE("* El total de Procesados debe ser mayor o igual al total de Reactivos en el grupo de edad ",$O$11),"")</f>
        <v>* El total de Procesados debe ser mayor o igual al total de Reactivos en el grupo de edad 10 - 14 años</v>
      </c>
      <c r="CM85" s="2784" t="str">
        <f t="shared" si="244"/>
        <v>* El total de Procesados debe ser mayor o igual al total de Reactivos en el grupo de edad 15 - 19 años</v>
      </c>
      <c r="CN85" s="2784" t="str">
        <f t="shared" si="245"/>
        <v>* El total de Procesados debe ser mayor o igual al total de Reactivos en el grupo de edad 20 - 24 años</v>
      </c>
      <c r="CO85" s="2784" t="str">
        <f t="shared" si="246"/>
        <v>* El total de Procesados debe ser mayor o igual al total de Reactivos en el grupo de edad 25 - 29 años</v>
      </c>
      <c r="CP85" s="2784" t="str">
        <f t="shared" si="247"/>
        <v>* El total de Procesados debe ser mayor o igual al total de Reactivos en el grupo de edad 30 - 34 años</v>
      </c>
      <c r="CQ85" s="2784" t="str">
        <f t="shared" si="248"/>
        <v>* El total de Procesados debe ser mayor o igual al total de Reactivos en el grupo de edad 35 - 39 años</v>
      </c>
      <c r="CR85" s="2784" t="str">
        <f t="shared" si="249"/>
        <v>* El total de Procesados debe ser mayor o igual al total de Reactivos en el grupo de edad 40 - 44 años</v>
      </c>
      <c r="CS85" s="2784" t="str">
        <f t="shared" si="250"/>
        <v>* El total de Procesados debe ser mayor o igual al total de Reactivos en el grupo de edad 50 - 54 años</v>
      </c>
      <c r="CT85" s="2784" t="str">
        <f t="shared" si="251"/>
        <v>* El total de Procesados debe ser mayor o igual al total de Reactivos en el grupo de edad 55 - 59 años</v>
      </c>
      <c r="CU85" s="2784" t="str">
        <f t="shared" si="252"/>
        <v>* El total de Procesados debe ser mayor o igual al total de Reactivos en el grupo de edad 60 - 64 años</v>
      </c>
      <c r="CV85" s="2784" t="str">
        <f t="shared" si="253"/>
        <v>* El total de Procesados debe ser mayor o igual al total de Reactivos en el grupo de edad 65 - 69 años</v>
      </c>
      <c r="CW85" s="2784" t="str">
        <f t="shared" si="254"/>
        <v>* El total de Procesados debe ser mayor o igual al total de Reactivos en el grupo de edad 70 - 74 años</v>
      </c>
      <c r="CX85" s="2784" t="str">
        <f t="shared" si="255"/>
        <v>* El total de Procesados debe ser mayor o igual al total de Reactivos en el grupo de edad 75 - 79 años</v>
      </c>
      <c r="CY85" s="2784" t="str">
        <f t="shared" si="256"/>
        <v>* El total de Procesados debe ser mayor o igual al total de Reactivos en el grupo de edad 80 y más años</v>
      </c>
      <c r="DF85" s="2630"/>
      <c r="DG85" s="4747">
        <f>IF(C85&lt;&gt;(AT85),1,0)</f>
        <v>1</v>
      </c>
      <c r="DH85" s="2920" t="e">
        <f t="shared" si="258"/>
        <v>#VALUE!</v>
      </c>
      <c r="DI85" s="2920">
        <f t="shared" si="259"/>
        <v>1</v>
      </c>
      <c r="DJ85" s="2920">
        <f t="shared" si="260"/>
        <v>1</v>
      </c>
      <c r="DK85" s="3018"/>
      <c r="DL85" s="3018"/>
      <c r="DM85" s="3018"/>
      <c r="DN85" s="3018"/>
      <c r="DO85" s="3018"/>
      <c r="DP85" s="2920">
        <f t="shared" si="261"/>
        <v>1</v>
      </c>
      <c r="DQ85" s="2920">
        <f t="shared" si="262"/>
        <v>1</v>
      </c>
      <c r="DR85" s="2920">
        <f t="shared" si="263"/>
        <v>1</v>
      </c>
      <c r="DS85" s="2920">
        <f t="shared" si="264"/>
        <v>1</v>
      </c>
      <c r="DT85" s="2920">
        <f t="shared" si="265"/>
        <v>1</v>
      </c>
      <c r="DU85" s="2920">
        <f t="shared" si="266"/>
        <v>1</v>
      </c>
      <c r="DV85" s="2920">
        <f t="shared" si="267"/>
        <v>1</v>
      </c>
      <c r="DW85" s="2920">
        <f t="shared" si="268"/>
        <v>1</v>
      </c>
      <c r="DX85" s="2920">
        <f t="shared" si="269"/>
        <v>1</v>
      </c>
      <c r="DY85" s="2920">
        <f t="shared" si="270"/>
        <v>1</v>
      </c>
      <c r="DZ85" s="2920">
        <f t="shared" si="271"/>
        <v>1</v>
      </c>
      <c r="EA85" s="2920">
        <f t="shared" si="272"/>
        <v>1</v>
      </c>
      <c r="EB85" s="2920">
        <f t="shared" si="273"/>
        <v>1</v>
      </c>
      <c r="EC85" s="2920">
        <f t="shared" si="274"/>
        <v>1</v>
      </c>
    </row>
    <row r="86" spans="1:133" x14ac:dyDescent="0.3">
      <c r="A86" s="6234">
        <v>11056425</v>
      </c>
      <c r="B86" s="3184" t="s">
        <v>2666</v>
      </c>
      <c r="C86" s="1928" t="s">
        <v>5292</v>
      </c>
      <c r="D86" s="3242" t="s">
        <v>5293</v>
      </c>
      <c r="E86" s="3475" t="s">
        <v>5294</v>
      </c>
      <c r="F86" s="5149" t="s">
        <v>5295</v>
      </c>
      <c r="G86" s="5148" t="s">
        <v>5296</v>
      </c>
      <c r="H86" s="5149" t="s">
        <v>5297</v>
      </c>
      <c r="I86" s="5148" t="s">
        <v>5298</v>
      </c>
      <c r="J86" s="5149" t="s">
        <v>5299</v>
      </c>
      <c r="K86" s="5148" t="s">
        <v>5300</v>
      </c>
      <c r="L86" s="5149" t="s">
        <v>5301</v>
      </c>
      <c r="M86" s="5148" t="s">
        <v>5302</v>
      </c>
      <c r="N86" s="5150" t="s">
        <v>5303</v>
      </c>
      <c r="O86" s="3479" t="s">
        <v>5304</v>
      </c>
      <c r="P86" s="5151" t="s">
        <v>5305</v>
      </c>
      <c r="Q86" s="5038" t="s">
        <v>5306</v>
      </c>
      <c r="R86" s="5151" t="s">
        <v>5307</v>
      </c>
      <c r="S86" s="5038" t="s">
        <v>5308</v>
      </c>
      <c r="T86" s="5151" t="s">
        <v>5309</v>
      </c>
      <c r="U86" s="5038" t="s">
        <v>5310</v>
      </c>
      <c r="V86" s="5151" t="s">
        <v>5311</v>
      </c>
      <c r="W86" s="5038" t="s">
        <v>5312</v>
      </c>
      <c r="X86" s="5151" t="s">
        <v>5313</v>
      </c>
      <c r="Y86" s="5038" t="s">
        <v>5314</v>
      </c>
      <c r="Z86" s="5151" t="s">
        <v>5315</v>
      </c>
      <c r="AA86" s="5038" t="s">
        <v>5316</v>
      </c>
      <c r="AB86" s="5151" t="s">
        <v>5317</v>
      </c>
      <c r="AC86" s="5038" t="s">
        <v>5318</v>
      </c>
      <c r="AD86" s="5151" t="s">
        <v>5319</v>
      </c>
      <c r="AE86" s="5038" t="s">
        <v>5320</v>
      </c>
      <c r="AF86" s="5151" t="s">
        <v>5321</v>
      </c>
      <c r="AG86" s="5038" t="s">
        <v>5322</v>
      </c>
      <c r="AH86" s="5151" t="s">
        <v>5323</v>
      </c>
      <c r="AI86" s="5038" t="s">
        <v>5324</v>
      </c>
      <c r="AJ86" s="5151" t="s">
        <v>5325</v>
      </c>
      <c r="AK86" s="5038" t="s">
        <v>5326</v>
      </c>
      <c r="AL86" s="5151" t="s">
        <v>5327</v>
      </c>
      <c r="AM86" s="5038" t="s">
        <v>5328</v>
      </c>
      <c r="AN86" s="5151" t="s">
        <v>5329</v>
      </c>
      <c r="AO86" s="5038" t="s">
        <v>5330</v>
      </c>
      <c r="AP86" s="5151" t="s">
        <v>5331</v>
      </c>
      <c r="AQ86" s="5038" t="s">
        <v>5332</v>
      </c>
      <c r="AR86" s="5145" t="s">
        <v>5333</v>
      </c>
      <c r="AS86" s="3483" t="s">
        <v>5334</v>
      </c>
      <c r="AT86" s="5145" t="s">
        <v>5335</v>
      </c>
      <c r="AU86" s="5146" t="s">
        <v>5336</v>
      </c>
      <c r="AV86" s="5145" t="s">
        <v>5337</v>
      </c>
      <c r="AW86" s="3479" t="s">
        <v>5338</v>
      </c>
      <c r="AX86" s="5147" t="s">
        <v>5339</v>
      </c>
      <c r="AY86" s="1687" t="e">
        <f t="shared" ref="AY86" si="278">CC86&amp;CD86&amp;CE86&amp;CF86&amp;CL86&amp;CM86&amp;CN86&amp;CO86&amp;CP86&amp;CQ86&amp;CR86&amp;CS86&amp;CT86&amp;CU86&amp;CV86&amp;CW86&amp;CX86&amp;CY86</f>
        <v>#VALUE!</v>
      </c>
      <c r="CB86" s="600"/>
      <c r="CC86" s="4747" t="str">
        <f t="shared" si="276"/>
        <v xml:space="preserve"> * La suma de las columnas POR SEXO (Procesados) DEBE SER IGUAL a los Exámenes Procesados. </v>
      </c>
      <c r="CD86" s="2784" t="e">
        <f t="shared" si="240"/>
        <v>#VALUE!</v>
      </c>
      <c r="CE86" s="2784" t="str">
        <f t="shared" si="241"/>
        <v xml:space="preserve"> *El Número de Pueblos Originarios no puede superar el Total Procesados. </v>
      </c>
      <c r="CF86" s="2784" t="str">
        <f t="shared" si="242"/>
        <v xml:space="preserve"> *El Número de Migrantes no puede superar el Total Procesados. </v>
      </c>
      <c r="CG86" s="3018"/>
      <c r="CH86" s="3018"/>
      <c r="CI86" s="3018"/>
      <c r="CJ86" s="3018"/>
      <c r="CK86" s="3018"/>
      <c r="CL86" s="2784" t="str">
        <f>IF(O86&lt;P86,CONCATENATE("* El total de Procesados debe ser mayor o igual al total de Reactivos en el grupo de edad ",$O$11),"")</f>
        <v>* El total de Procesados debe ser mayor o igual al total de Reactivos en el grupo de edad 10 - 14 años</v>
      </c>
      <c r="CM86" s="2784" t="str">
        <f>IF(Q86&lt;R86,CONCATENATE("* El total de Procesados debe ser mayor o igual al total de Reactivos en el grupo de edad ",$Q$11),"")</f>
        <v>* El total de Procesados debe ser mayor o igual al total de Reactivos en el grupo de edad 15 - 19 años</v>
      </c>
      <c r="CN86" s="2784" t="str">
        <f t="shared" si="245"/>
        <v>* El total de Procesados debe ser mayor o igual al total de Reactivos en el grupo de edad 20 - 24 años</v>
      </c>
      <c r="CO86" s="2784" t="str">
        <f t="shared" si="246"/>
        <v>* El total de Procesados debe ser mayor o igual al total de Reactivos en el grupo de edad 25 - 29 años</v>
      </c>
      <c r="CP86" s="2784" t="str">
        <f t="shared" si="247"/>
        <v>* El total de Procesados debe ser mayor o igual al total de Reactivos en el grupo de edad 30 - 34 años</v>
      </c>
      <c r="CQ86" s="2784" t="str">
        <f t="shared" si="248"/>
        <v>* El total de Procesados debe ser mayor o igual al total de Reactivos en el grupo de edad 35 - 39 años</v>
      </c>
      <c r="CR86" s="2784" t="str">
        <f t="shared" si="249"/>
        <v>* El total de Procesados debe ser mayor o igual al total de Reactivos en el grupo de edad 40 - 44 años</v>
      </c>
      <c r="CS86" s="2784" t="str">
        <f t="shared" si="250"/>
        <v>* El total de Procesados debe ser mayor o igual al total de Reactivos en el grupo de edad 50 - 54 años</v>
      </c>
      <c r="CT86" s="2784" t="str">
        <f t="shared" si="251"/>
        <v>* El total de Procesados debe ser mayor o igual al total de Reactivos en el grupo de edad 55 - 59 años</v>
      </c>
      <c r="CU86" s="2784" t="str">
        <f t="shared" si="252"/>
        <v>* El total de Procesados debe ser mayor o igual al total de Reactivos en el grupo de edad 60 - 64 años</v>
      </c>
      <c r="CV86" s="2784" t="str">
        <f t="shared" si="253"/>
        <v>* El total de Procesados debe ser mayor o igual al total de Reactivos en el grupo de edad 65 - 69 años</v>
      </c>
      <c r="CW86" s="2784" t="str">
        <f t="shared" si="254"/>
        <v>* El total de Procesados debe ser mayor o igual al total de Reactivos en el grupo de edad 70 - 74 años</v>
      </c>
      <c r="CX86" s="2784" t="str">
        <f t="shared" si="255"/>
        <v>* El total de Procesados debe ser mayor o igual al total de Reactivos en el grupo de edad 75 - 79 años</v>
      </c>
      <c r="CY86" s="2784" t="str">
        <f t="shared" si="256"/>
        <v>* El total de Procesados debe ser mayor o igual al total de Reactivos en el grupo de edad 80 y más años</v>
      </c>
      <c r="DF86" s="2630"/>
      <c r="DG86" s="4747">
        <f t="shared" ref="DG86:DG87" si="279">IF(C86&lt;&gt;(AT86),1,0)</f>
        <v>1</v>
      </c>
      <c r="DH86" s="2920" t="e">
        <f t="shared" si="258"/>
        <v>#VALUE!</v>
      </c>
      <c r="DI86" s="2920">
        <f t="shared" si="259"/>
        <v>1</v>
      </c>
      <c r="DJ86" s="2920">
        <f t="shared" si="260"/>
        <v>1</v>
      </c>
      <c r="DK86" s="3018"/>
      <c r="DL86" s="3018"/>
      <c r="DM86" s="3018"/>
      <c r="DN86" s="3018"/>
      <c r="DO86" s="3018"/>
      <c r="DP86" s="2920">
        <f t="shared" si="261"/>
        <v>1</v>
      </c>
      <c r="DQ86" s="2920">
        <f t="shared" si="262"/>
        <v>1</v>
      </c>
      <c r="DR86" s="2920">
        <f t="shared" si="263"/>
        <v>1</v>
      </c>
      <c r="DS86" s="2920">
        <f t="shared" si="264"/>
        <v>1</v>
      </c>
      <c r="DT86" s="2920">
        <f t="shared" si="265"/>
        <v>1</v>
      </c>
      <c r="DU86" s="2920">
        <f t="shared" si="266"/>
        <v>1</v>
      </c>
      <c r="DV86" s="2920">
        <f t="shared" si="267"/>
        <v>1</v>
      </c>
      <c r="DW86" s="2920">
        <f t="shared" si="268"/>
        <v>1</v>
      </c>
      <c r="DX86" s="2920">
        <f t="shared" si="269"/>
        <v>1</v>
      </c>
      <c r="DY86" s="2920">
        <f t="shared" si="270"/>
        <v>1</v>
      </c>
      <c r="DZ86" s="2920">
        <f t="shared" si="271"/>
        <v>1</v>
      </c>
      <c r="EA86" s="2920">
        <f t="shared" si="272"/>
        <v>1</v>
      </c>
      <c r="EB86" s="2920">
        <f t="shared" si="273"/>
        <v>1</v>
      </c>
      <c r="EC86" s="2920">
        <f t="shared" si="274"/>
        <v>1</v>
      </c>
    </row>
    <row r="87" spans="1:133" x14ac:dyDescent="0.3">
      <c r="A87" s="6234">
        <v>11056426</v>
      </c>
      <c r="B87" s="3184" t="s">
        <v>2667</v>
      </c>
      <c r="C87" s="1928" t="s">
        <v>5292</v>
      </c>
      <c r="D87" s="3242" t="s">
        <v>5293</v>
      </c>
      <c r="E87" s="3479" t="s">
        <v>5294</v>
      </c>
      <c r="F87" s="5151" t="s">
        <v>5295</v>
      </c>
      <c r="G87" s="5038" t="s">
        <v>5296</v>
      </c>
      <c r="H87" s="5151" t="s">
        <v>5297</v>
      </c>
      <c r="I87" s="5038" t="s">
        <v>5298</v>
      </c>
      <c r="J87" s="5147" t="s">
        <v>5299</v>
      </c>
      <c r="K87" s="3479" t="s">
        <v>5300</v>
      </c>
      <c r="L87" s="3479" t="s">
        <v>5301</v>
      </c>
      <c r="M87" s="5038" t="s">
        <v>5302</v>
      </c>
      <c r="N87" s="5147" t="s">
        <v>5303</v>
      </c>
      <c r="O87" s="3479" t="s">
        <v>5304</v>
      </c>
      <c r="P87" s="5151" t="s">
        <v>5305</v>
      </c>
      <c r="Q87" s="5038" t="s">
        <v>5306</v>
      </c>
      <c r="R87" s="5151" t="s">
        <v>5307</v>
      </c>
      <c r="S87" s="5038" t="s">
        <v>5308</v>
      </c>
      <c r="T87" s="5151" t="s">
        <v>5309</v>
      </c>
      <c r="U87" s="5038" t="s">
        <v>5310</v>
      </c>
      <c r="V87" s="5151" t="s">
        <v>5311</v>
      </c>
      <c r="W87" s="5038" t="s">
        <v>5312</v>
      </c>
      <c r="X87" s="5151" t="s">
        <v>5313</v>
      </c>
      <c r="Y87" s="5038" t="s">
        <v>5314</v>
      </c>
      <c r="Z87" s="5151" t="s">
        <v>5315</v>
      </c>
      <c r="AA87" s="5038" t="s">
        <v>5316</v>
      </c>
      <c r="AB87" s="5151" t="s">
        <v>5317</v>
      </c>
      <c r="AC87" s="5038" t="s">
        <v>5318</v>
      </c>
      <c r="AD87" s="5151" t="s">
        <v>5319</v>
      </c>
      <c r="AE87" s="5038" t="s">
        <v>5320</v>
      </c>
      <c r="AF87" s="5151" t="s">
        <v>5321</v>
      </c>
      <c r="AG87" s="5038" t="s">
        <v>5322</v>
      </c>
      <c r="AH87" s="5151" t="s">
        <v>5323</v>
      </c>
      <c r="AI87" s="5038" t="s">
        <v>5324</v>
      </c>
      <c r="AJ87" s="5151" t="s">
        <v>5325</v>
      </c>
      <c r="AK87" s="5038" t="s">
        <v>5326</v>
      </c>
      <c r="AL87" s="5151" t="s">
        <v>5327</v>
      </c>
      <c r="AM87" s="5038" t="s">
        <v>5328</v>
      </c>
      <c r="AN87" s="5151" t="s">
        <v>5329</v>
      </c>
      <c r="AO87" s="5038" t="s">
        <v>5330</v>
      </c>
      <c r="AP87" s="5151" t="s">
        <v>5331</v>
      </c>
      <c r="AQ87" s="5038" t="s">
        <v>5332</v>
      </c>
      <c r="AR87" s="5145" t="s">
        <v>5333</v>
      </c>
      <c r="AS87" s="3483" t="s">
        <v>5334</v>
      </c>
      <c r="AT87" s="5145" t="s">
        <v>5335</v>
      </c>
      <c r="AU87" s="5146" t="s">
        <v>5336</v>
      </c>
      <c r="AV87" s="5145" t="s">
        <v>5337</v>
      </c>
      <c r="AW87" s="3479" t="s">
        <v>5338</v>
      </c>
      <c r="AX87" s="5147" t="s">
        <v>5339</v>
      </c>
      <c r="AY87" s="1687" t="e">
        <f>CC87&amp;CD87&amp;CE87&amp;CF87&amp;CG87&amp;CH87&amp;CI87&amp;CJ87&amp;CK87&amp;CL87&amp;CM87&amp;CN87&amp;CO87&amp;CP87&amp;CQ87&amp;CR87&amp;CS87&amp;CT87&amp;CU87&amp;CV87&amp;CW87&amp;CX87&amp;CY87</f>
        <v>#VALUE!</v>
      </c>
      <c r="CB87" s="600"/>
      <c r="CC87" s="4747" t="str">
        <f t="shared" si="276"/>
        <v xml:space="preserve"> * La suma de las columnas POR SEXO (Procesados) DEBE SER IGUAL a los Exámenes Procesados. </v>
      </c>
      <c r="CD87" s="2784" t="e">
        <f t="shared" si="240"/>
        <v>#VALUE!</v>
      </c>
      <c r="CE87" s="2784" t="str">
        <f t="shared" si="241"/>
        <v xml:space="preserve"> *El Número de Pueblos Originarios no puede superar el Total Procesados. </v>
      </c>
      <c r="CF87" s="2784" t="str">
        <f t="shared" si="242"/>
        <v xml:space="preserve"> *El Número de Migrantes no puede superar el Total Procesados. </v>
      </c>
      <c r="CG87" s="2784" t="str">
        <f>IF(E87&lt;F87,CONCATENATE("* El total de Procesados debe ser mayor o igual al total de Reactivos en el grupo de edad ",$E$11),"")</f>
        <v>* El total de Procesados debe ser mayor o igual al total de Reactivos en el grupo de edad Menos de 6 meses</v>
      </c>
      <c r="CH87" s="2784" t="str">
        <f>IF(G87&lt;H87,CONCATENATE("* El total de Procesados debe ser mayor o igual al total de Reactivos en el grupo de edad ",$G$11),"")</f>
        <v>* El total de Procesados debe ser mayor o igual al total de Reactivos en el grupo de edad 6 - 11 meses</v>
      </c>
      <c r="CI87" s="2784" t="str">
        <f>IF(I87&lt;J87,CONCATENATE("* El total de Procesados debe ser mayor o igual al total de Reactivos en el grupo de edad ",$I$11),"")</f>
        <v>* El total de Procesados debe ser mayor o igual al total de Reactivos en el grupo de edad 12-24 meses</v>
      </c>
      <c r="CJ87" s="2784" t="str">
        <f>IF(K87&lt;L87,CONCATENATE("* El total de Procesados debe ser mayor o igual al total de Reactivos en el grupo de edad ",$K$11),"")</f>
        <v>* El total de Procesados debe ser mayor o igual al total de Reactivos en el grupo de edad 3 - 4 años</v>
      </c>
      <c r="CK87" s="2784" t="str">
        <f>IF(M87&lt;N87,CONCATENATE("* El total de Procesados debe ser mayor o igual al total de Reactivos en el grupo de edad ",$M$11),"")</f>
        <v>* El total de Procesados debe ser mayor o igual al total de Reactivos en el grupo de edad 5 - 9 años</v>
      </c>
      <c r="CL87" s="2784" t="str">
        <f>IF(O87&lt;P87,CONCATENATE("* El total de Procesados debe ser mayor o igual al total de Reactivos en el grupo de edad ",$O$11),"")</f>
        <v>* El total de Procesados debe ser mayor o igual al total de Reactivos en el grupo de edad 10 - 14 años</v>
      </c>
      <c r="CM87" s="2784" t="str">
        <f>IF(Q87&lt;R87,CONCATENATE("* El total de Procesados debe ser mayor o igual al total de Reactivos en el grupo de edad ",$Q$11),"")</f>
        <v>* El total de Procesados debe ser mayor o igual al total de Reactivos en el grupo de edad 15 - 19 años</v>
      </c>
      <c r="CN87" s="2784" t="str">
        <f t="shared" si="245"/>
        <v>* El total de Procesados debe ser mayor o igual al total de Reactivos en el grupo de edad 20 - 24 años</v>
      </c>
      <c r="CO87" s="2784" t="str">
        <f t="shared" si="246"/>
        <v>* El total de Procesados debe ser mayor o igual al total de Reactivos en el grupo de edad 25 - 29 años</v>
      </c>
      <c r="CP87" s="2784" t="str">
        <f t="shared" si="247"/>
        <v>* El total de Procesados debe ser mayor o igual al total de Reactivos en el grupo de edad 30 - 34 años</v>
      </c>
      <c r="CQ87" s="2784" t="str">
        <f t="shared" si="248"/>
        <v>* El total de Procesados debe ser mayor o igual al total de Reactivos en el grupo de edad 35 - 39 años</v>
      </c>
      <c r="CR87" s="2784" t="str">
        <f t="shared" si="249"/>
        <v>* El total de Procesados debe ser mayor o igual al total de Reactivos en el grupo de edad 40 - 44 años</v>
      </c>
      <c r="CS87" s="2784" t="str">
        <f t="shared" si="250"/>
        <v>* El total de Procesados debe ser mayor o igual al total de Reactivos en el grupo de edad 50 - 54 años</v>
      </c>
      <c r="CT87" s="2784" t="str">
        <f t="shared" si="251"/>
        <v>* El total de Procesados debe ser mayor o igual al total de Reactivos en el grupo de edad 55 - 59 años</v>
      </c>
      <c r="CU87" s="2784" t="str">
        <f t="shared" si="252"/>
        <v>* El total de Procesados debe ser mayor o igual al total de Reactivos en el grupo de edad 60 - 64 años</v>
      </c>
      <c r="CV87" s="2784" t="str">
        <f t="shared" si="253"/>
        <v>* El total de Procesados debe ser mayor o igual al total de Reactivos en el grupo de edad 65 - 69 años</v>
      </c>
      <c r="CW87" s="2784" t="str">
        <f t="shared" si="254"/>
        <v>* El total de Procesados debe ser mayor o igual al total de Reactivos en el grupo de edad 70 - 74 años</v>
      </c>
      <c r="CX87" s="2784" t="str">
        <f t="shared" si="255"/>
        <v>* El total de Procesados debe ser mayor o igual al total de Reactivos en el grupo de edad 75 - 79 años</v>
      </c>
      <c r="CY87" s="2784" t="str">
        <f t="shared" si="256"/>
        <v>* El total de Procesados debe ser mayor o igual al total de Reactivos en el grupo de edad 80 y más años</v>
      </c>
      <c r="DF87" s="2630"/>
      <c r="DG87" s="4747">
        <f t="shared" si="279"/>
        <v>1</v>
      </c>
      <c r="DH87" s="2920" t="e">
        <f t="shared" si="258"/>
        <v>#VALUE!</v>
      </c>
      <c r="DI87" s="2920">
        <f t="shared" si="259"/>
        <v>1</v>
      </c>
      <c r="DJ87" s="2920">
        <f t="shared" si="260"/>
        <v>1</v>
      </c>
      <c r="DK87" s="2920">
        <f>IF(E87&lt;F87,1,0)</f>
        <v>1</v>
      </c>
      <c r="DL87" s="2920">
        <f>IF(G87&lt;H87,1,0)</f>
        <v>1</v>
      </c>
      <c r="DM87" s="2920">
        <f>IF(I87&lt;J87,1,0)</f>
        <v>1</v>
      </c>
      <c r="DN87" s="2920">
        <f>IF(K87&lt;L87,1,0)</f>
        <v>1</v>
      </c>
      <c r="DO87" s="2920">
        <f>IF(M87&lt;N87,1,0)</f>
        <v>1</v>
      </c>
      <c r="DP87" s="2920">
        <f t="shared" si="261"/>
        <v>1</v>
      </c>
      <c r="DQ87" s="2920">
        <f t="shared" si="262"/>
        <v>1</v>
      </c>
      <c r="DR87" s="2920">
        <f t="shared" si="263"/>
        <v>1</v>
      </c>
      <c r="DS87" s="2920">
        <f t="shared" si="264"/>
        <v>1</v>
      </c>
      <c r="DT87" s="2920">
        <f t="shared" si="265"/>
        <v>1</v>
      </c>
      <c r="DU87" s="2920">
        <f t="shared" si="266"/>
        <v>1</v>
      </c>
      <c r="DV87" s="2920">
        <f t="shared" si="267"/>
        <v>1</v>
      </c>
      <c r="DW87" s="2920">
        <f t="shared" si="268"/>
        <v>1</v>
      </c>
      <c r="DX87" s="2920">
        <f t="shared" si="269"/>
        <v>1</v>
      </c>
      <c r="DY87" s="2920">
        <f t="shared" si="270"/>
        <v>1</v>
      </c>
      <c r="DZ87" s="2920">
        <f t="shared" si="271"/>
        <v>1</v>
      </c>
      <c r="EA87" s="2920">
        <f t="shared" si="272"/>
        <v>1</v>
      </c>
      <c r="EB87" s="2920">
        <f t="shared" si="273"/>
        <v>1</v>
      </c>
      <c r="EC87" s="2920">
        <f t="shared" si="274"/>
        <v>1</v>
      </c>
    </row>
    <row r="88" spans="1:133" ht="20.399999999999999" x14ac:dyDescent="0.3">
      <c r="A88" s="6234">
        <v>11056427</v>
      </c>
      <c r="B88" s="3239" t="s">
        <v>2668</v>
      </c>
      <c r="C88" s="1928" t="s">
        <v>5292</v>
      </c>
      <c r="D88" s="3242" t="s">
        <v>5293</v>
      </c>
      <c r="E88" s="3479" t="s">
        <v>5294</v>
      </c>
      <c r="F88" s="5151" t="s">
        <v>5295</v>
      </c>
      <c r="G88" s="5038" t="s">
        <v>5296</v>
      </c>
      <c r="H88" s="5151" t="s">
        <v>5297</v>
      </c>
      <c r="I88" s="5038" t="s">
        <v>5298</v>
      </c>
      <c r="J88" s="5147" t="s">
        <v>5299</v>
      </c>
      <c r="K88" s="5152" t="s">
        <v>5300</v>
      </c>
      <c r="L88" s="5153" t="s">
        <v>5301</v>
      </c>
      <c r="M88" s="5152" t="s">
        <v>5302</v>
      </c>
      <c r="N88" s="5153" t="s">
        <v>5303</v>
      </c>
      <c r="O88" s="5152" t="s">
        <v>5304</v>
      </c>
      <c r="P88" s="5153" t="s">
        <v>5305</v>
      </c>
      <c r="Q88" s="5152" t="s">
        <v>5306</v>
      </c>
      <c r="R88" s="5153" t="s">
        <v>5307</v>
      </c>
      <c r="S88" s="5152" t="s">
        <v>5308</v>
      </c>
      <c r="T88" s="5153" t="s">
        <v>5309</v>
      </c>
      <c r="U88" s="5152" t="s">
        <v>5310</v>
      </c>
      <c r="V88" s="5153" t="s">
        <v>5311</v>
      </c>
      <c r="W88" s="5152" t="s">
        <v>5312</v>
      </c>
      <c r="X88" s="5153" t="s">
        <v>5313</v>
      </c>
      <c r="Y88" s="5152" t="s">
        <v>5314</v>
      </c>
      <c r="Z88" s="5153" t="s">
        <v>5315</v>
      </c>
      <c r="AA88" s="5152" t="s">
        <v>5316</v>
      </c>
      <c r="AB88" s="5153" t="s">
        <v>5317</v>
      </c>
      <c r="AC88" s="5152" t="s">
        <v>5318</v>
      </c>
      <c r="AD88" s="5153" t="s">
        <v>5319</v>
      </c>
      <c r="AE88" s="5152" t="s">
        <v>5320</v>
      </c>
      <c r="AF88" s="5153" t="s">
        <v>5321</v>
      </c>
      <c r="AG88" s="5152" t="s">
        <v>5322</v>
      </c>
      <c r="AH88" s="5153" t="s">
        <v>5323</v>
      </c>
      <c r="AI88" s="5152" t="s">
        <v>5324</v>
      </c>
      <c r="AJ88" s="5153" t="s">
        <v>5325</v>
      </c>
      <c r="AK88" s="5152" t="s">
        <v>5326</v>
      </c>
      <c r="AL88" s="5153" t="s">
        <v>5327</v>
      </c>
      <c r="AM88" s="5152" t="s">
        <v>5328</v>
      </c>
      <c r="AN88" s="5153" t="s">
        <v>5329</v>
      </c>
      <c r="AO88" s="5152" t="s">
        <v>5330</v>
      </c>
      <c r="AP88" s="5153" t="s">
        <v>5331</v>
      </c>
      <c r="AQ88" s="5152" t="s">
        <v>5332</v>
      </c>
      <c r="AR88" s="5154" t="s">
        <v>5333</v>
      </c>
      <c r="AS88" s="3479" t="s">
        <v>5334</v>
      </c>
      <c r="AT88" s="5145" t="s">
        <v>5335</v>
      </c>
      <c r="AU88" s="5146" t="s">
        <v>5336</v>
      </c>
      <c r="AV88" s="5145" t="s">
        <v>5337</v>
      </c>
      <c r="AW88" s="3479" t="s">
        <v>5338</v>
      </c>
      <c r="AX88" s="5147" t="s">
        <v>5339</v>
      </c>
      <c r="AY88" s="1687" t="e">
        <f>CC88&amp;CD88&amp;CE88&amp;CF88&amp;CG88&amp;CH88&amp;CI88</f>
        <v>#VALUE!</v>
      </c>
      <c r="CB88" s="600"/>
      <c r="CC88" s="2784" t="e">
        <f>IF(C88&lt;&gt;(AT88+AS88)," * La suma de las columnas "&amp;AS$10&amp;""&amp;" DEBE SER IGUAL a los Exámenes Procesados. ","")</f>
        <v>#VALUE!</v>
      </c>
      <c r="CD88" s="2784" t="e">
        <f t="shared" si="240"/>
        <v>#VALUE!</v>
      </c>
      <c r="CE88" s="2784" t="str">
        <f t="shared" si="241"/>
        <v xml:space="preserve"> *El Número de Pueblos Originarios no puede superar el Total Procesados. </v>
      </c>
      <c r="CF88" s="2784" t="str">
        <f t="shared" si="242"/>
        <v xml:space="preserve"> *El Número de Migrantes no puede superar el Total Procesados. </v>
      </c>
      <c r="CG88" s="2784" t="str">
        <f>IF(E88&lt;F88,CONCATENATE("* El total de Procesados debe ser mayor o igual al total de Reactivos en el grupo de edad ",$E$11),"")</f>
        <v>* El total de Procesados debe ser mayor o igual al total de Reactivos en el grupo de edad Menos de 6 meses</v>
      </c>
      <c r="CH88" s="2784" t="str">
        <f>IF(G88&lt;H88,CONCATENATE("* El total de Procesados debe ser mayor o igual al total de Reactivos en el grupo de edad ",$G$11),"")</f>
        <v>* El total de Procesados debe ser mayor o igual al total de Reactivos en el grupo de edad 6 - 11 meses</v>
      </c>
      <c r="CI88" s="2784" t="str">
        <f>IF(I88&lt;J88,CONCATENATE("* El total de Procesados debe ser mayor o igual al total de Reactivos en el grupo de edad ",$I$11),"")</f>
        <v>* El total de Procesados debe ser mayor o igual al total de Reactivos en el grupo de edad 12-24 meses</v>
      </c>
      <c r="CJ88" s="2783"/>
      <c r="CK88" s="2783"/>
      <c r="CL88" s="3488"/>
      <c r="CM88" s="2783"/>
      <c r="CN88" s="2783"/>
      <c r="CO88" s="2783"/>
      <c r="CP88" s="2783"/>
      <c r="CQ88" s="2783"/>
      <c r="CR88" s="2783"/>
      <c r="CS88" s="2783"/>
      <c r="CT88" s="2783"/>
      <c r="CU88" s="2783"/>
      <c r="CV88" s="2783"/>
      <c r="CW88" s="2783"/>
      <c r="CX88" s="2783"/>
      <c r="CY88" s="2783"/>
      <c r="DF88" s="2630"/>
      <c r="DG88" s="2784" t="e">
        <f>IF(C88&lt;&gt;(AT88+AS88),1,0)</f>
        <v>#VALUE!</v>
      </c>
      <c r="DH88" s="2920" t="e">
        <f t="shared" si="258"/>
        <v>#VALUE!</v>
      </c>
      <c r="DI88" s="2920">
        <f t="shared" si="259"/>
        <v>1</v>
      </c>
      <c r="DJ88" s="2920">
        <f t="shared" si="260"/>
        <v>1</v>
      </c>
      <c r="DK88" s="2920">
        <f>IF(E88&lt;F88,1,0)</f>
        <v>1</v>
      </c>
      <c r="DL88" s="2920">
        <f>IF(G88&lt;H88,1,0)</f>
        <v>1</v>
      </c>
      <c r="DM88" s="2920">
        <f>IF(I88&lt;J88,1,0)</f>
        <v>1</v>
      </c>
      <c r="DN88" s="2783"/>
      <c r="DO88" s="2783"/>
      <c r="DP88" s="3018"/>
      <c r="DQ88" s="3018"/>
      <c r="DR88" s="3018"/>
      <c r="DS88" s="3018"/>
      <c r="DT88" s="3018"/>
      <c r="DU88" s="3018"/>
      <c r="DV88" s="3018"/>
      <c r="DW88" s="3018"/>
      <c r="DX88" s="3018"/>
      <c r="DY88" s="3018"/>
      <c r="DZ88" s="3018"/>
      <c r="EA88" s="3018"/>
      <c r="EB88" s="3018"/>
      <c r="EC88" s="3018"/>
    </row>
    <row r="89" spans="1:133" x14ac:dyDescent="0.3">
      <c r="A89" s="6234">
        <v>11056428</v>
      </c>
      <c r="B89" s="3239" t="s">
        <v>2669</v>
      </c>
      <c r="C89" s="1928" t="s">
        <v>5292</v>
      </c>
      <c r="D89" s="3242" t="s">
        <v>5293</v>
      </c>
      <c r="E89" s="3475" t="s">
        <v>5294</v>
      </c>
      <c r="F89" s="5149" t="s">
        <v>5295</v>
      </c>
      <c r="G89" s="5148" t="s">
        <v>5296</v>
      </c>
      <c r="H89" s="5149" t="s">
        <v>5297</v>
      </c>
      <c r="I89" s="5148" t="s">
        <v>5298</v>
      </c>
      <c r="J89" s="5149" t="s">
        <v>5299</v>
      </c>
      <c r="K89" s="5148" t="s">
        <v>5300</v>
      </c>
      <c r="L89" s="5149" t="s">
        <v>5301</v>
      </c>
      <c r="M89" s="5148" t="s">
        <v>5302</v>
      </c>
      <c r="N89" s="5150" t="s">
        <v>5303</v>
      </c>
      <c r="O89" s="3475" t="s">
        <v>5304</v>
      </c>
      <c r="P89" s="5149" t="s">
        <v>5305</v>
      </c>
      <c r="Q89" s="5038" t="s">
        <v>5306</v>
      </c>
      <c r="R89" s="5151" t="s">
        <v>5307</v>
      </c>
      <c r="S89" s="5038" t="s">
        <v>5308</v>
      </c>
      <c r="T89" s="5151" t="s">
        <v>5309</v>
      </c>
      <c r="U89" s="5038" t="s">
        <v>5310</v>
      </c>
      <c r="V89" s="5151" t="s">
        <v>5311</v>
      </c>
      <c r="W89" s="5038" t="s">
        <v>5312</v>
      </c>
      <c r="X89" s="5151" t="s">
        <v>5313</v>
      </c>
      <c r="Y89" s="5038" t="s">
        <v>5314</v>
      </c>
      <c r="Z89" s="5151" t="s">
        <v>5315</v>
      </c>
      <c r="AA89" s="5038" t="s">
        <v>5316</v>
      </c>
      <c r="AB89" s="5151" t="s">
        <v>5317</v>
      </c>
      <c r="AC89" s="5038" t="s">
        <v>5318</v>
      </c>
      <c r="AD89" s="5151" t="s">
        <v>5319</v>
      </c>
      <c r="AE89" s="5038" t="s">
        <v>5320</v>
      </c>
      <c r="AF89" s="5151" t="s">
        <v>5321</v>
      </c>
      <c r="AG89" s="5038" t="s">
        <v>5322</v>
      </c>
      <c r="AH89" s="5151" t="s">
        <v>5323</v>
      </c>
      <c r="AI89" s="5038" t="s">
        <v>5324</v>
      </c>
      <c r="AJ89" s="5151" t="s">
        <v>5325</v>
      </c>
      <c r="AK89" s="5038" t="s">
        <v>5326</v>
      </c>
      <c r="AL89" s="5151" t="s">
        <v>5327</v>
      </c>
      <c r="AM89" s="5038" t="s">
        <v>5328</v>
      </c>
      <c r="AN89" s="5151" t="s">
        <v>5329</v>
      </c>
      <c r="AO89" s="5038" t="s">
        <v>5330</v>
      </c>
      <c r="AP89" s="5151" t="s">
        <v>5331</v>
      </c>
      <c r="AQ89" s="5038" t="s">
        <v>5332</v>
      </c>
      <c r="AR89" s="5145" t="s">
        <v>5333</v>
      </c>
      <c r="AS89" s="3479" t="s">
        <v>5334</v>
      </c>
      <c r="AT89" s="5145" t="s">
        <v>5335</v>
      </c>
      <c r="AU89" s="5146" t="s">
        <v>5336</v>
      </c>
      <c r="AV89" s="5145" t="s">
        <v>5337</v>
      </c>
      <c r="AW89" s="3479" t="s">
        <v>5338</v>
      </c>
      <c r="AX89" s="5147" t="s">
        <v>5339</v>
      </c>
      <c r="AY89" s="1687" t="e">
        <f>CC89&amp;CD89&amp;CE89&amp;CF89&amp;CM89&amp;CN89&amp;CO89&amp;CP89&amp;CQ89&amp;CR89&amp;CS89&amp;CT89&amp;CU89&amp;CV89&amp;CW89&amp;CX89&amp;CY89</f>
        <v>#VALUE!</v>
      </c>
      <c r="CB89" s="600"/>
      <c r="CC89" s="2784" t="e">
        <f t="shared" ref="CC89:CC96" si="280">IF(C89&lt;&gt;(AT89+AS89)," * La suma de las columnas "&amp;AS$10&amp;""&amp;" DEBE SER IGUAL a los Exámenes Procesados. ","")</f>
        <v>#VALUE!</v>
      </c>
      <c r="CD89" s="2784" t="e">
        <f t="shared" si="240"/>
        <v>#VALUE!</v>
      </c>
      <c r="CE89" s="2784" t="str">
        <f t="shared" si="241"/>
        <v xml:space="preserve"> *El Número de Pueblos Originarios no puede superar el Total Procesados. </v>
      </c>
      <c r="CF89" s="2784" t="str">
        <f t="shared" si="242"/>
        <v xml:space="preserve"> *El Número de Migrantes no puede superar el Total Procesados. </v>
      </c>
      <c r="CG89" s="3488"/>
      <c r="CH89" s="3488"/>
      <c r="CI89" s="2783"/>
      <c r="CJ89" s="2783"/>
      <c r="CK89" s="2783"/>
      <c r="CL89" s="3488"/>
      <c r="CM89" s="2784" t="str">
        <f>IF(Q89&lt;R89,CONCATENATE("* El total de Procesados debe ser mayor o igual al total de Reactivos en el grupo de edad ",$Q$11),"")</f>
        <v>* El total de Procesados debe ser mayor o igual al total de Reactivos en el grupo de edad 15 - 19 años</v>
      </c>
      <c r="CN89" s="2784" t="str">
        <f t="shared" ref="CN89:CN96" si="281">IF(S89&lt;T89,CONCATENATE("* El total de Procesados debe ser mayor o igual al total de Reactivos en el grupo de edad ",$S$11),"")</f>
        <v>* El total de Procesados debe ser mayor o igual al total de Reactivos en el grupo de edad 20 - 24 años</v>
      </c>
      <c r="CO89" s="2784" t="str">
        <f t="shared" si="246"/>
        <v>* El total de Procesados debe ser mayor o igual al total de Reactivos en el grupo de edad 25 - 29 años</v>
      </c>
      <c r="CP89" s="2784" t="str">
        <f t="shared" ref="CP89:CP96" si="282">IF(W89&lt;X89,CONCATENATE("* El total de Procesados debe ser mayor o igual al total de Reactivos en el grupo de edad ",$W$11),"")</f>
        <v>* El total de Procesados debe ser mayor o igual al total de Reactivos en el grupo de edad 30 - 34 años</v>
      </c>
      <c r="CQ89" s="2784" t="str">
        <f t="shared" ref="CQ89:CQ96" si="283">IF(Y89&lt;Z89,CONCATENATE("* El total de Procesados debe ser mayor o igual al total de Reactivos en el grupo de edad ",$Y$11),"")</f>
        <v>* El total de Procesados debe ser mayor o igual al total de Reactivos en el grupo de edad 35 - 39 años</v>
      </c>
      <c r="CR89" s="2784" t="str">
        <f t="shared" ref="CR89:CR96" si="284">IF(AA89&lt;AB89,CONCATENATE("* El total de Procesados debe ser mayor o igual al total de Reactivos en el grupo de edad ",$AA$11),"")</f>
        <v>* El total de Procesados debe ser mayor o igual al total de Reactivos en el grupo de edad 40 - 44 años</v>
      </c>
      <c r="CS89" s="2784" t="str">
        <f t="shared" ref="CS89:CS96" si="285">IF(AE89&lt;AF89,CONCATENATE("* El total de Procesados debe ser mayor o igual al total de Reactivos en el grupo de edad ",$AE$11),"")</f>
        <v>* El total de Procesados debe ser mayor o igual al total de Reactivos en el grupo de edad 50 - 54 años</v>
      </c>
      <c r="CT89" s="2784" t="str">
        <f t="shared" ref="CT89:CT96" si="286">IF(AG89&lt;AH89,CONCATENATE("* El total de Procesados debe ser mayor o igual al total de Reactivos en el grupo de edad ",$AG$11),"")</f>
        <v>* El total de Procesados debe ser mayor o igual al total de Reactivos en el grupo de edad 55 - 59 años</v>
      </c>
      <c r="CU89" s="2784" t="str">
        <f t="shared" ref="CU89:CU96" si="287">IF(AI89&lt;AJ89,CONCATENATE("* El total de Procesados debe ser mayor o igual al total de Reactivos en el grupo de edad ",$AI$11),"")</f>
        <v>* El total de Procesados debe ser mayor o igual al total de Reactivos en el grupo de edad 60 - 64 años</v>
      </c>
      <c r="CV89" s="2784" t="str">
        <f t="shared" ref="CV89:CV92" si="288">IF(AK89&lt;AL89,CONCATENATE("* El total de Procesados debe ser mayor o igual al total de Reactivos en el grupo de edad ",$AK$11),"")</f>
        <v>* El total de Procesados debe ser mayor o igual al total de Reactivos en el grupo de edad 65 - 69 años</v>
      </c>
      <c r="CW89" s="2784" t="str">
        <f t="shared" ref="CW89:CW92" si="289">IF(AM89&lt;AN89,CONCATENATE("* El total de Procesados debe ser mayor o igual al total de Reactivos en el grupo de edad ",$AM$11),"")</f>
        <v>* El total de Procesados debe ser mayor o igual al total de Reactivos en el grupo de edad 70 - 74 años</v>
      </c>
      <c r="CX89" s="2784" t="str">
        <f t="shared" ref="CX89:CX92" si="290">IF(AO89&lt;AP89,CONCATENATE("* El total de Procesados debe ser mayor o igual al total de Reactivos en el grupo de edad ",$AO$11),"")</f>
        <v>* El total de Procesados debe ser mayor o igual al total de Reactivos en el grupo de edad 75 - 79 años</v>
      </c>
      <c r="CY89" s="2784" t="str">
        <f t="shared" ref="CY89:CY92" si="291">IF(AQ89&lt;AR89,CONCATENATE("* El total de Procesados debe ser mayor o igual al total de Reactivos en el grupo de edad ",$AQ$11),"")</f>
        <v>* El total de Procesados debe ser mayor o igual al total de Reactivos en el grupo de edad 80 y más años</v>
      </c>
      <c r="DF89" s="2630"/>
      <c r="DG89" s="2784" t="e">
        <f t="shared" ref="DG89:DG96" si="292">IF(C89&lt;&gt;(AT89+AS89),1,0)</f>
        <v>#VALUE!</v>
      </c>
      <c r="DH89" s="2920" t="e">
        <f t="shared" si="258"/>
        <v>#VALUE!</v>
      </c>
      <c r="DI89" s="2920">
        <f t="shared" si="259"/>
        <v>1</v>
      </c>
      <c r="DJ89" s="2920">
        <f t="shared" si="260"/>
        <v>1</v>
      </c>
      <c r="DK89" s="2783"/>
      <c r="DL89" s="2783"/>
      <c r="DM89" s="2783"/>
      <c r="DN89" s="2783"/>
      <c r="DO89" s="2783"/>
      <c r="DP89" s="3018"/>
      <c r="DQ89" s="2920">
        <f t="shared" ref="DQ89:DQ96" si="293">IF(Q89&lt;R89,1,0)</f>
        <v>1</v>
      </c>
      <c r="DR89" s="2920">
        <f t="shared" ref="DR89:DR96" si="294">IF(S89&lt;T89,1,0)</f>
        <v>1</v>
      </c>
      <c r="DS89" s="2920">
        <f t="shared" si="264"/>
        <v>1</v>
      </c>
      <c r="DT89" s="2920">
        <f t="shared" ref="DT89:DT96" si="295">IF(W89&lt;X89,1,0)</f>
        <v>1</v>
      </c>
      <c r="DU89" s="2920">
        <f t="shared" ref="DU89:DU96" si="296">IF(Y89&lt;Z89,1,0)</f>
        <v>1</v>
      </c>
      <c r="DV89" s="2920">
        <f t="shared" ref="DV89:DV96" si="297">IF(AA89&lt;AB89,1,0)</f>
        <v>1</v>
      </c>
      <c r="DW89" s="2920">
        <f t="shared" ref="DW89:DW96" si="298">IF(AE89&lt;AF89,1,0)</f>
        <v>1</v>
      </c>
      <c r="DX89" s="2920">
        <f t="shared" ref="DX89:DX96" si="299">IF(AG89&lt;AH89,1,0)</f>
        <v>1</v>
      </c>
      <c r="DY89" s="2920">
        <f t="shared" ref="DY89:DY96" si="300">IF(AI89&lt;AJ89,1,0)</f>
        <v>1</v>
      </c>
      <c r="DZ89" s="2920">
        <f t="shared" ref="DZ89:DZ92" si="301">IF(AK89&lt;AL89,1,0)</f>
        <v>1</v>
      </c>
      <c r="EA89" s="2920">
        <f t="shared" ref="EA89:EA92" si="302">IF(AM89&lt;AN89,1,0)</f>
        <v>1</v>
      </c>
      <c r="EB89" s="2920">
        <f t="shared" ref="EB89:EB92" si="303">IF(AO89&lt;AP89,1,0)</f>
        <v>1</v>
      </c>
      <c r="EC89" s="2920">
        <f t="shared" ref="EC89:EC92" si="304">IF(AQ89&lt;AR89,1,0)</f>
        <v>1</v>
      </c>
    </row>
    <row r="90" spans="1:133" x14ac:dyDescent="0.3">
      <c r="A90" s="6234">
        <v>11056429</v>
      </c>
      <c r="B90" s="3184" t="s">
        <v>2670</v>
      </c>
      <c r="C90" s="1928" t="s">
        <v>5292</v>
      </c>
      <c r="D90" s="3242" t="s">
        <v>5293</v>
      </c>
      <c r="E90" s="3483" t="s">
        <v>5294</v>
      </c>
      <c r="F90" s="5153" t="s">
        <v>5295</v>
      </c>
      <c r="G90" s="5152" t="s">
        <v>5296</v>
      </c>
      <c r="H90" s="5153" t="s">
        <v>5297</v>
      </c>
      <c r="I90" s="5152" t="s">
        <v>5298</v>
      </c>
      <c r="J90" s="5155" t="s">
        <v>5299</v>
      </c>
      <c r="K90" s="3483" t="s">
        <v>5300</v>
      </c>
      <c r="L90" s="3483" t="s">
        <v>5301</v>
      </c>
      <c r="M90" s="5152" t="s">
        <v>5302</v>
      </c>
      <c r="N90" s="5155" t="s">
        <v>5303</v>
      </c>
      <c r="O90" s="3479" t="s">
        <v>5304</v>
      </c>
      <c r="P90" s="5151" t="s">
        <v>5305</v>
      </c>
      <c r="Q90" s="5038" t="s">
        <v>5306</v>
      </c>
      <c r="R90" s="5151" t="s">
        <v>5307</v>
      </c>
      <c r="S90" s="5038" t="s">
        <v>5308</v>
      </c>
      <c r="T90" s="5151" t="s">
        <v>5309</v>
      </c>
      <c r="U90" s="5038" t="s">
        <v>5310</v>
      </c>
      <c r="V90" s="5151" t="s">
        <v>5311</v>
      </c>
      <c r="W90" s="5038" t="s">
        <v>5312</v>
      </c>
      <c r="X90" s="5151" t="s">
        <v>5313</v>
      </c>
      <c r="Y90" s="5038" t="s">
        <v>5314</v>
      </c>
      <c r="Z90" s="5151" t="s">
        <v>5315</v>
      </c>
      <c r="AA90" s="5038" t="s">
        <v>5316</v>
      </c>
      <c r="AB90" s="5151" t="s">
        <v>5317</v>
      </c>
      <c r="AC90" s="5038" t="s">
        <v>5318</v>
      </c>
      <c r="AD90" s="5151" t="s">
        <v>5319</v>
      </c>
      <c r="AE90" s="5038" t="s">
        <v>5320</v>
      </c>
      <c r="AF90" s="5151" t="s">
        <v>5321</v>
      </c>
      <c r="AG90" s="5038" t="s">
        <v>5322</v>
      </c>
      <c r="AH90" s="5151" t="s">
        <v>5323</v>
      </c>
      <c r="AI90" s="5038" t="s">
        <v>5324</v>
      </c>
      <c r="AJ90" s="5151" t="s">
        <v>5325</v>
      </c>
      <c r="AK90" s="5038" t="s">
        <v>5326</v>
      </c>
      <c r="AL90" s="5151" t="s">
        <v>5327</v>
      </c>
      <c r="AM90" s="5038" t="s">
        <v>5328</v>
      </c>
      <c r="AN90" s="5151" t="s">
        <v>5329</v>
      </c>
      <c r="AO90" s="5038" t="s">
        <v>5330</v>
      </c>
      <c r="AP90" s="5151" t="s">
        <v>5331</v>
      </c>
      <c r="AQ90" s="5038" t="s">
        <v>5332</v>
      </c>
      <c r="AR90" s="5145" t="s">
        <v>5333</v>
      </c>
      <c r="AS90" s="3479" t="s">
        <v>5334</v>
      </c>
      <c r="AT90" s="5145" t="s">
        <v>5335</v>
      </c>
      <c r="AU90" s="5146" t="s">
        <v>5336</v>
      </c>
      <c r="AV90" s="5145" t="s">
        <v>5337</v>
      </c>
      <c r="AW90" s="3479" t="s">
        <v>5338</v>
      </c>
      <c r="AX90" s="5147" t="s">
        <v>5339</v>
      </c>
      <c r="AY90" s="1687" t="e">
        <f>CC90&amp;CD90&amp;CE90&amp;CF90&amp;CL90&amp;CM90&amp;CN90&amp;CO90&amp;CP90&amp;CQ90&amp;CR90&amp;CS90&amp;CT90&amp;CU90&amp;CV90&amp;CW90&amp;CX90&amp;CY90</f>
        <v>#VALUE!</v>
      </c>
      <c r="CB90" s="600"/>
      <c r="CC90" s="2784" t="e">
        <f t="shared" si="280"/>
        <v>#VALUE!</v>
      </c>
      <c r="CD90" s="2784" t="e">
        <f t="shared" si="240"/>
        <v>#VALUE!</v>
      </c>
      <c r="CE90" s="2784" t="str">
        <f t="shared" si="241"/>
        <v xml:space="preserve"> *El Número de Pueblos Originarios no puede superar el Total Procesados. </v>
      </c>
      <c r="CF90" s="2784" t="str">
        <f t="shared" si="242"/>
        <v xml:space="preserve"> *El Número de Migrantes no puede superar el Total Procesados. </v>
      </c>
      <c r="CG90" s="3488"/>
      <c r="CH90" s="3488"/>
      <c r="CI90" s="2783"/>
      <c r="CJ90" s="2783"/>
      <c r="CK90" s="2783"/>
      <c r="CL90" s="2784" t="str">
        <f>IF(O90&lt;P90,CONCATENATE("* El total de Procesados debe ser mayor o igual al total de Reactivos en el grupo de edad ",$O$11),"")</f>
        <v>* El total de Procesados debe ser mayor o igual al total de Reactivos en el grupo de edad 10 - 14 años</v>
      </c>
      <c r="CM90" s="2784" t="str">
        <f t="shared" ref="CM90" si="305">IF(Q90&lt;R90,CONCATENATE("* El total de Procesados debe ser mayor o igual al total de Reactivos en el grupo de edad ",$Q$11),"")</f>
        <v>* El total de Procesados debe ser mayor o igual al total de Reactivos en el grupo de edad 15 - 19 años</v>
      </c>
      <c r="CN90" s="2784" t="str">
        <f t="shared" si="281"/>
        <v>* El total de Procesados debe ser mayor o igual al total de Reactivos en el grupo de edad 20 - 24 años</v>
      </c>
      <c r="CO90" s="2784" t="str">
        <f t="shared" si="246"/>
        <v>* El total de Procesados debe ser mayor o igual al total de Reactivos en el grupo de edad 25 - 29 años</v>
      </c>
      <c r="CP90" s="2784" t="str">
        <f t="shared" si="282"/>
        <v>* El total de Procesados debe ser mayor o igual al total de Reactivos en el grupo de edad 30 - 34 años</v>
      </c>
      <c r="CQ90" s="2784" t="str">
        <f t="shared" si="283"/>
        <v>* El total de Procesados debe ser mayor o igual al total de Reactivos en el grupo de edad 35 - 39 años</v>
      </c>
      <c r="CR90" s="2784" t="str">
        <f t="shared" si="284"/>
        <v>* El total de Procesados debe ser mayor o igual al total de Reactivos en el grupo de edad 40 - 44 años</v>
      </c>
      <c r="CS90" s="2784" t="str">
        <f t="shared" si="285"/>
        <v>* El total de Procesados debe ser mayor o igual al total de Reactivos en el grupo de edad 50 - 54 años</v>
      </c>
      <c r="CT90" s="2784" t="str">
        <f t="shared" si="286"/>
        <v>* El total de Procesados debe ser mayor o igual al total de Reactivos en el grupo de edad 55 - 59 años</v>
      </c>
      <c r="CU90" s="2784" t="str">
        <f t="shared" si="287"/>
        <v>* El total de Procesados debe ser mayor o igual al total de Reactivos en el grupo de edad 60 - 64 años</v>
      </c>
      <c r="CV90" s="2784" t="str">
        <f t="shared" si="288"/>
        <v>* El total de Procesados debe ser mayor o igual al total de Reactivos en el grupo de edad 65 - 69 años</v>
      </c>
      <c r="CW90" s="2784" t="str">
        <f t="shared" si="289"/>
        <v>* El total de Procesados debe ser mayor o igual al total de Reactivos en el grupo de edad 70 - 74 años</v>
      </c>
      <c r="CX90" s="2784" t="str">
        <f t="shared" si="290"/>
        <v>* El total de Procesados debe ser mayor o igual al total de Reactivos en el grupo de edad 75 - 79 años</v>
      </c>
      <c r="CY90" s="2784" t="str">
        <f t="shared" si="291"/>
        <v>* El total de Procesados debe ser mayor o igual al total de Reactivos en el grupo de edad 80 y más años</v>
      </c>
      <c r="DF90" s="2630"/>
      <c r="DG90" s="2784" t="e">
        <f t="shared" si="292"/>
        <v>#VALUE!</v>
      </c>
      <c r="DH90" s="2920" t="e">
        <f t="shared" si="258"/>
        <v>#VALUE!</v>
      </c>
      <c r="DI90" s="2920">
        <f t="shared" si="259"/>
        <v>1</v>
      </c>
      <c r="DJ90" s="2920">
        <f t="shared" si="260"/>
        <v>1</v>
      </c>
      <c r="DK90" s="2783"/>
      <c r="DL90" s="2783"/>
      <c r="DM90" s="2783"/>
      <c r="DN90" s="2783"/>
      <c r="DO90" s="2783"/>
      <c r="DP90" s="2920">
        <f t="shared" ref="DP90:DP91" si="306">IF(O90&lt;P90,1,0)</f>
        <v>1</v>
      </c>
      <c r="DQ90" s="2920">
        <f t="shared" si="293"/>
        <v>1</v>
      </c>
      <c r="DR90" s="2920">
        <f t="shared" si="294"/>
        <v>1</v>
      </c>
      <c r="DS90" s="2920">
        <f t="shared" si="264"/>
        <v>1</v>
      </c>
      <c r="DT90" s="2920">
        <f t="shared" si="295"/>
        <v>1</v>
      </c>
      <c r="DU90" s="2920">
        <f t="shared" si="296"/>
        <v>1</v>
      </c>
      <c r="DV90" s="2920">
        <f t="shared" si="297"/>
        <v>1</v>
      </c>
      <c r="DW90" s="2920">
        <f t="shared" si="298"/>
        <v>1</v>
      </c>
      <c r="DX90" s="2920">
        <f t="shared" si="299"/>
        <v>1</v>
      </c>
      <c r="DY90" s="2920">
        <f t="shared" si="300"/>
        <v>1</v>
      </c>
      <c r="DZ90" s="2920">
        <f t="shared" si="301"/>
        <v>1</v>
      </c>
      <c r="EA90" s="2920">
        <f t="shared" si="302"/>
        <v>1</v>
      </c>
      <c r="EB90" s="2920">
        <f t="shared" si="303"/>
        <v>1</v>
      </c>
      <c r="EC90" s="2920">
        <f t="shared" si="304"/>
        <v>1</v>
      </c>
    </row>
    <row r="91" spans="1:133" x14ac:dyDescent="0.3">
      <c r="A91" s="6234">
        <v>11056430</v>
      </c>
      <c r="B91" s="3184" t="s">
        <v>2671</v>
      </c>
      <c r="C91" s="1928" t="s">
        <v>5292</v>
      </c>
      <c r="D91" s="3242" t="s">
        <v>5293</v>
      </c>
      <c r="E91" s="3479" t="s">
        <v>5294</v>
      </c>
      <c r="F91" s="5151" t="s">
        <v>5295</v>
      </c>
      <c r="G91" s="5038" t="s">
        <v>5296</v>
      </c>
      <c r="H91" s="5151" t="s">
        <v>5297</v>
      </c>
      <c r="I91" s="5038" t="s">
        <v>5298</v>
      </c>
      <c r="J91" s="5147" t="s">
        <v>5299</v>
      </c>
      <c r="K91" s="3479" t="s">
        <v>5300</v>
      </c>
      <c r="L91" s="3479" t="s">
        <v>5301</v>
      </c>
      <c r="M91" s="5038" t="s">
        <v>5302</v>
      </c>
      <c r="N91" s="5147" t="s">
        <v>5303</v>
      </c>
      <c r="O91" s="3479" t="s">
        <v>5304</v>
      </c>
      <c r="P91" s="5151" t="s">
        <v>5305</v>
      </c>
      <c r="Q91" s="5038" t="s">
        <v>5306</v>
      </c>
      <c r="R91" s="5151" t="s">
        <v>5307</v>
      </c>
      <c r="S91" s="5038" t="s">
        <v>5308</v>
      </c>
      <c r="T91" s="5151" t="s">
        <v>5309</v>
      </c>
      <c r="U91" s="5038" t="s">
        <v>5310</v>
      </c>
      <c r="V91" s="5151" t="s">
        <v>5311</v>
      </c>
      <c r="W91" s="5038" t="s">
        <v>5312</v>
      </c>
      <c r="X91" s="5151" t="s">
        <v>5313</v>
      </c>
      <c r="Y91" s="5038" t="s">
        <v>5314</v>
      </c>
      <c r="Z91" s="5151" t="s">
        <v>5315</v>
      </c>
      <c r="AA91" s="5038" t="s">
        <v>5316</v>
      </c>
      <c r="AB91" s="5151" t="s">
        <v>5317</v>
      </c>
      <c r="AC91" s="5038" t="s">
        <v>5318</v>
      </c>
      <c r="AD91" s="5151" t="s">
        <v>5319</v>
      </c>
      <c r="AE91" s="5038" t="s">
        <v>5320</v>
      </c>
      <c r="AF91" s="5151" t="s">
        <v>5321</v>
      </c>
      <c r="AG91" s="5038" t="s">
        <v>5322</v>
      </c>
      <c r="AH91" s="5151" t="s">
        <v>5323</v>
      </c>
      <c r="AI91" s="5038" t="s">
        <v>5324</v>
      </c>
      <c r="AJ91" s="5151" t="s">
        <v>5325</v>
      </c>
      <c r="AK91" s="5038" t="s">
        <v>5326</v>
      </c>
      <c r="AL91" s="5151" t="s">
        <v>5327</v>
      </c>
      <c r="AM91" s="5038" t="s">
        <v>5328</v>
      </c>
      <c r="AN91" s="5151" t="s">
        <v>5329</v>
      </c>
      <c r="AO91" s="5038" t="s">
        <v>5330</v>
      </c>
      <c r="AP91" s="5151" t="s">
        <v>5331</v>
      </c>
      <c r="AQ91" s="5038" t="s">
        <v>5332</v>
      </c>
      <c r="AR91" s="5145" t="s">
        <v>5333</v>
      </c>
      <c r="AS91" s="3479" t="s">
        <v>5334</v>
      </c>
      <c r="AT91" s="5145" t="s">
        <v>5335</v>
      </c>
      <c r="AU91" s="5146" t="s">
        <v>5336</v>
      </c>
      <c r="AV91" s="5145" t="s">
        <v>5337</v>
      </c>
      <c r="AW91" s="3479" t="s">
        <v>5338</v>
      </c>
      <c r="AX91" s="5147" t="s">
        <v>5339</v>
      </c>
      <c r="AY91" s="1687" t="e">
        <f>CC91&amp;CD91&amp;CE91&amp;CF91&amp;CG91&amp;CH91&amp;CI91&amp;CJ91&amp;CK91&amp;CL91&amp;CM91&amp;CN91&amp;CO91&amp;CP91&amp;CQ91&amp;CR91&amp;CS91&amp;CT91&amp;CU91&amp;CV91&amp;CW91&amp;CX91&amp;CY91</f>
        <v>#VALUE!</v>
      </c>
      <c r="CB91" s="600"/>
      <c r="CC91" s="2784" t="e">
        <f t="shared" si="280"/>
        <v>#VALUE!</v>
      </c>
      <c r="CD91" s="2784" t="e">
        <f t="shared" si="240"/>
        <v>#VALUE!</v>
      </c>
      <c r="CE91" s="2784" t="str">
        <f t="shared" si="241"/>
        <v xml:space="preserve"> *El Número de Pueblos Originarios no puede superar el Total Procesados. </v>
      </c>
      <c r="CF91" s="2784" t="str">
        <f t="shared" si="242"/>
        <v xml:space="preserve"> *El Número de Migrantes no puede superar el Total Procesados. </v>
      </c>
      <c r="CG91" s="2784" t="str">
        <f>IF(E91&lt;F91,CONCATENATE("* El total de Procesados debe ser mayor o igual al total de Reactivos en el grupo de edad ",$E$11),"")</f>
        <v>* El total de Procesados debe ser mayor o igual al total de Reactivos en el grupo de edad Menos de 6 meses</v>
      </c>
      <c r="CH91" s="2784" t="str">
        <f>IF(G91&lt;H91,CONCATENATE("* El total de Procesados debe ser mayor o igual al total de Reactivos en el grupo de edad ",$G$11),"")</f>
        <v>* El total de Procesados debe ser mayor o igual al total de Reactivos en el grupo de edad 6 - 11 meses</v>
      </c>
      <c r="CI91" s="2784" t="str">
        <f>IF(I91&lt;J91,CONCATENATE("* El total de Procesados debe ser mayor o igual al total de Reactivos en el grupo de edad ",$I$11),"")</f>
        <v>* El total de Procesados debe ser mayor o igual al total de Reactivos en el grupo de edad 12-24 meses</v>
      </c>
      <c r="CJ91" s="2784" t="str">
        <f>IF(K91&lt;L91,CONCATENATE("* El total de Procesados debe ser mayor o igual al total de Reactivos en el grupo de edad ",$K$11),"")</f>
        <v>* El total de Procesados debe ser mayor o igual al total de Reactivos en el grupo de edad 3 - 4 años</v>
      </c>
      <c r="CK91" s="2784" t="str">
        <f>IF(M91&lt;N91,CONCATENATE("* El total de Procesados debe ser mayor o igual al total de Reactivos en el grupo de edad ",$M$11),"")</f>
        <v>* El total de Procesados debe ser mayor o igual al total de Reactivos en el grupo de edad 5 - 9 años</v>
      </c>
      <c r="CL91" s="2784" t="str">
        <f>IF(O91&lt;P91,CONCATENATE("* El total de Procesados debe ser mayor o igual al total de Reactivos en el grupo de edad ",$O$11),"")</f>
        <v>* El total de Procesados debe ser mayor o igual al total de Reactivos en el grupo de edad 10 - 14 años</v>
      </c>
      <c r="CM91" s="2784" t="str">
        <f>IF(Q91&lt;R91,CONCATENATE("* El total de Procesados debe ser mayor o igual al total de Reactivos en el grupo de edad ",$Q$11),"")</f>
        <v>* El total de Procesados debe ser mayor o igual al total de Reactivos en el grupo de edad 15 - 19 años</v>
      </c>
      <c r="CN91" s="2784" t="str">
        <f t="shared" si="281"/>
        <v>* El total de Procesados debe ser mayor o igual al total de Reactivos en el grupo de edad 20 - 24 años</v>
      </c>
      <c r="CO91" s="2784" t="str">
        <f t="shared" si="246"/>
        <v>* El total de Procesados debe ser mayor o igual al total de Reactivos en el grupo de edad 25 - 29 años</v>
      </c>
      <c r="CP91" s="2784" t="str">
        <f t="shared" si="282"/>
        <v>* El total de Procesados debe ser mayor o igual al total de Reactivos en el grupo de edad 30 - 34 años</v>
      </c>
      <c r="CQ91" s="2784" t="str">
        <f t="shared" si="283"/>
        <v>* El total de Procesados debe ser mayor o igual al total de Reactivos en el grupo de edad 35 - 39 años</v>
      </c>
      <c r="CR91" s="2784" t="str">
        <f t="shared" si="284"/>
        <v>* El total de Procesados debe ser mayor o igual al total de Reactivos en el grupo de edad 40 - 44 años</v>
      </c>
      <c r="CS91" s="2784" t="str">
        <f t="shared" si="285"/>
        <v>* El total de Procesados debe ser mayor o igual al total de Reactivos en el grupo de edad 50 - 54 años</v>
      </c>
      <c r="CT91" s="2784" t="str">
        <f t="shared" si="286"/>
        <v>* El total de Procesados debe ser mayor o igual al total de Reactivos en el grupo de edad 55 - 59 años</v>
      </c>
      <c r="CU91" s="2784" t="str">
        <f t="shared" si="287"/>
        <v>* El total de Procesados debe ser mayor o igual al total de Reactivos en el grupo de edad 60 - 64 años</v>
      </c>
      <c r="CV91" s="2784" t="str">
        <f t="shared" si="288"/>
        <v>* El total de Procesados debe ser mayor o igual al total de Reactivos en el grupo de edad 65 - 69 años</v>
      </c>
      <c r="CW91" s="2784" t="str">
        <f t="shared" si="289"/>
        <v>* El total de Procesados debe ser mayor o igual al total de Reactivos en el grupo de edad 70 - 74 años</v>
      </c>
      <c r="CX91" s="2784" t="str">
        <f t="shared" si="290"/>
        <v>* El total de Procesados debe ser mayor o igual al total de Reactivos en el grupo de edad 75 - 79 años</v>
      </c>
      <c r="CY91" s="2784" t="str">
        <f t="shared" si="291"/>
        <v>* El total de Procesados debe ser mayor o igual al total de Reactivos en el grupo de edad 80 y más años</v>
      </c>
      <c r="DF91" s="2630"/>
      <c r="DG91" s="2784" t="e">
        <f t="shared" si="292"/>
        <v>#VALUE!</v>
      </c>
      <c r="DH91" s="2920" t="e">
        <f t="shared" si="258"/>
        <v>#VALUE!</v>
      </c>
      <c r="DI91" s="2920">
        <f t="shared" si="259"/>
        <v>1</v>
      </c>
      <c r="DJ91" s="2920">
        <f t="shared" si="260"/>
        <v>1</v>
      </c>
      <c r="DK91" s="2920">
        <f>IF(E91&lt;F91,1,0)</f>
        <v>1</v>
      </c>
      <c r="DL91" s="2920">
        <f>IF(G91&lt;H91,1,0)</f>
        <v>1</v>
      </c>
      <c r="DM91" s="2920">
        <f>IF(I91&lt;J91,1,0)</f>
        <v>1</v>
      </c>
      <c r="DN91" s="2920">
        <f>IF(K91&lt;L91,1,0)</f>
        <v>1</v>
      </c>
      <c r="DO91" s="2920">
        <f>IF(M91&lt;N91,1,0)</f>
        <v>1</v>
      </c>
      <c r="DP91" s="2920">
        <f t="shared" si="306"/>
        <v>1</v>
      </c>
      <c r="DQ91" s="2920">
        <f t="shared" si="293"/>
        <v>1</v>
      </c>
      <c r="DR91" s="2920">
        <f t="shared" si="294"/>
        <v>1</v>
      </c>
      <c r="DS91" s="2920">
        <f t="shared" si="264"/>
        <v>1</v>
      </c>
      <c r="DT91" s="2920">
        <f t="shared" si="295"/>
        <v>1</v>
      </c>
      <c r="DU91" s="2920">
        <f t="shared" si="296"/>
        <v>1</v>
      </c>
      <c r="DV91" s="2920">
        <f t="shared" si="297"/>
        <v>1</v>
      </c>
      <c r="DW91" s="2920">
        <f t="shared" si="298"/>
        <v>1</v>
      </c>
      <c r="DX91" s="2920">
        <f t="shared" si="299"/>
        <v>1</v>
      </c>
      <c r="DY91" s="2920">
        <f t="shared" si="300"/>
        <v>1</v>
      </c>
      <c r="DZ91" s="2920">
        <f t="shared" si="301"/>
        <v>1</v>
      </c>
      <c r="EA91" s="2920">
        <f t="shared" si="302"/>
        <v>1</v>
      </c>
      <c r="EB91" s="2920">
        <f t="shared" si="303"/>
        <v>1</v>
      </c>
      <c r="EC91" s="2920">
        <f t="shared" si="304"/>
        <v>1</v>
      </c>
    </row>
    <row r="92" spans="1:133" x14ac:dyDescent="0.3">
      <c r="A92" s="6234">
        <v>11056431</v>
      </c>
      <c r="B92" s="3485" t="s">
        <v>2672</v>
      </c>
      <c r="C92" s="1928" t="s">
        <v>5292</v>
      </c>
      <c r="D92" s="3242" t="s">
        <v>5293</v>
      </c>
      <c r="E92" s="3475" t="s">
        <v>5294</v>
      </c>
      <c r="F92" s="5149" t="s">
        <v>5295</v>
      </c>
      <c r="G92" s="5148" t="s">
        <v>5296</v>
      </c>
      <c r="H92" s="5149" t="s">
        <v>5297</v>
      </c>
      <c r="I92" s="5148" t="s">
        <v>5298</v>
      </c>
      <c r="J92" s="5149" t="s">
        <v>5299</v>
      </c>
      <c r="K92" s="5148" t="s">
        <v>5300</v>
      </c>
      <c r="L92" s="5149" t="s">
        <v>5301</v>
      </c>
      <c r="M92" s="5148" t="s">
        <v>5302</v>
      </c>
      <c r="N92" s="5150" t="s">
        <v>5303</v>
      </c>
      <c r="O92" s="3475" t="s">
        <v>5304</v>
      </c>
      <c r="P92" s="5149" t="s">
        <v>5305</v>
      </c>
      <c r="Q92" s="5038" t="s">
        <v>5306</v>
      </c>
      <c r="R92" s="5151" t="s">
        <v>5307</v>
      </c>
      <c r="S92" s="5038" t="s">
        <v>5308</v>
      </c>
      <c r="T92" s="5151" t="s">
        <v>5309</v>
      </c>
      <c r="U92" s="5038" t="s">
        <v>5310</v>
      </c>
      <c r="V92" s="5151" t="s">
        <v>5311</v>
      </c>
      <c r="W92" s="5038" t="s">
        <v>5312</v>
      </c>
      <c r="X92" s="5151" t="s">
        <v>5313</v>
      </c>
      <c r="Y92" s="5038" t="s">
        <v>5314</v>
      </c>
      <c r="Z92" s="5151" t="s">
        <v>5315</v>
      </c>
      <c r="AA92" s="5038" t="s">
        <v>5316</v>
      </c>
      <c r="AB92" s="5151" t="s">
        <v>5317</v>
      </c>
      <c r="AC92" s="5038" t="s">
        <v>5318</v>
      </c>
      <c r="AD92" s="5151" t="s">
        <v>5319</v>
      </c>
      <c r="AE92" s="5038" t="s">
        <v>5320</v>
      </c>
      <c r="AF92" s="5151" t="s">
        <v>5321</v>
      </c>
      <c r="AG92" s="5038" t="s">
        <v>5322</v>
      </c>
      <c r="AH92" s="5151" t="s">
        <v>5323</v>
      </c>
      <c r="AI92" s="5038" t="s">
        <v>5324</v>
      </c>
      <c r="AJ92" s="5151" t="s">
        <v>5325</v>
      </c>
      <c r="AK92" s="5038" t="s">
        <v>5326</v>
      </c>
      <c r="AL92" s="5151" t="s">
        <v>5327</v>
      </c>
      <c r="AM92" s="5038" t="s">
        <v>5328</v>
      </c>
      <c r="AN92" s="5151" t="s">
        <v>5329</v>
      </c>
      <c r="AO92" s="5038" t="s">
        <v>5330</v>
      </c>
      <c r="AP92" s="5151" t="s">
        <v>5331</v>
      </c>
      <c r="AQ92" s="5038" t="s">
        <v>5332</v>
      </c>
      <c r="AR92" s="5145" t="s">
        <v>5333</v>
      </c>
      <c r="AS92" s="3479" t="s">
        <v>5334</v>
      </c>
      <c r="AT92" s="5145" t="s">
        <v>5335</v>
      </c>
      <c r="AU92" s="5146" t="s">
        <v>5336</v>
      </c>
      <c r="AV92" s="5145" t="s">
        <v>5337</v>
      </c>
      <c r="AW92" s="3479" t="s">
        <v>5338</v>
      </c>
      <c r="AX92" s="5147" t="s">
        <v>5339</v>
      </c>
      <c r="AY92" s="1687" t="e">
        <f t="shared" ref="AY92" si="307">CC92&amp;CD92&amp;CE92&amp;CF92&amp;CM92&amp;CN92&amp;CO92&amp;CP92&amp;CQ92&amp;CR92&amp;CS92&amp;CT92&amp;CU92&amp;CV92&amp;CW92&amp;CX92&amp;CY92</f>
        <v>#VALUE!</v>
      </c>
      <c r="CB92" s="600"/>
      <c r="CC92" s="2784" t="e">
        <f t="shared" si="280"/>
        <v>#VALUE!</v>
      </c>
      <c r="CD92" s="2784" t="e">
        <f t="shared" si="240"/>
        <v>#VALUE!</v>
      </c>
      <c r="CE92" s="2784" t="str">
        <f t="shared" si="241"/>
        <v xml:space="preserve"> *El Número de Pueblos Originarios no puede superar el Total Procesados. </v>
      </c>
      <c r="CF92" s="2784" t="str">
        <f t="shared" si="242"/>
        <v xml:space="preserve"> *El Número de Migrantes no puede superar el Total Procesados. </v>
      </c>
      <c r="CG92" s="3488"/>
      <c r="CH92" s="3488"/>
      <c r="CI92" s="2783"/>
      <c r="CJ92" s="2783"/>
      <c r="CK92" s="2783"/>
      <c r="CL92" s="3488"/>
      <c r="CM92" s="2784" t="str">
        <f t="shared" ref="CM92:CM96" si="308">IF(Q92&lt;R92,CONCATENATE("* El total de Procesados debe ser mayor o igual al total de Reactivos en el grupo de edad ",$Q$11),"")</f>
        <v>* El total de Procesados debe ser mayor o igual al total de Reactivos en el grupo de edad 15 - 19 años</v>
      </c>
      <c r="CN92" s="2784" t="str">
        <f t="shared" si="281"/>
        <v>* El total de Procesados debe ser mayor o igual al total de Reactivos en el grupo de edad 20 - 24 años</v>
      </c>
      <c r="CO92" s="2784" t="str">
        <f t="shared" si="246"/>
        <v>* El total de Procesados debe ser mayor o igual al total de Reactivos en el grupo de edad 25 - 29 años</v>
      </c>
      <c r="CP92" s="2784" t="str">
        <f t="shared" si="282"/>
        <v>* El total de Procesados debe ser mayor o igual al total de Reactivos en el grupo de edad 30 - 34 años</v>
      </c>
      <c r="CQ92" s="2784" t="str">
        <f t="shared" si="283"/>
        <v>* El total de Procesados debe ser mayor o igual al total de Reactivos en el grupo de edad 35 - 39 años</v>
      </c>
      <c r="CR92" s="2784" t="str">
        <f t="shared" si="284"/>
        <v>* El total de Procesados debe ser mayor o igual al total de Reactivos en el grupo de edad 40 - 44 años</v>
      </c>
      <c r="CS92" s="2784" t="str">
        <f t="shared" si="285"/>
        <v>* El total de Procesados debe ser mayor o igual al total de Reactivos en el grupo de edad 50 - 54 años</v>
      </c>
      <c r="CT92" s="2784" t="str">
        <f t="shared" si="286"/>
        <v>* El total de Procesados debe ser mayor o igual al total de Reactivos en el grupo de edad 55 - 59 años</v>
      </c>
      <c r="CU92" s="2784" t="str">
        <f t="shared" si="287"/>
        <v>* El total de Procesados debe ser mayor o igual al total de Reactivos en el grupo de edad 60 - 64 años</v>
      </c>
      <c r="CV92" s="2784" t="str">
        <f t="shared" si="288"/>
        <v>* El total de Procesados debe ser mayor o igual al total de Reactivos en el grupo de edad 65 - 69 años</v>
      </c>
      <c r="CW92" s="2784" t="str">
        <f t="shared" si="289"/>
        <v>* El total de Procesados debe ser mayor o igual al total de Reactivos en el grupo de edad 70 - 74 años</v>
      </c>
      <c r="CX92" s="2784" t="str">
        <f t="shared" si="290"/>
        <v>* El total de Procesados debe ser mayor o igual al total de Reactivos en el grupo de edad 75 - 79 años</v>
      </c>
      <c r="CY92" s="2784" t="str">
        <f t="shared" si="291"/>
        <v>* El total de Procesados debe ser mayor o igual al total de Reactivos en el grupo de edad 80 y más años</v>
      </c>
      <c r="DF92" s="2630"/>
      <c r="DG92" s="2784" t="e">
        <f t="shared" si="292"/>
        <v>#VALUE!</v>
      </c>
      <c r="DH92" s="2920" t="e">
        <f t="shared" si="258"/>
        <v>#VALUE!</v>
      </c>
      <c r="DI92" s="2920">
        <f t="shared" si="259"/>
        <v>1</v>
      </c>
      <c r="DJ92" s="2920">
        <f t="shared" si="260"/>
        <v>1</v>
      </c>
      <c r="DK92" s="2783"/>
      <c r="DL92" s="2783"/>
      <c r="DM92" s="2783"/>
      <c r="DN92" s="2783"/>
      <c r="DO92" s="2783"/>
      <c r="DP92" s="3018"/>
      <c r="DQ92" s="2920">
        <f t="shared" si="293"/>
        <v>1</v>
      </c>
      <c r="DR92" s="2920">
        <f t="shared" si="294"/>
        <v>1</v>
      </c>
      <c r="DS92" s="2920">
        <f t="shared" si="264"/>
        <v>1</v>
      </c>
      <c r="DT92" s="2920">
        <f t="shared" si="295"/>
        <v>1</v>
      </c>
      <c r="DU92" s="2920">
        <f t="shared" si="296"/>
        <v>1</v>
      </c>
      <c r="DV92" s="2920">
        <f t="shared" si="297"/>
        <v>1</v>
      </c>
      <c r="DW92" s="2920">
        <f t="shared" si="298"/>
        <v>1</v>
      </c>
      <c r="DX92" s="2920">
        <f t="shared" si="299"/>
        <v>1</v>
      </c>
      <c r="DY92" s="2920">
        <f t="shared" si="300"/>
        <v>1</v>
      </c>
      <c r="DZ92" s="2920">
        <f t="shared" si="301"/>
        <v>1</v>
      </c>
      <c r="EA92" s="2920">
        <f t="shared" si="302"/>
        <v>1</v>
      </c>
      <c r="EB92" s="2920">
        <f t="shared" si="303"/>
        <v>1</v>
      </c>
      <c r="EC92" s="2920">
        <f t="shared" si="304"/>
        <v>1</v>
      </c>
    </row>
    <row r="93" spans="1:133" x14ac:dyDescent="0.3">
      <c r="A93" s="6234">
        <v>11056432</v>
      </c>
      <c r="B93" s="3184" t="s">
        <v>2673</v>
      </c>
      <c r="C93" s="1928" t="s">
        <v>5292</v>
      </c>
      <c r="D93" s="3242" t="s">
        <v>5293</v>
      </c>
      <c r="E93" s="3475" t="s">
        <v>5294</v>
      </c>
      <c r="F93" s="5149" t="s">
        <v>5295</v>
      </c>
      <c r="G93" s="5148" t="s">
        <v>5296</v>
      </c>
      <c r="H93" s="5149" t="s">
        <v>5297</v>
      </c>
      <c r="I93" s="5148" t="s">
        <v>5298</v>
      </c>
      <c r="J93" s="5149" t="s">
        <v>5299</v>
      </c>
      <c r="K93" s="5148" t="s">
        <v>5300</v>
      </c>
      <c r="L93" s="5149" t="s">
        <v>5301</v>
      </c>
      <c r="M93" s="5148" t="s">
        <v>5302</v>
      </c>
      <c r="N93" s="5150" t="s">
        <v>5303</v>
      </c>
      <c r="O93" s="3475" t="s">
        <v>5304</v>
      </c>
      <c r="P93" s="5149" t="s">
        <v>5305</v>
      </c>
      <c r="Q93" s="5038" t="s">
        <v>5306</v>
      </c>
      <c r="R93" s="5151" t="s">
        <v>5307</v>
      </c>
      <c r="S93" s="5038" t="s">
        <v>5308</v>
      </c>
      <c r="T93" s="5151" t="s">
        <v>5309</v>
      </c>
      <c r="U93" s="5038" t="s">
        <v>5310</v>
      </c>
      <c r="V93" s="5151" t="s">
        <v>5311</v>
      </c>
      <c r="W93" s="5038" t="s">
        <v>5312</v>
      </c>
      <c r="X93" s="5151" t="s">
        <v>5313</v>
      </c>
      <c r="Y93" s="5038" t="s">
        <v>5314</v>
      </c>
      <c r="Z93" s="5151" t="s">
        <v>5315</v>
      </c>
      <c r="AA93" s="5038" t="s">
        <v>5316</v>
      </c>
      <c r="AB93" s="5151" t="s">
        <v>5317</v>
      </c>
      <c r="AC93" s="5038" t="s">
        <v>5318</v>
      </c>
      <c r="AD93" s="5151" t="s">
        <v>5319</v>
      </c>
      <c r="AE93" s="5038" t="s">
        <v>5320</v>
      </c>
      <c r="AF93" s="5151" t="s">
        <v>5321</v>
      </c>
      <c r="AG93" s="5038" t="s">
        <v>5322</v>
      </c>
      <c r="AH93" s="5151" t="s">
        <v>5323</v>
      </c>
      <c r="AI93" s="5038" t="s">
        <v>5324</v>
      </c>
      <c r="AJ93" s="5151" t="s">
        <v>5325</v>
      </c>
      <c r="AK93" s="5148" t="s">
        <v>5326</v>
      </c>
      <c r="AL93" s="5149" t="s">
        <v>5327</v>
      </c>
      <c r="AM93" s="5148" t="s">
        <v>5328</v>
      </c>
      <c r="AN93" s="5149" t="s">
        <v>5329</v>
      </c>
      <c r="AO93" s="5148" t="s">
        <v>5330</v>
      </c>
      <c r="AP93" s="5149" t="s">
        <v>5331</v>
      </c>
      <c r="AQ93" s="5148" t="s">
        <v>5332</v>
      </c>
      <c r="AR93" s="5156" t="s">
        <v>5333</v>
      </c>
      <c r="AS93" s="3479" t="s">
        <v>5334</v>
      </c>
      <c r="AT93" s="5145" t="s">
        <v>5335</v>
      </c>
      <c r="AU93" s="5146" t="s">
        <v>5336</v>
      </c>
      <c r="AV93" s="5145" t="s">
        <v>5337</v>
      </c>
      <c r="AW93" s="3479" t="s">
        <v>5338</v>
      </c>
      <c r="AX93" s="5147" t="s">
        <v>5339</v>
      </c>
      <c r="AY93" s="1687" t="e">
        <f>CC93&amp;CD93&amp;CE93&amp;CF93&amp;CM93&amp;CN93&amp;CO93&amp;CP93&amp;CQ93&amp;CR93&amp;CS93&amp;CT93&amp;CU93</f>
        <v>#VALUE!</v>
      </c>
      <c r="CB93" s="600"/>
      <c r="CC93" s="2784" t="e">
        <f t="shared" si="280"/>
        <v>#VALUE!</v>
      </c>
      <c r="CD93" s="2784" t="e">
        <f t="shared" si="240"/>
        <v>#VALUE!</v>
      </c>
      <c r="CE93" s="2784" t="str">
        <f t="shared" si="241"/>
        <v xml:space="preserve"> *El Número de Pueblos Originarios no puede superar el Total Procesados. </v>
      </c>
      <c r="CF93" s="2784" t="str">
        <f t="shared" si="242"/>
        <v xml:space="preserve"> *El Número de Migrantes no puede superar el Total Procesados. </v>
      </c>
      <c r="CG93" s="3488"/>
      <c r="CH93" s="3488"/>
      <c r="CI93" s="2783"/>
      <c r="CJ93" s="2783"/>
      <c r="CK93" s="2783"/>
      <c r="CL93" s="3488"/>
      <c r="CM93" s="2784" t="str">
        <f t="shared" si="308"/>
        <v>* El total de Procesados debe ser mayor o igual al total de Reactivos en el grupo de edad 15 - 19 años</v>
      </c>
      <c r="CN93" s="2784" t="str">
        <f t="shared" si="281"/>
        <v>* El total de Procesados debe ser mayor o igual al total de Reactivos en el grupo de edad 20 - 24 años</v>
      </c>
      <c r="CO93" s="2784" t="str">
        <f t="shared" si="246"/>
        <v>* El total de Procesados debe ser mayor o igual al total de Reactivos en el grupo de edad 25 - 29 años</v>
      </c>
      <c r="CP93" s="2784" t="str">
        <f t="shared" si="282"/>
        <v>* El total de Procesados debe ser mayor o igual al total de Reactivos en el grupo de edad 30 - 34 años</v>
      </c>
      <c r="CQ93" s="2784" t="str">
        <f t="shared" si="283"/>
        <v>* El total de Procesados debe ser mayor o igual al total de Reactivos en el grupo de edad 35 - 39 años</v>
      </c>
      <c r="CR93" s="2784" t="str">
        <f t="shared" si="284"/>
        <v>* El total de Procesados debe ser mayor o igual al total de Reactivos en el grupo de edad 40 - 44 años</v>
      </c>
      <c r="CS93" s="2784" t="str">
        <f t="shared" si="285"/>
        <v>* El total de Procesados debe ser mayor o igual al total de Reactivos en el grupo de edad 50 - 54 años</v>
      </c>
      <c r="CT93" s="2784" t="str">
        <f t="shared" si="286"/>
        <v>* El total de Procesados debe ser mayor o igual al total de Reactivos en el grupo de edad 55 - 59 años</v>
      </c>
      <c r="CU93" s="2784" t="str">
        <f t="shared" si="287"/>
        <v>* El total de Procesados debe ser mayor o igual al total de Reactivos en el grupo de edad 60 - 64 años</v>
      </c>
      <c r="CV93" s="3018"/>
      <c r="CW93" s="3018"/>
      <c r="CX93" s="3018"/>
      <c r="CY93" s="3018"/>
      <c r="DF93" s="2630"/>
      <c r="DG93" s="2784" t="e">
        <f t="shared" si="292"/>
        <v>#VALUE!</v>
      </c>
      <c r="DH93" s="2920" t="e">
        <f t="shared" si="258"/>
        <v>#VALUE!</v>
      </c>
      <c r="DI93" s="2920">
        <f t="shared" si="259"/>
        <v>1</v>
      </c>
      <c r="DJ93" s="2920">
        <f t="shared" si="260"/>
        <v>1</v>
      </c>
      <c r="DK93" s="2783"/>
      <c r="DL93" s="2783"/>
      <c r="DM93" s="2783"/>
      <c r="DN93" s="2783"/>
      <c r="DO93" s="2783"/>
      <c r="DP93" s="3018"/>
      <c r="DQ93" s="2920">
        <f t="shared" si="293"/>
        <v>1</v>
      </c>
      <c r="DR93" s="2920">
        <f t="shared" si="294"/>
        <v>1</v>
      </c>
      <c r="DS93" s="2920">
        <f t="shared" si="264"/>
        <v>1</v>
      </c>
      <c r="DT93" s="2920">
        <f t="shared" si="295"/>
        <v>1</v>
      </c>
      <c r="DU93" s="2920">
        <f t="shared" si="296"/>
        <v>1</v>
      </c>
      <c r="DV93" s="2920">
        <f t="shared" si="297"/>
        <v>1</v>
      </c>
      <c r="DW93" s="2920">
        <f t="shared" si="298"/>
        <v>1</v>
      </c>
      <c r="DX93" s="2920">
        <f t="shared" si="299"/>
        <v>1</v>
      </c>
      <c r="DY93" s="2920">
        <f t="shared" si="300"/>
        <v>1</v>
      </c>
      <c r="DZ93" s="3018"/>
      <c r="EA93" s="3018"/>
      <c r="EB93" s="3018"/>
      <c r="EC93" s="3018"/>
    </row>
    <row r="94" spans="1:133" x14ac:dyDescent="0.3">
      <c r="A94" s="6234">
        <v>11056433</v>
      </c>
      <c r="B94" s="3184" t="s">
        <v>2674</v>
      </c>
      <c r="C94" s="1928" t="s">
        <v>5292</v>
      </c>
      <c r="D94" s="3242" t="s">
        <v>5293</v>
      </c>
      <c r="E94" s="3479" t="s">
        <v>5294</v>
      </c>
      <c r="F94" s="5151" t="s">
        <v>5295</v>
      </c>
      <c r="G94" s="5038" t="s">
        <v>5296</v>
      </c>
      <c r="H94" s="5151" t="s">
        <v>5297</v>
      </c>
      <c r="I94" s="5038" t="s">
        <v>5298</v>
      </c>
      <c r="J94" s="5147" t="s">
        <v>5299</v>
      </c>
      <c r="K94" s="3479" t="s">
        <v>5300</v>
      </c>
      <c r="L94" s="3479" t="s">
        <v>5301</v>
      </c>
      <c r="M94" s="5038" t="s">
        <v>5302</v>
      </c>
      <c r="N94" s="5147" t="s">
        <v>5303</v>
      </c>
      <c r="O94" s="3479" t="s">
        <v>5304</v>
      </c>
      <c r="P94" s="5151" t="s">
        <v>5305</v>
      </c>
      <c r="Q94" s="5038" t="s">
        <v>5306</v>
      </c>
      <c r="R94" s="5151" t="s">
        <v>5307</v>
      </c>
      <c r="S94" s="5038" t="s">
        <v>5308</v>
      </c>
      <c r="T94" s="5151" t="s">
        <v>5309</v>
      </c>
      <c r="U94" s="5038" t="s">
        <v>5310</v>
      </c>
      <c r="V94" s="5151" t="s">
        <v>5311</v>
      </c>
      <c r="W94" s="5038" t="s">
        <v>5312</v>
      </c>
      <c r="X94" s="5151" t="s">
        <v>5313</v>
      </c>
      <c r="Y94" s="5038" t="s">
        <v>5314</v>
      </c>
      <c r="Z94" s="5151" t="s">
        <v>5315</v>
      </c>
      <c r="AA94" s="5038" t="s">
        <v>5316</v>
      </c>
      <c r="AB94" s="5151" t="s">
        <v>5317</v>
      </c>
      <c r="AC94" s="5038" t="s">
        <v>5318</v>
      </c>
      <c r="AD94" s="5151" t="s">
        <v>5319</v>
      </c>
      <c r="AE94" s="5038" t="s">
        <v>5320</v>
      </c>
      <c r="AF94" s="5151" t="s">
        <v>5321</v>
      </c>
      <c r="AG94" s="5038" t="s">
        <v>5322</v>
      </c>
      <c r="AH94" s="5151" t="s">
        <v>5323</v>
      </c>
      <c r="AI94" s="5038" t="s">
        <v>5324</v>
      </c>
      <c r="AJ94" s="5151" t="s">
        <v>5325</v>
      </c>
      <c r="AK94" s="5038" t="s">
        <v>5326</v>
      </c>
      <c r="AL94" s="5151" t="s">
        <v>5327</v>
      </c>
      <c r="AM94" s="5038" t="s">
        <v>5328</v>
      </c>
      <c r="AN94" s="5151" t="s">
        <v>5329</v>
      </c>
      <c r="AO94" s="5038" t="s">
        <v>5330</v>
      </c>
      <c r="AP94" s="5151" t="s">
        <v>5331</v>
      </c>
      <c r="AQ94" s="5038" t="s">
        <v>5332</v>
      </c>
      <c r="AR94" s="5145" t="s">
        <v>5333</v>
      </c>
      <c r="AS94" s="3479" t="s">
        <v>5334</v>
      </c>
      <c r="AT94" s="5145" t="s">
        <v>5335</v>
      </c>
      <c r="AU94" s="5146" t="s">
        <v>5336</v>
      </c>
      <c r="AV94" s="5145" t="s">
        <v>5337</v>
      </c>
      <c r="AW94" s="3479" t="s">
        <v>5338</v>
      </c>
      <c r="AX94" s="5147" t="s">
        <v>5339</v>
      </c>
      <c r="AY94" s="1687" t="e">
        <f>CC94&amp;CD94&amp;CE94&amp;CF94&amp;CL94&amp;CM94&amp;CN94&amp;CO94&amp;CP94&amp;CQ94&amp;CR94&amp;CS94&amp;CT94&amp;CU94&amp;CV94&amp;CW94&amp;CX94&amp;CY94&amp;CG94&amp;CH94&amp;CI94&amp;CJ94&amp;CK94</f>
        <v>#VALUE!</v>
      </c>
      <c r="CB94" s="600"/>
      <c r="CC94" s="2784" t="e">
        <f t="shared" si="280"/>
        <v>#VALUE!</v>
      </c>
      <c r="CD94" s="2784" t="e">
        <f t="shared" si="240"/>
        <v>#VALUE!</v>
      </c>
      <c r="CE94" s="2784" t="str">
        <f t="shared" si="241"/>
        <v xml:space="preserve"> *El Número de Pueblos Originarios no puede superar el Total Procesados. </v>
      </c>
      <c r="CF94" s="2784" t="str">
        <f t="shared" si="242"/>
        <v xml:space="preserve"> *El Número de Migrantes no puede superar el Total Procesados. </v>
      </c>
      <c r="CG94" s="2784" t="str">
        <f t="shared" ref="CG94:CG96" si="309">IF(E94&lt;F94,CONCATENATE("* El total de Procesados debe ser mayor o igual al total de Reactivos en el grupo de edad ",$E$11),"")</f>
        <v>* El total de Procesados debe ser mayor o igual al total de Reactivos en el grupo de edad Menos de 6 meses</v>
      </c>
      <c r="CH94" s="2784" t="str">
        <f t="shared" ref="CH94:CH96" si="310">IF(G94&lt;H94,CONCATENATE("* El total de Procesados debe ser mayor o igual al total de Reactivos en el grupo de edad ",$G$11),"")</f>
        <v>* El total de Procesados debe ser mayor o igual al total de Reactivos en el grupo de edad 6 - 11 meses</v>
      </c>
      <c r="CI94" s="2784" t="str">
        <f t="shared" ref="CI94:CI96" si="311">IF(I94&lt;J94,CONCATENATE("* El total de Procesados debe ser mayor o igual al total de Reactivos en el grupo de edad ",$I$11),"")</f>
        <v>* El total de Procesados debe ser mayor o igual al total de Reactivos en el grupo de edad 12-24 meses</v>
      </c>
      <c r="CJ94" s="2784" t="str">
        <f t="shared" ref="CJ94:CJ96" si="312">IF(K94&lt;L94,CONCATENATE("* El total de Procesados debe ser mayor o igual al total de Reactivos en el grupo de edad ",$K$11),"")</f>
        <v>* El total de Procesados debe ser mayor o igual al total de Reactivos en el grupo de edad 3 - 4 años</v>
      </c>
      <c r="CK94" s="2784" t="str">
        <f t="shared" ref="CK94:CK96" si="313">IF(M94&lt;N94,CONCATENATE("* El total de Procesados debe ser mayor o igual al total de Reactivos en el grupo de edad ",$M$11),"")</f>
        <v>* El total de Procesados debe ser mayor o igual al total de Reactivos en el grupo de edad 5 - 9 años</v>
      </c>
      <c r="CL94" s="2784" t="str">
        <f t="shared" ref="CL94:CL96" si="314">IF(O94&lt;P94,CONCATENATE("* El total de Procesados debe ser mayor o igual al total de Reactivos en el grupo de edad ",$O$11),"")</f>
        <v>* El total de Procesados debe ser mayor o igual al total de Reactivos en el grupo de edad 10 - 14 años</v>
      </c>
      <c r="CM94" s="2784" t="str">
        <f t="shared" si="308"/>
        <v>* El total de Procesados debe ser mayor o igual al total de Reactivos en el grupo de edad 15 - 19 años</v>
      </c>
      <c r="CN94" s="2784" t="str">
        <f t="shared" si="281"/>
        <v>* El total de Procesados debe ser mayor o igual al total de Reactivos en el grupo de edad 20 - 24 años</v>
      </c>
      <c r="CO94" s="2784" t="str">
        <f t="shared" si="246"/>
        <v>* El total de Procesados debe ser mayor o igual al total de Reactivos en el grupo de edad 25 - 29 años</v>
      </c>
      <c r="CP94" s="2784" t="str">
        <f t="shared" si="282"/>
        <v>* El total de Procesados debe ser mayor o igual al total de Reactivos en el grupo de edad 30 - 34 años</v>
      </c>
      <c r="CQ94" s="2784" t="str">
        <f t="shared" si="283"/>
        <v>* El total de Procesados debe ser mayor o igual al total de Reactivos en el grupo de edad 35 - 39 años</v>
      </c>
      <c r="CR94" s="2784" t="str">
        <f t="shared" si="284"/>
        <v>* El total de Procesados debe ser mayor o igual al total de Reactivos en el grupo de edad 40 - 44 años</v>
      </c>
      <c r="CS94" s="2784" t="str">
        <f t="shared" si="285"/>
        <v>* El total de Procesados debe ser mayor o igual al total de Reactivos en el grupo de edad 50 - 54 años</v>
      </c>
      <c r="CT94" s="2784" t="str">
        <f t="shared" si="286"/>
        <v>* El total de Procesados debe ser mayor o igual al total de Reactivos en el grupo de edad 55 - 59 años</v>
      </c>
      <c r="CU94" s="2784" t="str">
        <f t="shared" si="287"/>
        <v>* El total de Procesados debe ser mayor o igual al total de Reactivos en el grupo de edad 60 - 64 años</v>
      </c>
      <c r="CV94" s="2784" t="str">
        <f t="shared" ref="CV94:CV96" si="315">IF(AK94&lt;AL94,CONCATENATE("* El total de Procesados debe ser mayor o igual al total de Reactivos en el grupo de edad ",$AK$11),"")</f>
        <v>* El total de Procesados debe ser mayor o igual al total de Reactivos en el grupo de edad 65 - 69 años</v>
      </c>
      <c r="CW94" s="2784" t="str">
        <f t="shared" ref="CW94:CW96" si="316">IF(AM94&lt;AN94,CONCATENATE("* El total de Procesados debe ser mayor o igual al total de Reactivos en el grupo de edad ",$AM$11),"")</f>
        <v>* El total de Procesados debe ser mayor o igual al total de Reactivos en el grupo de edad 70 - 74 años</v>
      </c>
      <c r="CX94" s="2784" t="str">
        <f t="shared" ref="CX94:CX96" si="317">IF(AO94&lt;AP94,CONCATENATE("* El total de Procesados debe ser mayor o igual al total de Reactivos en el grupo de edad ",$AO$11),"")</f>
        <v>* El total de Procesados debe ser mayor o igual al total de Reactivos en el grupo de edad 75 - 79 años</v>
      </c>
      <c r="CY94" s="2784" t="str">
        <f t="shared" ref="CY94:CY96" si="318">IF(AQ94&lt;AR94,CONCATENATE("* El total de Procesados debe ser mayor o igual al total de Reactivos en el grupo de edad ",$AQ$11),"")</f>
        <v>* El total de Procesados debe ser mayor o igual al total de Reactivos en el grupo de edad 80 y más años</v>
      </c>
      <c r="DF94" s="2630"/>
      <c r="DG94" s="2784" t="e">
        <f t="shared" si="292"/>
        <v>#VALUE!</v>
      </c>
      <c r="DH94" s="2920" t="e">
        <f t="shared" si="258"/>
        <v>#VALUE!</v>
      </c>
      <c r="DI94" s="2920">
        <f t="shared" si="259"/>
        <v>1</v>
      </c>
      <c r="DJ94" s="2920">
        <f t="shared" si="260"/>
        <v>1</v>
      </c>
      <c r="DK94" s="2920">
        <f t="shared" ref="DK94:DK96" si="319">IF(E94&lt;F94,1,0)</f>
        <v>1</v>
      </c>
      <c r="DL94" s="2920">
        <f t="shared" ref="DL94:DL96" si="320">IF(G94&lt;H94,1,0)</f>
        <v>1</v>
      </c>
      <c r="DM94" s="2920">
        <f t="shared" ref="DM94:DM96" si="321">IF(I94&lt;J94,1,0)</f>
        <v>1</v>
      </c>
      <c r="DN94" s="2920">
        <f t="shared" ref="DN94:DN96" si="322">IF(K94&lt;L94,1,0)</f>
        <v>1</v>
      </c>
      <c r="DO94" s="2920">
        <f t="shared" ref="DO94:DO96" si="323">IF(M94&lt;N94,1,0)</f>
        <v>1</v>
      </c>
      <c r="DP94" s="2920">
        <f t="shared" ref="DP94:DP96" si="324">IF(O94&lt;P94,1,0)</f>
        <v>1</v>
      </c>
      <c r="DQ94" s="2920">
        <f t="shared" si="293"/>
        <v>1</v>
      </c>
      <c r="DR94" s="2920">
        <f t="shared" si="294"/>
        <v>1</v>
      </c>
      <c r="DS94" s="2920">
        <f t="shared" si="264"/>
        <v>1</v>
      </c>
      <c r="DT94" s="2920">
        <f t="shared" si="295"/>
        <v>1</v>
      </c>
      <c r="DU94" s="2920">
        <f t="shared" si="296"/>
        <v>1</v>
      </c>
      <c r="DV94" s="2920">
        <f t="shared" si="297"/>
        <v>1</v>
      </c>
      <c r="DW94" s="2920">
        <f t="shared" si="298"/>
        <v>1</v>
      </c>
      <c r="DX94" s="2920">
        <f t="shared" si="299"/>
        <v>1</v>
      </c>
      <c r="DY94" s="2920">
        <f t="shared" si="300"/>
        <v>1</v>
      </c>
      <c r="DZ94" s="2920">
        <f t="shared" ref="DZ94:DZ96" si="325">IF(AK94&lt;AL94,1,0)</f>
        <v>1</v>
      </c>
      <c r="EA94" s="2920">
        <f t="shared" ref="EA94:EA96" si="326">IF(AM94&lt;AN94,1,0)</f>
        <v>1</v>
      </c>
      <c r="EB94" s="2920">
        <f t="shared" ref="EB94:EB96" si="327">IF(AO94&lt;AP94,1,0)</f>
        <v>1</v>
      </c>
      <c r="EC94" s="2920">
        <f t="shared" ref="EC94:EC96" si="328">IF(AQ94&lt;AR94,1,0)</f>
        <v>1</v>
      </c>
    </row>
    <row r="95" spans="1:133" x14ac:dyDescent="0.3">
      <c r="A95" s="6234">
        <v>11056434</v>
      </c>
      <c r="B95" s="3184" t="s">
        <v>2675</v>
      </c>
      <c r="C95" s="1928" t="s">
        <v>5292</v>
      </c>
      <c r="D95" s="3242" t="s">
        <v>5293</v>
      </c>
      <c r="E95" s="3479" t="s">
        <v>5294</v>
      </c>
      <c r="F95" s="5151" t="s">
        <v>5295</v>
      </c>
      <c r="G95" s="5038" t="s">
        <v>5296</v>
      </c>
      <c r="H95" s="5151" t="s">
        <v>5297</v>
      </c>
      <c r="I95" s="5038" t="s">
        <v>5298</v>
      </c>
      <c r="J95" s="5147" t="s">
        <v>5299</v>
      </c>
      <c r="K95" s="3479" t="s">
        <v>5300</v>
      </c>
      <c r="L95" s="3479" t="s">
        <v>5301</v>
      </c>
      <c r="M95" s="5038" t="s">
        <v>5302</v>
      </c>
      <c r="N95" s="5147" t="s">
        <v>5303</v>
      </c>
      <c r="O95" s="3479" t="s">
        <v>5304</v>
      </c>
      <c r="P95" s="5151" t="s">
        <v>5305</v>
      </c>
      <c r="Q95" s="5038" t="s">
        <v>5306</v>
      </c>
      <c r="R95" s="5151" t="s">
        <v>5307</v>
      </c>
      <c r="S95" s="5038" t="s">
        <v>5308</v>
      </c>
      <c r="T95" s="5151" t="s">
        <v>5309</v>
      </c>
      <c r="U95" s="5038" t="s">
        <v>5310</v>
      </c>
      <c r="V95" s="5151" t="s">
        <v>5311</v>
      </c>
      <c r="W95" s="5038" t="s">
        <v>5312</v>
      </c>
      <c r="X95" s="5151" t="s">
        <v>5313</v>
      </c>
      <c r="Y95" s="5038" t="s">
        <v>5314</v>
      </c>
      <c r="Z95" s="5151" t="s">
        <v>5315</v>
      </c>
      <c r="AA95" s="5038" t="s">
        <v>5316</v>
      </c>
      <c r="AB95" s="5151" t="s">
        <v>5317</v>
      </c>
      <c r="AC95" s="5038" t="s">
        <v>5318</v>
      </c>
      <c r="AD95" s="5151" t="s">
        <v>5319</v>
      </c>
      <c r="AE95" s="5038" t="s">
        <v>5320</v>
      </c>
      <c r="AF95" s="5151" t="s">
        <v>5321</v>
      </c>
      <c r="AG95" s="5038" t="s">
        <v>5322</v>
      </c>
      <c r="AH95" s="5151" t="s">
        <v>5323</v>
      </c>
      <c r="AI95" s="5038" t="s">
        <v>5324</v>
      </c>
      <c r="AJ95" s="5151" t="s">
        <v>5325</v>
      </c>
      <c r="AK95" s="5038" t="s">
        <v>5326</v>
      </c>
      <c r="AL95" s="5151" t="s">
        <v>5327</v>
      </c>
      <c r="AM95" s="5038" t="s">
        <v>5328</v>
      </c>
      <c r="AN95" s="5151" t="s">
        <v>5329</v>
      </c>
      <c r="AO95" s="5038" t="s">
        <v>5330</v>
      </c>
      <c r="AP95" s="5151" t="s">
        <v>5331</v>
      </c>
      <c r="AQ95" s="5038" t="s">
        <v>5332</v>
      </c>
      <c r="AR95" s="5145" t="s">
        <v>5333</v>
      </c>
      <c r="AS95" s="3479" t="s">
        <v>5334</v>
      </c>
      <c r="AT95" s="5145" t="s">
        <v>5335</v>
      </c>
      <c r="AU95" s="5146" t="s">
        <v>5336</v>
      </c>
      <c r="AV95" s="5145" t="s">
        <v>5337</v>
      </c>
      <c r="AW95" s="3479" t="s">
        <v>5338</v>
      </c>
      <c r="AX95" s="5147" t="s">
        <v>5339</v>
      </c>
      <c r="AY95" s="1687" t="e">
        <f t="shared" ref="AY95:AY96" si="329">CC95&amp;CD95&amp;CE95&amp;CF95&amp;CL95&amp;CM95&amp;CN95&amp;CO95&amp;CP95&amp;CQ95&amp;CR95&amp;CS95&amp;CT95&amp;CU95&amp;CV95&amp;CW95&amp;CX95&amp;CY95&amp;CG95&amp;CH95&amp;CI95&amp;CJ95&amp;CK95</f>
        <v>#VALUE!</v>
      </c>
      <c r="CB95" s="600"/>
      <c r="CC95" s="2784" t="e">
        <f t="shared" si="280"/>
        <v>#VALUE!</v>
      </c>
      <c r="CD95" s="2784" t="e">
        <f t="shared" si="240"/>
        <v>#VALUE!</v>
      </c>
      <c r="CE95" s="2784" t="str">
        <f t="shared" si="241"/>
        <v xml:space="preserve"> *El Número de Pueblos Originarios no puede superar el Total Procesados. </v>
      </c>
      <c r="CF95" s="2784" t="str">
        <f t="shared" si="242"/>
        <v xml:space="preserve"> *El Número de Migrantes no puede superar el Total Procesados. </v>
      </c>
      <c r="CG95" s="2784" t="str">
        <f t="shared" si="309"/>
        <v>* El total de Procesados debe ser mayor o igual al total de Reactivos en el grupo de edad Menos de 6 meses</v>
      </c>
      <c r="CH95" s="2784" t="str">
        <f t="shared" si="310"/>
        <v>* El total de Procesados debe ser mayor o igual al total de Reactivos en el grupo de edad 6 - 11 meses</v>
      </c>
      <c r="CI95" s="2784" t="str">
        <f t="shared" si="311"/>
        <v>* El total de Procesados debe ser mayor o igual al total de Reactivos en el grupo de edad 12-24 meses</v>
      </c>
      <c r="CJ95" s="2784" t="str">
        <f t="shared" si="312"/>
        <v>* El total de Procesados debe ser mayor o igual al total de Reactivos en el grupo de edad 3 - 4 años</v>
      </c>
      <c r="CK95" s="2784" t="str">
        <f t="shared" si="313"/>
        <v>* El total de Procesados debe ser mayor o igual al total de Reactivos en el grupo de edad 5 - 9 años</v>
      </c>
      <c r="CL95" s="2784" t="str">
        <f t="shared" si="314"/>
        <v>* El total de Procesados debe ser mayor o igual al total de Reactivos en el grupo de edad 10 - 14 años</v>
      </c>
      <c r="CM95" s="2784" t="str">
        <f t="shared" si="308"/>
        <v>* El total de Procesados debe ser mayor o igual al total de Reactivos en el grupo de edad 15 - 19 años</v>
      </c>
      <c r="CN95" s="2784" t="str">
        <f t="shared" si="281"/>
        <v>* El total de Procesados debe ser mayor o igual al total de Reactivos en el grupo de edad 20 - 24 años</v>
      </c>
      <c r="CO95" s="2784" t="str">
        <f t="shared" si="246"/>
        <v>* El total de Procesados debe ser mayor o igual al total de Reactivos en el grupo de edad 25 - 29 años</v>
      </c>
      <c r="CP95" s="2784" t="str">
        <f t="shared" si="282"/>
        <v>* El total de Procesados debe ser mayor o igual al total de Reactivos en el grupo de edad 30 - 34 años</v>
      </c>
      <c r="CQ95" s="2784" t="str">
        <f t="shared" si="283"/>
        <v>* El total de Procesados debe ser mayor o igual al total de Reactivos en el grupo de edad 35 - 39 años</v>
      </c>
      <c r="CR95" s="2784" t="str">
        <f t="shared" si="284"/>
        <v>* El total de Procesados debe ser mayor o igual al total de Reactivos en el grupo de edad 40 - 44 años</v>
      </c>
      <c r="CS95" s="2784" t="str">
        <f t="shared" si="285"/>
        <v>* El total de Procesados debe ser mayor o igual al total de Reactivos en el grupo de edad 50 - 54 años</v>
      </c>
      <c r="CT95" s="2784" t="str">
        <f t="shared" si="286"/>
        <v>* El total de Procesados debe ser mayor o igual al total de Reactivos en el grupo de edad 55 - 59 años</v>
      </c>
      <c r="CU95" s="2784" t="str">
        <f t="shared" si="287"/>
        <v>* El total de Procesados debe ser mayor o igual al total de Reactivos en el grupo de edad 60 - 64 años</v>
      </c>
      <c r="CV95" s="2784" t="str">
        <f t="shared" si="315"/>
        <v>* El total de Procesados debe ser mayor o igual al total de Reactivos en el grupo de edad 65 - 69 años</v>
      </c>
      <c r="CW95" s="2784" t="str">
        <f t="shared" si="316"/>
        <v>* El total de Procesados debe ser mayor o igual al total de Reactivos en el grupo de edad 70 - 74 años</v>
      </c>
      <c r="CX95" s="2784" t="str">
        <f t="shared" si="317"/>
        <v>* El total de Procesados debe ser mayor o igual al total de Reactivos en el grupo de edad 75 - 79 años</v>
      </c>
      <c r="CY95" s="2784" t="str">
        <f t="shared" si="318"/>
        <v>* El total de Procesados debe ser mayor o igual al total de Reactivos en el grupo de edad 80 y más años</v>
      </c>
      <c r="DF95" s="2630"/>
      <c r="DG95" s="2784" t="e">
        <f t="shared" si="292"/>
        <v>#VALUE!</v>
      </c>
      <c r="DH95" s="2920" t="e">
        <f t="shared" si="258"/>
        <v>#VALUE!</v>
      </c>
      <c r="DI95" s="2920">
        <f t="shared" si="259"/>
        <v>1</v>
      </c>
      <c r="DJ95" s="2920">
        <f t="shared" si="260"/>
        <v>1</v>
      </c>
      <c r="DK95" s="2920">
        <f t="shared" si="319"/>
        <v>1</v>
      </c>
      <c r="DL95" s="2920">
        <f t="shared" si="320"/>
        <v>1</v>
      </c>
      <c r="DM95" s="2920">
        <f t="shared" si="321"/>
        <v>1</v>
      </c>
      <c r="DN95" s="2920">
        <f t="shared" si="322"/>
        <v>1</v>
      </c>
      <c r="DO95" s="2920">
        <f t="shared" si="323"/>
        <v>1</v>
      </c>
      <c r="DP95" s="2920">
        <f t="shared" si="324"/>
        <v>1</v>
      </c>
      <c r="DQ95" s="2920">
        <f t="shared" si="293"/>
        <v>1</v>
      </c>
      <c r="DR95" s="2920">
        <f t="shared" si="294"/>
        <v>1</v>
      </c>
      <c r="DS95" s="2920">
        <f t="shared" si="264"/>
        <v>1</v>
      </c>
      <c r="DT95" s="2920">
        <f t="shared" si="295"/>
        <v>1</v>
      </c>
      <c r="DU95" s="2920">
        <f t="shared" si="296"/>
        <v>1</v>
      </c>
      <c r="DV95" s="2920">
        <f t="shared" si="297"/>
        <v>1</v>
      </c>
      <c r="DW95" s="2920">
        <f t="shared" si="298"/>
        <v>1</v>
      </c>
      <c r="DX95" s="2920">
        <f t="shared" si="299"/>
        <v>1</v>
      </c>
      <c r="DY95" s="2920">
        <f t="shared" si="300"/>
        <v>1</v>
      </c>
      <c r="DZ95" s="2920">
        <f t="shared" si="325"/>
        <v>1</v>
      </c>
      <c r="EA95" s="2920">
        <f t="shared" si="326"/>
        <v>1</v>
      </c>
      <c r="EB95" s="2920">
        <f t="shared" si="327"/>
        <v>1</v>
      </c>
      <c r="EC95" s="2920">
        <f t="shared" si="328"/>
        <v>1</v>
      </c>
    </row>
    <row r="96" spans="1:133" x14ac:dyDescent="0.3">
      <c r="A96" s="6240">
        <v>11056435</v>
      </c>
      <c r="B96" s="5160" t="s">
        <v>2676</v>
      </c>
      <c r="C96" s="5107" t="s">
        <v>5292</v>
      </c>
      <c r="D96" s="5108" t="s">
        <v>5293</v>
      </c>
      <c r="E96" s="288" t="s">
        <v>5294</v>
      </c>
      <c r="F96" s="3491" t="s">
        <v>5295</v>
      </c>
      <c r="G96" s="3492" t="s">
        <v>5296</v>
      </c>
      <c r="H96" s="3491" t="s">
        <v>5297</v>
      </c>
      <c r="I96" s="3492" t="s">
        <v>5298</v>
      </c>
      <c r="J96" s="3493" t="s">
        <v>5299</v>
      </c>
      <c r="K96" s="288" t="s">
        <v>5300</v>
      </c>
      <c r="L96" s="288" t="s">
        <v>5301</v>
      </c>
      <c r="M96" s="3492" t="s">
        <v>5302</v>
      </c>
      <c r="N96" s="3493" t="s">
        <v>5303</v>
      </c>
      <c r="O96" s="288" t="s">
        <v>5304</v>
      </c>
      <c r="P96" s="3491" t="s">
        <v>5305</v>
      </c>
      <c r="Q96" s="3492" t="s">
        <v>5306</v>
      </c>
      <c r="R96" s="3491" t="s">
        <v>5307</v>
      </c>
      <c r="S96" s="3492" t="s">
        <v>5308</v>
      </c>
      <c r="T96" s="3491" t="s">
        <v>5309</v>
      </c>
      <c r="U96" s="3492" t="s">
        <v>5310</v>
      </c>
      <c r="V96" s="3491" t="s">
        <v>5311</v>
      </c>
      <c r="W96" s="3492" t="s">
        <v>5312</v>
      </c>
      <c r="X96" s="3491" t="s">
        <v>5313</v>
      </c>
      <c r="Y96" s="3492" t="s">
        <v>5314</v>
      </c>
      <c r="Z96" s="3491" t="s">
        <v>5315</v>
      </c>
      <c r="AA96" s="3492" t="s">
        <v>5316</v>
      </c>
      <c r="AB96" s="3491" t="s">
        <v>5317</v>
      </c>
      <c r="AC96" s="3492" t="s">
        <v>5318</v>
      </c>
      <c r="AD96" s="3491" t="s">
        <v>5319</v>
      </c>
      <c r="AE96" s="3492" t="s">
        <v>5320</v>
      </c>
      <c r="AF96" s="3491" t="s">
        <v>5321</v>
      </c>
      <c r="AG96" s="3492" t="s">
        <v>5322</v>
      </c>
      <c r="AH96" s="3491" t="s">
        <v>5323</v>
      </c>
      <c r="AI96" s="3492" t="s">
        <v>5324</v>
      </c>
      <c r="AJ96" s="3491" t="s">
        <v>5325</v>
      </c>
      <c r="AK96" s="3492" t="s">
        <v>5326</v>
      </c>
      <c r="AL96" s="3491" t="s">
        <v>5327</v>
      </c>
      <c r="AM96" s="3492" t="s">
        <v>5328</v>
      </c>
      <c r="AN96" s="3491" t="s">
        <v>5329</v>
      </c>
      <c r="AO96" s="3492" t="s">
        <v>5330</v>
      </c>
      <c r="AP96" s="3491" t="s">
        <v>5331</v>
      </c>
      <c r="AQ96" s="3492" t="s">
        <v>5332</v>
      </c>
      <c r="AR96" s="3494" t="s">
        <v>5333</v>
      </c>
      <c r="AS96" s="288" t="s">
        <v>5334</v>
      </c>
      <c r="AT96" s="3494" t="s">
        <v>5335</v>
      </c>
      <c r="AU96" s="3495" t="s">
        <v>5336</v>
      </c>
      <c r="AV96" s="3494" t="s">
        <v>5337</v>
      </c>
      <c r="AW96" s="288" t="s">
        <v>5338</v>
      </c>
      <c r="AX96" s="3493" t="s">
        <v>5339</v>
      </c>
      <c r="AY96" s="1687" t="e">
        <f t="shared" si="329"/>
        <v>#VALUE!</v>
      </c>
      <c r="CB96" s="600"/>
      <c r="CC96" s="2784" t="e">
        <f t="shared" si="280"/>
        <v>#VALUE!</v>
      </c>
      <c r="CD96" s="2784" t="e">
        <f t="shared" si="240"/>
        <v>#VALUE!</v>
      </c>
      <c r="CE96" s="2784" t="str">
        <f t="shared" si="241"/>
        <v xml:space="preserve"> *El Número de Pueblos Originarios no puede superar el Total Procesados. </v>
      </c>
      <c r="CF96" s="2784" t="str">
        <f t="shared" si="242"/>
        <v xml:space="preserve"> *El Número de Migrantes no puede superar el Total Procesados. </v>
      </c>
      <c r="CG96" s="2784" t="str">
        <f t="shared" si="309"/>
        <v>* El total de Procesados debe ser mayor o igual al total de Reactivos en el grupo de edad Menos de 6 meses</v>
      </c>
      <c r="CH96" s="2784" t="str">
        <f t="shared" si="310"/>
        <v>* El total de Procesados debe ser mayor o igual al total de Reactivos en el grupo de edad 6 - 11 meses</v>
      </c>
      <c r="CI96" s="2784" t="str">
        <f t="shared" si="311"/>
        <v>* El total de Procesados debe ser mayor o igual al total de Reactivos en el grupo de edad 12-24 meses</v>
      </c>
      <c r="CJ96" s="2784" t="str">
        <f t="shared" si="312"/>
        <v>* El total de Procesados debe ser mayor o igual al total de Reactivos en el grupo de edad 3 - 4 años</v>
      </c>
      <c r="CK96" s="2784" t="str">
        <f t="shared" si="313"/>
        <v>* El total de Procesados debe ser mayor o igual al total de Reactivos en el grupo de edad 5 - 9 años</v>
      </c>
      <c r="CL96" s="2784" t="str">
        <f t="shared" si="314"/>
        <v>* El total de Procesados debe ser mayor o igual al total de Reactivos en el grupo de edad 10 - 14 años</v>
      </c>
      <c r="CM96" s="2784" t="str">
        <f t="shared" si="308"/>
        <v>* El total de Procesados debe ser mayor o igual al total de Reactivos en el grupo de edad 15 - 19 años</v>
      </c>
      <c r="CN96" s="2784" t="str">
        <f t="shared" si="281"/>
        <v>* El total de Procesados debe ser mayor o igual al total de Reactivos en el grupo de edad 20 - 24 años</v>
      </c>
      <c r="CO96" s="2784" t="str">
        <f t="shared" si="246"/>
        <v>* El total de Procesados debe ser mayor o igual al total de Reactivos en el grupo de edad 25 - 29 años</v>
      </c>
      <c r="CP96" s="2784" t="str">
        <f t="shared" si="282"/>
        <v>* El total de Procesados debe ser mayor o igual al total de Reactivos en el grupo de edad 30 - 34 años</v>
      </c>
      <c r="CQ96" s="2784" t="str">
        <f t="shared" si="283"/>
        <v>* El total de Procesados debe ser mayor o igual al total de Reactivos en el grupo de edad 35 - 39 años</v>
      </c>
      <c r="CR96" s="2784" t="str">
        <f t="shared" si="284"/>
        <v>* El total de Procesados debe ser mayor o igual al total de Reactivos en el grupo de edad 40 - 44 años</v>
      </c>
      <c r="CS96" s="2784" t="str">
        <f t="shared" si="285"/>
        <v>* El total de Procesados debe ser mayor o igual al total de Reactivos en el grupo de edad 50 - 54 años</v>
      </c>
      <c r="CT96" s="2784" t="str">
        <f t="shared" si="286"/>
        <v>* El total de Procesados debe ser mayor o igual al total de Reactivos en el grupo de edad 55 - 59 años</v>
      </c>
      <c r="CU96" s="2784" t="str">
        <f t="shared" si="287"/>
        <v>* El total de Procesados debe ser mayor o igual al total de Reactivos en el grupo de edad 60 - 64 años</v>
      </c>
      <c r="CV96" s="2784" t="str">
        <f t="shared" si="315"/>
        <v>* El total de Procesados debe ser mayor o igual al total de Reactivos en el grupo de edad 65 - 69 años</v>
      </c>
      <c r="CW96" s="2784" t="str">
        <f t="shared" si="316"/>
        <v>* El total de Procesados debe ser mayor o igual al total de Reactivos en el grupo de edad 70 - 74 años</v>
      </c>
      <c r="CX96" s="2784" t="str">
        <f t="shared" si="317"/>
        <v>* El total de Procesados debe ser mayor o igual al total de Reactivos en el grupo de edad 75 - 79 años</v>
      </c>
      <c r="CY96" s="2784" t="str">
        <f t="shared" si="318"/>
        <v>* El total de Procesados debe ser mayor o igual al total de Reactivos en el grupo de edad 80 y más años</v>
      </c>
      <c r="DF96" s="2630"/>
      <c r="DG96" s="2784" t="e">
        <f t="shared" si="292"/>
        <v>#VALUE!</v>
      </c>
      <c r="DH96" s="2920" t="e">
        <f t="shared" si="258"/>
        <v>#VALUE!</v>
      </c>
      <c r="DI96" s="2920">
        <f t="shared" si="259"/>
        <v>1</v>
      </c>
      <c r="DJ96" s="2920">
        <f t="shared" si="260"/>
        <v>1</v>
      </c>
      <c r="DK96" s="2920">
        <f t="shared" si="319"/>
        <v>1</v>
      </c>
      <c r="DL96" s="2920">
        <f t="shared" si="320"/>
        <v>1</v>
      </c>
      <c r="DM96" s="2920">
        <f t="shared" si="321"/>
        <v>1</v>
      </c>
      <c r="DN96" s="2920">
        <f t="shared" si="322"/>
        <v>1</v>
      </c>
      <c r="DO96" s="2920">
        <f t="shared" si="323"/>
        <v>1</v>
      </c>
      <c r="DP96" s="2920">
        <f t="shared" si="324"/>
        <v>1</v>
      </c>
      <c r="DQ96" s="2920">
        <f t="shared" si="293"/>
        <v>1</v>
      </c>
      <c r="DR96" s="2920">
        <f t="shared" si="294"/>
        <v>1</v>
      </c>
      <c r="DS96" s="2920">
        <f t="shared" si="264"/>
        <v>1</v>
      </c>
      <c r="DT96" s="2920">
        <f t="shared" si="295"/>
        <v>1</v>
      </c>
      <c r="DU96" s="2920">
        <f t="shared" si="296"/>
        <v>1</v>
      </c>
      <c r="DV96" s="2920">
        <f t="shared" si="297"/>
        <v>1</v>
      </c>
      <c r="DW96" s="2920">
        <f t="shared" si="298"/>
        <v>1</v>
      </c>
      <c r="DX96" s="2920">
        <f t="shared" si="299"/>
        <v>1</v>
      </c>
      <c r="DY96" s="2920">
        <f t="shared" si="300"/>
        <v>1</v>
      </c>
      <c r="DZ96" s="2920">
        <f t="shared" si="325"/>
        <v>1</v>
      </c>
      <c r="EA96" s="2920">
        <f t="shared" si="326"/>
        <v>1</v>
      </c>
      <c r="EB96" s="2920">
        <f t="shared" si="327"/>
        <v>1</v>
      </c>
      <c r="EC96" s="2920">
        <f t="shared" si="328"/>
        <v>1</v>
      </c>
    </row>
    <row r="97" spans="1:133" ht="18" customHeight="1" x14ac:dyDescent="0.3">
      <c r="A97" s="599"/>
      <c r="B97" s="5158" t="s">
        <v>2680</v>
      </c>
      <c r="C97" s="5158"/>
      <c r="D97" s="5158"/>
      <c r="E97" s="5158"/>
      <c r="F97" s="5158"/>
      <c r="G97" s="5158"/>
      <c r="H97" s="5158"/>
      <c r="I97" s="5158"/>
      <c r="J97" s="5158"/>
      <c r="K97" s="5158"/>
      <c r="L97" s="5158"/>
      <c r="M97" s="5158"/>
      <c r="N97" s="5158"/>
      <c r="O97" s="5158"/>
      <c r="P97" s="5158"/>
      <c r="Q97" s="5158"/>
      <c r="R97" s="5158"/>
      <c r="S97" s="5158"/>
      <c r="T97" s="5158"/>
      <c r="U97" s="5158"/>
      <c r="V97" s="5158"/>
      <c r="W97" s="5158"/>
      <c r="X97" s="5158"/>
      <c r="Y97" s="5158"/>
      <c r="Z97" s="5158"/>
      <c r="AA97" s="5158"/>
      <c r="AB97" s="5158"/>
      <c r="AC97" s="5158"/>
      <c r="AD97" s="5158"/>
      <c r="AE97" s="5158"/>
      <c r="AF97" s="5158"/>
      <c r="AG97" s="5158"/>
      <c r="AH97" s="5158"/>
      <c r="AI97" s="5158"/>
      <c r="AJ97" s="5158"/>
      <c r="AK97" s="5158"/>
      <c r="AL97" s="5158"/>
      <c r="AM97" s="5158"/>
      <c r="AN97" s="5158"/>
      <c r="AO97" s="5158"/>
      <c r="AP97" s="5158"/>
      <c r="AQ97" s="5158"/>
      <c r="AR97" s="5158"/>
      <c r="AS97" s="600"/>
      <c r="AT97" s="600"/>
      <c r="AU97" s="600"/>
      <c r="AV97" s="600"/>
      <c r="AW97" s="600"/>
      <c r="AX97" s="600"/>
    </row>
    <row r="98" spans="1:133" x14ac:dyDescent="0.3">
      <c r="A98" s="599"/>
      <c r="B98" s="7541" t="s">
        <v>2655</v>
      </c>
      <c r="C98" s="7542" t="s">
        <v>24</v>
      </c>
      <c r="D98" s="7523"/>
      <c r="E98" s="7524" t="s">
        <v>12</v>
      </c>
      <c r="F98" s="7525"/>
      <c r="G98" s="7525"/>
      <c r="H98" s="7525"/>
      <c r="I98" s="7525"/>
      <c r="J98" s="7525"/>
      <c r="K98" s="7525"/>
      <c r="L98" s="7525"/>
      <c r="M98" s="7525"/>
      <c r="N98" s="7525"/>
      <c r="O98" s="7525"/>
      <c r="P98" s="7525"/>
      <c r="Q98" s="7525"/>
      <c r="R98" s="7525"/>
      <c r="S98" s="7525"/>
      <c r="T98" s="7525"/>
      <c r="U98" s="7525"/>
      <c r="V98" s="7525"/>
      <c r="W98" s="7525"/>
      <c r="X98" s="7525"/>
      <c r="Y98" s="7525"/>
      <c r="Z98" s="7525"/>
      <c r="AA98" s="7525"/>
      <c r="AB98" s="7525"/>
      <c r="AC98" s="7525"/>
      <c r="AD98" s="7525"/>
      <c r="AE98" s="7525"/>
      <c r="AF98" s="7525"/>
      <c r="AG98" s="7525"/>
      <c r="AH98" s="7525"/>
      <c r="AI98" s="7525"/>
      <c r="AJ98" s="7525"/>
      <c r="AK98" s="7525"/>
      <c r="AL98" s="7525"/>
      <c r="AM98" s="7525"/>
      <c r="AN98" s="7525"/>
      <c r="AO98" s="7525"/>
      <c r="AP98" s="7525"/>
      <c r="AQ98" s="7525"/>
      <c r="AR98" s="7526"/>
      <c r="AS98" s="7527" t="s">
        <v>2656</v>
      </c>
      <c r="AT98" s="7528"/>
      <c r="AU98" s="7529" t="s">
        <v>48</v>
      </c>
      <c r="AV98" s="7530"/>
      <c r="AW98" s="7535" t="s">
        <v>2</v>
      </c>
      <c r="AX98" s="7538" t="s">
        <v>3</v>
      </c>
    </row>
    <row r="99" spans="1:133" x14ac:dyDescent="0.3">
      <c r="A99" s="599"/>
      <c r="B99" s="7108"/>
      <c r="C99" s="7151"/>
      <c r="D99" s="7150"/>
      <c r="E99" s="7533" t="s">
        <v>3778</v>
      </c>
      <c r="F99" s="7527"/>
      <c r="G99" s="7533" t="s">
        <v>53</v>
      </c>
      <c r="H99" s="7527"/>
      <c r="I99" s="7533" t="s">
        <v>54</v>
      </c>
      <c r="J99" s="7534"/>
      <c r="K99" s="7527" t="s">
        <v>55</v>
      </c>
      <c r="L99" s="7527"/>
      <c r="M99" s="7533" t="s">
        <v>56</v>
      </c>
      <c r="N99" s="7527"/>
      <c r="O99" s="7533" t="s">
        <v>38</v>
      </c>
      <c r="P99" s="7527"/>
      <c r="Q99" s="7533" t="s">
        <v>4</v>
      </c>
      <c r="R99" s="7527"/>
      <c r="S99" s="7533" t="s">
        <v>5</v>
      </c>
      <c r="T99" s="7527"/>
      <c r="U99" s="7533" t="s">
        <v>6</v>
      </c>
      <c r="V99" s="7534"/>
      <c r="W99" s="7533" t="s">
        <v>7</v>
      </c>
      <c r="X99" s="7534"/>
      <c r="Y99" s="7533" t="s">
        <v>8</v>
      </c>
      <c r="Z99" s="7534"/>
      <c r="AA99" s="7533" t="s">
        <v>9</v>
      </c>
      <c r="AB99" s="7534"/>
      <c r="AC99" s="7533" t="s">
        <v>10</v>
      </c>
      <c r="AD99" s="7534"/>
      <c r="AE99" s="7533" t="s">
        <v>11</v>
      </c>
      <c r="AF99" s="7534"/>
      <c r="AG99" s="7533" t="s">
        <v>18</v>
      </c>
      <c r="AH99" s="7534"/>
      <c r="AI99" s="7533" t="s">
        <v>19</v>
      </c>
      <c r="AJ99" s="7534"/>
      <c r="AK99" s="7533" t="s">
        <v>20</v>
      </c>
      <c r="AL99" s="7534"/>
      <c r="AM99" s="7533" t="s">
        <v>70</v>
      </c>
      <c r="AN99" s="7534"/>
      <c r="AO99" s="7533" t="s">
        <v>71</v>
      </c>
      <c r="AP99" s="7534"/>
      <c r="AQ99" s="7533" t="s">
        <v>32</v>
      </c>
      <c r="AR99" s="7528"/>
      <c r="AS99" s="7535" t="s">
        <v>22</v>
      </c>
      <c r="AT99" s="7539" t="s">
        <v>27</v>
      </c>
      <c r="AU99" s="7531"/>
      <c r="AV99" s="7532"/>
      <c r="AW99" s="7536"/>
      <c r="AX99" s="6324"/>
    </row>
    <row r="100" spans="1:133" x14ac:dyDescent="0.3">
      <c r="A100" s="599"/>
      <c r="B100" s="7109"/>
      <c r="C100" s="5136" t="s">
        <v>2657</v>
      </c>
      <c r="D100" s="5135" t="s">
        <v>2658</v>
      </c>
      <c r="E100" s="5133" t="s">
        <v>2657</v>
      </c>
      <c r="F100" s="5134" t="s">
        <v>2658</v>
      </c>
      <c r="G100" s="5133" t="s">
        <v>2657</v>
      </c>
      <c r="H100" s="5134" t="s">
        <v>2658</v>
      </c>
      <c r="I100" s="5133" t="s">
        <v>2657</v>
      </c>
      <c r="J100" s="5135" t="s">
        <v>2658</v>
      </c>
      <c r="K100" s="5136" t="s">
        <v>2657</v>
      </c>
      <c r="L100" s="5134" t="s">
        <v>2658</v>
      </c>
      <c r="M100" s="5133" t="s">
        <v>2657</v>
      </c>
      <c r="N100" s="5134" t="s">
        <v>2658</v>
      </c>
      <c r="O100" s="5133" t="s">
        <v>2657</v>
      </c>
      <c r="P100" s="5134" t="s">
        <v>2658</v>
      </c>
      <c r="Q100" s="5133" t="s">
        <v>2657</v>
      </c>
      <c r="R100" s="5134" t="s">
        <v>2658</v>
      </c>
      <c r="S100" s="5133" t="s">
        <v>2657</v>
      </c>
      <c r="T100" s="5134" t="s">
        <v>2658</v>
      </c>
      <c r="U100" s="5133" t="s">
        <v>2657</v>
      </c>
      <c r="V100" s="5134" t="s">
        <v>2658</v>
      </c>
      <c r="W100" s="5133" t="s">
        <v>2657</v>
      </c>
      <c r="X100" s="5134" t="s">
        <v>2658</v>
      </c>
      <c r="Y100" s="5133" t="s">
        <v>2657</v>
      </c>
      <c r="Z100" s="5134" t="s">
        <v>2658</v>
      </c>
      <c r="AA100" s="5133" t="s">
        <v>2657</v>
      </c>
      <c r="AB100" s="5134" t="s">
        <v>2658</v>
      </c>
      <c r="AC100" s="5133" t="s">
        <v>2657</v>
      </c>
      <c r="AD100" s="5134" t="s">
        <v>2658</v>
      </c>
      <c r="AE100" s="5133" t="s">
        <v>2657</v>
      </c>
      <c r="AF100" s="5134" t="s">
        <v>2658</v>
      </c>
      <c r="AG100" s="5133" t="s">
        <v>2657</v>
      </c>
      <c r="AH100" s="5134" t="s">
        <v>2658</v>
      </c>
      <c r="AI100" s="5133" t="s">
        <v>2657</v>
      </c>
      <c r="AJ100" s="5134" t="s">
        <v>2658</v>
      </c>
      <c r="AK100" s="5133" t="s">
        <v>2657</v>
      </c>
      <c r="AL100" s="5134" t="s">
        <v>2658</v>
      </c>
      <c r="AM100" s="5133" t="s">
        <v>2657</v>
      </c>
      <c r="AN100" s="5134" t="s">
        <v>2658</v>
      </c>
      <c r="AO100" s="5133" t="s">
        <v>2657</v>
      </c>
      <c r="AP100" s="5134" t="s">
        <v>2658</v>
      </c>
      <c r="AQ100" s="5133" t="s">
        <v>2657</v>
      </c>
      <c r="AR100" s="5137" t="s">
        <v>2658</v>
      </c>
      <c r="AS100" s="7537"/>
      <c r="AT100" s="7540"/>
      <c r="AU100" s="4800" t="s">
        <v>41</v>
      </c>
      <c r="AV100" s="5138" t="s">
        <v>42</v>
      </c>
      <c r="AW100" s="7537"/>
      <c r="AX100" s="7146"/>
    </row>
    <row r="101" spans="1:133" x14ac:dyDescent="0.3">
      <c r="A101" s="6234">
        <v>11056436</v>
      </c>
      <c r="B101" s="5159" t="s">
        <v>2659</v>
      </c>
      <c r="C101" s="5140" t="s">
        <v>5292</v>
      </c>
      <c r="D101" s="5141" t="s">
        <v>5293</v>
      </c>
      <c r="E101" s="3475" t="s">
        <v>5294</v>
      </c>
      <c r="F101" s="5149" t="s">
        <v>5295</v>
      </c>
      <c r="G101" s="5148" t="s">
        <v>5296</v>
      </c>
      <c r="H101" s="5149" t="s">
        <v>5297</v>
      </c>
      <c r="I101" s="5148" t="s">
        <v>5298</v>
      </c>
      <c r="J101" s="5149" t="s">
        <v>5299</v>
      </c>
      <c r="K101" s="5148" t="s">
        <v>5300</v>
      </c>
      <c r="L101" s="5149" t="s">
        <v>5301</v>
      </c>
      <c r="M101" s="5148" t="s">
        <v>5302</v>
      </c>
      <c r="N101" s="5150" t="s">
        <v>5303</v>
      </c>
      <c r="O101" s="3479" t="s">
        <v>5304</v>
      </c>
      <c r="P101" s="5151" t="s">
        <v>5305</v>
      </c>
      <c r="Q101" s="5038" t="s">
        <v>5306</v>
      </c>
      <c r="R101" s="5151" t="s">
        <v>5307</v>
      </c>
      <c r="S101" s="5038" t="s">
        <v>5308</v>
      </c>
      <c r="T101" s="5151" t="s">
        <v>5309</v>
      </c>
      <c r="U101" s="5038" t="s">
        <v>5310</v>
      </c>
      <c r="V101" s="5151" t="s">
        <v>5311</v>
      </c>
      <c r="W101" s="5038" t="s">
        <v>5312</v>
      </c>
      <c r="X101" s="5151" t="s">
        <v>5313</v>
      </c>
      <c r="Y101" s="5038" t="s">
        <v>5314</v>
      </c>
      <c r="Z101" s="5151" t="s">
        <v>5315</v>
      </c>
      <c r="AA101" s="5038" t="s">
        <v>5316</v>
      </c>
      <c r="AB101" s="5151" t="s">
        <v>5317</v>
      </c>
      <c r="AC101" s="5038" t="s">
        <v>5318</v>
      </c>
      <c r="AD101" s="5151" t="s">
        <v>5319</v>
      </c>
      <c r="AE101" s="5038" t="s">
        <v>5320</v>
      </c>
      <c r="AF101" s="5151" t="s">
        <v>5321</v>
      </c>
      <c r="AG101" s="5038" t="s">
        <v>5322</v>
      </c>
      <c r="AH101" s="5151" t="s">
        <v>5323</v>
      </c>
      <c r="AI101" s="5038" t="s">
        <v>5324</v>
      </c>
      <c r="AJ101" s="5151" t="s">
        <v>5325</v>
      </c>
      <c r="AK101" s="5038" t="s">
        <v>5326</v>
      </c>
      <c r="AL101" s="5151" t="s">
        <v>5327</v>
      </c>
      <c r="AM101" s="5038" t="s">
        <v>5328</v>
      </c>
      <c r="AN101" s="5151" t="s">
        <v>5329</v>
      </c>
      <c r="AO101" s="5038" t="s">
        <v>5330</v>
      </c>
      <c r="AP101" s="5151" t="s">
        <v>5331</v>
      </c>
      <c r="AQ101" s="5038" t="s">
        <v>5332</v>
      </c>
      <c r="AR101" s="5145" t="s">
        <v>5333</v>
      </c>
      <c r="AS101" s="3483" t="s">
        <v>5334</v>
      </c>
      <c r="AT101" s="5145" t="s">
        <v>5335</v>
      </c>
      <c r="AU101" s="5146" t="s">
        <v>5336</v>
      </c>
      <c r="AV101" s="5145" t="s">
        <v>5337</v>
      </c>
      <c r="AW101" s="3479" t="s">
        <v>5338</v>
      </c>
      <c r="AX101" s="5147" t="s">
        <v>5339</v>
      </c>
      <c r="AY101" s="1687" t="e">
        <f>CC101&amp;CD101&amp;CE101&amp;CF101&amp;CL101&amp;CM101&amp;CN101&amp;CO101&amp;CP101&amp;CQ101&amp;CR101&amp;CS101&amp;CT101&amp;CU101&amp;CV101&amp;CW101&amp;CX101&amp;CY101</f>
        <v>#VALUE!</v>
      </c>
      <c r="CB101" s="600"/>
      <c r="CC101" s="4747" t="str">
        <f>IF(C101&lt;&gt;(AT101)," * La suma de las columnas "&amp;AS$10&amp;""&amp;" DEBE SER IGUAL a los Exámenes Procesados. ","")</f>
        <v xml:space="preserve"> * La suma de las columnas POR SEXO (Procesados) DEBE SER IGUAL a los Exámenes Procesados. </v>
      </c>
      <c r="CD101" s="2784" t="e">
        <f>IF(AND($C101&gt;0,AND(AU101="",AV101="")),"* No olvide ingresar las columnas Trans Masculino o Femenino (*Digite CERO si no tiene). ",IF((AU101+AV101)&gt;$C101,"* El Número de Trans Masculino o Femenino no puede superar el Total Procesados. ",""))</f>
        <v>#VALUE!</v>
      </c>
      <c r="CE101" s="2784" t="str">
        <f>IF(AND($C101&gt;0,AW101=""),"* No olvide ingresar la columna "&amp;AW$10&amp;""&amp;" *(Digite CERO si no tiene). ",IF(AW101&gt;$C101," *El Número de "&amp;AW$10&amp;""&amp;" no puede superar el Total Procesados. ",""))</f>
        <v xml:space="preserve"> *El Número de Pueblos Originarios no puede superar el Total Procesados. </v>
      </c>
      <c r="CF101" s="2784" t="str">
        <f>IF(AND($C101&gt;0,AX101=""),"* No olvide ingresar la columna "&amp;AX$10&amp;""&amp;" *(Digite CERO si no tiene). ",IF(AX101&gt;$C101," *El Número de "&amp;AX$10&amp;""&amp;" no puede superar el Total Procesados. ",""))</f>
        <v xml:space="preserve"> *El Número de Migrantes no puede superar el Total Procesados. </v>
      </c>
      <c r="CG101" s="3018"/>
      <c r="CH101" s="3018"/>
      <c r="CI101" s="3018"/>
      <c r="CJ101" s="3018"/>
      <c r="CK101" s="3018"/>
      <c r="CL101" s="2784" t="str">
        <f>IF(O101&lt;P101,CONCATENATE("* El total de Procesados debe ser mayor o igual al total de Reactivos en el grupo de edad ",$O$11),"")</f>
        <v>* El total de Procesados debe ser mayor o igual al total de Reactivos en el grupo de edad 10 - 14 años</v>
      </c>
      <c r="CM101" s="2784" t="str">
        <f>IF(Q101&lt;R101,CONCATENATE("* El total de Procesados debe ser mayor o igual al total de Reactivos en el grupo de edad ",$Q$11),"")</f>
        <v>* El total de Procesados debe ser mayor o igual al total de Reactivos en el grupo de edad 15 - 19 años</v>
      </c>
      <c r="CN101" s="2784" t="str">
        <f>IF(S101&lt;T101,CONCATENATE("* El total de Procesados debe ser mayor o igual al total de Reactivos en el grupo de edad ",$S$11),"")</f>
        <v>* El total de Procesados debe ser mayor o igual al total de Reactivos en el grupo de edad 20 - 24 años</v>
      </c>
      <c r="CO101" s="2784" t="str">
        <f>IF($U101&lt;$V101,CONCATENATE("* El total de Procesados debe ser mayor o igual al total de Reactivos en el grupo de edad ",$U$11),"")</f>
        <v>* El total de Procesados debe ser mayor o igual al total de Reactivos en el grupo de edad 25 - 29 años</v>
      </c>
      <c r="CP101" s="2784" t="str">
        <f>IF(W101&lt;X101,CONCATENATE("* El total de Procesados debe ser mayor o igual al total de Reactivos en el grupo de edad ",$W$11),"")</f>
        <v>* El total de Procesados debe ser mayor o igual al total de Reactivos en el grupo de edad 30 - 34 años</v>
      </c>
      <c r="CQ101" s="2784" t="str">
        <f>IF(Y101&lt;Z101,CONCATENATE("* El total de Procesados debe ser mayor o igual al total de Reactivos en el grupo de edad ",$Y$11),"")</f>
        <v>* El total de Procesados debe ser mayor o igual al total de Reactivos en el grupo de edad 35 - 39 años</v>
      </c>
      <c r="CR101" s="2784" t="str">
        <f>IF(AA101&lt;AB101,CONCATENATE("* El total de Procesados debe ser mayor o igual al total de Reactivos en el grupo de edad ",$AA$11),"")</f>
        <v>* El total de Procesados debe ser mayor o igual al total de Reactivos en el grupo de edad 40 - 44 años</v>
      </c>
      <c r="CS101" s="2784" t="str">
        <f>IF(AE101&lt;AF101,CONCATENATE("* El total de Procesados debe ser mayor o igual al total de Reactivos en el grupo de edad ",$AE$11),"")</f>
        <v>* El total de Procesados debe ser mayor o igual al total de Reactivos en el grupo de edad 50 - 54 años</v>
      </c>
      <c r="CT101" s="2784" t="str">
        <f>IF(AG101&lt;AH101,CONCATENATE("* El total de Procesados debe ser mayor o igual al total de Reactivos en el grupo de edad ",$AG$11),"")</f>
        <v>* El total de Procesados debe ser mayor o igual al total de Reactivos en el grupo de edad 55 - 59 años</v>
      </c>
      <c r="CU101" s="2784" t="str">
        <f>IF(AI101&lt;AJ101,CONCATENATE("* El total de Procesados debe ser mayor o igual al total de Reactivos en el grupo de edad ",$AI$11),"")</f>
        <v>* El total de Procesados debe ser mayor o igual al total de Reactivos en el grupo de edad 60 - 64 años</v>
      </c>
      <c r="CV101" s="2784" t="str">
        <f>IF(AK101&lt;AL101,CONCATENATE("* El total de Procesados debe ser mayor o igual al total de Reactivos en el grupo de edad ",$AK$11),"")</f>
        <v>* El total de Procesados debe ser mayor o igual al total de Reactivos en el grupo de edad 65 - 69 años</v>
      </c>
      <c r="CW101" s="2784" t="str">
        <f>IF(AM101&lt;AN101,CONCATENATE("* El total de Procesados debe ser mayor o igual al total de Reactivos en el grupo de edad ",$AM$11),"")</f>
        <v>* El total de Procesados debe ser mayor o igual al total de Reactivos en el grupo de edad 70 - 74 años</v>
      </c>
      <c r="CX101" s="2784" t="str">
        <f>IF(AO101&lt;AP101,CONCATENATE("* El total de Procesados debe ser mayor o igual al total de Reactivos en el grupo de edad ",$AO$11),"")</f>
        <v>* El total de Procesados debe ser mayor o igual al total de Reactivos en el grupo de edad 75 - 79 años</v>
      </c>
      <c r="CY101" s="2784" t="str">
        <f>IF(AQ101&lt;AR101,CONCATENATE("* El total de Procesados debe ser mayor o igual al total de Reactivos en el grupo de edad ",$AQ$11),"")</f>
        <v>* El total de Procesados debe ser mayor o igual al total de Reactivos en el grupo de edad 80 y más años</v>
      </c>
      <c r="DF101" s="2630"/>
      <c r="DG101" s="4747">
        <f>IF(C101&lt;&gt;(AT101),1,0)</f>
        <v>1</v>
      </c>
      <c r="DH101" s="2920" t="e">
        <f>IF(AND($C101&gt;0,AND(AU101="",AV101="")),1,IF((AU101+AV101)&gt;$C101,1,0))</f>
        <v>#VALUE!</v>
      </c>
      <c r="DI101" s="2920">
        <f>IF(AND($C101&gt;0,AW101=""),1,IF(AW101&gt;$C101,1,0))</f>
        <v>1</v>
      </c>
      <c r="DJ101" s="2920">
        <f>IF(AND($C101&gt;0,AX101=""),1,IF(AX101&gt;$C101,1,0))</f>
        <v>1</v>
      </c>
      <c r="DK101" s="3018"/>
      <c r="DL101" s="3018"/>
      <c r="DM101" s="3018"/>
      <c r="DN101" s="3018"/>
      <c r="DO101" s="3018"/>
      <c r="DP101" s="2920">
        <f>IF(O101&lt;P101,1,0)</f>
        <v>1</v>
      </c>
      <c r="DQ101" s="2920">
        <f>IF(Q101&lt;R101,1,0)</f>
        <v>1</v>
      </c>
      <c r="DR101" s="2920">
        <f>IF(S101&lt;T101,1,0)</f>
        <v>1</v>
      </c>
      <c r="DS101" s="2920">
        <f>IF($U101&lt;$V101,1,0)</f>
        <v>1</v>
      </c>
      <c r="DT101" s="2920">
        <f>IF(W101&lt;X101,1,0)</f>
        <v>1</v>
      </c>
      <c r="DU101" s="2920">
        <f>IF(Y101&lt;Z101,1,0)</f>
        <v>1</v>
      </c>
      <c r="DV101" s="2920">
        <f>IF(AA101&lt;AB101,1,0)</f>
        <v>1</v>
      </c>
      <c r="DW101" s="2920">
        <f>IF(AE101&lt;AF101,1,0)</f>
        <v>1</v>
      </c>
      <c r="DX101" s="2920">
        <f>IF(AG101&lt;AH101,1,0)</f>
        <v>1</v>
      </c>
      <c r="DY101" s="2920">
        <f>IF(AI101&lt;AJ101,1,0)</f>
        <v>1</v>
      </c>
      <c r="DZ101" s="2920">
        <f>IF(AK101&lt;AL101,1,0)</f>
        <v>1</v>
      </c>
      <c r="EA101" s="2920">
        <f>IF(AM101&lt;AN101,1,0)</f>
        <v>1</v>
      </c>
      <c r="EB101" s="2920">
        <f>IF(AO101&lt;AP101,1,0)</f>
        <v>1</v>
      </c>
      <c r="EC101" s="2920">
        <f>IF(AQ101&lt;AR101,1,0)</f>
        <v>1</v>
      </c>
    </row>
    <row r="102" spans="1:133" x14ac:dyDescent="0.3">
      <c r="A102" s="6234">
        <v>11056437</v>
      </c>
      <c r="B102" s="3184" t="s">
        <v>2660</v>
      </c>
      <c r="C102" s="1928" t="s">
        <v>5292</v>
      </c>
      <c r="D102" s="3242" t="s">
        <v>5293</v>
      </c>
      <c r="E102" s="3475" t="s">
        <v>5294</v>
      </c>
      <c r="F102" s="5149" t="s">
        <v>5295</v>
      </c>
      <c r="G102" s="5148" t="s">
        <v>5296</v>
      </c>
      <c r="H102" s="5149" t="s">
        <v>5297</v>
      </c>
      <c r="I102" s="5148" t="s">
        <v>5298</v>
      </c>
      <c r="J102" s="5149" t="s">
        <v>5299</v>
      </c>
      <c r="K102" s="5148" t="s">
        <v>5300</v>
      </c>
      <c r="L102" s="5149" t="s">
        <v>5301</v>
      </c>
      <c r="M102" s="5148" t="s">
        <v>5302</v>
      </c>
      <c r="N102" s="5150" t="s">
        <v>5303</v>
      </c>
      <c r="O102" s="3479" t="s">
        <v>5304</v>
      </c>
      <c r="P102" s="5151" t="s">
        <v>5305</v>
      </c>
      <c r="Q102" s="5038" t="s">
        <v>5306</v>
      </c>
      <c r="R102" s="5151" t="s">
        <v>5307</v>
      </c>
      <c r="S102" s="5038" t="s">
        <v>5308</v>
      </c>
      <c r="T102" s="5151" t="s">
        <v>5309</v>
      </c>
      <c r="U102" s="5038" t="s">
        <v>5310</v>
      </c>
      <c r="V102" s="5151" t="s">
        <v>5311</v>
      </c>
      <c r="W102" s="5038" t="s">
        <v>5312</v>
      </c>
      <c r="X102" s="5151" t="s">
        <v>5313</v>
      </c>
      <c r="Y102" s="5038" t="s">
        <v>5314</v>
      </c>
      <c r="Z102" s="5151" t="s">
        <v>5315</v>
      </c>
      <c r="AA102" s="5038" t="s">
        <v>5316</v>
      </c>
      <c r="AB102" s="5151" t="s">
        <v>5317</v>
      </c>
      <c r="AC102" s="5038" t="s">
        <v>5318</v>
      </c>
      <c r="AD102" s="5151" t="s">
        <v>5319</v>
      </c>
      <c r="AE102" s="5038" t="s">
        <v>5320</v>
      </c>
      <c r="AF102" s="5151" t="s">
        <v>5321</v>
      </c>
      <c r="AG102" s="5038" t="s">
        <v>5322</v>
      </c>
      <c r="AH102" s="5151" t="s">
        <v>5323</v>
      </c>
      <c r="AI102" s="5038" t="s">
        <v>5324</v>
      </c>
      <c r="AJ102" s="5151" t="s">
        <v>5325</v>
      </c>
      <c r="AK102" s="5038" t="s">
        <v>5326</v>
      </c>
      <c r="AL102" s="5151" t="s">
        <v>5327</v>
      </c>
      <c r="AM102" s="5038" t="s">
        <v>5328</v>
      </c>
      <c r="AN102" s="5151" t="s">
        <v>5329</v>
      </c>
      <c r="AO102" s="5038" t="s">
        <v>5330</v>
      </c>
      <c r="AP102" s="5151" t="s">
        <v>5331</v>
      </c>
      <c r="AQ102" s="5038" t="s">
        <v>5332</v>
      </c>
      <c r="AR102" s="5145" t="s">
        <v>5333</v>
      </c>
      <c r="AS102" s="3483" t="s">
        <v>5334</v>
      </c>
      <c r="AT102" s="5145" t="s">
        <v>5335</v>
      </c>
      <c r="AU102" s="5146" t="s">
        <v>5336</v>
      </c>
      <c r="AV102" s="5145" t="s">
        <v>5337</v>
      </c>
      <c r="AW102" s="3479" t="s">
        <v>5338</v>
      </c>
      <c r="AX102" s="5147" t="s">
        <v>5339</v>
      </c>
      <c r="AY102" s="1687" t="e">
        <f t="shared" ref="AY102:AY105" si="330">CC102&amp;CD102&amp;CE102&amp;CF102&amp;CL102&amp;CM102&amp;CN102&amp;CO102&amp;CP102&amp;CQ102&amp;CR102&amp;CS102&amp;CT102&amp;CU102&amp;CV102&amp;CW102&amp;CX102&amp;CY102</f>
        <v>#VALUE!</v>
      </c>
      <c r="CB102" s="600"/>
      <c r="CC102" s="4747" t="str">
        <f t="shared" ref="CC102:CC105" si="331">IF(C102&lt;&gt;(AT102)," * La suma de las columnas "&amp;AS$10&amp;""&amp;" DEBE SER IGUAL a los Exámenes Procesados. ","")</f>
        <v xml:space="preserve"> * La suma de las columnas POR SEXO (Procesados) DEBE SER IGUAL a los Exámenes Procesados. </v>
      </c>
      <c r="CD102" s="2784" t="e">
        <f t="shared" ref="CD102:CD118" si="332">IF(AND($C102&gt;0,AND(AU102="",AV102="")),"* No olvide ingresar las columnas Trans Masculino o Femenino (*Digite CERO si no tiene). ",IF((AU102+AV102)&gt;$C102,"* El Número de Trans Masculino o Femenino no puede superar el Total Procesados. ",""))</f>
        <v>#VALUE!</v>
      </c>
      <c r="CE102" s="2784" t="str">
        <f t="shared" ref="CE102:CE118" si="333">IF(AND($C102&gt;0,AW102=""),"* No olvide ingresar la columna "&amp;AW$10&amp;""&amp;" *(Digite CERO si no tiene). ",IF(AW102&gt;$C102," *El Número de "&amp;AW$10&amp;""&amp;" no puede superar el Total Procesados. ",""))</f>
        <v xml:space="preserve"> *El Número de Pueblos Originarios no puede superar el Total Procesados. </v>
      </c>
      <c r="CF102" s="2784" t="str">
        <f t="shared" ref="CF102:CF118" si="334">IF(AND($C102&gt;0,AX102=""),"* No olvide ingresar la columna "&amp;AX$10&amp;""&amp;" *(Digite CERO si no tiene). ",IF(AX102&gt;$C102," *El Número de "&amp;AX$10&amp;""&amp;" no puede superar el Total Procesados. ",""))</f>
        <v xml:space="preserve"> *El Número de Migrantes no puede superar el Total Procesados. </v>
      </c>
      <c r="CG102" s="3018"/>
      <c r="CH102" s="3018"/>
      <c r="CI102" s="3018"/>
      <c r="CJ102" s="3018"/>
      <c r="CK102" s="3018"/>
      <c r="CL102" s="2784" t="str">
        <f t="shared" ref="CL102:CL105" si="335">IF(O102&lt;P102,CONCATENATE("* El total de Procesados debe ser mayor o igual al total de Reactivos en el grupo de edad ",$O$11),"")</f>
        <v>* El total de Procesados debe ser mayor o igual al total de Reactivos en el grupo de edad 10 - 14 años</v>
      </c>
      <c r="CM102" s="2784" t="str">
        <f t="shared" ref="CM102:CM107" si="336">IF(Q102&lt;R102,CONCATENATE("* El total de Procesados debe ser mayor o igual al total de Reactivos en el grupo de edad ",$Q$11),"")</f>
        <v>* El total de Procesados debe ser mayor o igual al total de Reactivos en el grupo de edad 15 - 19 años</v>
      </c>
      <c r="CN102" s="2784" t="str">
        <f t="shared" ref="CN102:CN109" si="337">IF(S102&lt;T102,CONCATENATE("* El total de Procesados debe ser mayor o igual al total de Reactivos en el grupo de edad ",$S$11),"")</f>
        <v>* El total de Procesados debe ser mayor o igual al total de Reactivos en el grupo de edad 20 - 24 años</v>
      </c>
      <c r="CO102" s="2784" t="str">
        <f t="shared" ref="CO102:CO118" si="338">IF($U102&lt;$V102,CONCATENATE("* El total de Procesados debe ser mayor o igual al total de Reactivos en el grupo de edad ",$U$11),"")</f>
        <v>* El total de Procesados debe ser mayor o igual al total de Reactivos en el grupo de edad 25 - 29 años</v>
      </c>
      <c r="CP102" s="2784" t="str">
        <f t="shared" ref="CP102:CP109" si="339">IF(W102&lt;X102,CONCATENATE("* El total de Procesados debe ser mayor o igual al total de Reactivos en el grupo de edad ",$W$11),"")</f>
        <v>* El total de Procesados debe ser mayor o igual al total de Reactivos en el grupo de edad 30 - 34 años</v>
      </c>
      <c r="CQ102" s="2784" t="str">
        <f t="shared" ref="CQ102:CQ109" si="340">IF(Y102&lt;Z102,CONCATENATE("* El total de Procesados debe ser mayor o igual al total de Reactivos en el grupo de edad ",$Y$11),"")</f>
        <v>* El total de Procesados debe ser mayor o igual al total de Reactivos en el grupo de edad 35 - 39 años</v>
      </c>
      <c r="CR102" s="2784" t="str">
        <f t="shared" ref="CR102:CR109" si="341">IF(AA102&lt;AB102,CONCATENATE("* El total de Procesados debe ser mayor o igual al total de Reactivos en el grupo de edad ",$AA$11),"")</f>
        <v>* El total de Procesados debe ser mayor o igual al total de Reactivos en el grupo de edad 40 - 44 años</v>
      </c>
      <c r="CS102" s="2784" t="str">
        <f t="shared" ref="CS102:CS109" si="342">IF(AE102&lt;AF102,CONCATENATE("* El total de Procesados debe ser mayor o igual al total de Reactivos en el grupo de edad ",$AE$11),"")</f>
        <v>* El total de Procesados debe ser mayor o igual al total de Reactivos en el grupo de edad 50 - 54 años</v>
      </c>
      <c r="CT102" s="2784" t="str">
        <f t="shared" ref="CT102:CT109" si="343">IF(AG102&lt;AH102,CONCATENATE("* El total de Procesados debe ser mayor o igual al total de Reactivos en el grupo de edad ",$AG$11),"")</f>
        <v>* El total de Procesados debe ser mayor o igual al total de Reactivos en el grupo de edad 55 - 59 años</v>
      </c>
      <c r="CU102" s="2784" t="str">
        <f t="shared" ref="CU102:CU109" si="344">IF(AI102&lt;AJ102,CONCATENATE("* El total de Procesados debe ser mayor o igual al total de Reactivos en el grupo de edad ",$AI$11),"")</f>
        <v>* El total de Procesados debe ser mayor o igual al total de Reactivos en el grupo de edad 60 - 64 años</v>
      </c>
      <c r="CV102" s="2784" t="str">
        <f t="shared" ref="CV102:CV109" si="345">IF(AK102&lt;AL102,CONCATENATE("* El total de Procesados debe ser mayor o igual al total de Reactivos en el grupo de edad ",$AK$11),"")</f>
        <v>* El total de Procesados debe ser mayor o igual al total de Reactivos en el grupo de edad 65 - 69 años</v>
      </c>
      <c r="CW102" s="2784" t="str">
        <f t="shared" ref="CW102:CW109" si="346">IF(AM102&lt;AN102,CONCATENATE("* El total de Procesados debe ser mayor o igual al total de Reactivos en el grupo de edad ",$AM$11),"")</f>
        <v>* El total de Procesados debe ser mayor o igual al total de Reactivos en el grupo de edad 70 - 74 años</v>
      </c>
      <c r="CX102" s="2784" t="str">
        <f t="shared" ref="CX102:CX109" si="347">IF(AO102&lt;AP102,CONCATENATE("* El total de Procesados debe ser mayor o igual al total de Reactivos en el grupo de edad ",$AO$11),"")</f>
        <v>* El total de Procesados debe ser mayor o igual al total de Reactivos en el grupo de edad 75 - 79 años</v>
      </c>
      <c r="CY102" s="2784" t="str">
        <f t="shared" ref="CY102:CY109" si="348">IF(AQ102&lt;AR102,CONCATENATE("* El total de Procesados debe ser mayor o igual al total de Reactivos en el grupo de edad ",$AQ$11),"")</f>
        <v>* El total de Procesados debe ser mayor o igual al total de Reactivos en el grupo de edad 80 y más años</v>
      </c>
      <c r="DF102" s="2630"/>
      <c r="DG102" s="4747">
        <f t="shared" ref="DG102:DG105" si="349">IF(C102&lt;&gt;(AT102),1,0)</f>
        <v>1</v>
      </c>
      <c r="DH102" s="2920" t="e">
        <f t="shared" ref="DH102:DH118" si="350">IF(AND($C102&gt;0,AND(AU102="",AV102="")),1,IF((AU102+AV102)&gt;$C102,1,0))</f>
        <v>#VALUE!</v>
      </c>
      <c r="DI102" s="2920">
        <f t="shared" ref="DI102:DI118" si="351">IF(AND($C102&gt;0,AW102=""),1,IF(AW102&gt;$C102,1,0))</f>
        <v>1</v>
      </c>
      <c r="DJ102" s="2920">
        <f t="shared" ref="DJ102:DJ118" si="352">IF(AND($C102&gt;0,AX102=""),1,IF(AX102&gt;$C102,1,0))</f>
        <v>1</v>
      </c>
      <c r="DK102" s="3018"/>
      <c r="DL102" s="3018"/>
      <c r="DM102" s="3018"/>
      <c r="DN102" s="3018"/>
      <c r="DO102" s="3018"/>
      <c r="DP102" s="2920">
        <f t="shared" ref="DP102:DP109" si="353">IF(O102&lt;P102,1,0)</f>
        <v>1</v>
      </c>
      <c r="DQ102" s="2920">
        <f t="shared" ref="DQ102:DQ109" si="354">IF(Q102&lt;R102,1,0)</f>
        <v>1</v>
      </c>
      <c r="DR102" s="2920">
        <f t="shared" ref="DR102:DR109" si="355">IF(S102&lt;T102,1,0)</f>
        <v>1</v>
      </c>
      <c r="DS102" s="2920">
        <f t="shared" ref="DS102:DS118" si="356">IF($U102&lt;$V102,1,0)</f>
        <v>1</v>
      </c>
      <c r="DT102" s="2920">
        <f t="shared" ref="DT102:DT109" si="357">IF(W102&lt;X102,1,0)</f>
        <v>1</v>
      </c>
      <c r="DU102" s="2920">
        <f t="shared" ref="DU102:DU109" si="358">IF(Y102&lt;Z102,1,0)</f>
        <v>1</v>
      </c>
      <c r="DV102" s="2920">
        <f t="shared" ref="DV102:DV109" si="359">IF(AA102&lt;AB102,1,0)</f>
        <v>1</v>
      </c>
      <c r="DW102" s="2920">
        <f t="shared" ref="DW102:DW109" si="360">IF(AE102&lt;AF102,1,0)</f>
        <v>1</v>
      </c>
      <c r="DX102" s="2920">
        <f t="shared" ref="DX102:DX109" si="361">IF(AG102&lt;AH102,1,0)</f>
        <v>1</v>
      </c>
      <c r="DY102" s="2920">
        <f t="shared" ref="DY102:DY109" si="362">IF(AI102&lt;AJ102,1,0)</f>
        <v>1</v>
      </c>
      <c r="DZ102" s="2920">
        <f t="shared" ref="DZ102:DZ109" si="363">IF(AK102&lt;AL102,1,0)</f>
        <v>1</v>
      </c>
      <c r="EA102" s="2920">
        <f t="shared" ref="EA102:EA109" si="364">IF(AM102&lt;AN102,1,0)</f>
        <v>1</v>
      </c>
      <c r="EB102" s="2920">
        <f t="shared" ref="EB102:EB109" si="365">IF(AO102&lt;AP102,1,0)</f>
        <v>1</v>
      </c>
      <c r="EC102" s="2920">
        <f t="shared" ref="EC102:EC109" si="366">IF(AQ102&lt;AR102,1,0)</f>
        <v>1</v>
      </c>
    </row>
    <row r="103" spans="1:133" x14ac:dyDescent="0.3">
      <c r="A103" s="6234">
        <v>11056438</v>
      </c>
      <c r="B103" s="3184" t="s">
        <v>2661</v>
      </c>
      <c r="C103" s="1928" t="s">
        <v>5292</v>
      </c>
      <c r="D103" s="3242" t="s">
        <v>5293</v>
      </c>
      <c r="E103" s="3475" t="s">
        <v>5294</v>
      </c>
      <c r="F103" s="5149" t="s">
        <v>5295</v>
      </c>
      <c r="G103" s="5148" t="s">
        <v>5296</v>
      </c>
      <c r="H103" s="5149" t="s">
        <v>5297</v>
      </c>
      <c r="I103" s="5148" t="s">
        <v>5298</v>
      </c>
      <c r="J103" s="5149" t="s">
        <v>5299</v>
      </c>
      <c r="K103" s="5148" t="s">
        <v>5300</v>
      </c>
      <c r="L103" s="5149" t="s">
        <v>5301</v>
      </c>
      <c r="M103" s="5148" t="s">
        <v>5302</v>
      </c>
      <c r="N103" s="5150" t="s">
        <v>5303</v>
      </c>
      <c r="O103" s="3479" t="s">
        <v>5304</v>
      </c>
      <c r="P103" s="5151" t="s">
        <v>5305</v>
      </c>
      <c r="Q103" s="5038" t="s">
        <v>5306</v>
      </c>
      <c r="R103" s="5151" t="s">
        <v>5307</v>
      </c>
      <c r="S103" s="5038" t="s">
        <v>5308</v>
      </c>
      <c r="T103" s="5151" t="s">
        <v>5309</v>
      </c>
      <c r="U103" s="5038" t="s">
        <v>5310</v>
      </c>
      <c r="V103" s="5151" t="s">
        <v>5311</v>
      </c>
      <c r="W103" s="5038" t="s">
        <v>5312</v>
      </c>
      <c r="X103" s="5151" t="s">
        <v>5313</v>
      </c>
      <c r="Y103" s="5038" t="s">
        <v>5314</v>
      </c>
      <c r="Z103" s="5151" t="s">
        <v>5315</v>
      </c>
      <c r="AA103" s="5038" t="s">
        <v>5316</v>
      </c>
      <c r="AB103" s="5151" t="s">
        <v>5317</v>
      </c>
      <c r="AC103" s="5038" t="s">
        <v>5318</v>
      </c>
      <c r="AD103" s="5151" t="s">
        <v>5319</v>
      </c>
      <c r="AE103" s="5038" t="s">
        <v>5320</v>
      </c>
      <c r="AF103" s="5151" t="s">
        <v>5321</v>
      </c>
      <c r="AG103" s="5038" t="s">
        <v>5322</v>
      </c>
      <c r="AH103" s="5151" t="s">
        <v>5323</v>
      </c>
      <c r="AI103" s="5038" t="s">
        <v>5324</v>
      </c>
      <c r="AJ103" s="5151" t="s">
        <v>5325</v>
      </c>
      <c r="AK103" s="5038" t="s">
        <v>5326</v>
      </c>
      <c r="AL103" s="5151" t="s">
        <v>5327</v>
      </c>
      <c r="AM103" s="5038" t="s">
        <v>5328</v>
      </c>
      <c r="AN103" s="5151" t="s">
        <v>5329</v>
      </c>
      <c r="AO103" s="5038" t="s">
        <v>5330</v>
      </c>
      <c r="AP103" s="5151" t="s">
        <v>5331</v>
      </c>
      <c r="AQ103" s="5038" t="s">
        <v>5332</v>
      </c>
      <c r="AR103" s="5145" t="s">
        <v>5333</v>
      </c>
      <c r="AS103" s="3483" t="s">
        <v>5334</v>
      </c>
      <c r="AT103" s="5145" t="s">
        <v>5335</v>
      </c>
      <c r="AU103" s="5146" t="s">
        <v>5336</v>
      </c>
      <c r="AV103" s="5145" t="s">
        <v>5337</v>
      </c>
      <c r="AW103" s="3479" t="s">
        <v>5338</v>
      </c>
      <c r="AX103" s="5147" t="s">
        <v>5339</v>
      </c>
      <c r="AY103" s="1687" t="e">
        <f t="shared" si="330"/>
        <v>#VALUE!</v>
      </c>
      <c r="CB103" s="600"/>
      <c r="CC103" s="4747" t="str">
        <f t="shared" si="331"/>
        <v xml:space="preserve"> * La suma de las columnas POR SEXO (Procesados) DEBE SER IGUAL a los Exámenes Procesados. </v>
      </c>
      <c r="CD103" s="2784" t="e">
        <f t="shared" si="332"/>
        <v>#VALUE!</v>
      </c>
      <c r="CE103" s="2784" t="str">
        <f t="shared" si="333"/>
        <v xml:space="preserve"> *El Número de Pueblos Originarios no puede superar el Total Procesados. </v>
      </c>
      <c r="CF103" s="2784" t="str">
        <f t="shared" si="334"/>
        <v xml:space="preserve"> *El Número de Migrantes no puede superar el Total Procesados. </v>
      </c>
      <c r="CG103" s="3018"/>
      <c r="CH103" s="3018"/>
      <c r="CI103" s="3018"/>
      <c r="CJ103" s="3018"/>
      <c r="CK103" s="3018"/>
      <c r="CL103" s="2784" t="str">
        <f t="shared" si="335"/>
        <v>* El total de Procesados debe ser mayor o igual al total de Reactivos en el grupo de edad 10 - 14 años</v>
      </c>
      <c r="CM103" s="2784" t="str">
        <f t="shared" si="336"/>
        <v>* El total de Procesados debe ser mayor o igual al total de Reactivos en el grupo de edad 15 - 19 años</v>
      </c>
      <c r="CN103" s="2784" t="str">
        <f t="shared" si="337"/>
        <v>* El total de Procesados debe ser mayor o igual al total de Reactivos en el grupo de edad 20 - 24 años</v>
      </c>
      <c r="CO103" s="2784" t="str">
        <f t="shared" si="338"/>
        <v>* El total de Procesados debe ser mayor o igual al total de Reactivos en el grupo de edad 25 - 29 años</v>
      </c>
      <c r="CP103" s="2784" t="str">
        <f t="shared" si="339"/>
        <v>* El total de Procesados debe ser mayor o igual al total de Reactivos en el grupo de edad 30 - 34 años</v>
      </c>
      <c r="CQ103" s="2784" t="str">
        <f t="shared" si="340"/>
        <v>* El total de Procesados debe ser mayor o igual al total de Reactivos en el grupo de edad 35 - 39 años</v>
      </c>
      <c r="CR103" s="2784" t="str">
        <f t="shared" si="341"/>
        <v>* El total de Procesados debe ser mayor o igual al total de Reactivos en el grupo de edad 40 - 44 años</v>
      </c>
      <c r="CS103" s="2784" t="str">
        <f t="shared" si="342"/>
        <v>* El total de Procesados debe ser mayor o igual al total de Reactivos en el grupo de edad 50 - 54 años</v>
      </c>
      <c r="CT103" s="2784" t="str">
        <f t="shared" si="343"/>
        <v>* El total de Procesados debe ser mayor o igual al total de Reactivos en el grupo de edad 55 - 59 años</v>
      </c>
      <c r="CU103" s="2784" t="str">
        <f t="shared" si="344"/>
        <v>* El total de Procesados debe ser mayor o igual al total de Reactivos en el grupo de edad 60 - 64 años</v>
      </c>
      <c r="CV103" s="2784" t="str">
        <f t="shared" si="345"/>
        <v>* El total de Procesados debe ser mayor o igual al total de Reactivos en el grupo de edad 65 - 69 años</v>
      </c>
      <c r="CW103" s="2784" t="str">
        <f t="shared" si="346"/>
        <v>* El total de Procesados debe ser mayor o igual al total de Reactivos en el grupo de edad 70 - 74 años</v>
      </c>
      <c r="CX103" s="2784" t="str">
        <f t="shared" si="347"/>
        <v>* El total de Procesados debe ser mayor o igual al total de Reactivos en el grupo de edad 75 - 79 años</v>
      </c>
      <c r="CY103" s="2784" t="str">
        <f t="shared" si="348"/>
        <v>* El total de Procesados debe ser mayor o igual al total de Reactivos en el grupo de edad 80 y más años</v>
      </c>
      <c r="DF103" s="2630"/>
      <c r="DG103" s="4747">
        <f t="shared" si="349"/>
        <v>1</v>
      </c>
      <c r="DH103" s="2920" t="e">
        <f t="shared" si="350"/>
        <v>#VALUE!</v>
      </c>
      <c r="DI103" s="2920">
        <f t="shared" si="351"/>
        <v>1</v>
      </c>
      <c r="DJ103" s="2920">
        <f t="shared" si="352"/>
        <v>1</v>
      </c>
      <c r="DK103" s="3018"/>
      <c r="DL103" s="3018"/>
      <c r="DM103" s="3018"/>
      <c r="DN103" s="3018"/>
      <c r="DO103" s="3018"/>
      <c r="DP103" s="2920">
        <f t="shared" si="353"/>
        <v>1</v>
      </c>
      <c r="DQ103" s="2920">
        <f t="shared" si="354"/>
        <v>1</v>
      </c>
      <c r="DR103" s="2920">
        <f t="shared" si="355"/>
        <v>1</v>
      </c>
      <c r="DS103" s="2920">
        <f t="shared" si="356"/>
        <v>1</v>
      </c>
      <c r="DT103" s="2920">
        <f t="shared" si="357"/>
        <v>1</v>
      </c>
      <c r="DU103" s="2920">
        <f t="shared" si="358"/>
        <v>1</v>
      </c>
      <c r="DV103" s="2920">
        <f t="shared" si="359"/>
        <v>1</v>
      </c>
      <c r="DW103" s="2920">
        <f t="shared" si="360"/>
        <v>1</v>
      </c>
      <c r="DX103" s="2920">
        <f t="shared" si="361"/>
        <v>1</v>
      </c>
      <c r="DY103" s="2920">
        <f t="shared" si="362"/>
        <v>1</v>
      </c>
      <c r="DZ103" s="2920">
        <f t="shared" si="363"/>
        <v>1</v>
      </c>
      <c r="EA103" s="2920">
        <f t="shared" si="364"/>
        <v>1</v>
      </c>
      <c r="EB103" s="2920">
        <f t="shared" si="365"/>
        <v>1</v>
      </c>
      <c r="EC103" s="2920">
        <f t="shared" si="366"/>
        <v>1</v>
      </c>
    </row>
    <row r="104" spans="1:133" x14ac:dyDescent="0.3">
      <c r="A104" s="6234">
        <v>11056439</v>
      </c>
      <c r="B104" s="3184" t="s">
        <v>2662</v>
      </c>
      <c r="C104" s="1928" t="s">
        <v>5292</v>
      </c>
      <c r="D104" s="3242" t="s">
        <v>5293</v>
      </c>
      <c r="E104" s="3475" t="s">
        <v>5294</v>
      </c>
      <c r="F104" s="5149" t="s">
        <v>5295</v>
      </c>
      <c r="G104" s="5148" t="s">
        <v>5296</v>
      </c>
      <c r="H104" s="5149" t="s">
        <v>5297</v>
      </c>
      <c r="I104" s="5148" t="s">
        <v>5298</v>
      </c>
      <c r="J104" s="5149" t="s">
        <v>5299</v>
      </c>
      <c r="K104" s="5148" t="s">
        <v>5300</v>
      </c>
      <c r="L104" s="5149" t="s">
        <v>5301</v>
      </c>
      <c r="M104" s="5148" t="s">
        <v>5302</v>
      </c>
      <c r="N104" s="5150" t="s">
        <v>5303</v>
      </c>
      <c r="O104" s="3479" t="s">
        <v>5304</v>
      </c>
      <c r="P104" s="5151" t="s">
        <v>5305</v>
      </c>
      <c r="Q104" s="5038" t="s">
        <v>5306</v>
      </c>
      <c r="R104" s="5151" t="s">
        <v>5307</v>
      </c>
      <c r="S104" s="5038" t="s">
        <v>5308</v>
      </c>
      <c r="T104" s="5151" t="s">
        <v>5309</v>
      </c>
      <c r="U104" s="5038" t="s">
        <v>5310</v>
      </c>
      <c r="V104" s="5151" t="s">
        <v>5311</v>
      </c>
      <c r="W104" s="5038" t="s">
        <v>5312</v>
      </c>
      <c r="X104" s="5151" t="s">
        <v>5313</v>
      </c>
      <c r="Y104" s="5038" t="s">
        <v>5314</v>
      </c>
      <c r="Z104" s="5151" t="s">
        <v>5315</v>
      </c>
      <c r="AA104" s="5038" t="s">
        <v>5316</v>
      </c>
      <c r="AB104" s="5151" t="s">
        <v>5317</v>
      </c>
      <c r="AC104" s="5038" t="s">
        <v>5318</v>
      </c>
      <c r="AD104" s="5151" t="s">
        <v>5319</v>
      </c>
      <c r="AE104" s="5038" t="s">
        <v>5320</v>
      </c>
      <c r="AF104" s="5151" t="s">
        <v>5321</v>
      </c>
      <c r="AG104" s="5038" t="s">
        <v>5322</v>
      </c>
      <c r="AH104" s="5151" t="s">
        <v>5323</v>
      </c>
      <c r="AI104" s="5038" t="s">
        <v>5324</v>
      </c>
      <c r="AJ104" s="5151" t="s">
        <v>5325</v>
      </c>
      <c r="AK104" s="5038" t="s">
        <v>5326</v>
      </c>
      <c r="AL104" s="5151" t="s">
        <v>5327</v>
      </c>
      <c r="AM104" s="5038" t="s">
        <v>5328</v>
      </c>
      <c r="AN104" s="5151" t="s">
        <v>5329</v>
      </c>
      <c r="AO104" s="5038" t="s">
        <v>5330</v>
      </c>
      <c r="AP104" s="5151" t="s">
        <v>5331</v>
      </c>
      <c r="AQ104" s="5038" t="s">
        <v>5332</v>
      </c>
      <c r="AR104" s="5145" t="s">
        <v>5333</v>
      </c>
      <c r="AS104" s="3483" t="s">
        <v>5334</v>
      </c>
      <c r="AT104" s="5145" t="s">
        <v>5335</v>
      </c>
      <c r="AU104" s="5146" t="s">
        <v>5336</v>
      </c>
      <c r="AV104" s="5145" t="s">
        <v>5337</v>
      </c>
      <c r="AW104" s="3479" t="s">
        <v>5338</v>
      </c>
      <c r="AX104" s="5147" t="s">
        <v>5339</v>
      </c>
      <c r="AY104" s="1687" t="e">
        <f t="shared" si="330"/>
        <v>#VALUE!</v>
      </c>
      <c r="CB104" s="600"/>
      <c r="CC104" s="4747" t="str">
        <f t="shared" si="331"/>
        <v xml:space="preserve"> * La suma de las columnas POR SEXO (Procesados) DEBE SER IGUAL a los Exámenes Procesados. </v>
      </c>
      <c r="CD104" s="2784" t="e">
        <f t="shared" si="332"/>
        <v>#VALUE!</v>
      </c>
      <c r="CE104" s="2784" t="str">
        <f t="shared" si="333"/>
        <v xml:space="preserve"> *El Número de Pueblos Originarios no puede superar el Total Procesados. </v>
      </c>
      <c r="CF104" s="2784" t="str">
        <f t="shared" si="334"/>
        <v xml:space="preserve"> *El Número de Migrantes no puede superar el Total Procesados. </v>
      </c>
      <c r="CG104" s="3018"/>
      <c r="CH104" s="3018"/>
      <c r="CI104" s="3018"/>
      <c r="CJ104" s="3018"/>
      <c r="CK104" s="3018"/>
      <c r="CL104" s="2784" t="str">
        <f t="shared" si="335"/>
        <v>* El total de Procesados debe ser mayor o igual al total de Reactivos en el grupo de edad 10 - 14 años</v>
      </c>
      <c r="CM104" s="2784" t="str">
        <f t="shared" si="336"/>
        <v>* El total de Procesados debe ser mayor o igual al total de Reactivos en el grupo de edad 15 - 19 años</v>
      </c>
      <c r="CN104" s="2784" t="str">
        <f t="shared" si="337"/>
        <v>* El total de Procesados debe ser mayor o igual al total de Reactivos en el grupo de edad 20 - 24 años</v>
      </c>
      <c r="CO104" s="2784" t="str">
        <f t="shared" si="338"/>
        <v>* El total de Procesados debe ser mayor o igual al total de Reactivos en el grupo de edad 25 - 29 años</v>
      </c>
      <c r="CP104" s="2784" t="str">
        <f t="shared" si="339"/>
        <v>* El total de Procesados debe ser mayor o igual al total de Reactivos en el grupo de edad 30 - 34 años</v>
      </c>
      <c r="CQ104" s="2784" t="str">
        <f t="shared" si="340"/>
        <v>* El total de Procesados debe ser mayor o igual al total de Reactivos en el grupo de edad 35 - 39 años</v>
      </c>
      <c r="CR104" s="2784" t="str">
        <f t="shared" si="341"/>
        <v>* El total de Procesados debe ser mayor o igual al total de Reactivos en el grupo de edad 40 - 44 años</v>
      </c>
      <c r="CS104" s="2784" t="str">
        <f t="shared" si="342"/>
        <v>* El total de Procesados debe ser mayor o igual al total de Reactivos en el grupo de edad 50 - 54 años</v>
      </c>
      <c r="CT104" s="2784" t="str">
        <f t="shared" si="343"/>
        <v>* El total de Procesados debe ser mayor o igual al total de Reactivos en el grupo de edad 55 - 59 años</v>
      </c>
      <c r="CU104" s="2784" t="str">
        <f t="shared" si="344"/>
        <v>* El total de Procesados debe ser mayor o igual al total de Reactivos en el grupo de edad 60 - 64 años</v>
      </c>
      <c r="CV104" s="2784" t="str">
        <f t="shared" si="345"/>
        <v>* El total de Procesados debe ser mayor o igual al total de Reactivos en el grupo de edad 65 - 69 años</v>
      </c>
      <c r="CW104" s="2784" t="str">
        <f t="shared" si="346"/>
        <v>* El total de Procesados debe ser mayor o igual al total de Reactivos en el grupo de edad 70 - 74 años</v>
      </c>
      <c r="CX104" s="2784" t="str">
        <f t="shared" si="347"/>
        <v>* El total de Procesados debe ser mayor o igual al total de Reactivos en el grupo de edad 75 - 79 años</v>
      </c>
      <c r="CY104" s="2784" t="str">
        <f t="shared" si="348"/>
        <v>* El total de Procesados debe ser mayor o igual al total de Reactivos en el grupo de edad 80 y más años</v>
      </c>
      <c r="DF104" s="2630"/>
      <c r="DG104" s="4747">
        <f t="shared" si="349"/>
        <v>1</v>
      </c>
      <c r="DH104" s="2920" t="e">
        <f t="shared" si="350"/>
        <v>#VALUE!</v>
      </c>
      <c r="DI104" s="2920">
        <f t="shared" si="351"/>
        <v>1</v>
      </c>
      <c r="DJ104" s="2920">
        <f t="shared" si="352"/>
        <v>1</v>
      </c>
      <c r="DK104" s="3018"/>
      <c r="DL104" s="3018"/>
      <c r="DM104" s="3018"/>
      <c r="DN104" s="3018"/>
      <c r="DO104" s="3018"/>
      <c r="DP104" s="2920">
        <f t="shared" si="353"/>
        <v>1</v>
      </c>
      <c r="DQ104" s="2920">
        <f t="shared" si="354"/>
        <v>1</v>
      </c>
      <c r="DR104" s="2920">
        <f t="shared" si="355"/>
        <v>1</v>
      </c>
      <c r="DS104" s="2920">
        <f t="shared" si="356"/>
        <v>1</v>
      </c>
      <c r="DT104" s="2920">
        <f t="shared" si="357"/>
        <v>1</v>
      </c>
      <c r="DU104" s="2920">
        <f t="shared" si="358"/>
        <v>1</v>
      </c>
      <c r="DV104" s="2920">
        <f t="shared" si="359"/>
        <v>1</v>
      </c>
      <c r="DW104" s="2920">
        <f t="shared" si="360"/>
        <v>1</v>
      </c>
      <c r="DX104" s="2920">
        <f t="shared" si="361"/>
        <v>1</v>
      </c>
      <c r="DY104" s="2920">
        <f t="shared" si="362"/>
        <v>1</v>
      </c>
      <c r="DZ104" s="2920">
        <f t="shared" si="363"/>
        <v>1</v>
      </c>
      <c r="EA104" s="2920">
        <f t="shared" si="364"/>
        <v>1</v>
      </c>
      <c r="EB104" s="2920">
        <f t="shared" si="365"/>
        <v>1</v>
      </c>
      <c r="EC104" s="2920">
        <f t="shared" si="366"/>
        <v>1</v>
      </c>
    </row>
    <row r="105" spans="1:133" x14ac:dyDescent="0.3">
      <c r="A105" s="6234">
        <v>11056440</v>
      </c>
      <c r="B105" s="3239" t="s">
        <v>2663</v>
      </c>
      <c r="C105" s="1928" t="s">
        <v>5292</v>
      </c>
      <c r="D105" s="3242" t="s">
        <v>5293</v>
      </c>
      <c r="E105" s="3475" t="s">
        <v>5294</v>
      </c>
      <c r="F105" s="5149" t="s">
        <v>5295</v>
      </c>
      <c r="G105" s="5148" t="s">
        <v>5296</v>
      </c>
      <c r="H105" s="5149" t="s">
        <v>5297</v>
      </c>
      <c r="I105" s="5148" t="s">
        <v>5298</v>
      </c>
      <c r="J105" s="5149" t="s">
        <v>5299</v>
      </c>
      <c r="K105" s="5148" t="s">
        <v>5300</v>
      </c>
      <c r="L105" s="5149" t="s">
        <v>5301</v>
      </c>
      <c r="M105" s="5148" t="s">
        <v>5302</v>
      </c>
      <c r="N105" s="5150" t="s">
        <v>5303</v>
      </c>
      <c r="O105" s="3479" t="s">
        <v>5304</v>
      </c>
      <c r="P105" s="5151" t="s">
        <v>5305</v>
      </c>
      <c r="Q105" s="5038" t="s">
        <v>5306</v>
      </c>
      <c r="R105" s="5151" t="s">
        <v>5307</v>
      </c>
      <c r="S105" s="5038" t="s">
        <v>5308</v>
      </c>
      <c r="T105" s="5151" t="s">
        <v>5309</v>
      </c>
      <c r="U105" s="5038" t="s">
        <v>5310</v>
      </c>
      <c r="V105" s="5151" t="s">
        <v>5311</v>
      </c>
      <c r="W105" s="5038" t="s">
        <v>5312</v>
      </c>
      <c r="X105" s="5151" t="s">
        <v>5313</v>
      </c>
      <c r="Y105" s="5038" t="s">
        <v>5314</v>
      </c>
      <c r="Z105" s="5151" t="s">
        <v>5315</v>
      </c>
      <c r="AA105" s="5038" t="s">
        <v>5316</v>
      </c>
      <c r="AB105" s="5151" t="s">
        <v>5317</v>
      </c>
      <c r="AC105" s="5038" t="s">
        <v>5318</v>
      </c>
      <c r="AD105" s="5151" t="s">
        <v>5319</v>
      </c>
      <c r="AE105" s="5038" t="s">
        <v>5320</v>
      </c>
      <c r="AF105" s="5151" t="s">
        <v>5321</v>
      </c>
      <c r="AG105" s="5038" t="s">
        <v>5322</v>
      </c>
      <c r="AH105" s="5151" t="s">
        <v>5323</v>
      </c>
      <c r="AI105" s="5038" t="s">
        <v>5324</v>
      </c>
      <c r="AJ105" s="5151" t="s">
        <v>5325</v>
      </c>
      <c r="AK105" s="5038" t="s">
        <v>5326</v>
      </c>
      <c r="AL105" s="5151" t="s">
        <v>5327</v>
      </c>
      <c r="AM105" s="5038" t="s">
        <v>5328</v>
      </c>
      <c r="AN105" s="5151" t="s">
        <v>5329</v>
      </c>
      <c r="AO105" s="5038" t="s">
        <v>5330</v>
      </c>
      <c r="AP105" s="5151" t="s">
        <v>5331</v>
      </c>
      <c r="AQ105" s="5038" t="s">
        <v>5332</v>
      </c>
      <c r="AR105" s="5145" t="s">
        <v>5333</v>
      </c>
      <c r="AS105" s="3483" t="s">
        <v>5334</v>
      </c>
      <c r="AT105" s="5145" t="s">
        <v>5335</v>
      </c>
      <c r="AU105" s="5146" t="s">
        <v>5336</v>
      </c>
      <c r="AV105" s="5145" t="s">
        <v>5337</v>
      </c>
      <c r="AW105" s="3479" t="s">
        <v>5338</v>
      </c>
      <c r="AX105" s="5147" t="s">
        <v>5339</v>
      </c>
      <c r="AY105" s="1687" t="e">
        <f t="shared" si="330"/>
        <v>#VALUE!</v>
      </c>
      <c r="CB105" s="600"/>
      <c r="CC105" s="4747" t="str">
        <f t="shared" si="331"/>
        <v xml:space="preserve"> * La suma de las columnas POR SEXO (Procesados) DEBE SER IGUAL a los Exámenes Procesados. </v>
      </c>
      <c r="CD105" s="2784" t="e">
        <f t="shared" si="332"/>
        <v>#VALUE!</v>
      </c>
      <c r="CE105" s="2784" t="str">
        <f t="shared" si="333"/>
        <v xml:space="preserve"> *El Número de Pueblos Originarios no puede superar el Total Procesados. </v>
      </c>
      <c r="CF105" s="2784" t="str">
        <f t="shared" si="334"/>
        <v xml:space="preserve"> *El Número de Migrantes no puede superar el Total Procesados. </v>
      </c>
      <c r="CG105" s="3018"/>
      <c r="CH105" s="3018"/>
      <c r="CI105" s="3018"/>
      <c r="CJ105" s="3018"/>
      <c r="CK105" s="3018"/>
      <c r="CL105" s="2784" t="str">
        <f t="shared" si="335"/>
        <v>* El total de Procesados debe ser mayor o igual al total de Reactivos en el grupo de edad 10 - 14 años</v>
      </c>
      <c r="CM105" s="2784" t="str">
        <f t="shared" si="336"/>
        <v>* El total de Procesados debe ser mayor o igual al total de Reactivos en el grupo de edad 15 - 19 años</v>
      </c>
      <c r="CN105" s="2784" t="str">
        <f t="shared" si="337"/>
        <v>* El total de Procesados debe ser mayor o igual al total de Reactivos en el grupo de edad 20 - 24 años</v>
      </c>
      <c r="CO105" s="2784" t="str">
        <f t="shared" si="338"/>
        <v>* El total de Procesados debe ser mayor o igual al total de Reactivos en el grupo de edad 25 - 29 años</v>
      </c>
      <c r="CP105" s="2784" t="str">
        <f t="shared" si="339"/>
        <v>* El total de Procesados debe ser mayor o igual al total de Reactivos en el grupo de edad 30 - 34 años</v>
      </c>
      <c r="CQ105" s="2784" t="str">
        <f t="shared" si="340"/>
        <v>* El total de Procesados debe ser mayor o igual al total de Reactivos en el grupo de edad 35 - 39 años</v>
      </c>
      <c r="CR105" s="2784" t="str">
        <f t="shared" si="341"/>
        <v>* El total de Procesados debe ser mayor o igual al total de Reactivos en el grupo de edad 40 - 44 años</v>
      </c>
      <c r="CS105" s="2784" t="str">
        <f t="shared" si="342"/>
        <v>* El total de Procesados debe ser mayor o igual al total de Reactivos en el grupo de edad 50 - 54 años</v>
      </c>
      <c r="CT105" s="2784" t="str">
        <f t="shared" si="343"/>
        <v>* El total de Procesados debe ser mayor o igual al total de Reactivos en el grupo de edad 55 - 59 años</v>
      </c>
      <c r="CU105" s="2784" t="str">
        <f t="shared" si="344"/>
        <v>* El total de Procesados debe ser mayor o igual al total de Reactivos en el grupo de edad 60 - 64 años</v>
      </c>
      <c r="CV105" s="2784" t="str">
        <f t="shared" si="345"/>
        <v>* El total de Procesados debe ser mayor o igual al total de Reactivos en el grupo de edad 65 - 69 años</v>
      </c>
      <c r="CW105" s="2784" t="str">
        <f t="shared" si="346"/>
        <v>* El total de Procesados debe ser mayor o igual al total de Reactivos en el grupo de edad 70 - 74 años</v>
      </c>
      <c r="CX105" s="2784" t="str">
        <f t="shared" si="347"/>
        <v>* El total de Procesados debe ser mayor o igual al total de Reactivos en el grupo de edad 75 - 79 años</v>
      </c>
      <c r="CY105" s="2784" t="str">
        <f t="shared" si="348"/>
        <v>* El total de Procesados debe ser mayor o igual al total de Reactivos en el grupo de edad 80 y más años</v>
      </c>
      <c r="DF105" s="2630"/>
      <c r="DG105" s="4747">
        <f t="shared" si="349"/>
        <v>1</v>
      </c>
      <c r="DH105" s="2920" t="e">
        <f t="shared" si="350"/>
        <v>#VALUE!</v>
      </c>
      <c r="DI105" s="2920">
        <f t="shared" si="351"/>
        <v>1</v>
      </c>
      <c r="DJ105" s="2920">
        <f t="shared" si="352"/>
        <v>1</v>
      </c>
      <c r="DK105" s="3018"/>
      <c r="DL105" s="3018"/>
      <c r="DM105" s="3018"/>
      <c r="DN105" s="3018"/>
      <c r="DO105" s="3018"/>
      <c r="DP105" s="2920">
        <f t="shared" si="353"/>
        <v>1</v>
      </c>
      <c r="DQ105" s="2920">
        <f t="shared" si="354"/>
        <v>1</v>
      </c>
      <c r="DR105" s="2920">
        <f t="shared" si="355"/>
        <v>1</v>
      </c>
      <c r="DS105" s="2920">
        <f t="shared" si="356"/>
        <v>1</v>
      </c>
      <c r="DT105" s="2920">
        <f t="shared" si="357"/>
        <v>1</v>
      </c>
      <c r="DU105" s="2920">
        <f t="shared" si="358"/>
        <v>1</v>
      </c>
      <c r="DV105" s="2920">
        <f t="shared" si="359"/>
        <v>1</v>
      </c>
      <c r="DW105" s="2920">
        <f t="shared" si="360"/>
        <v>1</v>
      </c>
      <c r="DX105" s="2920">
        <f t="shared" si="361"/>
        <v>1</v>
      </c>
      <c r="DY105" s="2920">
        <f t="shared" si="362"/>
        <v>1</v>
      </c>
      <c r="DZ105" s="2920">
        <f t="shared" si="363"/>
        <v>1</v>
      </c>
      <c r="EA105" s="2920">
        <f t="shared" si="364"/>
        <v>1</v>
      </c>
      <c r="EB105" s="2920">
        <f t="shared" si="365"/>
        <v>1</v>
      </c>
      <c r="EC105" s="2920">
        <f t="shared" si="366"/>
        <v>1</v>
      </c>
    </row>
    <row r="106" spans="1:133" x14ac:dyDescent="0.3">
      <c r="A106" s="6234">
        <v>11056441</v>
      </c>
      <c r="B106" s="3239" t="s">
        <v>2664</v>
      </c>
      <c r="C106" s="1928" t="s">
        <v>5292</v>
      </c>
      <c r="D106" s="3242" t="s">
        <v>5293</v>
      </c>
      <c r="E106" s="3475" t="s">
        <v>5294</v>
      </c>
      <c r="F106" s="5149" t="s">
        <v>5295</v>
      </c>
      <c r="G106" s="5148" t="s">
        <v>5296</v>
      </c>
      <c r="H106" s="5149" t="s">
        <v>5297</v>
      </c>
      <c r="I106" s="5148" t="s">
        <v>5298</v>
      </c>
      <c r="J106" s="5149" t="s">
        <v>5299</v>
      </c>
      <c r="K106" s="5148" t="s">
        <v>5300</v>
      </c>
      <c r="L106" s="5149" t="s">
        <v>5301</v>
      </c>
      <c r="M106" s="5148" t="s">
        <v>5302</v>
      </c>
      <c r="N106" s="5150" t="s">
        <v>5303</v>
      </c>
      <c r="O106" s="3479" t="s">
        <v>5304</v>
      </c>
      <c r="P106" s="5151" t="s">
        <v>5305</v>
      </c>
      <c r="Q106" s="5038" t="s">
        <v>5306</v>
      </c>
      <c r="R106" s="5151" t="s">
        <v>5307</v>
      </c>
      <c r="S106" s="5038" t="s">
        <v>5308</v>
      </c>
      <c r="T106" s="5151" t="s">
        <v>5309</v>
      </c>
      <c r="U106" s="5038" t="s">
        <v>5310</v>
      </c>
      <c r="V106" s="5151" t="s">
        <v>5311</v>
      </c>
      <c r="W106" s="5038" t="s">
        <v>5312</v>
      </c>
      <c r="X106" s="5151" t="s">
        <v>5313</v>
      </c>
      <c r="Y106" s="5038" t="s">
        <v>5314</v>
      </c>
      <c r="Z106" s="5151" t="s">
        <v>5315</v>
      </c>
      <c r="AA106" s="5038" t="s">
        <v>5316</v>
      </c>
      <c r="AB106" s="5151" t="s">
        <v>5317</v>
      </c>
      <c r="AC106" s="5038" t="s">
        <v>5318</v>
      </c>
      <c r="AD106" s="5151" t="s">
        <v>5319</v>
      </c>
      <c r="AE106" s="5038" t="s">
        <v>5320</v>
      </c>
      <c r="AF106" s="5151" t="s">
        <v>5321</v>
      </c>
      <c r="AG106" s="5038" t="s">
        <v>5322</v>
      </c>
      <c r="AH106" s="5151" t="s">
        <v>5323</v>
      </c>
      <c r="AI106" s="5038" t="s">
        <v>5324</v>
      </c>
      <c r="AJ106" s="5151" t="s">
        <v>5325</v>
      </c>
      <c r="AK106" s="5038" t="s">
        <v>5326</v>
      </c>
      <c r="AL106" s="5151" t="s">
        <v>5327</v>
      </c>
      <c r="AM106" s="5038" t="s">
        <v>5328</v>
      </c>
      <c r="AN106" s="5151" t="s">
        <v>5329</v>
      </c>
      <c r="AO106" s="5038" t="s">
        <v>5330</v>
      </c>
      <c r="AP106" s="5151" t="s">
        <v>5331</v>
      </c>
      <c r="AQ106" s="5038" t="s">
        <v>5332</v>
      </c>
      <c r="AR106" s="5145" t="s">
        <v>5333</v>
      </c>
      <c r="AS106" s="3479" t="s">
        <v>5334</v>
      </c>
      <c r="AT106" s="5145" t="s">
        <v>5335</v>
      </c>
      <c r="AU106" s="5146" t="s">
        <v>5336</v>
      </c>
      <c r="AV106" s="5145" t="s">
        <v>5337</v>
      </c>
      <c r="AW106" s="3479" t="s">
        <v>5338</v>
      </c>
      <c r="AX106" s="5147" t="s">
        <v>5339</v>
      </c>
      <c r="AY106" s="1687" t="e">
        <f>CC106&amp;CD106&amp;CE106&amp;CF106&amp;CL106&amp;CM106&amp;CN106&amp;CO106&amp;CP106&amp;CQ106&amp;CR106&amp;CS106&amp;CT106&amp;CU106&amp;CV106&amp;CW106&amp;CX106&amp;CY106</f>
        <v>#VALUE!</v>
      </c>
      <c r="CB106" s="600"/>
      <c r="CC106" s="2784" t="e">
        <f>IF(C106&lt;&gt;(AT106+AS106)," * La suma de las columnas "&amp;AS$10&amp;""&amp;" DEBE SER IGUAL a los Exámenes Procesados. ","")</f>
        <v>#VALUE!</v>
      </c>
      <c r="CD106" s="2784" t="e">
        <f t="shared" si="332"/>
        <v>#VALUE!</v>
      </c>
      <c r="CE106" s="2784" t="str">
        <f t="shared" si="333"/>
        <v xml:space="preserve"> *El Número de Pueblos Originarios no puede superar el Total Procesados. </v>
      </c>
      <c r="CF106" s="2784" t="str">
        <f t="shared" si="334"/>
        <v xml:space="preserve"> *El Número de Migrantes no puede superar el Total Procesados. </v>
      </c>
      <c r="CG106" s="3018"/>
      <c r="CH106" s="3018"/>
      <c r="CI106" s="3018"/>
      <c r="CJ106" s="3018"/>
      <c r="CK106" s="3018"/>
      <c r="CL106" s="2784" t="str">
        <f>IF(O106&lt;P106,CONCATENATE("* El total de Procesados debe ser mayor o igual al total de Reactivos en el grupo de edad ",$O$11),"")</f>
        <v>* El total de Procesados debe ser mayor o igual al total de Reactivos en el grupo de edad 10 - 14 años</v>
      </c>
      <c r="CM106" s="2784" t="str">
        <f t="shared" si="336"/>
        <v>* El total de Procesados debe ser mayor o igual al total de Reactivos en el grupo de edad 15 - 19 años</v>
      </c>
      <c r="CN106" s="2784" t="str">
        <f t="shared" si="337"/>
        <v>* El total de Procesados debe ser mayor o igual al total de Reactivos en el grupo de edad 20 - 24 años</v>
      </c>
      <c r="CO106" s="2784" t="str">
        <f t="shared" si="338"/>
        <v>* El total de Procesados debe ser mayor o igual al total de Reactivos en el grupo de edad 25 - 29 años</v>
      </c>
      <c r="CP106" s="2784" t="str">
        <f t="shared" si="339"/>
        <v>* El total de Procesados debe ser mayor o igual al total de Reactivos en el grupo de edad 30 - 34 años</v>
      </c>
      <c r="CQ106" s="2784" t="str">
        <f t="shared" si="340"/>
        <v>* El total de Procesados debe ser mayor o igual al total de Reactivos en el grupo de edad 35 - 39 años</v>
      </c>
      <c r="CR106" s="2784" t="str">
        <f t="shared" si="341"/>
        <v>* El total de Procesados debe ser mayor o igual al total de Reactivos en el grupo de edad 40 - 44 años</v>
      </c>
      <c r="CS106" s="2784" t="str">
        <f t="shared" si="342"/>
        <v>* El total de Procesados debe ser mayor o igual al total de Reactivos en el grupo de edad 50 - 54 años</v>
      </c>
      <c r="CT106" s="2784" t="str">
        <f t="shared" si="343"/>
        <v>* El total de Procesados debe ser mayor o igual al total de Reactivos en el grupo de edad 55 - 59 años</v>
      </c>
      <c r="CU106" s="2784" t="str">
        <f t="shared" si="344"/>
        <v>* El total de Procesados debe ser mayor o igual al total de Reactivos en el grupo de edad 60 - 64 años</v>
      </c>
      <c r="CV106" s="2784" t="str">
        <f t="shared" si="345"/>
        <v>* El total de Procesados debe ser mayor o igual al total de Reactivos en el grupo de edad 65 - 69 años</v>
      </c>
      <c r="CW106" s="2784" t="str">
        <f t="shared" si="346"/>
        <v>* El total de Procesados debe ser mayor o igual al total de Reactivos en el grupo de edad 70 - 74 años</v>
      </c>
      <c r="CX106" s="2784" t="str">
        <f t="shared" si="347"/>
        <v>* El total de Procesados debe ser mayor o igual al total de Reactivos en el grupo de edad 75 - 79 años</v>
      </c>
      <c r="CY106" s="2784" t="str">
        <f t="shared" si="348"/>
        <v>* El total de Procesados debe ser mayor o igual al total de Reactivos en el grupo de edad 80 y más años</v>
      </c>
      <c r="DF106" s="2630"/>
      <c r="DG106" s="2784" t="e">
        <f>IF(C106&lt;&gt;(AT106+AS106),1,0)</f>
        <v>#VALUE!</v>
      </c>
      <c r="DH106" s="2920" t="e">
        <f t="shared" si="350"/>
        <v>#VALUE!</v>
      </c>
      <c r="DI106" s="2920">
        <f t="shared" si="351"/>
        <v>1</v>
      </c>
      <c r="DJ106" s="2920">
        <f t="shared" si="352"/>
        <v>1</v>
      </c>
      <c r="DK106" s="3018"/>
      <c r="DL106" s="3018"/>
      <c r="DM106" s="3018"/>
      <c r="DN106" s="3018"/>
      <c r="DO106" s="3018"/>
      <c r="DP106" s="2920">
        <f t="shared" si="353"/>
        <v>1</v>
      </c>
      <c r="DQ106" s="2920">
        <f t="shared" si="354"/>
        <v>1</v>
      </c>
      <c r="DR106" s="2920">
        <f t="shared" si="355"/>
        <v>1</v>
      </c>
      <c r="DS106" s="2920">
        <f t="shared" si="356"/>
        <v>1</v>
      </c>
      <c r="DT106" s="2920">
        <f t="shared" si="357"/>
        <v>1</v>
      </c>
      <c r="DU106" s="2920">
        <f t="shared" si="358"/>
        <v>1</v>
      </c>
      <c r="DV106" s="2920">
        <f t="shared" si="359"/>
        <v>1</v>
      </c>
      <c r="DW106" s="2920">
        <f t="shared" si="360"/>
        <v>1</v>
      </c>
      <c r="DX106" s="2920">
        <f t="shared" si="361"/>
        <v>1</v>
      </c>
      <c r="DY106" s="2920">
        <f t="shared" si="362"/>
        <v>1</v>
      </c>
      <c r="DZ106" s="2920">
        <f t="shared" si="363"/>
        <v>1</v>
      </c>
      <c r="EA106" s="2920">
        <f t="shared" si="364"/>
        <v>1</v>
      </c>
      <c r="EB106" s="2920">
        <f t="shared" si="365"/>
        <v>1</v>
      </c>
      <c r="EC106" s="2920">
        <f t="shared" si="366"/>
        <v>1</v>
      </c>
    </row>
    <row r="107" spans="1:133" x14ac:dyDescent="0.3">
      <c r="A107" s="6234">
        <v>11056442</v>
      </c>
      <c r="B107" s="3239" t="s">
        <v>2665</v>
      </c>
      <c r="C107" s="1928" t="s">
        <v>5292</v>
      </c>
      <c r="D107" s="3242" t="s">
        <v>5293</v>
      </c>
      <c r="E107" s="3475" t="s">
        <v>5294</v>
      </c>
      <c r="F107" s="5149" t="s">
        <v>5295</v>
      </c>
      <c r="G107" s="5148" t="s">
        <v>5296</v>
      </c>
      <c r="H107" s="5149" t="s">
        <v>5297</v>
      </c>
      <c r="I107" s="5148" t="s">
        <v>5298</v>
      </c>
      <c r="J107" s="5149" t="s">
        <v>5299</v>
      </c>
      <c r="K107" s="5148" t="s">
        <v>5300</v>
      </c>
      <c r="L107" s="5149" t="s">
        <v>5301</v>
      </c>
      <c r="M107" s="5148" t="s">
        <v>5302</v>
      </c>
      <c r="N107" s="5150" t="s">
        <v>5303</v>
      </c>
      <c r="O107" s="3479" t="s">
        <v>5304</v>
      </c>
      <c r="P107" s="5151" t="s">
        <v>5305</v>
      </c>
      <c r="Q107" s="5038" t="s">
        <v>5306</v>
      </c>
      <c r="R107" s="5151" t="s">
        <v>5307</v>
      </c>
      <c r="S107" s="5038" t="s">
        <v>5308</v>
      </c>
      <c r="T107" s="5151" t="s">
        <v>5309</v>
      </c>
      <c r="U107" s="5038" t="s">
        <v>5310</v>
      </c>
      <c r="V107" s="5151" t="s">
        <v>5311</v>
      </c>
      <c r="W107" s="5038" t="s">
        <v>5312</v>
      </c>
      <c r="X107" s="5151" t="s">
        <v>5313</v>
      </c>
      <c r="Y107" s="5038" t="s">
        <v>5314</v>
      </c>
      <c r="Z107" s="5151" t="s">
        <v>5315</v>
      </c>
      <c r="AA107" s="5038" t="s">
        <v>5316</v>
      </c>
      <c r="AB107" s="5151" t="s">
        <v>5317</v>
      </c>
      <c r="AC107" s="5038" t="s">
        <v>5318</v>
      </c>
      <c r="AD107" s="5151" t="s">
        <v>5319</v>
      </c>
      <c r="AE107" s="5038" t="s">
        <v>5320</v>
      </c>
      <c r="AF107" s="5151" t="s">
        <v>5321</v>
      </c>
      <c r="AG107" s="5038" t="s">
        <v>5322</v>
      </c>
      <c r="AH107" s="5151" t="s">
        <v>5323</v>
      </c>
      <c r="AI107" s="5038" t="s">
        <v>5324</v>
      </c>
      <c r="AJ107" s="5151" t="s">
        <v>5325</v>
      </c>
      <c r="AK107" s="5038" t="s">
        <v>5326</v>
      </c>
      <c r="AL107" s="5151" t="s">
        <v>5327</v>
      </c>
      <c r="AM107" s="5038" t="s">
        <v>5328</v>
      </c>
      <c r="AN107" s="5151" t="s">
        <v>5329</v>
      </c>
      <c r="AO107" s="5038" t="s">
        <v>5330</v>
      </c>
      <c r="AP107" s="5151" t="s">
        <v>5331</v>
      </c>
      <c r="AQ107" s="5038" t="s">
        <v>5332</v>
      </c>
      <c r="AR107" s="5145" t="s">
        <v>5333</v>
      </c>
      <c r="AS107" s="3483" t="s">
        <v>5334</v>
      </c>
      <c r="AT107" s="5145" t="s">
        <v>5335</v>
      </c>
      <c r="AU107" s="5146" t="s">
        <v>5336</v>
      </c>
      <c r="AV107" s="5145" t="s">
        <v>5337</v>
      </c>
      <c r="AW107" s="3479" t="s">
        <v>5338</v>
      </c>
      <c r="AX107" s="5147" t="s">
        <v>5339</v>
      </c>
      <c r="AY107" s="1687" t="e">
        <f>CC107&amp;CD107&amp;CE107&amp;CF107&amp;CL107&amp;CM107&amp;CN107&amp;CO107&amp;CP107&amp;CQ107&amp;CR107&amp;CS107&amp;CT107&amp;CU107&amp;CV107&amp;CW107&amp;CX107&amp;CY107</f>
        <v>#VALUE!</v>
      </c>
      <c r="CB107" s="600"/>
      <c r="CC107" s="4747" t="str">
        <f t="shared" ref="CC107:CC109" si="367">IF(C107&lt;&gt;(AT107)," * La suma de las columnas "&amp;AS$10&amp;""&amp;" DEBE SER IGUAL a los Exámenes Procesados. ","")</f>
        <v xml:space="preserve"> * La suma de las columnas POR SEXO (Procesados) DEBE SER IGUAL a los Exámenes Procesados. </v>
      </c>
      <c r="CD107" s="2784" t="e">
        <f t="shared" si="332"/>
        <v>#VALUE!</v>
      </c>
      <c r="CE107" s="2784" t="str">
        <f t="shared" si="333"/>
        <v xml:space="preserve"> *El Número de Pueblos Originarios no puede superar el Total Procesados. </v>
      </c>
      <c r="CF107" s="2784" t="str">
        <f t="shared" si="334"/>
        <v xml:space="preserve"> *El Número de Migrantes no puede superar el Total Procesados. </v>
      </c>
      <c r="CG107" s="3018"/>
      <c r="CH107" s="3018"/>
      <c r="CI107" s="3018"/>
      <c r="CJ107" s="3018"/>
      <c r="CK107" s="3018"/>
      <c r="CL107" s="2784" t="str">
        <f t="shared" ref="CL107" si="368">IF(O107&lt;P107,CONCATENATE("* El total de Procesados debe ser mayor o igual al total de Reactivos en el grupo de edad ",$O$11),"")</f>
        <v>* El total de Procesados debe ser mayor o igual al total de Reactivos en el grupo de edad 10 - 14 años</v>
      </c>
      <c r="CM107" s="2784" t="str">
        <f t="shared" si="336"/>
        <v>* El total de Procesados debe ser mayor o igual al total de Reactivos en el grupo de edad 15 - 19 años</v>
      </c>
      <c r="CN107" s="2784" t="str">
        <f t="shared" si="337"/>
        <v>* El total de Procesados debe ser mayor o igual al total de Reactivos en el grupo de edad 20 - 24 años</v>
      </c>
      <c r="CO107" s="2784" t="str">
        <f t="shared" si="338"/>
        <v>* El total de Procesados debe ser mayor o igual al total de Reactivos en el grupo de edad 25 - 29 años</v>
      </c>
      <c r="CP107" s="2784" t="str">
        <f t="shared" si="339"/>
        <v>* El total de Procesados debe ser mayor o igual al total de Reactivos en el grupo de edad 30 - 34 años</v>
      </c>
      <c r="CQ107" s="2784" t="str">
        <f t="shared" si="340"/>
        <v>* El total de Procesados debe ser mayor o igual al total de Reactivos en el grupo de edad 35 - 39 años</v>
      </c>
      <c r="CR107" s="2784" t="str">
        <f t="shared" si="341"/>
        <v>* El total de Procesados debe ser mayor o igual al total de Reactivos en el grupo de edad 40 - 44 años</v>
      </c>
      <c r="CS107" s="2784" t="str">
        <f t="shared" si="342"/>
        <v>* El total de Procesados debe ser mayor o igual al total de Reactivos en el grupo de edad 50 - 54 años</v>
      </c>
      <c r="CT107" s="2784" t="str">
        <f t="shared" si="343"/>
        <v>* El total de Procesados debe ser mayor o igual al total de Reactivos en el grupo de edad 55 - 59 años</v>
      </c>
      <c r="CU107" s="2784" t="str">
        <f t="shared" si="344"/>
        <v>* El total de Procesados debe ser mayor o igual al total de Reactivos en el grupo de edad 60 - 64 años</v>
      </c>
      <c r="CV107" s="2784" t="str">
        <f t="shared" si="345"/>
        <v>* El total de Procesados debe ser mayor o igual al total de Reactivos en el grupo de edad 65 - 69 años</v>
      </c>
      <c r="CW107" s="2784" t="str">
        <f t="shared" si="346"/>
        <v>* El total de Procesados debe ser mayor o igual al total de Reactivos en el grupo de edad 70 - 74 años</v>
      </c>
      <c r="CX107" s="2784" t="str">
        <f t="shared" si="347"/>
        <v>* El total de Procesados debe ser mayor o igual al total de Reactivos en el grupo de edad 75 - 79 años</v>
      </c>
      <c r="CY107" s="2784" t="str">
        <f t="shared" si="348"/>
        <v>* El total de Procesados debe ser mayor o igual al total de Reactivos en el grupo de edad 80 y más años</v>
      </c>
      <c r="DF107" s="2630"/>
      <c r="DG107" s="4747">
        <f>IF(C107&lt;&gt;(AT107),1,0)</f>
        <v>1</v>
      </c>
      <c r="DH107" s="2920" t="e">
        <f t="shared" si="350"/>
        <v>#VALUE!</v>
      </c>
      <c r="DI107" s="2920">
        <f t="shared" si="351"/>
        <v>1</v>
      </c>
      <c r="DJ107" s="2920">
        <f t="shared" si="352"/>
        <v>1</v>
      </c>
      <c r="DK107" s="3018"/>
      <c r="DL107" s="3018"/>
      <c r="DM107" s="3018"/>
      <c r="DN107" s="3018"/>
      <c r="DO107" s="3018"/>
      <c r="DP107" s="2920">
        <f t="shared" si="353"/>
        <v>1</v>
      </c>
      <c r="DQ107" s="2920">
        <f t="shared" si="354"/>
        <v>1</v>
      </c>
      <c r="DR107" s="2920">
        <f t="shared" si="355"/>
        <v>1</v>
      </c>
      <c r="DS107" s="2920">
        <f t="shared" si="356"/>
        <v>1</v>
      </c>
      <c r="DT107" s="2920">
        <f t="shared" si="357"/>
        <v>1</v>
      </c>
      <c r="DU107" s="2920">
        <f t="shared" si="358"/>
        <v>1</v>
      </c>
      <c r="DV107" s="2920">
        <f t="shared" si="359"/>
        <v>1</v>
      </c>
      <c r="DW107" s="2920">
        <f t="shared" si="360"/>
        <v>1</v>
      </c>
      <c r="DX107" s="2920">
        <f t="shared" si="361"/>
        <v>1</v>
      </c>
      <c r="DY107" s="2920">
        <f t="shared" si="362"/>
        <v>1</v>
      </c>
      <c r="DZ107" s="2920">
        <f t="shared" si="363"/>
        <v>1</v>
      </c>
      <c r="EA107" s="2920">
        <f t="shared" si="364"/>
        <v>1</v>
      </c>
      <c r="EB107" s="2920">
        <f t="shared" si="365"/>
        <v>1</v>
      </c>
      <c r="EC107" s="2920">
        <f t="shared" si="366"/>
        <v>1</v>
      </c>
    </row>
    <row r="108" spans="1:133" x14ac:dyDescent="0.3">
      <c r="A108" s="6234">
        <v>11056443</v>
      </c>
      <c r="B108" s="3184" t="s">
        <v>2666</v>
      </c>
      <c r="C108" s="1928" t="s">
        <v>5292</v>
      </c>
      <c r="D108" s="3242" t="s">
        <v>5293</v>
      </c>
      <c r="E108" s="3475" t="s">
        <v>5294</v>
      </c>
      <c r="F108" s="5149" t="s">
        <v>5295</v>
      </c>
      <c r="G108" s="5148" t="s">
        <v>5296</v>
      </c>
      <c r="H108" s="5149" t="s">
        <v>5297</v>
      </c>
      <c r="I108" s="5148" t="s">
        <v>5298</v>
      </c>
      <c r="J108" s="5149" t="s">
        <v>5299</v>
      </c>
      <c r="K108" s="5148" t="s">
        <v>5300</v>
      </c>
      <c r="L108" s="5149" t="s">
        <v>5301</v>
      </c>
      <c r="M108" s="5148" t="s">
        <v>5302</v>
      </c>
      <c r="N108" s="5150" t="s">
        <v>5303</v>
      </c>
      <c r="O108" s="3479" t="s">
        <v>5304</v>
      </c>
      <c r="P108" s="5151" t="s">
        <v>5305</v>
      </c>
      <c r="Q108" s="5038" t="s">
        <v>5306</v>
      </c>
      <c r="R108" s="5151" t="s">
        <v>5307</v>
      </c>
      <c r="S108" s="5038" t="s">
        <v>5308</v>
      </c>
      <c r="T108" s="5151" t="s">
        <v>5309</v>
      </c>
      <c r="U108" s="5038" t="s">
        <v>5310</v>
      </c>
      <c r="V108" s="5151" t="s">
        <v>5311</v>
      </c>
      <c r="W108" s="5038" t="s">
        <v>5312</v>
      </c>
      <c r="X108" s="5151" t="s">
        <v>5313</v>
      </c>
      <c r="Y108" s="5038" t="s">
        <v>5314</v>
      </c>
      <c r="Z108" s="5151" t="s">
        <v>5315</v>
      </c>
      <c r="AA108" s="5038" t="s">
        <v>5316</v>
      </c>
      <c r="AB108" s="5151" t="s">
        <v>5317</v>
      </c>
      <c r="AC108" s="5038" t="s">
        <v>5318</v>
      </c>
      <c r="AD108" s="5151" t="s">
        <v>5319</v>
      </c>
      <c r="AE108" s="5038" t="s">
        <v>5320</v>
      </c>
      <c r="AF108" s="5151" t="s">
        <v>5321</v>
      </c>
      <c r="AG108" s="5038" t="s">
        <v>5322</v>
      </c>
      <c r="AH108" s="5151" t="s">
        <v>5323</v>
      </c>
      <c r="AI108" s="5038" t="s">
        <v>5324</v>
      </c>
      <c r="AJ108" s="5151" t="s">
        <v>5325</v>
      </c>
      <c r="AK108" s="5038" t="s">
        <v>5326</v>
      </c>
      <c r="AL108" s="5151" t="s">
        <v>5327</v>
      </c>
      <c r="AM108" s="5038" t="s">
        <v>5328</v>
      </c>
      <c r="AN108" s="5151" t="s">
        <v>5329</v>
      </c>
      <c r="AO108" s="5038" t="s">
        <v>5330</v>
      </c>
      <c r="AP108" s="5151" t="s">
        <v>5331</v>
      </c>
      <c r="AQ108" s="5038" t="s">
        <v>5332</v>
      </c>
      <c r="AR108" s="5145" t="s">
        <v>5333</v>
      </c>
      <c r="AS108" s="3483" t="s">
        <v>5334</v>
      </c>
      <c r="AT108" s="5145" t="s">
        <v>5335</v>
      </c>
      <c r="AU108" s="5146" t="s">
        <v>5336</v>
      </c>
      <c r="AV108" s="5145" t="s">
        <v>5337</v>
      </c>
      <c r="AW108" s="3479" t="s">
        <v>5338</v>
      </c>
      <c r="AX108" s="5147" t="s">
        <v>5339</v>
      </c>
      <c r="AY108" s="1687" t="e">
        <f t="shared" ref="AY108" si="369">CC108&amp;CD108&amp;CE108&amp;CF108&amp;CL108&amp;CM108&amp;CN108&amp;CO108&amp;CP108&amp;CQ108&amp;CR108&amp;CS108&amp;CT108&amp;CU108&amp;CV108&amp;CW108&amp;CX108&amp;CY108</f>
        <v>#VALUE!</v>
      </c>
      <c r="CB108" s="600"/>
      <c r="CC108" s="4747" t="str">
        <f t="shared" si="367"/>
        <v xml:space="preserve"> * La suma de las columnas POR SEXO (Procesados) DEBE SER IGUAL a los Exámenes Procesados. </v>
      </c>
      <c r="CD108" s="2784" t="e">
        <f t="shared" si="332"/>
        <v>#VALUE!</v>
      </c>
      <c r="CE108" s="2784" t="str">
        <f t="shared" si="333"/>
        <v xml:space="preserve"> *El Número de Pueblos Originarios no puede superar el Total Procesados. </v>
      </c>
      <c r="CF108" s="2784" t="str">
        <f t="shared" si="334"/>
        <v xml:space="preserve"> *El Número de Migrantes no puede superar el Total Procesados. </v>
      </c>
      <c r="CG108" s="3018"/>
      <c r="CH108" s="3018"/>
      <c r="CI108" s="3018"/>
      <c r="CJ108" s="3018"/>
      <c r="CK108" s="3018"/>
      <c r="CL108" s="2784" t="str">
        <f>IF(O108&lt;P108,CONCATENATE("* El total de Procesados debe ser mayor o igual al total de Reactivos en el grupo de edad ",$O$11),"")</f>
        <v>* El total de Procesados debe ser mayor o igual al total de Reactivos en el grupo de edad 10 - 14 años</v>
      </c>
      <c r="CM108" s="2784" t="str">
        <f>IF(Q108&lt;R108,CONCATENATE("* El total de Procesados debe ser mayor o igual al total de Reactivos en el grupo de edad ",$Q$11),"")</f>
        <v>* El total de Procesados debe ser mayor o igual al total de Reactivos en el grupo de edad 15 - 19 años</v>
      </c>
      <c r="CN108" s="2784" t="str">
        <f t="shared" si="337"/>
        <v>* El total de Procesados debe ser mayor o igual al total de Reactivos en el grupo de edad 20 - 24 años</v>
      </c>
      <c r="CO108" s="2784" t="str">
        <f t="shared" si="338"/>
        <v>* El total de Procesados debe ser mayor o igual al total de Reactivos en el grupo de edad 25 - 29 años</v>
      </c>
      <c r="CP108" s="2784" t="str">
        <f t="shared" si="339"/>
        <v>* El total de Procesados debe ser mayor o igual al total de Reactivos en el grupo de edad 30 - 34 años</v>
      </c>
      <c r="CQ108" s="2784" t="str">
        <f t="shared" si="340"/>
        <v>* El total de Procesados debe ser mayor o igual al total de Reactivos en el grupo de edad 35 - 39 años</v>
      </c>
      <c r="CR108" s="2784" t="str">
        <f t="shared" si="341"/>
        <v>* El total de Procesados debe ser mayor o igual al total de Reactivos en el grupo de edad 40 - 44 años</v>
      </c>
      <c r="CS108" s="2784" t="str">
        <f t="shared" si="342"/>
        <v>* El total de Procesados debe ser mayor o igual al total de Reactivos en el grupo de edad 50 - 54 años</v>
      </c>
      <c r="CT108" s="2784" t="str">
        <f t="shared" si="343"/>
        <v>* El total de Procesados debe ser mayor o igual al total de Reactivos en el grupo de edad 55 - 59 años</v>
      </c>
      <c r="CU108" s="2784" t="str">
        <f t="shared" si="344"/>
        <v>* El total de Procesados debe ser mayor o igual al total de Reactivos en el grupo de edad 60 - 64 años</v>
      </c>
      <c r="CV108" s="2784" t="str">
        <f t="shared" si="345"/>
        <v>* El total de Procesados debe ser mayor o igual al total de Reactivos en el grupo de edad 65 - 69 años</v>
      </c>
      <c r="CW108" s="2784" t="str">
        <f t="shared" si="346"/>
        <v>* El total de Procesados debe ser mayor o igual al total de Reactivos en el grupo de edad 70 - 74 años</v>
      </c>
      <c r="CX108" s="2784" t="str">
        <f t="shared" si="347"/>
        <v>* El total de Procesados debe ser mayor o igual al total de Reactivos en el grupo de edad 75 - 79 años</v>
      </c>
      <c r="CY108" s="2784" t="str">
        <f t="shared" si="348"/>
        <v>* El total de Procesados debe ser mayor o igual al total de Reactivos en el grupo de edad 80 y más años</v>
      </c>
      <c r="DF108" s="2630"/>
      <c r="DG108" s="4747">
        <f t="shared" ref="DG108:DG109" si="370">IF(C108&lt;&gt;(AT108),1,0)</f>
        <v>1</v>
      </c>
      <c r="DH108" s="2920" t="e">
        <f t="shared" si="350"/>
        <v>#VALUE!</v>
      </c>
      <c r="DI108" s="2920">
        <f t="shared" si="351"/>
        <v>1</v>
      </c>
      <c r="DJ108" s="2920">
        <f t="shared" si="352"/>
        <v>1</v>
      </c>
      <c r="DK108" s="3018"/>
      <c r="DL108" s="3018"/>
      <c r="DM108" s="3018"/>
      <c r="DN108" s="3018"/>
      <c r="DO108" s="3018"/>
      <c r="DP108" s="2920">
        <f t="shared" si="353"/>
        <v>1</v>
      </c>
      <c r="DQ108" s="2920">
        <f t="shared" si="354"/>
        <v>1</v>
      </c>
      <c r="DR108" s="2920">
        <f t="shared" si="355"/>
        <v>1</v>
      </c>
      <c r="DS108" s="2920">
        <f t="shared" si="356"/>
        <v>1</v>
      </c>
      <c r="DT108" s="2920">
        <f t="shared" si="357"/>
        <v>1</v>
      </c>
      <c r="DU108" s="2920">
        <f t="shared" si="358"/>
        <v>1</v>
      </c>
      <c r="DV108" s="2920">
        <f t="shared" si="359"/>
        <v>1</v>
      </c>
      <c r="DW108" s="2920">
        <f t="shared" si="360"/>
        <v>1</v>
      </c>
      <c r="DX108" s="2920">
        <f t="shared" si="361"/>
        <v>1</v>
      </c>
      <c r="DY108" s="2920">
        <f t="shared" si="362"/>
        <v>1</v>
      </c>
      <c r="DZ108" s="2920">
        <f t="shared" si="363"/>
        <v>1</v>
      </c>
      <c r="EA108" s="2920">
        <f t="shared" si="364"/>
        <v>1</v>
      </c>
      <c r="EB108" s="2920">
        <f t="shared" si="365"/>
        <v>1</v>
      </c>
      <c r="EC108" s="2920">
        <f t="shared" si="366"/>
        <v>1</v>
      </c>
    </row>
    <row r="109" spans="1:133" x14ac:dyDescent="0.3">
      <c r="A109" s="6234">
        <v>11056444</v>
      </c>
      <c r="B109" s="3184" t="s">
        <v>2667</v>
      </c>
      <c r="C109" s="1928" t="s">
        <v>5292</v>
      </c>
      <c r="D109" s="3242" t="s">
        <v>5293</v>
      </c>
      <c r="E109" s="3479" t="s">
        <v>5294</v>
      </c>
      <c r="F109" s="5151" t="s">
        <v>5295</v>
      </c>
      <c r="G109" s="5038" t="s">
        <v>5296</v>
      </c>
      <c r="H109" s="5151" t="s">
        <v>5297</v>
      </c>
      <c r="I109" s="5038" t="s">
        <v>5298</v>
      </c>
      <c r="J109" s="5147" t="s">
        <v>5299</v>
      </c>
      <c r="K109" s="3479" t="s">
        <v>5300</v>
      </c>
      <c r="L109" s="3479" t="s">
        <v>5301</v>
      </c>
      <c r="M109" s="5038" t="s">
        <v>5302</v>
      </c>
      <c r="N109" s="5147" t="s">
        <v>5303</v>
      </c>
      <c r="O109" s="3479" t="s">
        <v>5304</v>
      </c>
      <c r="P109" s="5151" t="s">
        <v>5305</v>
      </c>
      <c r="Q109" s="5038" t="s">
        <v>5306</v>
      </c>
      <c r="R109" s="5151" t="s">
        <v>5307</v>
      </c>
      <c r="S109" s="5038" t="s">
        <v>5308</v>
      </c>
      <c r="T109" s="5151" t="s">
        <v>5309</v>
      </c>
      <c r="U109" s="5038" t="s">
        <v>5310</v>
      </c>
      <c r="V109" s="5151" t="s">
        <v>5311</v>
      </c>
      <c r="W109" s="5038" t="s">
        <v>5312</v>
      </c>
      <c r="X109" s="5151" t="s">
        <v>5313</v>
      </c>
      <c r="Y109" s="5038" t="s">
        <v>5314</v>
      </c>
      <c r="Z109" s="5151" t="s">
        <v>5315</v>
      </c>
      <c r="AA109" s="5038" t="s">
        <v>5316</v>
      </c>
      <c r="AB109" s="5151" t="s">
        <v>5317</v>
      </c>
      <c r="AC109" s="5038" t="s">
        <v>5318</v>
      </c>
      <c r="AD109" s="5151" t="s">
        <v>5319</v>
      </c>
      <c r="AE109" s="5038" t="s">
        <v>5320</v>
      </c>
      <c r="AF109" s="5151" t="s">
        <v>5321</v>
      </c>
      <c r="AG109" s="5038" t="s">
        <v>5322</v>
      </c>
      <c r="AH109" s="5151" t="s">
        <v>5323</v>
      </c>
      <c r="AI109" s="5038" t="s">
        <v>5324</v>
      </c>
      <c r="AJ109" s="5151" t="s">
        <v>5325</v>
      </c>
      <c r="AK109" s="5038" t="s">
        <v>5326</v>
      </c>
      <c r="AL109" s="5151" t="s">
        <v>5327</v>
      </c>
      <c r="AM109" s="5038" t="s">
        <v>5328</v>
      </c>
      <c r="AN109" s="5151" t="s">
        <v>5329</v>
      </c>
      <c r="AO109" s="5038" t="s">
        <v>5330</v>
      </c>
      <c r="AP109" s="5151" t="s">
        <v>5331</v>
      </c>
      <c r="AQ109" s="5038" t="s">
        <v>5332</v>
      </c>
      <c r="AR109" s="5145" t="s">
        <v>5333</v>
      </c>
      <c r="AS109" s="3483" t="s">
        <v>5334</v>
      </c>
      <c r="AT109" s="5145" t="s">
        <v>5335</v>
      </c>
      <c r="AU109" s="5146" t="s">
        <v>5336</v>
      </c>
      <c r="AV109" s="5145" t="s">
        <v>5337</v>
      </c>
      <c r="AW109" s="3479" t="s">
        <v>5338</v>
      </c>
      <c r="AX109" s="5147" t="s">
        <v>5339</v>
      </c>
      <c r="AY109" s="1687" t="e">
        <f>CC109&amp;CD109&amp;CE109&amp;CF109&amp;CG109&amp;CH109&amp;CI109&amp;CJ109&amp;CK109&amp;CL109&amp;CM109&amp;CN109&amp;CO109&amp;CP109&amp;CQ109&amp;CR109&amp;CS109&amp;CT109&amp;CU109&amp;CV109&amp;CW109&amp;CX109&amp;CY109</f>
        <v>#VALUE!</v>
      </c>
      <c r="CB109" s="600"/>
      <c r="CC109" s="4747" t="str">
        <f t="shared" si="367"/>
        <v xml:space="preserve"> * La suma de las columnas POR SEXO (Procesados) DEBE SER IGUAL a los Exámenes Procesados. </v>
      </c>
      <c r="CD109" s="2784" t="e">
        <f t="shared" si="332"/>
        <v>#VALUE!</v>
      </c>
      <c r="CE109" s="2784" t="str">
        <f t="shared" si="333"/>
        <v xml:space="preserve"> *El Número de Pueblos Originarios no puede superar el Total Procesados. </v>
      </c>
      <c r="CF109" s="2784" t="str">
        <f t="shared" si="334"/>
        <v xml:space="preserve"> *El Número de Migrantes no puede superar el Total Procesados. </v>
      </c>
      <c r="CG109" s="2784" t="str">
        <f>IF(E109&lt;F109,CONCATENATE("* El total de Procesados debe ser mayor o igual al total de Reactivos en el grupo de edad ",$E$11),"")</f>
        <v>* El total de Procesados debe ser mayor o igual al total de Reactivos en el grupo de edad Menos de 6 meses</v>
      </c>
      <c r="CH109" s="2784" t="str">
        <f>IF(G109&lt;H109,CONCATENATE("* El total de Procesados debe ser mayor o igual al total de Reactivos en el grupo de edad ",$G$11),"")</f>
        <v>* El total de Procesados debe ser mayor o igual al total de Reactivos en el grupo de edad 6 - 11 meses</v>
      </c>
      <c r="CI109" s="2784" t="str">
        <f>IF(I109&lt;J109,CONCATENATE("* El total de Procesados debe ser mayor o igual al total de Reactivos en el grupo de edad ",$I$11),"")</f>
        <v>* El total de Procesados debe ser mayor o igual al total de Reactivos en el grupo de edad 12-24 meses</v>
      </c>
      <c r="CJ109" s="2784" t="str">
        <f>IF(K109&lt;L109,CONCATENATE("* El total de Procesados debe ser mayor o igual al total de Reactivos en el grupo de edad ",$K$11),"")</f>
        <v>* El total de Procesados debe ser mayor o igual al total de Reactivos en el grupo de edad 3 - 4 años</v>
      </c>
      <c r="CK109" s="2784" t="str">
        <f>IF(M109&lt;N109,CONCATENATE("* El total de Procesados debe ser mayor o igual al total de Reactivos en el grupo de edad ",$M$11),"")</f>
        <v>* El total de Procesados debe ser mayor o igual al total de Reactivos en el grupo de edad 5 - 9 años</v>
      </c>
      <c r="CL109" s="2784" t="str">
        <f>IF(O109&lt;P109,CONCATENATE("* El total de Procesados debe ser mayor o igual al total de Reactivos en el grupo de edad ",$O$11),"")</f>
        <v>* El total de Procesados debe ser mayor o igual al total de Reactivos en el grupo de edad 10 - 14 años</v>
      </c>
      <c r="CM109" s="2784" t="str">
        <f>IF(Q109&lt;R109,CONCATENATE("* El total de Procesados debe ser mayor o igual al total de Reactivos en el grupo de edad ",$Q$11),"")</f>
        <v>* El total de Procesados debe ser mayor o igual al total de Reactivos en el grupo de edad 15 - 19 años</v>
      </c>
      <c r="CN109" s="2784" t="str">
        <f t="shared" si="337"/>
        <v>* El total de Procesados debe ser mayor o igual al total de Reactivos en el grupo de edad 20 - 24 años</v>
      </c>
      <c r="CO109" s="2784" t="str">
        <f t="shared" si="338"/>
        <v>* El total de Procesados debe ser mayor o igual al total de Reactivos en el grupo de edad 25 - 29 años</v>
      </c>
      <c r="CP109" s="2784" t="str">
        <f t="shared" si="339"/>
        <v>* El total de Procesados debe ser mayor o igual al total de Reactivos en el grupo de edad 30 - 34 años</v>
      </c>
      <c r="CQ109" s="2784" t="str">
        <f t="shared" si="340"/>
        <v>* El total de Procesados debe ser mayor o igual al total de Reactivos en el grupo de edad 35 - 39 años</v>
      </c>
      <c r="CR109" s="2784" t="str">
        <f t="shared" si="341"/>
        <v>* El total de Procesados debe ser mayor o igual al total de Reactivos en el grupo de edad 40 - 44 años</v>
      </c>
      <c r="CS109" s="2784" t="str">
        <f t="shared" si="342"/>
        <v>* El total de Procesados debe ser mayor o igual al total de Reactivos en el grupo de edad 50 - 54 años</v>
      </c>
      <c r="CT109" s="2784" t="str">
        <f t="shared" si="343"/>
        <v>* El total de Procesados debe ser mayor o igual al total de Reactivos en el grupo de edad 55 - 59 años</v>
      </c>
      <c r="CU109" s="2784" t="str">
        <f t="shared" si="344"/>
        <v>* El total de Procesados debe ser mayor o igual al total de Reactivos en el grupo de edad 60 - 64 años</v>
      </c>
      <c r="CV109" s="2784" t="str">
        <f t="shared" si="345"/>
        <v>* El total de Procesados debe ser mayor o igual al total de Reactivos en el grupo de edad 65 - 69 años</v>
      </c>
      <c r="CW109" s="2784" t="str">
        <f t="shared" si="346"/>
        <v>* El total de Procesados debe ser mayor o igual al total de Reactivos en el grupo de edad 70 - 74 años</v>
      </c>
      <c r="CX109" s="2784" t="str">
        <f t="shared" si="347"/>
        <v>* El total de Procesados debe ser mayor o igual al total de Reactivos en el grupo de edad 75 - 79 años</v>
      </c>
      <c r="CY109" s="2784" t="str">
        <f t="shared" si="348"/>
        <v>* El total de Procesados debe ser mayor o igual al total de Reactivos en el grupo de edad 80 y más años</v>
      </c>
      <c r="DF109" s="2630"/>
      <c r="DG109" s="4747">
        <f t="shared" si="370"/>
        <v>1</v>
      </c>
      <c r="DH109" s="2920" t="e">
        <f t="shared" si="350"/>
        <v>#VALUE!</v>
      </c>
      <c r="DI109" s="2920">
        <f t="shared" si="351"/>
        <v>1</v>
      </c>
      <c r="DJ109" s="2920">
        <f t="shared" si="352"/>
        <v>1</v>
      </c>
      <c r="DK109" s="2920">
        <f>IF(E109&lt;F109,1,0)</f>
        <v>1</v>
      </c>
      <c r="DL109" s="2920">
        <f>IF(G109&lt;H109,1,0)</f>
        <v>1</v>
      </c>
      <c r="DM109" s="2920">
        <f>IF(I109&lt;J109,1,0)</f>
        <v>1</v>
      </c>
      <c r="DN109" s="2920">
        <f>IF(K109&lt;L109,1,0)</f>
        <v>1</v>
      </c>
      <c r="DO109" s="2920">
        <f>IF(M109&lt;N109,1,0)</f>
        <v>1</v>
      </c>
      <c r="DP109" s="2920">
        <f t="shared" si="353"/>
        <v>1</v>
      </c>
      <c r="DQ109" s="2920">
        <f t="shared" si="354"/>
        <v>1</v>
      </c>
      <c r="DR109" s="2920">
        <f t="shared" si="355"/>
        <v>1</v>
      </c>
      <c r="DS109" s="2920">
        <f t="shared" si="356"/>
        <v>1</v>
      </c>
      <c r="DT109" s="2920">
        <f t="shared" si="357"/>
        <v>1</v>
      </c>
      <c r="DU109" s="2920">
        <f t="shared" si="358"/>
        <v>1</v>
      </c>
      <c r="DV109" s="2920">
        <f t="shared" si="359"/>
        <v>1</v>
      </c>
      <c r="DW109" s="2920">
        <f t="shared" si="360"/>
        <v>1</v>
      </c>
      <c r="DX109" s="2920">
        <f t="shared" si="361"/>
        <v>1</v>
      </c>
      <c r="DY109" s="2920">
        <f t="shared" si="362"/>
        <v>1</v>
      </c>
      <c r="DZ109" s="2920">
        <f t="shared" si="363"/>
        <v>1</v>
      </c>
      <c r="EA109" s="2920">
        <f t="shared" si="364"/>
        <v>1</v>
      </c>
      <c r="EB109" s="2920">
        <f t="shared" si="365"/>
        <v>1</v>
      </c>
      <c r="EC109" s="2920">
        <f t="shared" si="366"/>
        <v>1</v>
      </c>
    </row>
    <row r="110" spans="1:133" ht="20.399999999999999" x14ac:dyDescent="0.3">
      <c r="A110" s="6234">
        <v>11056445</v>
      </c>
      <c r="B110" s="3239" t="s">
        <v>2668</v>
      </c>
      <c r="C110" s="1928" t="s">
        <v>5292</v>
      </c>
      <c r="D110" s="3242" t="s">
        <v>5293</v>
      </c>
      <c r="E110" s="3479" t="s">
        <v>5294</v>
      </c>
      <c r="F110" s="5151" t="s">
        <v>5295</v>
      </c>
      <c r="G110" s="5038" t="s">
        <v>5296</v>
      </c>
      <c r="H110" s="5151" t="s">
        <v>5297</v>
      </c>
      <c r="I110" s="5038" t="s">
        <v>5298</v>
      </c>
      <c r="J110" s="5147" t="s">
        <v>5299</v>
      </c>
      <c r="K110" s="5152" t="s">
        <v>5300</v>
      </c>
      <c r="L110" s="5153" t="s">
        <v>5301</v>
      </c>
      <c r="M110" s="5152" t="s">
        <v>5302</v>
      </c>
      <c r="N110" s="5153" t="s">
        <v>5303</v>
      </c>
      <c r="O110" s="5152" t="s">
        <v>5304</v>
      </c>
      <c r="P110" s="5153" t="s">
        <v>5305</v>
      </c>
      <c r="Q110" s="5152" t="s">
        <v>5306</v>
      </c>
      <c r="R110" s="5153" t="s">
        <v>5307</v>
      </c>
      <c r="S110" s="5152" t="s">
        <v>5308</v>
      </c>
      <c r="T110" s="5153" t="s">
        <v>5309</v>
      </c>
      <c r="U110" s="5152" t="s">
        <v>5310</v>
      </c>
      <c r="V110" s="5153" t="s">
        <v>5311</v>
      </c>
      <c r="W110" s="5152" t="s">
        <v>5312</v>
      </c>
      <c r="X110" s="5153" t="s">
        <v>5313</v>
      </c>
      <c r="Y110" s="5152" t="s">
        <v>5314</v>
      </c>
      <c r="Z110" s="5153" t="s">
        <v>5315</v>
      </c>
      <c r="AA110" s="5152" t="s">
        <v>5316</v>
      </c>
      <c r="AB110" s="5153" t="s">
        <v>5317</v>
      </c>
      <c r="AC110" s="5152" t="s">
        <v>5318</v>
      </c>
      <c r="AD110" s="5153" t="s">
        <v>5319</v>
      </c>
      <c r="AE110" s="5152" t="s">
        <v>5320</v>
      </c>
      <c r="AF110" s="5153" t="s">
        <v>5321</v>
      </c>
      <c r="AG110" s="5152" t="s">
        <v>5322</v>
      </c>
      <c r="AH110" s="5153" t="s">
        <v>5323</v>
      </c>
      <c r="AI110" s="5152" t="s">
        <v>5324</v>
      </c>
      <c r="AJ110" s="5153" t="s">
        <v>5325</v>
      </c>
      <c r="AK110" s="5152" t="s">
        <v>5326</v>
      </c>
      <c r="AL110" s="5153" t="s">
        <v>5327</v>
      </c>
      <c r="AM110" s="5152" t="s">
        <v>5328</v>
      </c>
      <c r="AN110" s="5153" t="s">
        <v>5329</v>
      </c>
      <c r="AO110" s="5152" t="s">
        <v>5330</v>
      </c>
      <c r="AP110" s="5153" t="s">
        <v>5331</v>
      </c>
      <c r="AQ110" s="5152" t="s">
        <v>5332</v>
      </c>
      <c r="AR110" s="5154" t="s">
        <v>5333</v>
      </c>
      <c r="AS110" s="3479" t="s">
        <v>5334</v>
      </c>
      <c r="AT110" s="5145" t="s">
        <v>5335</v>
      </c>
      <c r="AU110" s="5146" t="s">
        <v>5336</v>
      </c>
      <c r="AV110" s="5145" t="s">
        <v>5337</v>
      </c>
      <c r="AW110" s="3479" t="s">
        <v>5338</v>
      </c>
      <c r="AX110" s="5147" t="s">
        <v>5339</v>
      </c>
      <c r="AY110" s="1687" t="e">
        <f>CC110&amp;CD110&amp;CE110&amp;CF110&amp;CG110&amp;CH110&amp;CI110</f>
        <v>#VALUE!</v>
      </c>
      <c r="CB110" s="600"/>
      <c r="CC110" s="2784" t="e">
        <f>IF(C110&lt;&gt;(AT110+AS110)," * La suma de las columnas "&amp;AS$10&amp;""&amp;" DEBE SER IGUAL a los Exámenes Procesados. ","")</f>
        <v>#VALUE!</v>
      </c>
      <c r="CD110" s="2784" t="e">
        <f t="shared" si="332"/>
        <v>#VALUE!</v>
      </c>
      <c r="CE110" s="2784" t="str">
        <f t="shared" si="333"/>
        <v xml:space="preserve"> *El Número de Pueblos Originarios no puede superar el Total Procesados. </v>
      </c>
      <c r="CF110" s="2784" t="str">
        <f t="shared" si="334"/>
        <v xml:space="preserve"> *El Número de Migrantes no puede superar el Total Procesados. </v>
      </c>
      <c r="CG110" s="2784" t="str">
        <f>IF(E110&lt;F110,CONCATENATE("* El total de Procesados debe ser mayor o igual al total de Reactivos en el grupo de edad ",$E$11),"")</f>
        <v>* El total de Procesados debe ser mayor o igual al total de Reactivos en el grupo de edad Menos de 6 meses</v>
      </c>
      <c r="CH110" s="2784" t="str">
        <f>IF(G110&lt;H110,CONCATENATE("* El total de Procesados debe ser mayor o igual al total de Reactivos en el grupo de edad ",$G$11),"")</f>
        <v>* El total de Procesados debe ser mayor o igual al total de Reactivos en el grupo de edad 6 - 11 meses</v>
      </c>
      <c r="CI110" s="2784" t="str">
        <f>IF(I110&lt;J110,CONCATENATE("* El total de Procesados debe ser mayor o igual al total de Reactivos en el grupo de edad ",$I$11),"")</f>
        <v>* El total de Procesados debe ser mayor o igual al total de Reactivos en el grupo de edad 12-24 meses</v>
      </c>
      <c r="CJ110" s="2783"/>
      <c r="CK110" s="2783"/>
      <c r="CL110" s="3488"/>
      <c r="CM110" s="2783"/>
      <c r="CN110" s="2783"/>
      <c r="CO110" s="2783"/>
      <c r="CP110" s="2783"/>
      <c r="CQ110" s="2783"/>
      <c r="CR110" s="2783"/>
      <c r="CS110" s="2783"/>
      <c r="CT110" s="2783"/>
      <c r="CU110" s="2783"/>
      <c r="CV110" s="2783"/>
      <c r="CW110" s="2783"/>
      <c r="CX110" s="2783"/>
      <c r="CY110" s="2783"/>
      <c r="DF110" s="2630"/>
      <c r="DG110" s="2784" t="e">
        <f>IF(C110&lt;&gt;(AT110+AS110),1,0)</f>
        <v>#VALUE!</v>
      </c>
      <c r="DH110" s="2920" t="e">
        <f t="shared" si="350"/>
        <v>#VALUE!</v>
      </c>
      <c r="DI110" s="2920">
        <f t="shared" si="351"/>
        <v>1</v>
      </c>
      <c r="DJ110" s="2920">
        <f t="shared" si="352"/>
        <v>1</v>
      </c>
      <c r="DK110" s="2920">
        <f>IF(E110&lt;F110,1,0)</f>
        <v>1</v>
      </c>
      <c r="DL110" s="2920">
        <f>IF(G110&lt;H110,1,0)</f>
        <v>1</v>
      </c>
      <c r="DM110" s="2920">
        <f>IF(I110&lt;J110,1,0)</f>
        <v>1</v>
      </c>
      <c r="DN110" s="2783"/>
      <c r="DO110" s="2783"/>
      <c r="DP110" s="3018"/>
      <c r="DQ110" s="3018"/>
      <c r="DR110" s="3018"/>
      <c r="DS110" s="3018"/>
      <c r="DT110" s="3018"/>
      <c r="DU110" s="3018"/>
      <c r="DV110" s="3018"/>
      <c r="DW110" s="3018"/>
      <c r="DX110" s="3018"/>
      <c r="DY110" s="3018"/>
      <c r="DZ110" s="3018"/>
      <c r="EA110" s="3018"/>
      <c r="EB110" s="3018"/>
      <c r="EC110" s="3018"/>
    </row>
    <row r="111" spans="1:133" x14ac:dyDescent="0.3">
      <c r="A111" s="6234">
        <v>11056446</v>
      </c>
      <c r="B111" s="3239" t="s">
        <v>2669</v>
      </c>
      <c r="C111" s="1928" t="s">
        <v>5292</v>
      </c>
      <c r="D111" s="3242" t="s">
        <v>5293</v>
      </c>
      <c r="E111" s="3475" t="s">
        <v>5294</v>
      </c>
      <c r="F111" s="5149" t="s">
        <v>5295</v>
      </c>
      <c r="G111" s="5148" t="s">
        <v>5296</v>
      </c>
      <c r="H111" s="5149" t="s">
        <v>5297</v>
      </c>
      <c r="I111" s="5148" t="s">
        <v>5298</v>
      </c>
      <c r="J111" s="5149" t="s">
        <v>5299</v>
      </c>
      <c r="K111" s="5148" t="s">
        <v>5300</v>
      </c>
      <c r="L111" s="5149" t="s">
        <v>5301</v>
      </c>
      <c r="M111" s="5148" t="s">
        <v>5302</v>
      </c>
      <c r="N111" s="5150" t="s">
        <v>5303</v>
      </c>
      <c r="O111" s="3475" t="s">
        <v>5304</v>
      </c>
      <c r="P111" s="5149" t="s">
        <v>5305</v>
      </c>
      <c r="Q111" s="5038" t="s">
        <v>5306</v>
      </c>
      <c r="R111" s="5151" t="s">
        <v>5307</v>
      </c>
      <c r="S111" s="5038" t="s">
        <v>5308</v>
      </c>
      <c r="T111" s="5151" t="s">
        <v>5309</v>
      </c>
      <c r="U111" s="5038" t="s">
        <v>5310</v>
      </c>
      <c r="V111" s="5151" t="s">
        <v>5311</v>
      </c>
      <c r="W111" s="5038" t="s">
        <v>5312</v>
      </c>
      <c r="X111" s="5151" t="s">
        <v>5313</v>
      </c>
      <c r="Y111" s="5038" t="s">
        <v>5314</v>
      </c>
      <c r="Z111" s="5151" t="s">
        <v>5315</v>
      </c>
      <c r="AA111" s="5038" t="s">
        <v>5316</v>
      </c>
      <c r="AB111" s="5151" t="s">
        <v>5317</v>
      </c>
      <c r="AC111" s="5038" t="s">
        <v>5318</v>
      </c>
      <c r="AD111" s="5151" t="s">
        <v>5319</v>
      </c>
      <c r="AE111" s="5038" t="s">
        <v>5320</v>
      </c>
      <c r="AF111" s="5151" t="s">
        <v>5321</v>
      </c>
      <c r="AG111" s="5038" t="s">
        <v>5322</v>
      </c>
      <c r="AH111" s="5151" t="s">
        <v>5323</v>
      </c>
      <c r="AI111" s="5038" t="s">
        <v>5324</v>
      </c>
      <c r="AJ111" s="5151" t="s">
        <v>5325</v>
      </c>
      <c r="AK111" s="5038" t="s">
        <v>5326</v>
      </c>
      <c r="AL111" s="5151" t="s">
        <v>5327</v>
      </c>
      <c r="AM111" s="5038" t="s">
        <v>5328</v>
      </c>
      <c r="AN111" s="5151" t="s">
        <v>5329</v>
      </c>
      <c r="AO111" s="5038" t="s">
        <v>5330</v>
      </c>
      <c r="AP111" s="5151" t="s">
        <v>5331</v>
      </c>
      <c r="AQ111" s="5038" t="s">
        <v>5332</v>
      </c>
      <c r="AR111" s="5145" t="s">
        <v>5333</v>
      </c>
      <c r="AS111" s="3479" t="s">
        <v>5334</v>
      </c>
      <c r="AT111" s="5145" t="s">
        <v>5335</v>
      </c>
      <c r="AU111" s="5146" t="s">
        <v>5336</v>
      </c>
      <c r="AV111" s="5145" t="s">
        <v>5337</v>
      </c>
      <c r="AW111" s="3479" t="s">
        <v>5338</v>
      </c>
      <c r="AX111" s="5147" t="s">
        <v>5339</v>
      </c>
      <c r="AY111" s="1687" t="e">
        <f>CC111&amp;CD111&amp;CE111&amp;CF111&amp;CG111&amp;CH111&amp;CI111&amp;CM111&amp;CN111&amp;CO111&amp;CP111&amp;CQ111&amp;CR111&amp;CS111&amp;CT111&amp;CU111&amp;CV111&amp;CW111&amp;CX111&amp;CY111</f>
        <v>#VALUE!</v>
      </c>
      <c r="CB111" s="600"/>
      <c r="CC111" s="2784" t="e">
        <f t="shared" ref="CC111:CC118" si="371">IF(C111&lt;&gt;(AT111+AS111)," * La suma de las columnas "&amp;AS$10&amp;""&amp;" DEBE SER IGUAL a los Exámenes Procesados. ","")</f>
        <v>#VALUE!</v>
      </c>
      <c r="CD111" s="2784" t="e">
        <f t="shared" si="332"/>
        <v>#VALUE!</v>
      </c>
      <c r="CE111" s="2784" t="str">
        <f t="shared" si="333"/>
        <v xml:space="preserve"> *El Número de Pueblos Originarios no puede superar el Total Procesados. </v>
      </c>
      <c r="CF111" s="2784" t="str">
        <f t="shared" si="334"/>
        <v xml:space="preserve"> *El Número de Migrantes no puede superar el Total Procesados. </v>
      </c>
      <c r="CG111" s="3488"/>
      <c r="CH111" s="3488"/>
      <c r="CI111" s="2783"/>
      <c r="CJ111" s="2783"/>
      <c r="CK111" s="2783"/>
      <c r="CL111" s="3488"/>
      <c r="CM111" s="2784" t="str">
        <f>IF(Q111&lt;R111,CONCATENATE("* El total de Procesados debe ser mayor o igual al total de Reactivos en el grupo de edad ",$Q$11),"")</f>
        <v>* El total de Procesados debe ser mayor o igual al total de Reactivos en el grupo de edad 15 - 19 años</v>
      </c>
      <c r="CN111" s="2784" t="str">
        <f t="shared" ref="CN111:CN118" si="372">IF(S111&lt;T111,CONCATENATE("* El total de Procesados debe ser mayor o igual al total de Reactivos en el grupo de edad ",$S$11),"")</f>
        <v>* El total de Procesados debe ser mayor o igual al total de Reactivos en el grupo de edad 20 - 24 años</v>
      </c>
      <c r="CO111" s="2784" t="str">
        <f t="shared" si="338"/>
        <v>* El total de Procesados debe ser mayor o igual al total de Reactivos en el grupo de edad 25 - 29 años</v>
      </c>
      <c r="CP111" s="2784" t="str">
        <f t="shared" ref="CP111:CP118" si="373">IF(W111&lt;X111,CONCATENATE("* El total de Procesados debe ser mayor o igual al total de Reactivos en el grupo de edad ",$W$11),"")</f>
        <v>* El total de Procesados debe ser mayor o igual al total de Reactivos en el grupo de edad 30 - 34 años</v>
      </c>
      <c r="CQ111" s="2784" t="str">
        <f t="shared" ref="CQ111:CQ118" si="374">IF(Y111&lt;Z111,CONCATENATE("* El total de Procesados debe ser mayor o igual al total de Reactivos en el grupo de edad ",$Y$11),"")</f>
        <v>* El total de Procesados debe ser mayor o igual al total de Reactivos en el grupo de edad 35 - 39 años</v>
      </c>
      <c r="CR111" s="2784" t="str">
        <f t="shared" ref="CR111:CR118" si="375">IF(AA111&lt;AB111,CONCATENATE("* El total de Procesados debe ser mayor o igual al total de Reactivos en el grupo de edad ",$AA$11),"")</f>
        <v>* El total de Procesados debe ser mayor o igual al total de Reactivos en el grupo de edad 40 - 44 años</v>
      </c>
      <c r="CS111" s="2784" t="str">
        <f t="shared" ref="CS111:CS118" si="376">IF(AE111&lt;AF111,CONCATENATE("* El total de Procesados debe ser mayor o igual al total de Reactivos en el grupo de edad ",$AE$11),"")</f>
        <v>* El total de Procesados debe ser mayor o igual al total de Reactivos en el grupo de edad 50 - 54 años</v>
      </c>
      <c r="CT111" s="2784" t="str">
        <f t="shared" ref="CT111:CT118" si="377">IF(AG111&lt;AH111,CONCATENATE("* El total de Procesados debe ser mayor o igual al total de Reactivos en el grupo de edad ",$AG$11),"")</f>
        <v>* El total de Procesados debe ser mayor o igual al total de Reactivos en el grupo de edad 55 - 59 años</v>
      </c>
      <c r="CU111" s="2784" t="str">
        <f t="shared" ref="CU111:CU118" si="378">IF(AI111&lt;AJ111,CONCATENATE("* El total de Procesados debe ser mayor o igual al total de Reactivos en el grupo de edad ",$AI$11),"")</f>
        <v>* El total de Procesados debe ser mayor o igual al total de Reactivos en el grupo de edad 60 - 64 años</v>
      </c>
      <c r="CV111" s="2784" t="str">
        <f t="shared" ref="CV111:CV114" si="379">IF(AK111&lt;AL111,CONCATENATE("* El total de Procesados debe ser mayor o igual al total de Reactivos en el grupo de edad ",$AK$11),"")</f>
        <v>* El total de Procesados debe ser mayor o igual al total de Reactivos en el grupo de edad 65 - 69 años</v>
      </c>
      <c r="CW111" s="2784" t="str">
        <f t="shared" ref="CW111:CW114" si="380">IF(AM111&lt;AN111,CONCATENATE("* El total de Procesados debe ser mayor o igual al total de Reactivos en el grupo de edad ",$AM$11),"")</f>
        <v>* El total de Procesados debe ser mayor o igual al total de Reactivos en el grupo de edad 70 - 74 años</v>
      </c>
      <c r="CX111" s="2784" t="str">
        <f t="shared" ref="CX111:CX114" si="381">IF(AO111&lt;AP111,CONCATENATE("* El total de Procesados debe ser mayor o igual al total de Reactivos en el grupo de edad ",$AO$11),"")</f>
        <v>* El total de Procesados debe ser mayor o igual al total de Reactivos en el grupo de edad 75 - 79 años</v>
      </c>
      <c r="CY111" s="2784" t="str">
        <f t="shared" ref="CY111:CY114" si="382">IF(AQ111&lt;AR111,CONCATENATE("* El total de Procesados debe ser mayor o igual al total de Reactivos en el grupo de edad ",$AQ$11),"")</f>
        <v>* El total de Procesados debe ser mayor o igual al total de Reactivos en el grupo de edad 80 y más años</v>
      </c>
      <c r="DF111" s="2630"/>
      <c r="DG111" s="2784" t="e">
        <f t="shared" ref="DG111:DG118" si="383">IF(C111&lt;&gt;(AT111+AS111),1,0)</f>
        <v>#VALUE!</v>
      </c>
      <c r="DH111" s="2920" t="e">
        <f t="shared" si="350"/>
        <v>#VALUE!</v>
      </c>
      <c r="DI111" s="2920">
        <f t="shared" si="351"/>
        <v>1</v>
      </c>
      <c r="DJ111" s="2920">
        <f t="shared" si="352"/>
        <v>1</v>
      </c>
      <c r="DK111" s="2783"/>
      <c r="DL111" s="2783"/>
      <c r="DM111" s="2783"/>
      <c r="DN111" s="2783"/>
      <c r="DO111" s="2783"/>
      <c r="DP111" s="3018"/>
      <c r="DQ111" s="2920">
        <f>IF(Q111&lt;R111,1,0)</f>
        <v>1</v>
      </c>
      <c r="DR111" s="2920">
        <f t="shared" ref="DR111:DR118" si="384">IF(S111&lt;T111,1,0)</f>
        <v>1</v>
      </c>
      <c r="DS111" s="2920">
        <f t="shared" si="356"/>
        <v>1</v>
      </c>
      <c r="DT111" s="2920">
        <f t="shared" ref="DT111:DT118" si="385">IF(W111&lt;X111,1,0)</f>
        <v>1</v>
      </c>
      <c r="DU111" s="2920">
        <f t="shared" ref="DU111:DU118" si="386">IF(Y111&lt;Z111,1,0)</f>
        <v>1</v>
      </c>
      <c r="DV111" s="2920">
        <f t="shared" ref="DV111:DV118" si="387">IF(AA111&lt;AB111,1,0)</f>
        <v>1</v>
      </c>
      <c r="DW111" s="2920">
        <f t="shared" ref="DW111:DW118" si="388">IF(AE111&lt;AF111,1,0)</f>
        <v>1</v>
      </c>
      <c r="DX111" s="2920">
        <f t="shared" ref="DX111:DX118" si="389">IF(AG111&lt;AH111,1,0)</f>
        <v>1</v>
      </c>
      <c r="DY111" s="2920">
        <f t="shared" ref="DY111:DY118" si="390">IF(AI111&lt;AJ111,1,0)</f>
        <v>1</v>
      </c>
      <c r="DZ111" s="2920">
        <f t="shared" ref="DZ111:DZ114" si="391">IF(AK111&lt;AL111,1,0)</f>
        <v>1</v>
      </c>
      <c r="EA111" s="2920">
        <f t="shared" ref="EA111:EA114" si="392">IF(AM111&lt;AN111,1,0)</f>
        <v>1</v>
      </c>
      <c r="EB111" s="2920">
        <f t="shared" ref="EB111:EB114" si="393">IF(AO111&lt;AP111,1,0)</f>
        <v>1</v>
      </c>
      <c r="EC111" s="2920">
        <f t="shared" ref="EC111:EC114" si="394">IF(AQ111&lt;AR111,1,0)</f>
        <v>1</v>
      </c>
    </row>
    <row r="112" spans="1:133" x14ac:dyDescent="0.3">
      <c r="A112" s="6234">
        <v>11056447</v>
      </c>
      <c r="B112" s="3184" t="s">
        <v>2670</v>
      </c>
      <c r="C112" s="1928" t="s">
        <v>5292</v>
      </c>
      <c r="D112" s="3242" t="s">
        <v>5293</v>
      </c>
      <c r="E112" s="3483" t="s">
        <v>5294</v>
      </c>
      <c r="F112" s="5153" t="s">
        <v>5295</v>
      </c>
      <c r="G112" s="5152" t="s">
        <v>5296</v>
      </c>
      <c r="H112" s="5153" t="s">
        <v>5297</v>
      </c>
      <c r="I112" s="5152" t="s">
        <v>5298</v>
      </c>
      <c r="J112" s="5155" t="s">
        <v>5299</v>
      </c>
      <c r="K112" s="3483" t="s">
        <v>5300</v>
      </c>
      <c r="L112" s="3483" t="s">
        <v>5301</v>
      </c>
      <c r="M112" s="5152" t="s">
        <v>5302</v>
      </c>
      <c r="N112" s="5155" t="s">
        <v>5303</v>
      </c>
      <c r="O112" s="3479" t="s">
        <v>5304</v>
      </c>
      <c r="P112" s="5151" t="s">
        <v>5305</v>
      </c>
      <c r="Q112" s="5038" t="s">
        <v>5306</v>
      </c>
      <c r="R112" s="5151" t="s">
        <v>5307</v>
      </c>
      <c r="S112" s="5038" t="s">
        <v>5308</v>
      </c>
      <c r="T112" s="5151" t="s">
        <v>5309</v>
      </c>
      <c r="U112" s="5038" t="s">
        <v>5310</v>
      </c>
      <c r="V112" s="5151" t="s">
        <v>5311</v>
      </c>
      <c r="W112" s="5038" t="s">
        <v>5312</v>
      </c>
      <c r="X112" s="5151" t="s">
        <v>5313</v>
      </c>
      <c r="Y112" s="5038" t="s">
        <v>5314</v>
      </c>
      <c r="Z112" s="5151" t="s">
        <v>5315</v>
      </c>
      <c r="AA112" s="5038" t="s">
        <v>5316</v>
      </c>
      <c r="AB112" s="5151" t="s">
        <v>5317</v>
      </c>
      <c r="AC112" s="5038" t="s">
        <v>5318</v>
      </c>
      <c r="AD112" s="5151" t="s">
        <v>5319</v>
      </c>
      <c r="AE112" s="5038" t="s">
        <v>5320</v>
      </c>
      <c r="AF112" s="5151" t="s">
        <v>5321</v>
      </c>
      <c r="AG112" s="5038" t="s">
        <v>5322</v>
      </c>
      <c r="AH112" s="5151" t="s">
        <v>5323</v>
      </c>
      <c r="AI112" s="5038" t="s">
        <v>5324</v>
      </c>
      <c r="AJ112" s="5151" t="s">
        <v>5325</v>
      </c>
      <c r="AK112" s="5038" t="s">
        <v>5326</v>
      </c>
      <c r="AL112" s="5151" t="s">
        <v>5327</v>
      </c>
      <c r="AM112" s="5038" t="s">
        <v>5328</v>
      </c>
      <c r="AN112" s="5151" t="s">
        <v>5329</v>
      </c>
      <c r="AO112" s="5038" t="s">
        <v>5330</v>
      </c>
      <c r="AP112" s="5151" t="s">
        <v>5331</v>
      </c>
      <c r="AQ112" s="5038" t="s">
        <v>5332</v>
      </c>
      <c r="AR112" s="5145" t="s">
        <v>5333</v>
      </c>
      <c r="AS112" s="3479" t="s">
        <v>5334</v>
      </c>
      <c r="AT112" s="5145" t="s">
        <v>5335</v>
      </c>
      <c r="AU112" s="5146" t="s">
        <v>5336</v>
      </c>
      <c r="AV112" s="5145" t="s">
        <v>5337</v>
      </c>
      <c r="AW112" s="3479" t="s">
        <v>5338</v>
      </c>
      <c r="AX112" s="5147" t="s">
        <v>5339</v>
      </c>
      <c r="AY112" s="1687" t="e">
        <f>CC112&amp;CD112&amp;CE112&amp;CF112&amp;CL112&amp;CM112&amp;CN112&amp;CO112&amp;CP112&amp;CQ112&amp;CR112&amp;CS112&amp;CT112&amp;CU112&amp;CV112&amp;CW112&amp;CX112&amp;CY112</f>
        <v>#VALUE!</v>
      </c>
      <c r="CB112" s="600"/>
      <c r="CC112" s="2784" t="e">
        <f t="shared" si="371"/>
        <v>#VALUE!</v>
      </c>
      <c r="CD112" s="2784" t="e">
        <f t="shared" si="332"/>
        <v>#VALUE!</v>
      </c>
      <c r="CE112" s="2784" t="str">
        <f t="shared" si="333"/>
        <v xml:space="preserve"> *El Número de Pueblos Originarios no puede superar el Total Procesados. </v>
      </c>
      <c r="CF112" s="2784" t="str">
        <f t="shared" si="334"/>
        <v xml:space="preserve"> *El Número de Migrantes no puede superar el Total Procesados. </v>
      </c>
      <c r="CG112" s="3488"/>
      <c r="CH112" s="3488"/>
      <c r="CI112" s="2783"/>
      <c r="CJ112" s="2783"/>
      <c r="CK112" s="2783"/>
      <c r="CL112" s="2784" t="str">
        <f>IF(O112&lt;P112,CONCATENATE("* El total de Procesados debe ser mayor o igual al total de Reactivos en el grupo de edad ",$O$11),"")</f>
        <v>* El total de Procesados debe ser mayor o igual al total de Reactivos en el grupo de edad 10 - 14 años</v>
      </c>
      <c r="CM112" s="2784" t="str">
        <f>IF(Q112&lt;R112,CONCATENATE("* El total de Procesados debe ser mayor o igual al total de Reactivos en el grupo de edad ",$Q$11),"")</f>
        <v>* El total de Procesados debe ser mayor o igual al total de Reactivos en el grupo de edad 15 - 19 años</v>
      </c>
      <c r="CN112" s="2784" t="str">
        <f t="shared" si="372"/>
        <v>* El total de Procesados debe ser mayor o igual al total de Reactivos en el grupo de edad 20 - 24 años</v>
      </c>
      <c r="CO112" s="2784" t="str">
        <f t="shared" si="338"/>
        <v>* El total de Procesados debe ser mayor o igual al total de Reactivos en el grupo de edad 25 - 29 años</v>
      </c>
      <c r="CP112" s="2784" t="str">
        <f t="shared" si="373"/>
        <v>* El total de Procesados debe ser mayor o igual al total de Reactivos en el grupo de edad 30 - 34 años</v>
      </c>
      <c r="CQ112" s="2784" t="str">
        <f t="shared" si="374"/>
        <v>* El total de Procesados debe ser mayor o igual al total de Reactivos en el grupo de edad 35 - 39 años</v>
      </c>
      <c r="CR112" s="2784" t="str">
        <f t="shared" si="375"/>
        <v>* El total de Procesados debe ser mayor o igual al total de Reactivos en el grupo de edad 40 - 44 años</v>
      </c>
      <c r="CS112" s="2784" t="str">
        <f t="shared" si="376"/>
        <v>* El total de Procesados debe ser mayor o igual al total de Reactivos en el grupo de edad 50 - 54 años</v>
      </c>
      <c r="CT112" s="2784" t="str">
        <f t="shared" si="377"/>
        <v>* El total de Procesados debe ser mayor o igual al total de Reactivos en el grupo de edad 55 - 59 años</v>
      </c>
      <c r="CU112" s="2784" t="str">
        <f t="shared" si="378"/>
        <v>* El total de Procesados debe ser mayor o igual al total de Reactivos en el grupo de edad 60 - 64 años</v>
      </c>
      <c r="CV112" s="2784" t="str">
        <f t="shared" si="379"/>
        <v>* El total de Procesados debe ser mayor o igual al total de Reactivos en el grupo de edad 65 - 69 años</v>
      </c>
      <c r="CW112" s="2784" t="str">
        <f t="shared" si="380"/>
        <v>* El total de Procesados debe ser mayor o igual al total de Reactivos en el grupo de edad 70 - 74 años</v>
      </c>
      <c r="CX112" s="2784" t="str">
        <f t="shared" si="381"/>
        <v>* El total de Procesados debe ser mayor o igual al total de Reactivos en el grupo de edad 75 - 79 años</v>
      </c>
      <c r="CY112" s="2784" t="str">
        <f t="shared" si="382"/>
        <v>* El total de Procesados debe ser mayor o igual al total de Reactivos en el grupo de edad 80 y más años</v>
      </c>
      <c r="DF112" s="2630"/>
      <c r="DG112" s="2784" t="e">
        <f t="shared" si="383"/>
        <v>#VALUE!</v>
      </c>
      <c r="DH112" s="2920" t="e">
        <f t="shared" si="350"/>
        <v>#VALUE!</v>
      </c>
      <c r="DI112" s="2920">
        <f t="shared" si="351"/>
        <v>1</v>
      </c>
      <c r="DJ112" s="2920">
        <f t="shared" si="352"/>
        <v>1</v>
      </c>
      <c r="DK112" s="2783"/>
      <c r="DL112" s="2783"/>
      <c r="DM112" s="2783"/>
      <c r="DN112" s="2783"/>
      <c r="DO112" s="2783"/>
      <c r="DP112" s="2920">
        <f t="shared" ref="DP112:DP113" si="395">IF(O112&lt;P112,1,0)</f>
        <v>1</v>
      </c>
      <c r="DQ112" s="2920">
        <f>IF(Q112&lt;R112,1,0)</f>
        <v>1</v>
      </c>
      <c r="DR112" s="2920">
        <f t="shared" si="384"/>
        <v>1</v>
      </c>
      <c r="DS112" s="2920">
        <f t="shared" si="356"/>
        <v>1</v>
      </c>
      <c r="DT112" s="2920">
        <f t="shared" si="385"/>
        <v>1</v>
      </c>
      <c r="DU112" s="2920">
        <f t="shared" si="386"/>
        <v>1</v>
      </c>
      <c r="DV112" s="2920">
        <f t="shared" si="387"/>
        <v>1</v>
      </c>
      <c r="DW112" s="2920">
        <f t="shared" si="388"/>
        <v>1</v>
      </c>
      <c r="DX112" s="2920">
        <f t="shared" si="389"/>
        <v>1</v>
      </c>
      <c r="DY112" s="2920">
        <f t="shared" si="390"/>
        <v>1</v>
      </c>
      <c r="DZ112" s="2920">
        <f t="shared" si="391"/>
        <v>1</v>
      </c>
      <c r="EA112" s="2920">
        <f t="shared" si="392"/>
        <v>1</v>
      </c>
      <c r="EB112" s="2920">
        <f t="shared" si="393"/>
        <v>1</v>
      </c>
      <c r="EC112" s="2920">
        <f t="shared" si="394"/>
        <v>1</v>
      </c>
    </row>
    <row r="113" spans="1:133" x14ac:dyDescent="0.3">
      <c r="A113" s="6234">
        <v>11056448</v>
      </c>
      <c r="B113" s="3184" t="s">
        <v>2671</v>
      </c>
      <c r="C113" s="1928" t="s">
        <v>5292</v>
      </c>
      <c r="D113" s="3242" t="s">
        <v>5293</v>
      </c>
      <c r="E113" s="3479" t="s">
        <v>5294</v>
      </c>
      <c r="F113" s="5151" t="s">
        <v>5295</v>
      </c>
      <c r="G113" s="5038" t="s">
        <v>5296</v>
      </c>
      <c r="H113" s="5151" t="s">
        <v>5297</v>
      </c>
      <c r="I113" s="5038" t="s">
        <v>5298</v>
      </c>
      <c r="J113" s="5147" t="s">
        <v>5299</v>
      </c>
      <c r="K113" s="3479" t="s">
        <v>5300</v>
      </c>
      <c r="L113" s="3479" t="s">
        <v>5301</v>
      </c>
      <c r="M113" s="5038" t="s">
        <v>5302</v>
      </c>
      <c r="N113" s="5147" t="s">
        <v>5303</v>
      </c>
      <c r="O113" s="3479" t="s">
        <v>5304</v>
      </c>
      <c r="P113" s="5151" t="s">
        <v>5305</v>
      </c>
      <c r="Q113" s="5038" t="s">
        <v>5306</v>
      </c>
      <c r="R113" s="5151" t="s">
        <v>5307</v>
      </c>
      <c r="S113" s="5038" t="s">
        <v>5308</v>
      </c>
      <c r="T113" s="5151" t="s">
        <v>5309</v>
      </c>
      <c r="U113" s="5038" t="s">
        <v>5310</v>
      </c>
      <c r="V113" s="5151" t="s">
        <v>5311</v>
      </c>
      <c r="W113" s="5038" t="s">
        <v>5312</v>
      </c>
      <c r="X113" s="5151" t="s">
        <v>5313</v>
      </c>
      <c r="Y113" s="5038" t="s">
        <v>5314</v>
      </c>
      <c r="Z113" s="5151" t="s">
        <v>5315</v>
      </c>
      <c r="AA113" s="5038" t="s">
        <v>5316</v>
      </c>
      <c r="AB113" s="5151" t="s">
        <v>5317</v>
      </c>
      <c r="AC113" s="5038" t="s">
        <v>5318</v>
      </c>
      <c r="AD113" s="5151" t="s">
        <v>5319</v>
      </c>
      <c r="AE113" s="5038" t="s">
        <v>5320</v>
      </c>
      <c r="AF113" s="5151" t="s">
        <v>5321</v>
      </c>
      <c r="AG113" s="5038" t="s">
        <v>5322</v>
      </c>
      <c r="AH113" s="5151" t="s">
        <v>5323</v>
      </c>
      <c r="AI113" s="5038" t="s">
        <v>5324</v>
      </c>
      <c r="AJ113" s="5151" t="s">
        <v>5325</v>
      </c>
      <c r="AK113" s="5038" t="s">
        <v>5326</v>
      </c>
      <c r="AL113" s="5151" t="s">
        <v>5327</v>
      </c>
      <c r="AM113" s="5038" t="s">
        <v>5328</v>
      </c>
      <c r="AN113" s="5151" t="s">
        <v>5329</v>
      </c>
      <c r="AO113" s="5038" t="s">
        <v>5330</v>
      </c>
      <c r="AP113" s="5151" t="s">
        <v>5331</v>
      </c>
      <c r="AQ113" s="5038" t="s">
        <v>5332</v>
      </c>
      <c r="AR113" s="5145" t="s">
        <v>5333</v>
      </c>
      <c r="AS113" s="3479" t="s">
        <v>5334</v>
      </c>
      <c r="AT113" s="5145" t="s">
        <v>5335</v>
      </c>
      <c r="AU113" s="5146" t="s">
        <v>5336</v>
      </c>
      <c r="AV113" s="5145" t="s">
        <v>5337</v>
      </c>
      <c r="AW113" s="3479" t="s">
        <v>5338</v>
      </c>
      <c r="AX113" s="5147" t="s">
        <v>5339</v>
      </c>
      <c r="AY113" s="1687" t="e">
        <f>CC113&amp;CD113&amp;CE113&amp;CF113&amp;CG113&amp;CH113&amp;CI113&amp;CJ113&amp;CK113&amp;CL113&amp;CM113&amp;CN113&amp;CO113&amp;CP113&amp;CQ113&amp;CR113&amp;CS113&amp;CT113&amp;CU113&amp;CV113&amp;CW113&amp;CX113&amp;CY113</f>
        <v>#VALUE!</v>
      </c>
      <c r="CB113" s="600"/>
      <c r="CC113" s="2784" t="e">
        <f t="shared" si="371"/>
        <v>#VALUE!</v>
      </c>
      <c r="CD113" s="2784" t="e">
        <f t="shared" si="332"/>
        <v>#VALUE!</v>
      </c>
      <c r="CE113" s="2784" t="str">
        <f t="shared" si="333"/>
        <v xml:space="preserve"> *El Número de Pueblos Originarios no puede superar el Total Procesados. </v>
      </c>
      <c r="CF113" s="2784" t="str">
        <f t="shared" si="334"/>
        <v xml:space="preserve"> *El Número de Migrantes no puede superar el Total Procesados. </v>
      </c>
      <c r="CG113" s="2784" t="str">
        <f>IF(E113&lt;F113,CONCATENATE("* El total de Procesados debe ser mayor o igual al total de Reactivos en el grupo de edad ",$E$11),"")</f>
        <v>* El total de Procesados debe ser mayor o igual al total de Reactivos en el grupo de edad Menos de 6 meses</v>
      </c>
      <c r="CH113" s="2784" t="str">
        <f>IF(G113&lt;H113,CONCATENATE("* El total de Procesados debe ser mayor o igual al total de Reactivos en el grupo de edad ",$G$11),"")</f>
        <v>* El total de Procesados debe ser mayor o igual al total de Reactivos en el grupo de edad 6 - 11 meses</v>
      </c>
      <c r="CI113" s="2784" t="str">
        <f>IF(I113&lt;J113,CONCATENATE("* El total de Procesados debe ser mayor o igual al total de Reactivos en el grupo de edad ",$I$11),"")</f>
        <v>* El total de Procesados debe ser mayor o igual al total de Reactivos en el grupo de edad 12-24 meses</v>
      </c>
      <c r="CJ113" s="2784" t="str">
        <f>IF(K113&lt;L113,CONCATENATE("* El total de Procesados debe ser mayor o igual al total de Reactivos en el grupo de edad ",$K$11),"")</f>
        <v>* El total de Procesados debe ser mayor o igual al total de Reactivos en el grupo de edad 3 - 4 años</v>
      </c>
      <c r="CK113" s="2784" t="str">
        <f>IF(M113&lt;N113,CONCATENATE("* El total de Procesados debe ser mayor o igual al total de Reactivos en el grupo de edad ",$M$11),"")</f>
        <v>* El total de Procesados debe ser mayor o igual al total de Reactivos en el grupo de edad 5 - 9 años</v>
      </c>
      <c r="CL113" s="2784" t="str">
        <f>IF(O113&lt;P113,CONCATENATE("* El total de Procesados debe ser mayor o igual al total de Reactivos en el grupo de edad ",$O$11),"")</f>
        <v>* El total de Procesados debe ser mayor o igual al total de Reactivos en el grupo de edad 10 - 14 años</v>
      </c>
      <c r="CM113" s="2784" t="str">
        <f>IF(Q113&lt;R113,CONCATENATE("* El total de Procesados debe ser mayor o igual al total de Reactivos en el grupo de edad ",$Q$11),"")</f>
        <v>* El total de Procesados debe ser mayor o igual al total de Reactivos en el grupo de edad 15 - 19 años</v>
      </c>
      <c r="CN113" s="2784" t="str">
        <f t="shared" si="372"/>
        <v>* El total de Procesados debe ser mayor o igual al total de Reactivos en el grupo de edad 20 - 24 años</v>
      </c>
      <c r="CO113" s="2784" t="str">
        <f t="shared" si="338"/>
        <v>* El total de Procesados debe ser mayor o igual al total de Reactivos en el grupo de edad 25 - 29 años</v>
      </c>
      <c r="CP113" s="2784" t="str">
        <f t="shared" si="373"/>
        <v>* El total de Procesados debe ser mayor o igual al total de Reactivos en el grupo de edad 30 - 34 años</v>
      </c>
      <c r="CQ113" s="2784" t="str">
        <f t="shared" si="374"/>
        <v>* El total de Procesados debe ser mayor o igual al total de Reactivos en el grupo de edad 35 - 39 años</v>
      </c>
      <c r="CR113" s="2784" t="str">
        <f t="shared" si="375"/>
        <v>* El total de Procesados debe ser mayor o igual al total de Reactivos en el grupo de edad 40 - 44 años</v>
      </c>
      <c r="CS113" s="2784" t="str">
        <f t="shared" si="376"/>
        <v>* El total de Procesados debe ser mayor o igual al total de Reactivos en el grupo de edad 50 - 54 años</v>
      </c>
      <c r="CT113" s="2784" t="str">
        <f t="shared" si="377"/>
        <v>* El total de Procesados debe ser mayor o igual al total de Reactivos en el grupo de edad 55 - 59 años</v>
      </c>
      <c r="CU113" s="2784" t="str">
        <f t="shared" si="378"/>
        <v>* El total de Procesados debe ser mayor o igual al total de Reactivos en el grupo de edad 60 - 64 años</v>
      </c>
      <c r="CV113" s="2784" t="str">
        <f t="shared" si="379"/>
        <v>* El total de Procesados debe ser mayor o igual al total de Reactivos en el grupo de edad 65 - 69 años</v>
      </c>
      <c r="CW113" s="2784" t="str">
        <f t="shared" si="380"/>
        <v>* El total de Procesados debe ser mayor o igual al total de Reactivos en el grupo de edad 70 - 74 años</v>
      </c>
      <c r="CX113" s="2784" t="str">
        <f t="shared" si="381"/>
        <v>* El total de Procesados debe ser mayor o igual al total de Reactivos en el grupo de edad 75 - 79 años</v>
      </c>
      <c r="CY113" s="2784" t="str">
        <f t="shared" si="382"/>
        <v>* El total de Procesados debe ser mayor o igual al total de Reactivos en el grupo de edad 80 y más años</v>
      </c>
      <c r="DF113" s="2630"/>
      <c r="DG113" s="2784" t="e">
        <f t="shared" si="383"/>
        <v>#VALUE!</v>
      </c>
      <c r="DH113" s="2920" t="e">
        <f t="shared" si="350"/>
        <v>#VALUE!</v>
      </c>
      <c r="DI113" s="2920">
        <f t="shared" si="351"/>
        <v>1</v>
      </c>
      <c r="DJ113" s="2920">
        <f t="shared" si="352"/>
        <v>1</v>
      </c>
      <c r="DK113" s="2920">
        <f>IF(E113&lt;F113,1,0)</f>
        <v>1</v>
      </c>
      <c r="DL113" s="2920">
        <f>IF(G113&lt;H113,1,0)</f>
        <v>1</v>
      </c>
      <c r="DM113" s="2920">
        <f>IF(I113&lt;J113,1,0)</f>
        <v>1</v>
      </c>
      <c r="DN113" s="2920">
        <f>IF(K113&lt;L113,1,0)</f>
        <v>1</v>
      </c>
      <c r="DO113" s="2920">
        <f>IF(M113&lt;N113,1,0)</f>
        <v>1</v>
      </c>
      <c r="DP113" s="2920">
        <f t="shared" si="395"/>
        <v>1</v>
      </c>
      <c r="DQ113" s="2920">
        <f t="shared" ref="DQ113:DQ118" si="396">IF(Q113&lt;R113,1,0)</f>
        <v>1</v>
      </c>
      <c r="DR113" s="2920">
        <f t="shared" si="384"/>
        <v>1</v>
      </c>
      <c r="DS113" s="2920">
        <f t="shared" si="356"/>
        <v>1</v>
      </c>
      <c r="DT113" s="2920">
        <f t="shared" si="385"/>
        <v>1</v>
      </c>
      <c r="DU113" s="2920">
        <f t="shared" si="386"/>
        <v>1</v>
      </c>
      <c r="DV113" s="2920">
        <f t="shared" si="387"/>
        <v>1</v>
      </c>
      <c r="DW113" s="2920">
        <f t="shared" si="388"/>
        <v>1</v>
      </c>
      <c r="DX113" s="2920">
        <f t="shared" si="389"/>
        <v>1</v>
      </c>
      <c r="DY113" s="2920">
        <f t="shared" si="390"/>
        <v>1</v>
      </c>
      <c r="DZ113" s="2920">
        <f t="shared" si="391"/>
        <v>1</v>
      </c>
      <c r="EA113" s="2920">
        <f t="shared" si="392"/>
        <v>1</v>
      </c>
      <c r="EB113" s="2920">
        <f t="shared" si="393"/>
        <v>1</v>
      </c>
      <c r="EC113" s="2920">
        <f t="shared" si="394"/>
        <v>1</v>
      </c>
    </row>
    <row r="114" spans="1:133" x14ac:dyDescent="0.3">
      <c r="A114" s="6234">
        <v>11056449</v>
      </c>
      <c r="B114" s="3485" t="s">
        <v>2672</v>
      </c>
      <c r="C114" s="1928" t="s">
        <v>5292</v>
      </c>
      <c r="D114" s="3242" t="s">
        <v>5293</v>
      </c>
      <c r="E114" s="3475" t="s">
        <v>5294</v>
      </c>
      <c r="F114" s="5149" t="s">
        <v>5295</v>
      </c>
      <c r="G114" s="5148" t="s">
        <v>5296</v>
      </c>
      <c r="H114" s="5149" t="s">
        <v>5297</v>
      </c>
      <c r="I114" s="5148" t="s">
        <v>5298</v>
      </c>
      <c r="J114" s="5149" t="s">
        <v>5299</v>
      </c>
      <c r="K114" s="5148" t="s">
        <v>5300</v>
      </c>
      <c r="L114" s="5149" t="s">
        <v>5301</v>
      </c>
      <c r="M114" s="5148" t="s">
        <v>5302</v>
      </c>
      <c r="N114" s="5150" t="s">
        <v>5303</v>
      </c>
      <c r="O114" s="3475" t="s">
        <v>5304</v>
      </c>
      <c r="P114" s="5149" t="s">
        <v>5305</v>
      </c>
      <c r="Q114" s="5038" t="s">
        <v>5306</v>
      </c>
      <c r="R114" s="5151" t="s">
        <v>5307</v>
      </c>
      <c r="S114" s="5038" t="s">
        <v>5308</v>
      </c>
      <c r="T114" s="5151" t="s">
        <v>5309</v>
      </c>
      <c r="U114" s="5038" t="s">
        <v>5310</v>
      </c>
      <c r="V114" s="5151" t="s">
        <v>5311</v>
      </c>
      <c r="W114" s="5038" t="s">
        <v>5312</v>
      </c>
      <c r="X114" s="5151" t="s">
        <v>5313</v>
      </c>
      <c r="Y114" s="5038" t="s">
        <v>5314</v>
      </c>
      <c r="Z114" s="5151" t="s">
        <v>5315</v>
      </c>
      <c r="AA114" s="5038" t="s">
        <v>5316</v>
      </c>
      <c r="AB114" s="5151" t="s">
        <v>5317</v>
      </c>
      <c r="AC114" s="5038" t="s">
        <v>5318</v>
      </c>
      <c r="AD114" s="5151" t="s">
        <v>5319</v>
      </c>
      <c r="AE114" s="5038" t="s">
        <v>5320</v>
      </c>
      <c r="AF114" s="5151" t="s">
        <v>5321</v>
      </c>
      <c r="AG114" s="5038" t="s">
        <v>5322</v>
      </c>
      <c r="AH114" s="5151" t="s">
        <v>5323</v>
      </c>
      <c r="AI114" s="5038" t="s">
        <v>5324</v>
      </c>
      <c r="AJ114" s="5151" t="s">
        <v>5325</v>
      </c>
      <c r="AK114" s="5038" t="s">
        <v>5326</v>
      </c>
      <c r="AL114" s="5151" t="s">
        <v>5327</v>
      </c>
      <c r="AM114" s="5038" t="s">
        <v>5328</v>
      </c>
      <c r="AN114" s="5151" t="s">
        <v>5329</v>
      </c>
      <c r="AO114" s="5038" t="s">
        <v>5330</v>
      </c>
      <c r="AP114" s="5151" t="s">
        <v>5331</v>
      </c>
      <c r="AQ114" s="5038" t="s">
        <v>5332</v>
      </c>
      <c r="AR114" s="5145" t="s">
        <v>5333</v>
      </c>
      <c r="AS114" s="3479" t="s">
        <v>5334</v>
      </c>
      <c r="AT114" s="5145" t="s">
        <v>5335</v>
      </c>
      <c r="AU114" s="5146" t="s">
        <v>5336</v>
      </c>
      <c r="AV114" s="5145" t="s">
        <v>5337</v>
      </c>
      <c r="AW114" s="3479" t="s">
        <v>5338</v>
      </c>
      <c r="AX114" s="5147" t="s">
        <v>5339</v>
      </c>
      <c r="AY114" s="1687" t="e">
        <f>CC114&amp;CD114&amp;CE114&amp;CF114&amp;CM114&amp;CN114&amp;CO114&amp;CP114&amp;CQ114&amp;CR114&amp;CS114&amp;CT114&amp;CU114&amp;CV114&amp;CW114&amp;CX114&amp;CY114</f>
        <v>#VALUE!</v>
      </c>
      <c r="CB114" s="600"/>
      <c r="CC114" s="2784" t="e">
        <f t="shared" si="371"/>
        <v>#VALUE!</v>
      </c>
      <c r="CD114" s="2784" t="e">
        <f t="shared" si="332"/>
        <v>#VALUE!</v>
      </c>
      <c r="CE114" s="2784" t="str">
        <f t="shared" si="333"/>
        <v xml:space="preserve"> *El Número de Pueblos Originarios no puede superar el Total Procesados. </v>
      </c>
      <c r="CF114" s="2784" t="str">
        <f t="shared" si="334"/>
        <v xml:space="preserve"> *El Número de Migrantes no puede superar el Total Procesados. </v>
      </c>
      <c r="CG114" s="3488"/>
      <c r="CH114" s="3488"/>
      <c r="CI114" s="2783"/>
      <c r="CJ114" s="2783"/>
      <c r="CK114" s="2783"/>
      <c r="CL114" s="3488"/>
      <c r="CM114" s="2784" t="str">
        <f t="shared" ref="CM114:CM118" si="397">IF(Q114&lt;R114,CONCATENATE("* El total de Procesados debe ser mayor o igual al total de Reactivos en el grupo de edad ",$Q$11),"")</f>
        <v>* El total de Procesados debe ser mayor o igual al total de Reactivos en el grupo de edad 15 - 19 años</v>
      </c>
      <c r="CN114" s="2784" t="str">
        <f t="shared" si="372"/>
        <v>* El total de Procesados debe ser mayor o igual al total de Reactivos en el grupo de edad 20 - 24 años</v>
      </c>
      <c r="CO114" s="2784" t="str">
        <f t="shared" si="338"/>
        <v>* El total de Procesados debe ser mayor o igual al total de Reactivos en el grupo de edad 25 - 29 años</v>
      </c>
      <c r="CP114" s="2784" t="str">
        <f t="shared" si="373"/>
        <v>* El total de Procesados debe ser mayor o igual al total de Reactivos en el grupo de edad 30 - 34 años</v>
      </c>
      <c r="CQ114" s="2784" t="str">
        <f t="shared" si="374"/>
        <v>* El total de Procesados debe ser mayor o igual al total de Reactivos en el grupo de edad 35 - 39 años</v>
      </c>
      <c r="CR114" s="2784" t="str">
        <f t="shared" si="375"/>
        <v>* El total de Procesados debe ser mayor o igual al total de Reactivos en el grupo de edad 40 - 44 años</v>
      </c>
      <c r="CS114" s="2784" t="str">
        <f t="shared" si="376"/>
        <v>* El total de Procesados debe ser mayor o igual al total de Reactivos en el grupo de edad 50 - 54 años</v>
      </c>
      <c r="CT114" s="2784" t="str">
        <f t="shared" si="377"/>
        <v>* El total de Procesados debe ser mayor o igual al total de Reactivos en el grupo de edad 55 - 59 años</v>
      </c>
      <c r="CU114" s="2784" t="str">
        <f t="shared" si="378"/>
        <v>* El total de Procesados debe ser mayor o igual al total de Reactivos en el grupo de edad 60 - 64 años</v>
      </c>
      <c r="CV114" s="2784" t="str">
        <f t="shared" si="379"/>
        <v>* El total de Procesados debe ser mayor o igual al total de Reactivos en el grupo de edad 65 - 69 años</v>
      </c>
      <c r="CW114" s="2784" t="str">
        <f t="shared" si="380"/>
        <v>* El total de Procesados debe ser mayor o igual al total de Reactivos en el grupo de edad 70 - 74 años</v>
      </c>
      <c r="CX114" s="2784" t="str">
        <f t="shared" si="381"/>
        <v>* El total de Procesados debe ser mayor o igual al total de Reactivos en el grupo de edad 75 - 79 años</v>
      </c>
      <c r="CY114" s="2784" t="str">
        <f t="shared" si="382"/>
        <v>* El total de Procesados debe ser mayor o igual al total de Reactivos en el grupo de edad 80 y más años</v>
      </c>
      <c r="DF114" s="2630"/>
      <c r="DG114" s="2784" t="e">
        <f t="shared" si="383"/>
        <v>#VALUE!</v>
      </c>
      <c r="DH114" s="2920" t="e">
        <f t="shared" si="350"/>
        <v>#VALUE!</v>
      </c>
      <c r="DI114" s="2920">
        <f t="shared" si="351"/>
        <v>1</v>
      </c>
      <c r="DJ114" s="2920">
        <f t="shared" si="352"/>
        <v>1</v>
      </c>
      <c r="DK114" s="2783"/>
      <c r="DL114" s="2783"/>
      <c r="DM114" s="2783"/>
      <c r="DN114" s="2783"/>
      <c r="DO114" s="2783"/>
      <c r="DP114" s="3018"/>
      <c r="DQ114" s="2920">
        <f t="shared" si="396"/>
        <v>1</v>
      </c>
      <c r="DR114" s="2920">
        <f t="shared" si="384"/>
        <v>1</v>
      </c>
      <c r="DS114" s="2920">
        <f t="shared" si="356"/>
        <v>1</v>
      </c>
      <c r="DT114" s="2920">
        <f t="shared" si="385"/>
        <v>1</v>
      </c>
      <c r="DU114" s="2920">
        <f t="shared" si="386"/>
        <v>1</v>
      </c>
      <c r="DV114" s="2920">
        <f t="shared" si="387"/>
        <v>1</v>
      </c>
      <c r="DW114" s="2920">
        <f t="shared" si="388"/>
        <v>1</v>
      </c>
      <c r="DX114" s="2920">
        <f t="shared" si="389"/>
        <v>1</v>
      </c>
      <c r="DY114" s="2920">
        <f t="shared" si="390"/>
        <v>1</v>
      </c>
      <c r="DZ114" s="2920">
        <f t="shared" si="391"/>
        <v>1</v>
      </c>
      <c r="EA114" s="2920">
        <f t="shared" si="392"/>
        <v>1</v>
      </c>
      <c r="EB114" s="2920">
        <f t="shared" si="393"/>
        <v>1</v>
      </c>
      <c r="EC114" s="2920">
        <f t="shared" si="394"/>
        <v>1</v>
      </c>
    </row>
    <row r="115" spans="1:133" x14ac:dyDescent="0.3">
      <c r="A115" s="6234">
        <v>11056450</v>
      </c>
      <c r="B115" s="3184" t="s">
        <v>2673</v>
      </c>
      <c r="C115" s="1928" t="s">
        <v>5292</v>
      </c>
      <c r="D115" s="3242" t="s">
        <v>5293</v>
      </c>
      <c r="E115" s="3475" t="s">
        <v>5294</v>
      </c>
      <c r="F115" s="5149" t="s">
        <v>5295</v>
      </c>
      <c r="G115" s="5148" t="s">
        <v>5296</v>
      </c>
      <c r="H115" s="5149" t="s">
        <v>5297</v>
      </c>
      <c r="I115" s="5148" t="s">
        <v>5298</v>
      </c>
      <c r="J115" s="5149" t="s">
        <v>5299</v>
      </c>
      <c r="K115" s="5148" t="s">
        <v>5300</v>
      </c>
      <c r="L115" s="5149" t="s">
        <v>5301</v>
      </c>
      <c r="M115" s="5148" t="s">
        <v>5302</v>
      </c>
      <c r="N115" s="5150" t="s">
        <v>5303</v>
      </c>
      <c r="O115" s="3475" t="s">
        <v>5304</v>
      </c>
      <c r="P115" s="5149" t="s">
        <v>5305</v>
      </c>
      <c r="Q115" s="5038" t="s">
        <v>5306</v>
      </c>
      <c r="R115" s="5151" t="s">
        <v>5307</v>
      </c>
      <c r="S115" s="5038" t="s">
        <v>5308</v>
      </c>
      <c r="T115" s="5151" t="s">
        <v>5309</v>
      </c>
      <c r="U115" s="5038" t="s">
        <v>5310</v>
      </c>
      <c r="V115" s="5151" t="s">
        <v>5311</v>
      </c>
      <c r="W115" s="5038" t="s">
        <v>5312</v>
      </c>
      <c r="X115" s="5151" t="s">
        <v>5313</v>
      </c>
      <c r="Y115" s="5038" t="s">
        <v>5314</v>
      </c>
      <c r="Z115" s="5151" t="s">
        <v>5315</v>
      </c>
      <c r="AA115" s="5038" t="s">
        <v>5316</v>
      </c>
      <c r="AB115" s="5151" t="s">
        <v>5317</v>
      </c>
      <c r="AC115" s="5038" t="s">
        <v>5318</v>
      </c>
      <c r="AD115" s="5151" t="s">
        <v>5319</v>
      </c>
      <c r="AE115" s="5038" t="s">
        <v>5320</v>
      </c>
      <c r="AF115" s="5151" t="s">
        <v>5321</v>
      </c>
      <c r="AG115" s="5038" t="s">
        <v>5322</v>
      </c>
      <c r="AH115" s="5151" t="s">
        <v>5323</v>
      </c>
      <c r="AI115" s="5038" t="s">
        <v>5324</v>
      </c>
      <c r="AJ115" s="5151" t="s">
        <v>5325</v>
      </c>
      <c r="AK115" s="5148" t="s">
        <v>5326</v>
      </c>
      <c r="AL115" s="5149" t="s">
        <v>5327</v>
      </c>
      <c r="AM115" s="5148" t="s">
        <v>5328</v>
      </c>
      <c r="AN115" s="5149" t="s">
        <v>5329</v>
      </c>
      <c r="AO115" s="5148" t="s">
        <v>5330</v>
      </c>
      <c r="AP115" s="5149" t="s">
        <v>5331</v>
      </c>
      <c r="AQ115" s="5148" t="s">
        <v>5332</v>
      </c>
      <c r="AR115" s="5156" t="s">
        <v>5333</v>
      </c>
      <c r="AS115" s="3479" t="s">
        <v>5334</v>
      </c>
      <c r="AT115" s="5145" t="s">
        <v>5335</v>
      </c>
      <c r="AU115" s="5146" t="s">
        <v>5336</v>
      </c>
      <c r="AV115" s="5145" t="s">
        <v>5337</v>
      </c>
      <c r="AW115" s="3479" t="s">
        <v>5338</v>
      </c>
      <c r="AX115" s="5147" t="s">
        <v>5339</v>
      </c>
      <c r="AY115" s="1687" t="e">
        <f>CC115&amp;CD115&amp;CE115&amp;CF115&amp;CM115&amp;CN115&amp;CO115&amp;CP115&amp;CQ115&amp;CR115&amp;CS115&amp;CT115&amp;CU115</f>
        <v>#VALUE!</v>
      </c>
      <c r="CB115" s="600"/>
      <c r="CC115" s="2784" t="e">
        <f t="shared" si="371"/>
        <v>#VALUE!</v>
      </c>
      <c r="CD115" s="2784" t="e">
        <f t="shared" si="332"/>
        <v>#VALUE!</v>
      </c>
      <c r="CE115" s="2784" t="str">
        <f t="shared" si="333"/>
        <v xml:space="preserve"> *El Número de Pueblos Originarios no puede superar el Total Procesados. </v>
      </c>
      <c r="CF115" s="2784" t="str">
        <f t="shared" si="334"/>
        <v xml:space="preserve"> *El Número de Migrantes no puede superar el Total Procesados. </v>
      </c>
      <c r="CG115" s="3488"/>
      <c r="CH115" s="3488"/>
      <c r="CI115" s="2783"/>
      <c r="CJ115" s="2783"/>
      <c r="CK115" s="2783"/>
      <c r="CL115" s="3488"/>
      <c r="CM115" s="2784" t="str">
        <f t="shared" si="397"/>
        <v>* El total de Procesados debe ser mayor o igual al total de Reactivos en el grupo de edad 15 - 19 años</v>
      </c>
      <c r="CN115" s="2784" t="str">
        <f t="shared" si="372"/>
        <v>* El total de Procesados debe ser mayor o igual al total de Reactivos en el grupo de edad 20 - 24 años</v>
      </c>
      <c r="CO115" s="2784" t="str">
        <f t="shared" si="338"/>
        <v>* El total de Procesados debe ser mayor o igual al total de Reactivos en el grupo de edad 25 - 29 años</v>
      </c>
      <c r="CP115" s="2784" t="str">
        <f t="shared" si="373"/>
        <v>* El total de Procesados debe ser mayor o igual al total de Reactivos en el grupo de edad 30 - 34 años</v>
      </c>
      <c r="CQ115" s="2784" t="str">
        <f t="shared" si="374"/>
        <v>* El total de Procesados debe ser mayor o igual al total de Reactivos en el grupo de edad 35 - 39 años</v>
      </c>
      <c r="CR115" s="2784" t="str">
        <f t="shared" si="375"/>
        <v>* El total de Procesados debe ser mayor o igual al total de Reactivos en el grupo de edad 40 - 44 años</v>
      </c>
      <c r="CS115" s="2784" t="str">
        <f t="shared" si="376"/>
        <v>* El total de Procesados debe ser mayor o igual al total de Reactivos en el grupo de edad 50 - 54 años</v>
      </c>
      <c r="CT115" s="2784" t="str">
        <f t="shared" si="377"/>
        <v>* El total de Procesados debe ser mayor o igual al total de Reactivos en el grupo de edad 55 - 59 años</v>
      </c>
      <c r="CU115" s="2784" t="str">
        <f t="shared" si="378"/>
        <v>* El total de Procesados debe ser mayor o igual al total de Reactivos en el grupo de edad 60 - 64 años</v>
      </c>
      <c r="CV115" s="3018"/>
      <c r="CW115" s="3018"/>
      <c r="CX115" s="3018"/>
      <c r="CY115" s="3018"/>
      <c r="DF115" s="2630"/>
      <c r="DG115" s="2784" t="e">
        <f t="shared" si="383"/>
        <v>#VALUE!</v>
      </c>
      <c r="DH115" s="2920" t="e">
        <f t="shared" si="350"/>
        <v>#VALUE!</v>
      </c>
      <c r="DI115" s="2920">
        <f t="shared" si="351"/>
        <v>1</v>
      </c>
      <c r="DJ115" s="2920">
        <f t="shared" si="352"/>
        <v>1</v>
      </c>
      <c r="DK115" s="2783"/>
      <c r="DL115" s="2783"/>
      <c r="DM115" s="2783"/>
      <c r="DN115" s="2783"/>
      <c r="DO115" s="2783"/>
      <c r="DP115" s="3018"/>
      <c r="DQ115" s="2920">
        <f t="shared" si="396"/>
        <v>1</v>
      </c>
      <c r="DR115" s="2920">
        <f t="shared" si="384"/>
        <v>1</v>
      </c>
      <c r="DS115" s="2920">
        <f t="shared" si="356"/>
        <v>1</v>
      </c>
      <c r="DT115" s="2920">
        <f t="shared" si="385"/>
        <v>1</v>
      </c>
      <c r="DU115" s="2920">
        <f t="shared" si="386"/>
        <v>1</v>
      </c>
      <c r="DV115" s="2920">
        <f t="shared" si="387"/>
        <v>1</v>
      </c>
      <c r="DW115" s="2920">
        <f t="shared" si="388"/>
        <v>1</v>
      </c>
      <c r="DX115" s="2920">
        <f t="shared" si="389"/>
        <v>1</v>
      </c>
      <c r="DY115" s="2920">
        <f t="shared" si="390"/>
        <v>1</v>
      </c>
      <c r="DZ115" s="3018"/>
      <c r="EA115" s="3018"/>
      <c r="EB115" s="3018"/>
      <c r="EC115" s="3018"/>
    </row>
    <row r="116" spans="1:133" x14ac:dyDescent="0.3">
      <c r="A116" s="6234">
        <v>11056451</v>
      </c>
      <c r="B116" s="3184" t="s">
        <v>2674</v>
      </c>
      <c r="C116" s="1928" t="s">
        <v>5292</v>
      </c>
      <c r="D116" s="3242" t="s">
        <v>5293</v>
      </c>
      <c r="E116" s="3479" t="s">
        <v>5294</v>
      </c>
      <c r="F116" s="5151" t="s">
        <v>5295</v>
      </c>
      <c r="G116" s="5038" t="s">
        <v>5296</v>
      </c>
      <c r="H116" s="5151" t="s">
        <v>5297</v>
      </c>
      <c r="I116" s="5038" t="s">
        <v>5298</v>
      </c>
      <c r="J116" s="5147" t="s">
        <v>5299</v>
      </c>
      <c r="K116" s="3479" t="s">
        <v>5300</v>
      </c>
      <c r="L116" s="3479" t="s">
        <v>5301</v>
      </c>
      <c r="M116" s="5038" t="s">
        <v>5302</v>
      </c>
      <c r="N116" s="5147" t="s">
        <v>5303</v>
      </c>
      <c r="O116" s="3479" t="s">
        <v>5304</v>
      </c>
      <c r="P116" s="5151" t="s">
        <v>5305</v>
      </c>
      <c r="Q116" s="5038" t="s">
        <v>5306</v>
      </c>
      <c r="R116" s="5151" t="s">
        <v>5307</v>
      </c>
      <c r="S116" s="5038" t="s">
        <v>5308</v>
      </c>
      <c r="T116" s="5151" t="s">
        <v>5309</v>
      </c>
      <c r="U116" s="5038" t="s">
        <v>5310</v>
      </c>
      <c r="V116" s="5151" t="s">
        <v>5311</v>
      </c>
      <c r="W116" s="5038" t="s">
        <v>5312</v>
      </c>
      <c r="X116" s="5151" t="s">
        <v>5313</v>
      </c>
      <c r="Y116" s="5038" t="s">
        <v>5314</v>
      </c>
      <c r="Z116" s="5151" t="s">
        <v>5315</v>
      </c>
      <c r="AA116" s="5038" t="s">
        <v>5316</v>
      </c>
      <c r="AB116" s="5151" t="s">
        <v>5317</v>
      </c>
      <c r="AC116" s="5038" t="s">
        <v>5318</v>
      </c>
      <c r="AD116" s="5151" t="s">
        <v>5319</v>
      </c>
      <c r="AE116" s="5038" t="s">
        <v>5320</v>
      </c>
      <c r="AF116" s="5151" t="s">
        <v>5321</v>
      </c>
      <c r="AG116" s="5038" t="s">
        <v>5322</v>
      </c>
      <c r="AH116" s="5151" t="s">
        <v>5323</v>
      </c>
      <c r="AI116" s="5038" t="s">
        <v>5324</v>
      </c>
      <c r="AJ116" s="5151" t="s">
        <v>5325</v>
      </c>
      <c r="AK116" s="5038" t="s">
        <v>5326</v>
      </c>
      <c r="AL116" s="5151" t="s">
        <v>5327</v>
      </c>
      <c r="AM116" s="5038" t="s">
        <v>5328</v>
      </c>
      <c r="AN116" s="5151" t="s">
        <v>5329</v>
      </c>
      <c r="AO116" s="5038" t="s">
        <v>5330</v>
      </c>
      <c r="AP116" s="5151" t="s">
        <v>5331</v>
      </c>
      <c r="AQ116" s="5038" t="s">
        <v>5332</v>
      </c>
      <c r="AR116" s="5145" t="s">
        <v>5333</v>
      </c>
      <c r="AS116" s="3479" t="s">
        <v>5334</v>
      </c>
      <c r="AT116" s="5145" t="s">
        <v>5335</v>
      </c>
      <c r="AU116" s="5146" t="s">
        <v>5336</v>
      </c>
      <c r="AV116" s="5145" t="s">
        <v>5337</v>
      </c>
      <c r="AW116" s="3479" t="s">
        <v>5338</v>
      </c>
      <c r="AX116" s="5147" t="s">
        <v>5339</v>
      </c>
      <c r="AY116" s="1687" t="e">
        <f>CC116&amp;CD116&amp;CE116&amp;CF116&amp;CG116&amp;CH116&amp;CI116&amp;CJ116&amp;CK116&amp;CL116&amp;CM116&amp;CN116&amp;CO116&amp;CP116&amp;CQ116&amp;CR116&amp;CS116&amp;CT116&amp;CU116&amp;CV116&amp;CW116&amp;CX116&amp;CY116</f>
        <v>#VALUE!</v>
      </c>
      <c r="CB116" s="600"/>
      <c r="CC116" s="2784" t="e">
        <f t="shared" si="371"/>
        <v>#VALUE!</v>
      </c>
      <c r="CD116" s="2784" t="e">
        <f t="shared" si="332"/>
        <v>#VALUE!</v>
      </c>
      <c r="CE116" s="2784" t="str">
        <f t="shared" si="333"/>
        <v xml:space="preserve"> *El Número de Pueblos Originarios no puede superar el Total Procesados. </v>
      </c>
      <c r="CF116" s="2784" t="str">
        <f t="shared" si="334"/>
        <v xml:space="preserve"> *El Número de Migrantes no puede superar el Total Procesados. </v>
      </c>
      <c r="CG116" s="2784" t="str">
        <f t="shared" ref="CG116:CG118" si="398">IF(E116&lt;F116,CONCATENATE("* El total de Procesados debe ser mayor o igual al total de Reactivos en el grupo de edad ",$E$11),"")</f>
        <v>* El total de Procesados debe ser mayor o igual al total de Reactivos en el grupo de edad Menos de 6 meses</v>
      </c>
      <c r="CH116" s="2784" t="str">
        <f t="shared" ref="CH116:CH118" si="399">IF(G116&lt;H116,CONCATENATE("* El total de Procesados debe ser mayor o igual al total de Reactivos en el grupo de edad ",$G$11),"")</f>
        <v>* El total de Procesados debe ser mayor o igual al total de Reactivos en el grupo de edad 6 - 11 meses</v>
      </c>
      <c r="CI116" s="2784" t="str">
        <f t="shared" ref="CI116:CI118" si="400">IF(I116&lt;J116,CONCATENATE("* El total de Procesados debe ser mayor o igual al total de Reactivos en el grupo de edad ",$I$11),"")</f>
        <v>* El total de Procesados debe ser mayor o igual al total de Reactivos en el grupo de edad 12-24 meses</v>
      </c>
      <c r="CJ116" s="2784" t="str">
        <f t="shared" ref="CJ116:CJ118" si="401">IF(K116&lt;L116,CONCATENATE("* El total de Procesados debe ser mayor o igual al total de Reactivos en el grupo de edad ",$K$11),"")</f>
        <v>* El total de Procesados debe ser mayor o igual al total de Reactivos en el grupo de edad 3 - 4 años</v>
      </c>
      <c r="CK116" s="2784" t="str">
        <f t="shared" ref="CK116:CK118" si="402">IF(M116&lt;N116,CONCATENATE("* El total de Procesados debe ser mayor o igual al total de Reactivos en el grupo de edad ",$M$11),"")</f>
        <v>* El total de Procesados debe ser mayor o igual al total de Reactivos en el grupo de edad 5 - 9 años</v>
      </c>
      <c r="CL116" s="2784" t="str">
        <f t="shared" ref="CL116:CL118" si="403">IF(O116&lt;P116,CONCATENATE("* El total de Procesados debe ser mayor o igual al total de Reactivos en el grupo de edad ",$O$11),"")</f>
        <v>* El total de Procesados debe ser mayor o igual al total de Reactivos en el grupo de edad 10 - 14 años</v>
      </c>
      <c r="CM116" s="2784" t="str">
        <f t="shared" si="397"/>
        <v>* El total de Procesados debe ser mayor o igual al total de Reactivos en el grupo de edad 15 - 19 años</v>
      </c>
      <c r="CN116" s="2784" t="str">
        <f t="shared" si="372"/>
        <v>* El total de Procesados debe ser mayor o igual al total de Reactivos en el grupo de edad 20 - 24 años</v>
      </c>
      <c r="CO116" s="2784" t="str">
        <f t="shared" si="338"/>
        <v>* El total de Procesados debe ser mayor o igual al total de Reactivos en el grupo de edad 25 - 29 años</v>
      </c>
      <c r="CP116" s="2784" t="str">
        <f t="shared" si="373"/>
        <v>* El total de Procesados debe ser mayor o igual al total de Reactivos en el grupo de edad 30 - 34 años</v>
      </c>
      <c r="CQ116" s="2784" t="str">
        <f t="shared" si="374"/>
        <v>* El total de Procesados debe ser mayor o igual al total de Reactivos en el grupo de edad 35 - 39 años</v>
      </c>
      <c r="CR116" s="2784" t="str">
        <f t="shared" si="375"/>
        <v>* El total de Procesados debe ser mayor o igual al total de Reactivos en el grupo de edad 40 - 44 años</v>
      </c>
      <c r="CS116" s="2784" t="str">
        <f t="shared" si="376"/>
        <v>* El total de Procesados debe ser mayor o igual al total de Reactivos en el grupo de edad 50 - 54 años</v>
      </c>
      <c r="CT116" s="2784" t="str">
        <f t="shared" si="377"/>
        <v>* El total de Procesados debe ser mayor o igual al total de Reactivos en el grupo de edad 55 - 59 años</v>
      </c>
      <c r="CU116" s="2784" t="str">
        <f t="shared" si="378"/>
        <v>* El total de Procesados debe ser mayor o igual al total de Reactivos en el grupo de edad 60 - 64 años</v>
      </c>
      <c r="CV116" s="2784" t="str">
        <f t="shared" ref="CV116:CV118" si="404">IF(AK116&lt;AL116,CONCATENATE("* El total de Procesados debe ser mayor o igual al total de Reactivos en el grupo de edad ",$AK$11),"")</f>
        <v>* El total de Procesados debe ser mayor o igual al total de Reactivos en el grupo de edad 65 - 69 años</v>
      </c>
      <c r="CW116" s="2784" t="str">
        <f t="shared" ref="CW116:CW118" si="405">IF(AM116&lt;AN116,CONCATENATE("* El total de Procesados debe ser mayor o igual al total de Reactivos en el grupo de edad ",$AM$11),"")</f>
        <v>* El total de Procesados debe ser mayor o igual al total de Reactivos en el grupo de edad 70 - 74 años</v>
      </c>
      <c r="CX116" s="2784" t="str">
        <f t="shared" ref="CX116:CX118" si="406">IF(AO116&lt;AP116,CONCATENATE("* El total de Procesados debe ser mayor o igual al total de Reactivos en el grupo de edad ",$AO$11),"")</f>
        <v>* El total de Procesados debe ser mayor o igual al total de Reactivos en el grupo de edad 75 - 79 años</v>
      </c>
      <c r="CY116" s="2784" t="str">
        <f t="shared" ref="CY116:CY118" si="407">IF(AQ116&lt;AR116,CONCATENATE("* El total de Procesados debe ser mayor o igual al total de Reactivos en el grupo de edad ",$AQ$11),"")</f>
        <v>* El total de Procesados debe ser mayor o igual al total de Reactivos en el grupo de edad 80 y más años</v>
      </c>
      <c r="DF116" s="2630"/>
      <c r="DG116" s="2784" t="e">
        <f t="shared" si="383"/>
        <v>#VALUE!</v>
      </c>
      <c r="DH116" s="2920" t="e">
        <f t="shared" si="350"/>
        <v>#VALUE!</v>
      </c>
      <c r="DI116" s="2920">
        <f t="shared" si="351"/>
        <v>1</v>
      </c>
      <c r="DJ116" s="2920">
        <f t="shared" si="352"/>
        <v>1</v>
      </c>
      <c r="DK116" s="2920">
        <f t="shared" ref="DK116:DK118" si="408">IF(E116&lt;F116,1,0)</f>
        <v>1</v>
      </c>
      <c r="DL116" s="2920">
        <f t="shared" ref="DL116:DL118" si="409">IF(G116&lt;H116,1,0)</f>
        <v>1</v>
      </c>
      <c r="DM116" s="2920">
        <f t="shared" ref="DM116:DM118" si="410">IF(I116&lt;J116,1,0)</f>
        <v>1</v>
      </c>
      <c r="DN116" s="2920">
        <f t="shared" ref="DN116:DN118" si="411">IF(K116&lt;L116,1,0)</f>
        <v>1</v>
      </c>
      <c r="DO116" s="2920">
        <f t="shared" ref="DO116:DO118" si="412">IF(M116&lt;N116,1,0)</f>
        <v>1</v>
      </c>
      <c r="DP116" s="2920">
        <f t="shared" ref="DP116:DP118" si="413">IF(O116&lt;P116,1,0)</f>
        <v>1</v>
      </c>
      <c r="DQ116" s="2920">
        <f t="shared" si="396"/>
        <v>1</v>
      </c>
      <c r="DR116" s="2920">
        <f t="shared" si="384"/>
        <v>1</v>
      </c>
      <c r="DS116" s="2920">
        <f t="shared" si="356"/>
        <v>1</v>
      </c>
      <c r="DT116" s="2920">
        <f t="shared" si="385"/>
        <v>1</v>
      </c>
      <c r="DU116" s="2920">
        <f t="shared" si="386"/>
        <v>1</v>
      </c>
      <c r="DV116" s="2920">
        <f t="shared" si="387"/>
        <v>1</v>
      </c>
      <c r="DW116" s="2920">
        <f t="shared" si="388"/>
        <v>1</v>
      </c>
      <c r="DX116" s="2920">
        <f t="shared" si="389"/>
        <v>1</v>
      </c>
      <c r="DY116" s="2920">
        <f t="shared" si="390"/>
        <v>1</v>
      </c>
      <c r="DZ116" s="2920">
        <f t="shared" ref="DZ116:DZ118" si="414">IF(AK116&lt;AL116,1,0)</f>
        <v>1</v>
      </c>
      <c r="EA116" s="2920">
        <f t="shared" ref="EA116:EA118" si="415">IF(AM116&lt;AN116,1,0)</f>
        <v>1</v>
      </c>
      <c r="EB116" s="2920">
        <f t="shared" ref="EB116:EB118" si="416">IF(AO116&lt;AP116,1,0)</f>
        <v>1</v>
      </c>
      <c r="EC116" s="2920">
        <f t="shared" ref="EC116:EC118" si="417">IF(AQ116&lt;AR116,1,0)</f>
        <v>1</v>
      </c>
    </row>
    <row r="117" spans="1:133" x14ac:dyDescent="0.3">
      <c r="A117" s="6234">
        <v>11056452</v>
      </c>
      <c r="B117" s="3184" t="s">
        <v>2675</v>
      </c>
      <c r="C117" s="1928" t="s">
        <v>5292</v>
      </c>
      <c r="D117" s="3242" t="s">
        <v>5293</v>
      </c>
      <c r="E117" s="3479" t="s">
        <v>5294</v>
      </c>
      <c r="F117" s="5151" t="s">
        <v>5295</v>
      </c>
      <c r="G117" s="5038" t="s">
        <v>5296</v>
      </c>
      <c r="H117" s="5151" t="s">
        <v>5297</v>
      </c>
      <c r="I117" s="5038" t="s">
        <v>5298</v>
      </c>
      <c r="J117" s="5147" t="s">
        <v>5299</v>
      </c>
      <c r="K117" s="3479" t="s">
        <v>5300</v>
      </c>
      <c r="L117" s="3479" t="s">
        <v>5301</v>
      </c>
      <c r="M117" s="5038" t="s">
        <v>5302</v>
      </c>
      <c r="N117" s="5147" t="s">
        <v>5303</v>
      </c>
      <c r="O117" s="3479" t="s">
        <v>5304</v>
      </c>
      <c r="P117" s="5151" t="s">
        <v>5305</v>
      </c>
      <c r="Q117" s="5038" t="s">
        <v>5306</v>
      </c>
      <c r="R117" s="5151" t="s">
        <v>5307</v>
      </c>
      <c r="S117" s="5038" t="s">
        <v>5308</v>
      </c>
      <c r="T117" s="5151" t="s">
        <v>5309</v>
      </c>
      <c r="U117" s="5038" t="s">
        <v>5310</v>
      </c>
      <c r="V117" s="5151" t="s">
        <v>5311</v>
      </c>
      <c r="W117" s="5038" t="s">
        <v>5312</v>
      </c>
      <c r="X117" s="5151" t="s">
        <v>5313</v>
      </c>
      <c r="Y117" s="5038" t="s">
        <v>5314</v>
      </c>
      <c r="Z117" s="5151" t="s">
        <v>5315</v>
      </c>
      <c r="AA117" s="5038" t="s">
        <v>5316</v>
      </c>
      <c r="AB117" s="5151" t="s">
        <v>5317</v>
      </c>
      <c r="AC117" s="5038" t="s">
        <v>5318</v>
      </c>
      <c r="AD117" s="5151" t="s">
        <v>5319</v>
      </c>
      <c r="AE117" s="5038" t="s">
        <v>5320</v>
      </c>
      <c r="AF117" s="5151" t="s">
        <v>5321</v>
      </c>
      <c r="AG117" s="5038" t="s">
        <v>5322</v>
      </c>
      <c r="AH117" s="5151" t="s">
        <v>5323</v>
      </c>
      <c r="AI117" s="5038" t="s">
        <v>5324</v>
      </c>
      <c r="AJ117" s="5151" t="s">
        <v>5325</v>
      </c>
      <c r="AK117" s="5038" t="s">
        <v>5326</v>
      </c>
      <c r="AL117" s="5151" t="s">
        <v>5327</v>
      </c>
      <c r="AM117" s="5038" t="s">
        <v>5328</v>
      </c>
      <c r="AN117" s="5151" t="s">
        <v>5329</v>
      </c>
      <c r="AO117" s="5038" t="s">
        <v>5330</v>
      </c>
      <c r="AP117" s="5151" t="s">
        <v>5331</v>
      </c>
      <c r="AQ117" s="5038" t="s">
        <v>5332</v>
      </c>
      <c r="AR117" s="5145" t="s">
        <v>5333</v>
      </c>
      <c r="AS117" s="3479" t="s">
        <v>5334</v>
      </c>
      <c r="AT117" s="5145" t="s">
        <v>5335</v>
      </c>
      <c r="AU117" s="5146" t="s">
        <v>5336</v>
      </c>
      <c r="AV117" s="5145" t="s">
        <v>5337</v>
      </c>
      <c r="AW117" s="3479" t="s">
        <v>5338</v>
      </c>
      <c r="AX117" s="5147" t="s">
        <v>5339</v>
      </c>
      <c r="AY117" s="1687" t="e">
        <f t="shared" ref="AY117:AY118" si="418">CC117&amp;CD117&amp;CE117&amp;CF117&amp;CG117&amp;CH117&amp;CI117&amp;CJ117&amp;CK117&amp;CL117&amp;CM117&amp;CN117&amp;CO117&amp;CP117&amp;CQ117&amp;CR117&amp;CS117&amp;CT117&amp;CU117&amp;CV117&amp;CW117&amp;CX117&amp;CY117</f>
        <v>#VALUE!</v>
      </c>
      <c r="CB117" s="600"/>
      <c r="CC117" s="2784" t="e">
        <f t="shared" si="371"/>
        <v>#VALUE!</v>
      </c>
      <c r="CD117" s="2784" t="e">
        <f t="shared" si="332"/>
        <v>#VALUE!</v>
      </c>
      <c r="CE117" s="2784" t="str">
        <f t="shared" si="333"/>
        <v xml:space="preserve"> *El Número de Pueblos Originarios no puede superar el Total Procesados. </v>
      </c>
      <c r="CF117" s="2784" t="str">
        <f t="shared" si="334"/>
        <v xml:space="preserve"> *El Número de Migrantes no puede superar el Total Procesados. </v>
      </c>
      <c r="CG117" s="2784" t="str">
        <f t="shared" si="398"/>
        <v>* El total de Procesados debe ser mayor o igual al total de Reactivos en el grupo de edad Menos de 6 meses</v>
      </c>
      <c r="CH117" s="2784" t="str">
        <f t="shared" si="399"/>
        <v>* El total de Procesados debe ser mayor o igual al total de Reactivos en el grupo de edad 6 - 11 meses</v>
      </c>
      <c r="CI117" s="2784" t="str">
        <f t="shared" si="400"/>
        <v>* El total de Procesados debe ser mayor o igual al total de Reactivos en el grupo de edad 12-24 meses</v>
      </c>
      <c r="CJ117" s="2784" t="str">
        <f t="shared" si="401"/>
        <v>* El total de Procesados debe ser mayor o igual al total de Reactivos en el grupo de edad 3 - 4 años</v>
      </c>
      <c r="CK117" s="2784" t="str">
        <f t="shared" si="402"/>
        <v>* El total de Procesados debe ser mayor o igual al total de Reactivos en el grupo de edad 5 - 9 años</v>
      </c>
      <c r="CL117" s="2784" t="str">
        <f t="shared" si="403"/>
        <v>* El total de Procesados debe ser mayor o igual al total de Reactivos en el grupo de edad 10 - 14 años</v>
      </c>
      <c r="CM117" s="2784" t="str">
        <f t="shared" si="397"/>
        <v>* El total de Procesados debe ser mayor o igual al total de Reactivos en el grupo de edad 15 - 19 años</v>
      </c>
      <c r="CN117" s="2784" t="str">
        <f t="shared" si="372"/>
        <v>* El total de Procesados debe ser mayor o igual al total de Reactivos en el grupo de edad 20 - 24 años</v>
      </c>
      <c r="CO117" s="2784" t="str">
        <f t="shared" si="338"/>
        <v>* El total de Procesados debe ser mayor o igual al total de Reactivos en el grupo de edad 25 - 29 años</v>
      </c>
      <c r="CP117" s="2784" t="str">
        <f t="shared" si="373"/>
        <v>* El total de Procesados debe ser mayor o igual al total de Reactivos en el grupo de edad 30 - 34 años</v>
      </c>
      <c r="CQ117" s="2784" t="str">
        <f t="shared" si="374"/>
        <v>* El total de Procesados debe ser mayor o igual al total de Reactivos en el grupo de edad 35 - 39 años</v>
      </c>
      <c r="CR117" s="2784" t="str">
        <f t="shared" si="375"/>
        <v>* El total de Procesados debe ser mayor o igual al total de Reactivos en el grupo de edad 40 - 44 años</v>
      </c>
      <c r="CS117" s="2784" t="str">
        <f t="shared" si="376"/>
        <v>* El total de Procesados debe ser mayor o igual al total de Reactivos en el grupo de edad 50 - 54 años</v>
      </c>
      <c r="CT117" s="2784" t="str">
        <f t="shared" si="377"/>
        <v>* El total de Procesados debe ser mayor o igual al total de Reactivos en el grupo de edad 55 - 59 años</v>
      </c>
      <c r="CU117" s="2784" t="str">
        <f t="shared" si="378"/>
        <v>* El total de Procesados debe ser mayor o igual al total de Reactivos en el grupo de edad 60 - 64 años</v>
      </c>
      <c r="CV117" s="2784" t="str">
        <f t="shared" si="404"/>
        <v>* El total de Procesados debe ser mayor o igual al total de Reactivos en el grupo de edad 65 - 69 años</v>
      </c>
      <c r="CW117" s="2784" t="str">
        <f t="shared" si="405"/>
        <v>* El total de Procesados debe ser mayor o igual al total de Reactivos en el grupo de edad 70 - 74 años</v>
      </c>
      <c r="CX117" s="2784" t="str">
        <f t="shared" si="406"/>
        <v>* El total de Procesados debe ser mayor o igual al total de Reactivos en el grupo de edad 75 - 79 años</v>
      </c>
      <c r="CY117" s="2784" t="str">
        <f t="shared" si="407"/>
        <v>* El total de Procesados debe ser mayor o igual al total de Reactivos en el grupo de edad 80 y más años</v>
      </c>
      <c r="DF117" s="2630"/>
      <c r="DG117" s="2784" t="e">
        <f t="shared" si="383"/>
        <v>#VALUE!</v>
      </c>
      <c r="DH117" s="2920" t="e">
        <f t="shared" si="350"/>
        <v>#VALUE!</v>
      </c>
      <c r="DI117" s="2920">
        <f t="shared" si="351"/>
        <v>1</v>
      </c>
      <c r="DJ117" s="2920">
        <f t="shared" si="352"/>
        <v>1</v>
      </c>
      <c r="DK117" s="2920">
        <f t="shared" si="408"/>
        <v>1</v>
      </c>
      <c r="DL117" s="2920">
        <f t="shared" si="409"/>
        <v>1</v>
      </c>
      <c r="DM117" s="2920">
        <f t="shared" si="410"/>
        <v>1</v>
      </c>
      <c r="DN117" s="2920">
        <f t="shared" si="411"/>
        <v>1</v>
      </c>
      <c r="DO117" s="2920">
        <f t="shared" si="412"/>
        <v>1</v>
      </c>
      <c r="DP117" s="2920">
        <f t="shared" si="413"/>
        <v>1</v>
      </c>
      <c r="DQ117" s="2920">
        <f t="shared" si="396"/>
        <v>1</v>
      </c>
      <c r="DR117" s="2920">
        <f t="shared" si="384"/>
        <v>1</v>
      </c>
      <c r="DS117" s="2920">
        <f t="shared" si="356"/>
        <v>1</v>
      </c>
      <c r="DT117" s="2920">
        <f t="shared" si="385"/>
        <v>1</v>
      </c>
      <c r="DU117" s="2920">
        <f t="shared" si="386"/>
        <v>1</v>
      </c>
      <c r="DV117" s="2920">
        <f t="shared" si="387"/>
        <v>1</v>
      </c>
      <c r="DW117" s="2920">
        <f t="shared" si="388"/>
        <v>1</v>
      </c>
      <c r="DX117" s="2920">
        <f t="shared" si="389"/>
        <v>1</v>
      </c>
      <c r="DY117" s="2920">
        <f t="shared" si="390"/>
        <v>1</v>
      </c>
      <c r="DZ117" s="2920">
        <f t="shared" si="414"/>
        <v>1</v>
      </c>
      <c r="EA117" s="2920">
        <f t="shared" si="415"/>
        <v>1</v>
      </c>
      <c r="EB117" s="2920">
        <f t="shared" si="416"/>
        <v>1</v>
      </c>
      <c r="EC117" s="2920">
        <f t="shared" si="417"/>
        <v>1</v>
      </c>
    </row>
    <row r="118" spans="1:133" x14ac:dyDescent="0.3">
      <c r="A118" s="6240">
        <v>11056453</v>
      </c>
      <c r="B118" s="5160" t="s">
        <v>2676</v>
      </c>
      <c r="C118" s="5107" t="s">
        <v>5292</v>
      </c>
      <c r="D118" s="5108" t="s">
        <v>5293</v>
      </c>
      <c r="E118" s="288" t="s">
        <v>5294</v>
      </c>
      <c r="F118" s="3491" t="s">
        <v>5295</v>
      </c>
      <c r="G118" s="3492" t="s">
        <v>5296</v>
      </c>
      <c r="H118" s="3491" t="s">
        <v>5297</v>
      </c>
      <c r="I118" s="3492" t="s">
        <v>5298</v>
      </c>
      <c r="J118" s="3493" t="s">
        <v>5299</v>
      </c>
      <c r="K118" s="288" t="s">
        <v>5300</v>
      </c>
      <c r="L118" s="288" t="s">
        <v>5301</v>
      </c>
      <c r="M118" s="3492" t="s">
        <v>5302</v>
      </c>
      <c r="N118" s="3493" t="s">
        <v>5303</v>
      </c>
      <c r="O118" s="288" t="s">
        <v>5304</v>
      </c>
      <c r="P118" s="3491" t="s">
        <v>5305</v>
      </c>
      <c r="Q118" s="3492" t="s">
        <v>5306</v>
      </c>
      <c r="R118" s="3491" t="s">
        <v>5307</v>
      </c>
      <c r="S118" s="3492" t="s">
        <v>5308</v>
      </c>
      <c r="T118" s="3491" t="s">
        <v>5309</v>
      </c>
      <c r="U118" s="3492" t="s">
        <v>5310</v>
      </c>
      <c r="V118" s="3491" t="s">
        <v>5311</v>
      </c>
      <c r="W118" s="3492" t="s">
        <v>5312</v>
      </c>
      <c r="X118" s="3491" t="s">
        <v>5313</v>
      </c>
      <c r="Y118" s="3492" t="s">
        <v>5314</v>
      </c>
      <c r="Z118" s="3491" t="s">
        <v>5315</v>
      </c>
      <c r="AA118" s="3492" t="s">
        <v>5316</v>
      </c>
      <c r="AB118" s="3491" t="s">
        <v>5317</v>
      </c>
      <c r="AC118" s="3492" t="s">
        <v>5318</v>
      </c>
      <c r="AD118" s="3491" t="s">
        <v>5319</v>
      </c>
      <c r="AE118" s="3492" t="s">
        <v>5320</v>
      </c>
      <c r="AF118" s="3491" t="s">
        <v>5321</v>
      </c>
      <c r="AG118" s="3492" t="s">
        <v>5322</v>
      </c>
      <c r="AH118" s="3491" t="s">
        <v>5323</v>
      </c>
      <c r="AI118" s="3492" t="s">
        <v>5324</v>
      </c>
      <c r="AJ118" s="3491" t="s">
        <v>5325</v>
      </c>
      <c r="AK118" s="3492" t="s">
        <v>5326</v>
      </c>
      <c r="AL118" s="3491" t="s">
        <v>5327</v>
      </c>
      <c r="AM118" s="3492" t="s">
        <v>5328</v>
      </c>
      <c r="AN118" s="3491" t="s">
        <v>5329</v>
      </c>
      <c r="AO118" s="3492" t="s">
        <v>5330</v>
      </c>
      <c r="AP118" s="3491" t="s">
        <v>5331</v>
      </c>
      <c r="AQ118" s="3492" t="s">
        <v>5332</v>
      </c>
      <c r="AR118" s="3494" t="s">
        <v>5333</v>
      </c>
      <c r="AS118" s="288" t="s">
        <v>5334</v>
      </c>
      <c r="AT118" s="3494" t="s">
        <v>5335</v>
      </c>
      <c r="AU118" s="3495" t="s">
        <v>5336</v>
      </c>
      <c r="AV118" s="3494" t="s">
        <v>5337</v>
      </c>
      <c r="AW118" s="288" t="s">
        <v>5338</v>
      </c>
      <c r="AX118" s="3493" t="s">
        <v>5339</v>
      </c>
      <c r="AY118" s="1687" t="e">
        <f t="shared" si="418"/>
        <v>#VALUE!</v>
      </c>
      <c r="CB118" s="600"/>
      <c r="CC118" s="2784" t="e">
        <f t="shared" si="371"/>
        <v>#VALUE!</v>
      </c>
      <c r="CD118" s="2784" t="e">
        <f t="shared" si="332"/>
        <v>#VALUE!</v>
      </c>
      <c r="CE118" s="2784" t="str">
        <f t="shared" si="333"/>
        <v xml:space="preserve"> *El Número de Pueblos Originarios no puede superar el Total Procesados. </v>
      </c>
      <c r="CF118" s="2784" t="str">
        <f t="shared" si="334"/>
        <v xml:space="preserve"> *El Número de Migrantes no puede superar el Total Procesados. </v>
      </c>
      <c r="CG118" s="2784" t="str">
        <f t="shared" si="398"/>
        <v>* El total de Procesados debe ser mayor o igual al total de Reactivos en el grupo de edad Menos de 6 meses</v>
      </c>
      <c r="CH118" s="2784" t="str">
        <f t="shared" si="399"/>
        <v>* El total de Procesados debe ser mayor o igual al total de Reactivos en el grupo de edad 6 - 11 meses</v>
      </c>
      <c r="CI118" s="2784" t="str">
        <f t="shared" si="400"/>
        <v>* El total de Procesados debe ser mayor o igual al total de Reactivos en el grupo de edad 12-24 meses</v>
      </c>
      <c r="CJ118" s="2784" t="str">
        <f t="shared" si="401"/>
        <v>* El total de Procesados debe ser mayor o igual al total de Reactivos en el grupo de edad 3 - 4 años</v>
      </c>
      <c r="CK118" s="2784" t="str">
        <f t="shared" si="402"/>
        <v>* El total de Procesados debe ser mayor o igual al total de Reactivos en el grupo de edad 5 - 9 años</v>
      </c>
      <c r="CL118" s="2784" t="str">
        <f t="shared" si="403"/>
        <v>* El total de Procesados debe ser mayor o igual al total de Reactivos en el grupo de edad 10 - 14 años</v>
      </c>
      <c r="CM118" s="2784" t="str">
        <f t="shared" si="397"/>
        <v>* El total de Procesados debe ser mayor o igual al total de Reactivos en el grupo de edad 15 - 19 años</v>
      </c>
      <c r="CN118" s="2784" t="str">
        <f t="shared" si="372"/>
        <v>* El total de Procesados debe ser mayor o igual al total de Reactivos en el grupo de edad 20 - 24 años</v>
      </c>
      <c r="CO118" s="2784" t="str">
        <f t="shared" si="338"/>
        <v>* El total de Procesados debe ser mayor o igual al total de Reactivos en el grupo de edad 25 - 29 años</v>
      </c>
      <c r="CP118" s="2784" t="str">
        <f t="shared" si="373"/>
        <v>* El total de Procesados debe ser mayor o igual al total de Reactivos en el grupo de edad 30 - 34 años</v>
      </c>
      <c r="CQ118" s="2784" t="str">
        <f t="shared" si="374"/>
        <v>* El total de Procesados debe ser mayor o igual al total de Reactivos en el grupo de edad 35 - 39 años</v>
      </c>
      <c r="CR118" s="2784" t="str">
        <f t="shared" si="375"/>
        <v>* El total de Procesados debe ser mayor o igual al total de Reactivos en el grupo de edad 40 - 44 años</v>
      </c>
      <c r="CS118" s="2784" t="str">
        <f t="shared" si="376"/>
        <v>* El total de Procesados debe ser mayor o igual al total de Reactivos en el grupo de edad 50 - 54 años</v>
      </c>
      <c r="CT118" s="2784" t="str">
        <f t="shared" si="377"/>
        <v>* El total de Procesados debe ser mayor o igual al total de Reactivos en el grupo de edad 55 - 59 años</v>
      </c>
      <c r="CU118" s="2784" t="str">
        <f t="shared" si="378"/>
        <v>* El total de Procesados debe ser mayor o igual al total de Reactivos en el grupo de edad 60 - 64 años</v>
      </c>
      <c r="CV118" s="2784" t="str">
        <f t="shared" si="404"/>
        <v>* El total de Procesados debe ser mayor o igual al total de Reactivos en el grupo de edad 65 - 69 años</v>
      </c>
      <c r="CW118" s="2784" t="str">
        <f t="shared" si="405"/>
        <v>* El total de Procesados debe ser mayor o igual al total de Reactivos en el grupo de edad 70 - 74 años</v>
      </c>
      <c r="CX118" s="2784" t="str">
        <f t="shared" si="406"/>
        <v>* El total de Procesados debe ser mayor o igual al total de Reactivos en el grupo de edad 75 - 79 años</v>
      </c>
      <c r="CY118" s="2784" t="str">
        <f t="shared" si="407"/>
        <v>* El total de Procesados debe ser mayor o igual al total de Reactivos en el grupo de edad 80 y más años</v>
      </c>
      <c r="DF118" s="2630"/>
      <c r="DG118" s="2784" t="e">
        <f t="shared" si="383"/>
        <v>#VALUE!</v>
      </c>
      <c r="DH118" s="2920" t="e">
        <f t="shared" si="350"/>
        <v>#VALUE!</v>
      </c>
      <c r="DI118" s="2920">
        <f t="shared" si="351"/>
        <v>1</v>
      </c>
      <c r="DJ118" s="2920">
        <f t="shared" si="352"/>
        <v>1</v>
      </c>
      <c r="DK118" s="2920">
        <f t="shared" si="408"/>
        <v>1</v>
      </c>
      <c r="DL118" s="2920">
        <f t="shared" si="409"/>
        <v>1</v>
      </c>
      <c r="DM118" s="2920">
        <f t="shared" si="410"/>
        <v>1</v>
      </c>
      <c r="DN118" s="2920">
        <f t="shared" si="411"/>
        <v>1</v>
      </c>
      <c r="DO118" s="2920">
        <f t="shared" si="412"/>
        <v>1</v>
      </c>
      <c r="DP118" s="2920">
        <f t="shared" si="413"/>
        <v>1</v>
      </c>
      <c r="DQ118" s="2920">
        <f t="shared" si="396"/>
        <v>1</v>
      </c>
      <c r="DR118" s="2920">
        <f t="shared" si="384"/>
        <v>1</v>
      </c>
      <c r="DS118" s="2920">
        <f t="shared" si="356"/>
        <v>1</v>
      </c>
      <c r="DT118" s="2920">
        <f t="shared" si="385"/>
        <v>1</v>
      </c>
      <c r="DU118" s="2920">
        <f t="shared" si="386"/>
        <v>1</v>
      </c>
      <c r="DV118" s="2920">
        <f t="shared" si="387"/>
        <v>1</v>
      </c>
      <c r="DW118" s="2920">
        <f t="shared" si="388"/>
        <v>1</v>
      </c>
      <c r="DX118" s="2920">
        <f t="shared" si="389"/>
        <v>1</v>
      </c>
      <c r="DY118" s="2920">
        <f t="shared" si="390"/>
        <v>1</v>
      </c>
      <c r="DZ118" s="2920">
        <f t="shared" si="414"/>
        <v>1</v>
      </c>
      <c r="EA118" s="2920">
        <f t="shared" si="415"/>
        <v>1</v>
      </c>
      <c r="EB118" s="2920">
        <f t="shared" si="416"/>
        <v>1</v>
      </c>
      <c r="EC118" s="2920">
        <f t="shared" si="417"/>
        <v>1</v>
      </c>
    </row>
    <row r="119" spans="1:133" ht="18" customHeight="1" x14ac:dyDescent="0.3">
      <c r="A119" s="599"/>
      <c r="B119" s="5158" t="s">
        <v>2681</v>
      </c>
      <c r="C119" s="5158"/>
      <c r="D119" s="5158"/>
      <c r="E119" s="5158"/>
      <c r="F119" s="5158"/>
      <c r="G119" s="5158"/>
      <c r="H119" s="5158"/>
      <c r="I119" s="5158"/>
      <c r="J119" s="5158"/>
      <c r="K119" s="5158"/>
      <c r="L119" s="5158"/>
      <c r="M119" s="5158"/>
      <c r="N119" s="5158"/>
      <c r="O119" s="5158"/>
      <c r="P119" s="5158"/>
      <c r="Q119" s="5158"/>
      <c r="R119" s="5158"/>
      <c r="S119" s="5158"/>
      <c r="T119" s="5158"/>
      <c r="U119" s="5158"/>
      <c r="V119" s="5158"/>
      <c r="W119" s="5158"/>
      <c r="X119" s="5158"/>
      <c r="Y119" s="5158"/>
      <c r="Z119" s="5158"/>
      <c r="AA119" s="5158"/>
      <c r="AB119" s="5158"/>
      <c r="AC119" s="5158"/>
      <c r="AD119" s="5158"/>
      <c r="AE119" s="5158"/>
      <c r="AF119" s="5158"/>
      <c r="AG119" s="5158"/>
      <c r="AH119" s="5158"/>
      <c r="AI119" s="5158"/>
      <c r="AJ119" s="5158"/>
      <c r="AK119" s="5158"/>
      <c r="AL119" s="5158"/>
      <c r="AM119" s="5158"/>
      <c r="AN119" s="5158"/>
      <c r="AO119" s="5158"/>
      <c r="AP119" s="5158"/>
      <c r="AQ119" s="5158"/>
      <c r="AR119" s="5158"/>
      <c r="AS119" s="600"/>
      <c r="AT119" s="600"/>
      <c r="AU119" s="600"/>
      <c r="AV119" s="600"/>
      <c r="AW119" s="600"/>
      <c r="AX119" s="600"/>
      <c r="AY119" s="1687"/>
    </row>
    <row r="120" spans="1:133" x14ac:dyDescent="0.3">
      <c r="A120" s="599"/>
      <c r="B120" s="7541" t="s">
        <v>2655</v>
      </c>
      <c r="C120" s="7542" t="s">
        <v>24</v>
      </c>
      <c r="D120" s="7523"/>
      <c r="E120" s="7524" t="s">
        <v>12</v>
      </c>
      <c r="F120" s="7525"/>
      <c r="G120" s="7525"/>
      <c r="H120" s="7525"/>
      <c r="I120" s="7525"/>
      <c r="J120" s="7525"/>
      <c r="K120" s="7525"/>
      <c r="L120" s="7525"/>
      <c r="M120" s="7525"/>
      <c r="N120" s="7525"/>
      <c r="O120" s="7525"/>
      <c r="P120" s="7525"/>
      <c r="Q120" s="7525"/>
      <c r="R120" s="7525"/>
      <c r="S120" s="7525"/>
      <c r="T120" s="7525"/>
      <c r="U120" s="7525"/>
      <c r="V120" s="7525"/>
      <c r="W120" s="7525"/>
      <c r="X120" s="7525"/>
      <c r="Y120" s="7525"/>
      <c r="Z120" s="7525"/>
      <c r="AA120" s="7525"/>
      <c r="AB120" s="7525"/>
      <c r="AC120" s="7525"/>
      <c r="AD120" s="7525"/>
      <c r="AE120" s="7525"/>
      <c r="AF120" s="7525"/>
      <c r="AG120" s="7525"/>
      <c r="AH120" s="7525"/>
      <c r="AI120" s="7525"/>
      <c r="AJ120" s="7525"/>
      <c r="AK120" s="7525"/>
      <c r="AL120" s="7525"/>
      <c r="AM120" s="7525"/>
      <c r="AN120" s="7525"/>
      <c r="AO120" s="7525"/>
      <c r="AP120" s="7525"/>
      <c r="AQ120" s="7525"/>
      <c r="AR120" s="7526"/>
      <c r="AS120" s="7527" t="s">
        <v>2656</v>
      </c>
      <c r="AT120" s="7528"/>
      <c r="AU120" s="7529" t="s">
        <v>48</v>
      </c>
      <c r="AV120" s="7530"/>
      <c r="AW120" s="7535" t="s">
        <v>2</v>
      </c>
      <c r="AX120" s="7538" t="s">
        <v>3</v>
      </c>
    </row>
    <row r="121" spans="1:133" x14ac:dyDescent="0.3">
      <c r="A121" s="599"/>
      <c r="B121" s="7108"/>
      <c r="C121" s="7151"/>
      <c r="D121" s="7150"/>
      <c r="E121" s="7533" t="s">
        <v>3778</v>
      </c>
      <c r="F121" s="7527"/>
      <c r="G121" s="7533" t="s">
        <v>3706</v>
      </c>
      <c r="H121" s="7527"/>
      <c r="I121" s="7533" t="s">
        <v>54</v>
      </c>
      <c r="J121" s="7534"/>
      <c r="K121" s="7527" t="s">
        <v>3705</v>
      </c>
      <c r="L121" s="7527"/>
      <c r="M121" s="7533" t="s">
        <v>37</v>
      </c>
      <c r="N121" s="7527"/>
      <c r="O121" s="7533" t="s">
        <v>38</v>
      </c>
      <c r="P121" s="7527"/>
      <c r="Q121" s="7533" t="s">
        <v>4</v>
      </c>
      <c r="R121" s="7527"/>
      <c r="S121" s="7533" t="s">
        <v>5</v>
      </c>
      <c r="T121" s="7527"/>
      <c r="U121" s="7533" t="s">
        <v>6</v>
      </c>
      <c r="V121" s="7534"/>
      <c r="W121" s="7533" t="s">
        <v>7</v>
      </c>
      <c r="X121" s="7534"/>
      <c r="Y121" s="7533" t="s">
        <v>8</v>
      </c>
      <c r="Z121" s="7534"/>
      <c r="AA121" s="7533" t="s">
        <v>9</v>
      </c>
      <c r="AB121" s="7534"/>
      <c r="AC121" s="7533" t="s">
        <v>10</v>
      </c>
      <c r="AD121" s="7534"/>
      <c r="AE121" s="7533" t="s">
        <v>11</v>
      </c>
      <c r="AF121" s="7534"/>
      <c r="AG121" s="7533" t="s">
        <v>18</v>
      </c>
      <c r="AH121" s="7534"/>
      <c r="AI121" s="7533" t="s">
        <v>19</v>
      </c>
      <c r="AJ121" s="7534"/>
      <c r="AK121" s="7533" t="s">
        <v>20</v>
      </c>
      <c r="AL121" s="7534"/>
      <c r="AM121" s="7533" t="s">
        <v>70</v>
      </c>
      <c r="AN121" s="7534"/>
      <c r="AO121" s="7533" t="s">
        <v>71</v>
      </c>
      <c r="AP121" s="7534"/>
      <c r="AQ121" s="7533" t="s">
        <v>32</v>
      </c>
      <c r="AR121" s="7528"/>
      <c r="AS121" s="7535" t="s">
        <v>22</v>
      </c>
      <c r="AT121" s="7539" t="s">
        <v>27</v>
      </c>
      <c r="AU121" s="7531"/>
      <c r="AV121" s="7532"/>
      <c r="AW121" s="7536"/>
      <c r="AX121" s="6324"/>
    </row>
    <row r="122" spans="1:133" x14ac:dyDescent="0.3">
      <c r="A122" s="599"/>
      <c r="B122" s="7109"/>
      <c r="C122" s="5136" t="s">
        <v>2657</v>
      </c>
      <c r="D122" s="5135" t="s">
        <v>2658</v>
      </c>
      <c r="E122" s="5133" t="s">
        <v>2657</v>
      </c>
      <c r="F122" s="5134" t="s">
        <v>2658</v>
      </c>
      <c r="G122" s="5133" t="s">
        <v>2657</v>
      </c>
      <c r="H122" s="5134" t="s">
        <v>2658</v>
      </c>
      <c r="I122" s="5133" t="s">
        <v>2657</v>
      </c>
      <c r="J122" s="5135" t="s">
        <v>2658</v>
      </c>
      <c r="K122" s="5136" t="s">
        <v>2657</v>
      </c>
      <c r="L122" s="5134" t="s">
        <v>2658</v>
      </c>
      <c r="M122" s="5133" t="s">
        <v>2657</v>
      </c>
      <c r="N122" s="5134" t="s">
        <v>2658</v>
      </c>
      <c r="O122" s="5133" t="s">
        <v>2657</v>
      </c>
      <c r="P122" s="5134" t="s">
        <v>2658</v>
      </c>
      <c r="Q122" s="5133" t="s">
        <v>2657</v>
      </c>
      <c r="R122" s="5134" t="s">
        <v>2658</v>
      </c>
      <c r="S122" s="5133" t="s">
        <v>2657</v>
      </c>
      <c r="T122" s="5134" t="s">
        <v>2658</v>
      </c>
      <c r="U122" s="5133" t="s">
        <v>2657</v>
      </c>
      <c r="V122" s="5134" t="s">
        <v>2658</v>
      </c>
      <c r="W122" s="5133" t="s">
        <v>2657</v>
      </c>
      <c r="X122" s="5134" t="s">
        <v>2658</v>
      </c>
      <c r="Y122" s="5133" t="s">
        <v>2657</v>
      </c>
      <c r="Z122" s="5134" t="s">
        <v>2658</v>
      </c>
      <c r="AA122" s="5133" t="s">
        <v>2657</v>
      </c>
      <c r="AB122" s="5134" t="s">
        <v>2658</v>
      </c>
      <c r="AC122" s="5133" t="s">
        <v>2657</v>
      </c>
      <c r="AD122" s="5134" t="s">
        <v>2658</v>
      </c>
      <c r="AE122" s="5133" t="s">
        <v>2657</v>
      </c>
      <c r="AF122" s="5134" t="s">
        <v>2658</v>
      </c>
      <c r="AG122" s="5133" t="s">
        <v>2657</v>
      </c>
      <c r="AH122" s="5134" t="s">
        <v>2658</v>
      </c>
      <c r="AI122" s="5133" t="s">
        <v>2657</v>
      </c>
      <c r="AJ122" s="5134" t="s">
        <v>2658</v>
      </c>
      <c r="AK122" s="5133" t="s">
        <v>2657</v>
      </c>
      <c r="AL122" s="5134" t="s">
        <v>2658</v>
      </c>
      <c r="AM122" s="5133" t="s">
        <v>2657</v>
      </c>
      <c r="AN122" s="5134" t="s">
        <v>2658</v>
      </c>
      <c r="AO122" s="5133" t="s">
        <v>2657</v>
      </c>
      <c r="AP122" s="5134" t="s">
        <v>2658</v>
      </c>
      <c r="AQ122" s="5133" t="s">
        <v>2657</v>
      </c>
      <c r="AR122" s="5137" t="s">
        <v>2658</v>
      </c>
      <c r="AS122" s="7537"/>
      <c r="AT122" s="7540"/>
      <c r="AU122" s="4800" t="s">
        <v>41</v>
      </c>
      <c r="AV122" s="5138" t="s">
        <v>42</v>
      </c>
      <c r="AW122" s="7537"/>
      <c r="AX122" s="7146"/>
    </row>
    <row r="123" spans="1:133" x14ac:dyDescent="0.3">
      <c r="A123" s="6234">
        <v>11056454</v>
      </c>
      <c r="B123" s="5159" t="s">
        <v>2659</v>
      </c>
      <c r="C123" s="5140" t="s">
        <v>5292</v>
      </c>
      <c r="D123" s="5141" t="s">
        <v>5293</v>
      </c>
      <c r="E123" s="3475" t="s">
        <v>5294</v>
      </c>
      <c r="F123" s="5149" t="s">
        <v>5295</v>
      </c>
      <c r="G123" s="5148" t="s">
        <v>5296</v>
      </c>
      <c r="H123" s="5149" t="s">
        <v>5297</v>
      </c>
      <c r="I123" s="5148" t="s">
        <v>5298</v>
      </c>
      <c r="J123" s="5149" t="s">
        <v>5299</v>
      </c>
      <c r="K123" s="5148" t="s">
        <v>5300</v>
      </c>
      <c r="L123" s="5149" t="s">
        <v>5301</v>
      </c>
      <c r="M123" s="5148" t="s">
        <v>5302</v>
      </c>
      <c r="N123" s="5150" t="s">
        <v>5303</v>
      </c>
      <c r="O123" s="3479" t="s">
        <v>5304</v>
      </c>
      <c r="P123" s="5151" t="s">
        <v>5305</v>
      </c>
      <c r="Q123" s="5038" t="s">
        <v>5306</v>
      </c>
      <c r="R123" s="5151" t="s">
        <v>5307</v>
      </c>
      <c r="S123" s="5038" t="s">
        <v>5308</v>
      </c>
      <c r="T123" s="5151" t="s">
        <v>5309</v>
      </c>
      <c r="U123" s="5038" t="s">
        <v>5310</v>
      </c>
      <c r="V123" s="5151" t="s">
        <v>5311</v>
      </c>
      <c r="W123" s="5038" t="s">
        <v>5312</v>
      </c>
      <c r="X123" s="5151" t="s">
        <v>5313</v>
      </c>
      <c r="Y123" s="5038" t="s">
        <v>5314</v>
      </c>
      <c r="Z123" s="5151" t="s">
        <v>5315</v>
      </c>
      <c r="AA123" s="5038" t="s">
        <v>5316</v>
      </c>
      <c r="AB123" s="5151" t="s">
        <v>5317</v>
      </c>
      <c r="AC123" s="5038" t="s">
        <v>5318</v>
      </c>
      <c r="AD123" s="5151" t="s">
        <v>5319</v>
      </c>
      <c r="AE123" s="5038" t="s">
        <v>5320</v>
      </c>
      <c r="AF123" s="5151" t="s">
        <v>5321</v>
      </c>
      <c r="AG123" s="5038" t="s">
        <v>5322</v>
      </c>
      <c r="AH123" s="5151" t="s">
        <v>5323</v>
      </c>
      <c r="AI123" s="5038" t="s">
        <v>5324</v>
      </c>
      <c r="AJ123" s="5151" t="s">
        <v>5325</v>
      </c>
      <c r="AK123" s="5038" t="s">
        <v>5326</v>
      </c>
      <c r="AL123" s="5151" t="s">
        <v>5327</v>
      </c>
      <c r="AM123" s="5038" t="s">
        <v>5328</v>
      </c>
      <c r="AN123" s="5151" t="s">
        <v>5329</v>
      </c>
      <c r="AO123" s="5038" t="s">
        <v>5330</v>
      </c>
      <c r="AP123" s="5151" t="s">
        <v>5331</v>
      </c>
      <c r="AQ123" s="5038" t="s">
        <v>5332</v>
      </c>
      <c r="AR123" s="5145" t="s">
        <v>5333</v>
      </c>
      <c r="AS123" s="3483" t="s">
        <v>5334</v>
      </c>
      <c r="AT123" s="5145" t="s">
        <v>5335</v>
      </c>
      <c r="AU123" s="5146" t="s">
        <v>5336</v>
      </c>
      <c r="AV123" s="5145" t="s">
        <v>5337</v>
      </c>
      <c r="AW123" s="3479" t="s">
        <v>5338</v>
      </c>
      <c r="AX123" s="5147" t="s">
        <v>5339</v>
      </c>
      <c r="AY123" s="1687" t="e">
        <f>CB123&amp;CC123&amp;CD123&amp;CE123&amp;CF123&amp;CL123&amp;CM123&amp;CN123&amp;CO123&amp;CP123&amp;CQ123&amp;CR123&amp;CS123&amp;CT123&amp;CU123&amp;CV123&amp;CW123&amp;CX123&amp;CY123</f>
        <v>#VALUE!</v>
      </c>
      <c r="CB123" s="600"/>
      <c r="CC123" s="4747" t="str">
        <f>IF(C123&lt;&gt;(AT123)," * La suma de las columnas "&amp;AS$10&amp;""&amp;" DEBE SER IGUAL a los Exámenes Procesados. ","")</f>
        <v xml:space="preserve"> * La suma de las columnas POR SEXO (Procesados) DEBE SER IGUAL a los Exámenes Procesados. </v>
      </c>
      <c r="CD123" s="2784" t="e">
        <f>IF(AND($C123&gt;0,AND(AU123="",AV123="")),"* No olvide ingresar las columnas Trans Masculino o Femenino (*Digite CERO si no tiene). ",IF((AU123+AV123)&gt;$C123,"* El Número de Trans Masculino o Femenino no puede superar el Total Procesados. ",""))</f>
        <v>#VALUE!</v>
      </c>
      <c r="CE123" s="2784" t="str">
        <f>IF(AND($C123&gt;0,AW123=""),"* No olvide ingresar la columna "&amp;AW$10&amp;""&amp;" *(Digite CERO si no tiene). ",IF(AW123&gt;$C123," *El Número de "&amp;AW$10&amp;""&amp;" no puede superar el Total Procesados. ",""))</f>
        <v xml:space="preserve"> *El Número de Pueblos Originarios no puede superar el Total Procesados. </v>
      </c>
      <c r="CF123" s="2784" t="str">
        <f>IF(AND($C123&gt;0,AX123=""),"* No olvide ingresar la columna "&amp;AX$10&amp;""&amp;" *(Digite CERO si no tiene). ",IF(AX123&gt;$C123," *El Número de "&amp;AX$10&amp;""&amp;" no puede superar el Total Procesados. ",""))</f>
        <v xml:space="preserve"> *El Número de Migrantes no puede superar el Total Procesados. </v>
      </c>
      <c r="CG123" s="3018"/>
      <c r="CH123" s="3018"/>
      <c r="CI123" s="3018"/>
      <c r="CJ123" s="3018"/>
      <c r="CK123" s="3018"/>
      <c r="CL123" s="2784" t="str">
        <f>IF(O123&lt;P123,CONCATENATE("* El total de Procesados debe ser mayor o igual al total de Reactivos en el grupo de edad ",$O$11),"")</f>
        <v>* El total de Procesados debe ser mayor o igual al total de Reactivos en el grupo de edad 10 - 14 años</v>
      </c>
      <c r="CM123" s="2784" t="str">
        <f>IF(Q123&lt;R123,CONCATENATE("* El total de Procesados debe ser mayor o igual al total de Reactivos en el grupo de edad ",$Q$11),"")</f>
        <v>* El total de Procesados debe ser mayor o igual al total de Reactivos en el grupo de edad 15 - 19 años</v>
      </c>
      <c r="CN123" s="2784" t="str">
        <f>IF(S123&lt;T123,CONCATENATE("* El total de Procesados debe ser mayor o igual al total de Reactivos en el grupo de edad ",$S$11),"")</f>
        <v>* El total de Procesados debe ser mayor o igual al total de Reactivos en el grupo de edad 20 - 24 años</v>
      </c>
      <c r="CO123" s="2784" t="str">
        <f>IF($U123&lt;$V123,CONCATENATE("* El total de Procesados debe ser mayor o igual al total de Reactivos en el grupo de edad ",$U$11),"")</f>
        <v>* El total de Procesados debe ser mayor o igual al total de Reactivos en el grupo de edad 25 - 29 años</v>
      </c>
      <c r="CP123" s="2784" t="str">
        <f>IF(W123&lt;X123,CONCATENATE("* El total de Procesados debe ser mayor o igual al total de Reactivos en el grupo de edad ",$W$11),"")</f>
        <v>* El total de Procesados debe ser mayor o igual al total de Reactivos en el grupo de edad 30 - 34 años</v>
      </c>
      <c r="CQ123" s="2784" t="str">
        <f>IF(Y123&lt;Z123,CONCATENATE("* El total de Procesados debe ser mayor o igual al total de Reactivos en el grupo de edad ",$Y$11),"")</f>
        <v>* El total de Procesados debe ser mayor o igual al total de Reactivos en el grupo de edad 35 - 39 años</v>
      </c>
      <c r="CR123" s="2784" t="str">
        <f>IF(AA123&lt;AB123,CONCATENATE("* El total de Procesados debe ser mayor o igual al total de Reactivos en el grupo de edad ",$AA$11),"")</f>
        <v>* El total de Procesados debe ser mayor o igual al total de Reactivos en el grupo de edad 40 - 44 años</v>
      </c>
      <c r="CS123" s="2784" t="str">
        <f>IF(AE123&lt;AF123,CONCATENATE("* El total de Procesados debe ser mayor o igual al total de Reactivos en el grupo de edad ",$AE$11),"")</f>
        <v>* El total de Procesados debe ser mayor o igual al total de Reactivos en el grupo de edad 50 - 54 años</v>
      </c>
      <c r="CT123" s="2784" t="str">
        <f>IF(AG123&lt;AH123,CONCATENATE("* El total de Procesados debe ser mayor o igual al total de Reactivos en el grupo de edad ",$AG$11),"")</f>
        <v>* El total de Procesados debe ser mayor o igual al total de Reactivos en el grupo de edad 55 - 59 años</v>
      </c>
      <c r="CU123" s="2784" t="str">
        <f>IF(AI123&lt;AJ123,CONCATENATE("* El total de Procesados debe ser mayor o igual al total de Reactivos en el grupo de edad ",$AI$11),"")</f>
        <v>* El total de Procesados debe ser mayor o igual al total de Reactivos en el grupo de edad 60 - 64 años</v>
      </c>
      <c r="CV123" s="2784" t="str">
        <f>IF(AK123&lt;AL123,CONCATENATE("* El total de Procesados debe ser mayor o igual al total de Reactivos en el grupo de edad ",$AK$11),"")</f>
        <v>* El total de Procesados debe ser mayor o igual al total de Reactivos en el grupo de edad 65 - 69 años</v>
      </c>
      <c r="CW123" s="2784" t="str">
        <f>IF(AM123&lt;AN123,CONCATENATE("* El total de Procesados debe ser mayor o igual al total de Reactivos en el grupo de edad ",$AM$11),"")</f>
        <v>* El total de Procesados debe ser mayor o igual al total de Reactivos en el grupo de edad 70 - 74 años</v>
      </c>
      <c r="CX123" s="2784" t="str">
        <f>IF(AO123&lt;AP123,CONCATENATE("* El total de Procesados debe ser mayor o igual al total de Reactivos en el grupo de edad ",$AO$11),"")</f>
        <v>* El total de Procesados debe ser mayor o igual al total de Reactivos en el grupo de edad 75 - 79 años</v>
      </c>
      <c r="CY123" s="2784" t="str">
        <f>IF(AQ123&lt;AR123,CONCATENATE("* El total de Procesados debe ser mayor o igual al total de Reactivos en el grupo de edad ",$AQ$11),"")</f>
        <v>* El total de Procesados debe ser mayor o igual al total de Reactivos en el grupo de edad 80 y más años</v>
      </c>
      <c r="DF123" s="2630"/>
      <c r="DG123" s="4747">
        <f>IF(C123&lt;&gt;(AT123),1,0)</f>
        <v>1</v>
      </c>
      <c r="DH123" s="2920" t="e">
        <f>IF(AND($C123&gt;0,AND(AU123="",AV123="")),1,IF((AU123+AV123)&gt;$C123,1,0))</f>
        <v>#VALUE!</v>
      </c>
      <c r="DI123" s="2920">
        <f>IF(AND($C123&gt;0,AW123=""),1,IF(AW123&gt;$C123,1,0))</f>
        <v>1</v>
      </c>
      <c r="DJ123" s="2920">
        <f>IF(AND($C123&gt;0,AX123=""),1,IF(AX123&gt;$C123,1,0))</f>
        <v>1</v>
      </c>
      <c r="DK123" s="3018"/>
      <c r="DL123" s="3018"/>
      <c r="DM123" s="3018"/>
      <c r="DN123" s="3018"/>
      <c r="DO123" s="3018"/>
      <c r="DP123" s="2920">
        <f>IF(O123&lt;P123,1,0)</f>
        <v>1</v>
      </c>
      <c r="DQ123" s="2920">
        <f>IF(Q123&lt;R123,1,0)</f>
        <v>1</v>
      </c>
      <c r="DR123" s="2920">
        <f>IF(S123&lt;T123,1,0)</f>
        <v>1</v>
      </c>
      <c r="DS123" s="2920">
        <f>IF($U123&lt;$V123,1,0)</f>
        <v>1</v>
      </c>
      <c r="DT123" s="2920">
        <f>IF(W123&lt;X123,1,0)</f>
        <v>1</v>
      </c>
      <c r="DU123" s="2920">
        <f>IF(Y123&lt;Z123,1,0)</f>
        <v>1</v>
      </c>
      <c r="DV123" s="2920">
        <f>IF(AA123&lt;AB123,1,0)</f>
        <v>1</v>
      </c>
      <c r="DW123" s="2920">
        <f>IF(AE123&lt;AF123,1,0)</f>
        <v>1</v>
      </c>
      <c r="DX123" s="2920">
        <f>IF(AG123&lt;AH123,1,0)</f>
        <v>1</v>
      </c>
      <c r="DY123" s="2920">
        <f>IF(AI123&lt;AJ123,1,0)</f>
        <v>1</v>
      </c>
      <c r="DZ123" s="2920">
        <f>IF(AK123&lt;AL123,1,0)</f>
        <v>1</v>
      </c>
      <c r="EA123" s="2920">
        <f>IF(AM123&lt;AN123,1,0)</f>
        <v>1</v>
      </c>
      <c r="EB123" s="2920">
        <f>IF(AO123&lt;AP123,1,0)</f>
        <v>1</v>
      </c>
      <c r="EC123" s="2920">
        <f>IF(AQ123&lt;AR123,1,0)</f>
        <v>1</v>
      </c>
    </row>
    <row r="124" spans="1:133" x14ac:dyDescent="0.3">
      <c r="A124" s="6234">
        <v>11056455</v>
      </c>
      <c r="B124" s="3184" t="s">
        <v>2660</v>
      </c>
      <c r="C124" s="1928" t="s">
        <v>5292</v>
      </c>
      <c r="D124" s="3242" t="s">
        <v>5293</v>
      </c>
      <c r="E124" s="3475" t="s">
        <v>5294</v>
      </c>
      <c r="F124" s="5149" t="s">
        <v>5295</v>
      </c>
      <c r="G124" s="5148" t="s">
        <v>5296</v>
      </c>
      <c r="H124" s="5149" t="s">
        <v>5297</v>
      </c>
      <c r="I124" s="5148" t="s">
        <v>5298</v>
      </c>
      <c r="J124" s="5149" t="s">
        <v>5299</v>
      </c>
      <c r="K124" s="5148" t="s">
        <v>5300</v>
      </c>
      <c r="L124" s="5149" t="s">
        <v>5301</v>
      </c>
      <c r="M124" s="5148" t="s">
        <v>5302</v>
      </c>
      <c r="N124" s="5150" t="s">
        <v>5303</v>
      </c>
      <c r="O124" s="3479" t="s">
        <v>5304</v>
      </c>
      <c r="P124" s="5151" t="s">
        <v>5305</v>
      </c>
      <c r="Q124" s="5038" t="s">
        <v>5306</v>
      </c>
      <c r="R124" s="5151" t="s">
        <v>5307</v>
      </c>
      <c r="S124" s="5038" t="s">
        <v>5308</v>
      </c>
      <c r="T124" s="5151" t="s">
        <v>5309</v>
      </c>
      <c r="U124" s="5038" t="s">
        <v>5310</v>
      </c>
      <c r="V124" s="5151" t="s">
        <v>5311</v>
      </c>
      <c r="W124" s="5038" t="s">
        <v>5312</v>
      </c>
      <c r="X124" s="5151" t="s">
        <v>5313</v>
      </c>
      <c r="Y124" s="5038" t="s">
        <v>5314</v>
      </c>
      <c r="Z124" s="5151" t="s">
        <v>5315</v>
      </c>
      <c r="AA124" s="5038" t="s">
        <v>5316</v>
      </c>
      <c r="AB124" s="5151" t="s">
        <v>5317</v>
      </c>
      <c r="AC124" s="5038" t="s">
        <v>5318</v>
      </c>
      <c r="AD124" s="5151" t="s">
        <v>5319</v>
      </c>
      <c r="AE124" s="5038" t="s">
        <v>5320</v>
      </c>
      <c r="AF124" s="5151" t="s">
        <v>5321</v>
      </c>
      <c r="AG124" s="5038" t="s">
        <v>5322</v>
      </c>
      <c r="AH124" s="5151" t="s">
        <v>5323</v>
      </c>
      <c r="AI124" s="5038" t="s">
        <v>5324</v>
      </c>
      <c r="AJ124" s="5151" t="s">
        <v>5325</v>
      </c>
      <c r="AK124" s="5038" t="s">
        <v>5326</v>
      </c>
      <c r="AL124" s="5151" t="s">
        <v>5327</v>
      </c>
      <c r="AM124" s="5038" t="s">
        <v>5328</v>
      </c>
      <c r="AN124" s="5151" t="s">
        <v>5329</v>
      </c>
      <c r="AO124" s="5038" t="s">
        <v>5330</v>
      </c>
      <c r="AP124" s="5151" t="s">
        <v>5331</v>
      </c>
      <c r="AQ124" s="5038" t="s">
        <v>5332</v>
      </c>
      <c r="AR124" s="5145" t="s">
        <v>5333</v>
      </c>
      <c r="AS124" s="3483" t="s">
        <v>5334</v>
      </c>
      <c r="AT124" s="5145" t="s">
        <v>5335</v>
      </c>
      <c r="AU124" s="5146" t="s">
        <v>5336</v>
      </c>
      <c r="AV124" s="5145" t="s">
        <v>5337</v>
      </c>
      <c r="AW124" s="3479" t="s">
        <v>5338</v>
      </c>
      <c r="AX124" s="5147" t="s">
        <v>5339</v>
      </c>
      <c r="AY124" s="1687" t="e">
        <f t="shared" ref="AY124:AY130" si="419">CB124&amp;CC124&amp;CD124&amp;CE124&amp;CF124&amp;CL124&amp;CM124&amp;CN124&amp;CO124&amp;CP124&amp;CQ124&amp;CR124&amp;CS124&amp;CT124&amp;CU124&amp;CV124&amp;CW124&amp;CX124&amp;CY124</f>
        <v>#VALUE!</v>
      </c>
      <c r="CB124" s="600"/>
      <c r="CC124" s="4747" t="str">
        <f t="shared" ref="CC124:CC127" si="420">IF(C124&lt;&gt;(AT124)," * La suma de las columnas "&amp;AS$10&amp;""&amp;" DEBE SER IGUAL a los Exámenes Procesados. ","")</f>
        <v xml:space="preserve"> * La suma de las columnas POR SEXO (Procesados) DEBE SER IGUAL a los Exámenes Procesados. </v>
      </c>
      <c r="CD124" s="2784" t="e">
        <f t="shared" ref="CD124:CD140" si="421">IF(AND($C124&gt;0,AND(AU124="",AV124="")),"* No olvide ingresar las columnas Trans Masculino o Femenino (*Digite CERO si no tiene). ",IF((AU124+AV124)&gt;$C124,"* El Número de Trans Masculino o Femenino no puede superar el Total Procesados. ",""))</f>
        <v>#VALUE!</v>
      </c>
      <c r="CE124" s="2784" t="str">
        <f t="shared" ref="CE124:CE140" si="422">IF(AND($C124&gt;0,AW124=""),"* No olvide ingresar la columna "&amp;AW$10&amp;""&amp;" *(Digite CERO si no tiene). ",IF(AW124&gt;$C124," *El Número de "&amp;AW$10&amp;""&amp;" no puede superar el Total Procesados. ",""))</f>
        <v xml:space="preserve"> *El Número de Pueblos Originarios no puede superar el Total Procesados. </v>
      </c>
      <c r="CF124" s="2784" t="str">
        <f t="shared" ref="CF124:CF140" si="423">IF(AND($C124&gt;0,AX124=""),"* No olvide ingresar la columna "&amp;AX$10&amp;""&amp;" *(Digite CERO si no tiene). ",IF(AX124&gt;$C124," *El Número de "&amp;AX$10&amp;""&amp;" no puede superar el Total Procesados. ",""))</f>
        <v xml:space="preserve"> *El Número de Migrantes no puede superar el Total Procesados. </v>
      </c>
      <c r="CG124" s="3018"/>
      <c r="CH124" s="3018"/>
      <c r="CI124" s="3018"/>
      <c r="CJ124" s="3018"/>
      <c r="CK124" s="3018"/>
      <c r="CL124" s="2784" t="str">
        <f t="shared" ref="CL124:CL127" si="424">IF(O124&lt;P124,CONCATENATE("* El total de Procesados debe ser mayor o igual al total de Reactivos en el grupo de edad ",$O$11),"")</f>
        <v>* El total de Procesados debe ser mayor o igual al total de Reactivos en el grupo de edad 10 - 14 años</v>
      </c>
      <c r="CM124" s="2784" t="str">
        <f t="shared" ref="CM124:CM129" si="425">IF(Q124&lt;R124,CONCATENATE("* El total de Procesados debe ser mayor o igual al total de Reactivos en el grupo de edad ",$Q$11),"")</f>
        <v>* El total de Procesados debe ser mayor o igual al total de Reactivos en el grupo de edad 15 - 19 años</v>
      </c>
      <c r="CN124" s="2784" t="str">
        <f t="shared" ref="CN124:CN131" si="426">IF(S124&lt;T124,CONCATENATE("* El total de Procesados debe ser mayor o igual al total de Reactivos en el grupo de edad ",$S$11),"")</f>
        <v>* El total de Procesados debe ser mayor o igual al total de Reactivos en el grupo de edad 20 - 24 años</v>
      </c>
      <c r="CO124" s="2784" t="str">
        <f t="shared" ref="CO124:CO140" si="427">IF($U124&lt;$V124,CONCATENATE("* El total de Procesados debe ser mayor o igual al total de Reactivos en el grupo de edad ",$U$11),"")</f>
        <v>* El total de Procesados debe ser mayor o igual al total de Reactivos en el grupo de edad 25 - 29 años</v>
      </c>
      <c r="CP124" s="2784" t="str">
        <f t="shared" ref="CP124:CP131" si="428">IF(W124&lt;X124,CONCATENATE("* El total de Procesados debe ser mayor o igual al total de Reactivos en el grupo de edad ",$W$11),"")</f>
        <v>* El total de Procesados debe ser mayor o igual al total de Reactivos en el grupo de edad 30 - 34 años</v>
      </c>
      <c r="CQ124" s="2784" t="str">
        <f t="shared" ref="CQ124:CQ131" si="429">IF(Y124&lt;Z124,CONCATENATE("* El total de Procesados debe ser mayor o igual al total de Reactivos en el grupo de edad ",$Y$11),"")</f>
        <v>* El total de Procesados debe ser mayor o igual al total de Reactivos en el grupo de edad 35 - 39 años</v>
      </c>
      <c r="CR124" s="2784" t="str">
        <f t="shared" ref="CR124:CR131" si="430">IF(AA124&lt;AB124,CONCATENATE("* El total de Procesados debe ser mayor o igual al total de Reactivos en el grupo de edad ",$AA$11),"")</f>
        <v>* El total de Procesados debe ser mayor o igual al total de Reactivos en el grupo de edad 40 - 44 años</v>
      </c>
      <c r="CS124" s="2784" t="str">
        <f t="shared" ref="CS124:CS131" si="431">IF(AE124&lt;AF124,CONCATENATE("* El total de Procesados debe ser mayor o igual al total de Reactivos en el grupo de edad ",$AE$11),"")</f>
        <v>* El total de Procesados debe ser mayor o igual al total de Reactivos en el grupo de edad 50 - 54 años</v>
      </c>
      <c r="CT124" s="2784" t="str">
        <f t="shared" ref="CT124:CT131" si="432">IF(AG124&lt;AH124,CONCATENATE("* El total de Procesados debe ser mayor o igual al total de Reactivos en el grupo de edad ",$AG$11),"")</f>
        <v>* El total de Procesados debe ser mayor o igual al total de Reactivos en el grupo de edad 55 - 59 años</v>
      </c>
      <c r="CU124" s="2784" t="str">
        <f t="shared" ref="CU124:CU131" si="433">IF(AI124&lt;AJ124,CONCATENATE("* El total de Procesados debe ser mayor o igual al total de Reactivos en el grupo de edad ",$AI$11),"")</f>
        <v>* El total de Procesados debe ser mayor o igual al total de Reactivos en el grupo de edad 60 - 64 años</v>
      </c>
      <c r="CV124" s="2784" t="str">
        <f t="shared" ref="CV124:CV131" si="434">IF(AK124&lt;AL124,CONCATENATE("* El total de Procesados debe ser mayor o igual al total de Reactivos en el grupo de edad ",$AK$11),"")</f>
        <v>* El total de Procesados debe ser mayor o igual al total de Reactivos en el grupo de edad 65 - 69 años</v>
      </c>
      <c r="CW124" s="2784" t="str">
        <f t="shared" ref="CW124:CW131" si="435">IF(AM124&lt;AN124,CONCATENATE("* El total de Procesados debe ser mayor o igual al total de Reactivos en el grupo de edad ",$AM$11),"")</f>
        <v>* El total de Procesados debe ser mayor o igual al total de Reactivos en el grupo de edad 70 - 74 años</v>
      </c>
      <c r="CX124" s="2784" t="str">
        <f t="shared" ref="CX124:CX131" si="436">IF(AO124&lt;AP124,CONCATENATE("* El total de Procesados debe ser mayor o igual al total de Reactivos en el grupo de edad ",$AO$11),"")</f>
        <v>* El total de Procesados debe ser mayor o igual al total de Reactivos en el grupo de edad 75 - 79 años</v>
      </c>
      <c r="CY124" s="2784" t="str">
        <f t="shared" ref="CY124:CY131" si="437">IF(AQ124&lt;AR124,CONCATENATE("* El total de Procesados debe ser mayor o igual al total de Reactivos en el grupo de edad ",$AQ$11),"")</f>
        <v>* El total de Procesados debe ser mayor o igual al total de Reactivos en el grupo de edad 80 y más años</v>
      </c>
      <c r="DF124" s="2630"/>
      <c r="DG124" s="4747">
        <f t="shared" ref="DG124:DG127" si="438">IF(C124&lt;&gt;(AT124),1,0)</f>
        <v>1</v>
      </c>
      <c r="DH124" s="2920" t="e">
        <f t="shared" ref="DH124:DH140" si="439">IF(AND($C124&gt;0,AND(AU124="",AV124="")),1,IF((AU124+AV124)&gt;$C124,1,0))</f>
        <v>#VALUE!</v>
      </c>
      <c r="DI124" s="2920">
        <f t="shared" ref="DI124:DI140" si="440">IF(AND($C124&gt;0,AW124=""),1,IF(AW124&gt;$C124,1,0))</f>
        <v>1</v>
      </c>
      <c r="DJ124" s="2920">
        <f t="shared" ref="DJ124:DJ140" si="441">IF(AND($C124&gt;0,AX124=""),1,IF(AX124&gt;$C124,1,0))</f>
        <v>1</v>
      </c>
      <c r="DK124" s="3018"/>
      <c r="DL124" s="3018"/>
      <c r="DM124" s="3018"/>
      <c r="DN124" s="3018"/>
      <c r="DO124" s="3018"/>
      <c r="DP124" s="2920">
        <f t="shared" ref="DP124:DP131" si="442">IF(O124&lt;P124,1,0)</f>
        <v>1</v>
      </c>
      <c r="DQ124" s="2920">
        <f t="shared" ref="DQ124:DQ131" si="443">IF(Q124&lt;R124,1,0)</f>
        <v>1</v>
      </c>
      <c r="DR124" s="2920">
        <f t="shared" ref="DR124:DR131" si="444">IF(S124&lt;T124,1,0)</f>
        <v>1</v>
      </c>
      <c r="DS124" s="2920">
        <f t="shared" ref="DS124:DS140" si="445">IF($U124&lt;$V124,1,0)</f>
        <v>1</v>
      </c>
      <c r="DT124" s="2920">
        <f t="shared" ref="DT124:DT131" si="446">IF(W124&lt;X124,1,0)</f>
        <v>1</v>
      </c>
      <c r="DU124" s="2920">
        <f t="shared" ref="DU124:DU131" si="447">IF(Y124&lt;Z124,1,0)</f>
        <v>1</v>
      </c>
      <c r="DV124" s="2920">
        <f t="shared" ref="DV124:DV131" si="448">IF(AA124&lt;AB124,1,0)</f>
        <v>1</v>
      </c>
      <c r="DW124" s="2920">
        <f t="shared" ref="DW124:DW131" si="449">IF(AE124&lt;AF124,1,0)</f>
        <v>1</v>
      </c>
      <c r="DX124" s="2920">
        <f t="shared" ref="DX124:DX131" si="450">IF(AG124&lt;AH124,1,0)</f>
        <v>1</v>
      </c>
      <c r="DY124" s="2920">
        <f t="shared" ref="DY124:DY131" si="451">IF(AI124&lt;AJ124,1,0)</f>
        <v>1</v>
      </c>
      <c r="DZ124" s="2920">
        <f t="shared" ref="DZ124:DZ131" si="452">IF(AK124&lt;AL124,1,0)</f>
        <v>1</v>
      </c>
      <c r="EA124" s="2920">
        <f t="shared" ref="EA124:EA131" si="453">IF(AM124&lt;AN124,1,0)</f>
        <v>1</v>
      </c>
      <c r="EB124" s="2920">
        <f t="shared" ref="EB124:EB131" si="454">IF(AO124&lt;AP124,1,0)</f>
        <v>1</v>
      </c>
      <c r="EC124" s="2920">
        <f t="shared" ref="EC124:EC131" si="455">IF(AQ124&lt;AR124,1,0)</f>
        <v>1</v>
      </c>
    </row>
    <row r="125" spans="1:133" x14ac:dyDescent="0.3">
      <c r="A125" s="6234">
        <v>11056456</v>
      </c>
      <c r="B125" s="3184" t="s">
        <v>2661</v>
      </c>
      <c r="C125" s="1928" t="s">
        <v>5292</v>
      </c>
      <c r="D125" s="3242" t="s">
        <v>5293</v>
      </c>
      <c r="E125" s="3475" t="s">
        <v>5294</v>
      </c>
      <c r="F125" s="5149" t="s">
        <v>5295</v>
      </c>
      <c r="G125" s="5148" t="s">
        <v>5296</v>
      </c>
      <c r="H125" s="5149" t="s">
        <v>5297</v>
      </c>
      <c r="I125" s="5148" t="s">
        <v>5298</v>
      </c>
      <c r="J125" s="5149" t="s">
        <v>5299</v>
      </c>
      <c r="K125" s="5148" t="s">
        <v>5300</v>
      </c>
      <c r="L125" s="5149" t="s">
        <v>5301</v>
      </c>
      <c r="M125" s="5148" t="s">
        <v>5302</v>
      </c>
      <c r="N125" s="5150" t="s">
        <v>5303</v>
      </c>
      <c r="O125" s="3479" t="s">
        <v>5304</v>
      </c>
      <c r="P125" s="5151" t="s">
        <v>5305</v>
      </c>
      <c r="Q125" s="5038" t="s">
        <v>5306</v>
      </c>
      <c r="R125" s="5151" t="s">
        <v>5307</v>
      </c>
      <c r="S125" s="5038" t="s">
        <v>5308</v>
      </c>
      <c r="T125" s="5151" t="s">
        <v>5309</v>
      </c>
      <c r="U125" s="5038" t="s">
        <v>5310</v>
      </c>
      <c r="V125" s="5151" t="s">
        <v>5311</v>
      </c>
      <c r="W125" s="5038" t="s">
        <v>5312</v>
      </c>
      <c r="X125" s="5151" t="s">
        <v>5313</v>
      </c>
      <c r="Y125" s="5038" t="s">
        <v>5314</v>
      </c>
      <c r="Z125" s="5151" t="s">
        <v>5315</v>
      </c>
      <c r="AA125" s="5038" t="s">
        <v>5316</v>
      </c>
      <c r="AB125" s="5151" t="s">
        <v>5317</v>
      </c>
      <c r="AC125" s="5038" t="s">
        <v>5318</v>
      </c>
      <c r="AD125" s="5151" t="s">
        <v>5319</v>
      </c>
      <c r="AE125" s="5038" t="s">
        <v>5320</v>
      </c>
      <c r="AF125" s="5151" t="s">
        <v>5321</v>
      </c>
      <c r="AG125" s="5038" t="s">
        <v>5322</v>
      </c>
      <c r="AH125" s="5151" t="s">
        <v>5323</v>
      </c>
      <c r="AI125" s="5038" t="s">
        <v>5324</v>
      </c>
      <c r="AJ125" s="5151" t="s">
        <v>5325</v>
      </c>
      <c r="AK125" s="5038" t="s">
        <v>5326</v>
      </c>
      <c r="AL125" s="5151" t="s">
        <v>5327</v>
      </c>
      <c r="AM125" s="5038" t="s">
        <v>5328</v>
      </c>
      <c r="AN125" s="5151" t="s">
        <v>5329</v>
      </c>
      <c r="AO125" s="5038" t="s">
        <v>5330</v>
      </c>
      <c r="AP125" s="5151" t="s">
        <v>5331</v>
      </c>
      <c r="AQ125" s="5038" t="s">
        <v>5332</v>
      </c>
      <c r="AR125" s="5145" t="s">
        <v>5333</v>
      </c>
      <c r="AS125" s="3483" t="s">
        <v>5334</v>
      </c>
      <c r="AT125" s="5145" t="s">
        <v>5335</v>
      </c>
      <c r="AU125" s="5146" t="s">
        <v>5336</v>
      </c>
      <c r="AV125" s="5145" t="s">
        <v>5337</v>
      </c>
      <c r="AW125" s="3479" t="s">
        <v>5338</v>
      </c>
      <c r="AX125" s="5147" t="s">
        <v>5339</v>
      </c>
      <c r="AY125" s="1687" t="e">
        <f t="shared" si="419"/>
        <v>#VALUE!</v>
      </c>
      <c r="CB125" s="600"/>
      <c r="CC125" s="4747" t="str">
        <f t="shared" si="420"/>
        <v xml:space="preserve"> * La suma de las columnas POR SEXO (Procesados) DEBE SER IGUAL a los Exámenes Procesados. </v>
      </c>
      <c r="CD125" s="2784" t="e">
        <f t="shared" si="421"/>
        <v>#VALUE!</v>
      </c>
      <c r="CE125" s="2784" t="str">
        <f t="shared" si="422"/>
        <v xml:space="preserve"> *El Número de Pueblos Originarios no puede superar el Total Procesados. </v>
      </c>
      <c r="CF125" s="2784" t="str">
        <f t="shared" si="423"/>
        <v xml:space="preserve"> *El Número de Migrantes no puede superar el Total Procesados. </v>
      </c>
      <c r="CG125" s="3018"/>
      <c r="CH125" s="3018"/>
      <c r="CI125" s="3018"/>
      <c r="CJ125" s="3018"/>
      <c r="CK125" s="3018"/>
      <c r="CL125" s="2784" t="str">
        <f t="shared" si="424"/>
        <v>* El total de Procesados debe ser mayor o igual al total de Reactivos en el grupo de edad 10 - 14 años</v>
      </c>
      <c r="CM125" s="2784" t="str">
        <f t="shared" si="425"/>
        <v>* El total de Procesados debe ser mayor o igual al total de Reactivos en el grupo de edad 15 - 19 años</v>
      </c>
      <c r="CN125" s="2784" t="str">
        <f t="shared" si="426"/>
        <v>* El total de Procesados debe ser mayor o igual al total de Reactivos en el grupo de edad 20 - 24 años</v>
      </c>
      <c r="CO125" s="2784" t="str">
        <f t="shared" si="427"/>
        <v>* El total de Procesados debe ser mayor o igual al total de Reactivos en el grupo de edad 25 - 29 años</v>
      </c>
      <c r="CP125" s="2784" t="str">
        <f t="shared" si="428"/>
        <v>* El total de Procesados debe ser mayor o igual al total de Reactivos en el grupo de edad 30 - 34 años</v>
      </c>
      <c r="CQ125" s="2784" t="str">
        <f t="shared" si="429"/>
        <v>* El total de Procesados debe ser mayor o igual al total de Reactivos en el grupo de edad 35 - 39 años</v>
      </c>
      <c r="CR125" s="2784" t="str">
        <f t="shared" si="430"/>
        <v>* El total de Procesados debe ser mayor o igual al total de Reactivos en el grupo de edad 40 - 44 años</v>
      </c>
      <c r="CS125" s="2784" t="str">
        <f t="shared" si="431"/>
        <v>* El total de Procesados debe ser mayor o igual al total de Reactivos en el grupo de edad 50 - 54 años</v>
      </c>
      <c r="CT125" s="2784" t="str">
        <f t="shared" si="432"/>
        <v>* El total de Procesados debe ser mayor o igual al total de Reactivos en el grupo de edad 55 - 59 años</v>
      </c>
      <c r="CU125" s="2784" t="str">
        <f t="shared" si="433"/>
        <v>* El total de Procesados debe ser mayor o igual al total de Reactivos en el grupo de edad 60 - 64 años</v>
      </c>
      <c r="CV125" s="2784" t="str">
        <f t="shared" si="434"/>
        <v>* El total de Procesados debe ser mayor o igual al total de Reactivos en el grupo de edad 65 - 69 años</v>
      </c>
      <c r="CW125" s="2784" t="str">
        <f t="shared" si="435"/>
        <v>* El total de Procesados debe ser mayor o igual al total de Reactivos en el grupo de edad 70 - 74 años</v>
      </c>
      <c r="CX125" s="2784" t="str">
        <f t="shared" si="436"/>
        <v>* El total de Procesados debe ser mayor o igual al total de Reactivos en el grupo de edad 75 - 79 años</v>
      </c>
      <c r="CY125" s="2784" t="str">
        <f t="shared" si="437"/>
        <v>* El total de Procesados debe ser mayor o igual al total de Reactivos en el grupo de edad 80 y más años</v>
      </c>
      <c r="DF125" s="2630"/>
      <c r="DG125" s="4747">
        <f t="shared" si="438"/>
        <v>1</v>
      </c>
      <c r="DH125" s="2920" t="e">
        <f t="shared" si="439"/>
        <v>#VALUE!</v>
      </c>
      <c r="DI125" s="2920">
        <f t="shared" si="440"/>
        <v>1</v>
      </c>
      <c r="DJ125" s="2920">
        <f t="shared" si="441"/>
        <v>1</v>
      </c>
      <c r="DK125" s="3018"/>
      <c r="DL125" s="3018"/>
      <c r="DM125" s="3018"/>
      <c r="DN125" s="3018"/>
      <c r="DO125" s="3018"/>
      <c r="DP125" s="2920">
        <f t="shared" si="442"/>
        <v>1</v>
      </c>
      <c r="DQ125" s="2920">
        <f t="shared" si="443"/>
        <v>1</v>
      </c>
      <c r="DR125" s="2920">
        <f t="shared" si="444"/>
        <v>1</v>
      </c>
      <c r="DS125" s="2920">
        <f t="shared" si="445"/>
        <v>1</v>
      </c>
      <c r="DT125" s="2920">
        <f t="shared" si="446"/>
        <v>1</v>
      </c>
      <c r="DU125" s="2920">
        <f t="shared" si="447"/>
        <v>1</v>
      </c>
      <c r="DV125" s="2920">
        <f t="shared" si="448"/>
        <v>1</v>
      </c>
      <c r="DW125" s="2920">
        <f t="shared" si="449"/>
        <v>1</v>
      </c>
      <c r="DX125" s="2920">
        <f t="shared" si="450"/>
        <v>1</v>
      </c>
      <c r="DY125" s="2920">
        <f t="shared" si="451"/>
        <v>1</v>
      </c>
      <c r="DZ125" s="2920">
        <f t="shared" si="452"/>
        <v>1</v>
      </c>
      <c r="EA125" s="2920">
        <f t="shared" si="453"/>
        <v>1</v>
      </c>
      <c r="EB125" s="2920">
        <f t="shared" si="454"/>
        <v>1</v>
      </c>
      <c r="EC125" s="2920">
        <f t="shared" si="455"/>
        <v>1</v>
      </c>
    </row>
    <row r="126" spans="1:133" x14ac:dyDescent="0.3">
      <c r="A126" s="6234">
        <v>11056457</v>
      </c>
      <c r="B126" s="3184" t="s">
        <v>2662</v>
      </c>
      <c r="C126" s="1928" t="s">
        <v>5292</v>
      </c>
      <c r="D126" s="3242" t="s">
        <v>5293</v>
      </c>
      <c r="E126" s="3475" t="s">
        <v>5294</v>
      </c>
      <c r="F126" s="5149" t="s">
        <v>5295</v>
      </c>
      <c r="G126" s="5148" t="s">
        <v>5296</v>
      </c>
      <c r="H126" s="5149" t="s">
        <v>5297</v>
      </c>
      <c r="I126" s="5148" t="s">
        <v>5298</v>
      </c>
      <c r="J126" s="5149" t="s">
        <v>5299</v>
      </c>
      <c r="K126" s="5148" t="s">
        <v>5300</v>
      </c>
      <c r="L126" s="5149" t="s">
        <v>5301</v>
      </c>
      <c r="M126" s="5148" t="s">
        <v>5302</v>
      </c>
      <c r="N126" s="5150" t="s">
        <v>5303</v>
      </c>
      <c r="O126" s="3479" t="s">
        <v>5304</v>
      </c>
      <c r="P126" s="5151" t="s">
        <v>5305</v>
      </c>
      <c r="Q126" s="5038" t="s">
        <v>5306</v>
      </c>
      <c r="R126" s="5151" t="s">
        <v>5307</v>
      </c>
      <c r="S126" s="5038" t="s">
        <v>5308</v>
      </c>
      <c r="T126" s="5151" t="s">
        <v>5309</v>
      </c>
      <c r="U126" s="5038" t="s">
        <v>5310</v>
      </c>
      <c r="V126" s="5151" t="s">
        <v>5311</v>
      </c>
      <c r="W126" s="5038" t="s">
        <v>5312</v>
      </c>
      <c r="X126" s="5151" t="s">
        <v>5313</v>
      </c>
      <c r="Y126" s="5038" t="s">
        <v>5314</v>
      </c>
      <c r="Z126" s="5151" t="s">
        <v>5315</v>
      </c>
      <c r="AA126" s="5038" t="s">
        <v>5316</v>
      </c>
      <c r="AB126" s="5151" t="s">
        <v>5317</v>
      </c>
      <c r="AC126" s="5038" t="s">
        <v>5318</v>
      </c>
      <c r="AD126" s="5151" t="s">
        <v>5319</v>
      </c>
      <c r="AE126" s="5038" t="s">
        <v>5320</v>
      </c>
      <c r="AF126" s="5151" t="s">
        <v>5321</v>
      </c>
      <c r="AG126" s="5038" t="s">
        <v>5322</v>
      </c>
      <c r="AH126" s="5151" t="s">
        <v>5323</v>
      </c>
      <c r="AI126" s="5038" t="s">
        <v>5324</v>
      </c>
      <c r="AJ126" s="5151" t="s">
        <v>5325</v>
      </c>
      <c r="AK126" s="5038" t="s">
        <v>5326</v>
      </c>
      <c r="AL126" s="5151" t="s">
        <v>5327</v>
      </c>
      <c r="AM126" s="5038" t="s">
        <v>5328</v>
      </c>
      <c r="AN126" s="5151" t="s">
        <v>5329</v>
      </c>
      <c r="AO126" s="5038" t="s">
        <v>5330</v>
      </c>
      <c r="AP126" s="5151" t="s">
        <v>5331</v>
      </c>
      <c r="AQ126" s="5038" t="s">
        <v>5332</v>
      </c>
      <c r="AR126" s="5145" t="s">
        <v>5333</v>
      </c>
      <c r="AS126" s="3483" t="s">
        <v>5334</v>
      </c>
      <c r="AT126" s="5145" t="s">
        <v>5335</v>
      </c>
      <c r="AU126" s="5146" t="s">
        <v>5336</v>
      </c>
      <c r="AV126" s="5145" t="s">
        <v>5337</v>
      </c>
      <c r="AW126" s="3479" t="s">
        <v>5338</v>
      </c>
      <c r="AX126" s="5147" t="s">
        <v>5339</v>
      </c>
      <c r="AY126" s="1687" t="e">
        <f t="shared" si="419"/>
        <v>#VALUE!</v>
      </c>
      <c r="CB126" s="600"/>
      <c r="CC126" s="4747" t="str">
        <f t="shared" si="420"/>
        <v xml:space="preserve"> * La suma de las columnas POR SEXO (Procesados) DEBE SER IGUAL a los Exámenes Procesados. </v>
      </c>
      <c r="CD126" s="2784" t="e">
        <f t="shared" si="421"/>
        <v>#VALUE!</v>
      </c>
      <c r="CE126" s="2784" t="str">
        <f t="shared" si="422"/>
        <v xml:space="preserve"> *El Número de Pueblos Originarios no puede superar el Total Procesados. </v>
      </c>
      <c r="CF126" s="2784" t="str">
        <f t="shared" si="423"/>
        <v xml:space="preserve"> *El Número de Migrantes no puede superar el Total Procesados. </v>
      </c>
      <c r="CG126" s="3018"/>
      <c r="CH126" s="3018"/>
      <c r="CI126" s="3018"/>
      <c r="CJ126" s="3018"/>
      <c r="CK126" s="3018"/>
      <c r="CL126" s="2784" t="str">
        <f t="shared" si="424"/>
        <v>* El total de Procesados debe ser mayor o igual al total de Reactivos en el grupo de edad 10 - 14 años</v>
      </c>
      <c r="CM126" s="2784" t="str">
        <f t="shared" si="425"/>
        <v>* El total de Procesados debe ser mayor o igual al total de Reactivos en el grupo de edad 15 - 19 años</v>
      </c>
      <c r="CN126" s="2784" t="str">
        <f t="shared" si="426"/>
        <v>* El total de Procesados debe ser mayor o igual al total de Reactivos en el grupo de edad 20 - 24 años</v>
      </c>
      <c r="CO126" s="2784" t="str">
        <f t="shared" si="427"/>
        <v>* El total de Procesados debe ser mayor o igual al total de Reactivos en el grupo de edad 25 - 29 años</v>
      </c>
      <c r="CP126" s="2784" t="str">
        <f t="shared" si="428"/>
        <v>* El total de Procesados debe ser mayor o igual al total de Reactivos en el grupo de edad 30 - 34 años</v>
      </c>
      <c r="CQ126" s="2784" t="str">
        <f t="shared" si="429"/>
        <v>* El total de Procesados debe ser mayor o igual al total de Reactivos en el grupo de edad 35 - 39 años</v>
      </c>
      <c r="CR126" s="2784" t="str">
        <f t="shared" si="430"/>
        <v>* El total de Procesados debe ser mayor o igual al total de Reactivos en el grupo de edad 40 - 44 años</v>
      </c>
      <c r="CS126" s="2784" t="str">
        <f t="shared" si="431"/>
        <v>* El total de Procesados debe ser mayor o igual al total de Reactivos en el grupo de edad 50 - 54 años</v>
      </c>
      <c r="CT126" s="2784" t="str">
        <f t="shared" si="432"/>
        <v>* El total de Procesados debe ser mayor o igual al total de Reactivos en el grupo de edad 55 - 59 años</v>
      </c>
      <c r="CU126" s="2784" t="str">
        <f t="shared" si="433"/>
        <v>* El total de Procesados debe ser mayor o igual al total de Reactivos en el grupo de edad 60 - 64 años</v>
      </c>
      <c r="CV126" s="2784" t="str">
        <f t="shared" si="434"/>
        <v>* El total de Procesados debe ser mayor o igual al total de Reactivos en el grupo de edad 65 - 69 años</v>
      </c>
      <c r="CW126" s="2784" t="str">
        <f t="shared" si="435"/>
        <v>* El total de Procesados debe ser mayor o igual al total de Reactivos en el grupo de edad 70 - 74 años</v>
      </c>
      <c r="CX126" s="2784" t="str">
        <f t="shared" si="436"/>
        <v>* El total de Procesados debe ser mayor o igual al total de Reactivos en el grupo de edad 75 - 79 años</v>
      </c>
      <c r="CY126" s="2784" t="str">
        <f t="shared" si="437"/>
        <v>* El total de Procesados debe ser mayor o igual al total de Reactivos en el grupo de edad 80 y más años</v>
      </c>
      <c r="DF126" s="2630"/>
      <c r="DG126" s="4747">
        <f t="shared" si="438"/>
        <v>1</v>
      </c>
      <c r="DH126" s="2920" t="e">
        <f t="shared" si="439"/>
        <v>#VALUE!</v>
      </c>
      <c r="DI126" s="2920">
        <f t="shared" si="440"/>
        <v>1</v>
      </c>
      <c r="DJ126" s="2920">
        <f t="shared" si="441"/>
        <v>1</v>
      </c>
      <c r="DK126" s="3018"/>
      <c r="DL126" s="3018"/>
      <c r="DM126" s="3018"/>
      <c r="DN126" s="3018"/>
      <c r="DO126" s="3018"/>
      <c r="DP126" s="2920">
        <f t="shared" si="442"/>
        <v>1</v>
      </c>
      <c r="DQ126" s="2920">
        <f t="shared" si="443"/>
        <v>1</v>
      </c>
      <c r="DR126" s="2920">
        <f t="shared" si="444"/>
        <v>1</v>
      </c>
      <c r="DS126" s="2920">
        <f t="shared" si="445"/>
        <v>1</v>
      </c>
      <c r="DT126" s="2920">
        <f t="shared" si="446"/>
        <v>1</v>
      </c>
      <c r="DU126" s="2920">
        <f t="shared" si="447"/>
        <v>1</v>
      </c>
      <c r="DV126" s="2920">
        <f t="shared" si="448"/>
        <v>1</v>
      </c>
      <c r="DW126" s="2920">
        <f t="shared" si="449"/>
        <v>1</v>
      </c>
      <c r="DX126" s="2920">
        <f t="shared" si="450"/>
        <v>1</v>
      </c>
      <c r="DY126" s="2920">
        <f t="shared" si="451"/>
        <v>1</v>
      </c>
      <c r="DZ126" s="2920">
        <f t="shared" si="452"/>
        <v>1</v>
      </c>
      <c r="EA126" s="2920">
        <f t="shared" si="453"/>
        <v>1</v>
      </c>
      <c r="EB126" s="2920">
        <f t="shared" si="454"/>
        <v>1</v>
      </c>
      <c r="EC126" s="2920">
        <f t="shared" si="455"/>
        <v>1</v>
      </c>
    </row>
    <row r="127" spans="1:133" x14ac:dyDescent="0.3">
      <c r="A127" s="6234">
        <v>11056458</v>
      </c>
      <c r="B127" s="3239" t="s">
        <v>2663</v>
      </c>
      <c r="C127" s="1928" t="s">
        <v>5292</v>
      </c>
      <c r="D127" s="3242" t="s">
        <v>5293</v>
      </c>
      <c r="E127" s="3475" t="s">
        <v>5294</v>
      </c>
      <c r="F127" s="5149" t="s">
        <v>5295</v>
      </c>
      <c r="G127" s="5148" t="s">
        <v>5296</v>
      </c>
      <c r="H127" s="5149" t="s">
        <v>5297</v>
      </c>
      <c r="I127" s="5148" t="s">
        <v>5298</v>
      </c>
      <c r="J127" s="5149" t="s">
        <v>5299</v>
      </c>
      <c r="K127" s="5148" t="s">
        <v>5300</v>
      </c>
      <c r="L127" s="5149" t="s">
        <v>5301</v>
      </c>
      <c r="M127" s="5148" t="s">
        <v>5302</v>
      </c>
      <c r="N127" s="5150" t="s">
        <v>5303</v>
      </c>
      <c r="O127" s="3479" t="s">
        <v>5304</v>
      </c>
      <c r="P127" s="5151" t="s">
        <v>5305</v>
      </c>
      <c r="Q127" s="5038" t="s">
        <v>5306</v>
      </c>
      <c r="R127" s="5151" t="s">
        <v>5307</v>
      </c>
      <c r="S127" s="5038" t="s">
        <v>5308</v>
      </c>
      <c r="T127" s="5151" t="s">
        <v>5309</v>
      </c>
      <c r="U127" s="5038" t="s">
        <v>5310</v>
      </c>
      <c r="V127" s="5151" t="s">
        <v>5311</v>
      </c>
      <c r="W127" s="5038" t="s">
        <v>5312</v>
      </c>
      <c r="X127" s="5151" t="s">
        <v>5313</v>
      </c>
      <c r="Y127" s="5038" t="s">
        <v>5314</v>
      </c>
      <c r="Z127" s="5151" t="s">
        <v>5315</v>
      </c>
      <c r="AA127" s="5038" t="s">
        <v>5316</v>
      </c>
      <c r="AB127" s="5151" t="s">
        <v>5317</v>
      </c>
      <c r="AC127" s="5038" t="s">
        <v>5318</v>
      </c>
      <c r="AD127" s="5151" t="s">
        <v>5319</v>
      </c>
      <c r="AE127" s="5038" t="s">
        <v>5320</v>
      </c>
      <c r="AF127" s="5151" t="s">
        <v>5321</v>
      </c>
      <c r="AG127" s="5038" t="s">
        <v>5322</v>
      </c>
      <c r="AH127" s="5151" t="s">
        <v>5323</v>
      </c>
      <c r="AI127" s="5038" t="s">
        <v>5324</v>
      </c>
      <c r="AJ127" s="5151" t="s">
        <v>5325</v>
      </c>
      <c r="AK127" s="5038" t="s">
        <v>5326</v>
      </c>
      <c r="AL127" s="5151" t="s">
        <v>5327</v>
      </c>
      <c r="AM127" s="5038" t="s">
        <v>5328</v>
      </c>
      <c r="AN127" s="5151" t="s">
        <v>5329</v>
      </c>
      <c r="AO127" s="5038" t="s">
        <v>5330</v>
      </c>
      <c r="AP127" s="5151" t="s">
        <v>5331</v>
      </c>
      <c r="AQ127" s="5038" t="s">
        <v>5332</v>
      </c>
      <c r="AR127" s="5145" t="s">
        <v>5333</v>
      </c>
      <c r="AS127" s="3483" t="s">
        <v>5334</v>
      </c>
      <c r="AT127" s="5145" t="s">
        <v>5335</v>
      </c>
      <c r="AU127" s="5146" t="s">
        <v>5336</v>
      </c>
      <c r="AV127" s="5145" t="s">
        <v>5337</v>
      </c>
      <c r="AW127" s="3479" t="s">
        <v>5338</v>
      </c>
      <c r="AX127" s="5147" t="s">
        <v>5339</v>
      </c>
      <c r="AY127" s="1687" t="e">
        <f t="shared" si="419"/>
        <v>#VALUE!</v>
      </c>
      <c r="CB127" s="600"/>
      <c r="CC127" s="4747" t="str">
        <f t="shared" si="420"/>
        <v xml:space="preserve"> * La suma de las columnas POR SEXO (Procesados) DEBE SER IGUAL a los Exámenes Procesados. </v>
      </c>
      <c r="CD127" s="2784" t="e">
        <f t="shared" si="421"/>
        <v>#VALUE!</v>
      </c>
      <c r="CE127" s="2784" t="str">
        <f t="shared" si="422"/>
        <v xml:space="preserve"> *El Número de Pueblos Originarios no puede superar el Total Procesados. </v>
      </c>
      <c r="CF127" s="2784" t="str">
        <f t="shared" si="423"/>
        <v xml:space="preserve"> *El Número de Migrantes no puede superar el Total Procesados. </v>
      </c>
      <c r="CG127" s="3018"/>
      <c r="CH127" s="3018"/>
      <c r="CI127" s="3018"/>
      <c r="CJ127" s="3018"/>
      <c r="CK127" s="3018"/>
      <c r="CL127" s="2784" t="str">
        <f t="shared" si="424"/>
        <v>* El total de Procesados debe ser mayor o igual al total de Reactivos en el grupo de edad 10 - 14 años</v>
      </c>
      <c r="CM127" s="2784" t="str">
        <f t="shared" si="425"/>
        <v>* El total de Procesados debe ser mayor o igual al total de Reactivos en el grupo de edad 15 - 19 años</v>
      </c>
      <c r="CN127" s="2784" t="str">
        <f t="shared" si="426"/>
        <v>* El total de Procesados debe ser mayor o igual al total de Reactivos en el grupo de edad 20 - 24 años</v>
      </c>
      <c r="CO127" s="2784" t="str">
        <f t="shared" si="427"/>
        <v>* El total de Procesados debe ser mayor o igual al total de Reactivos en el grupo de edad 25 - 29 años</v>
      </c>
      <c r="CP127" s="2784" t="str">
        <f t="shared" si="428"/>
        <v>* El total de Procesados debe ser mayor o igual al total de Reactivos en el grupo de edad 30 - 34 años</v>
      </c>
      <c r="CQ127" s="2784" t="str">
        <f t="shared" si="429"/>
        <v>* El total de Procesados debe ser mayor o igual al total de Reactivos en el grupo de edad 35 - 39 años</v>
      </c>
      <c r="CR127" s="2784" t="str">
        <f t="shared" si="430"/>
        <v>* El total de Procesados debe ser mayor o igual al total de Reactivos en el grupo de edad 40 - 44 años</v>
      </c>
      <c r="CS127" s="2784" t="str">
        <f t="shared" si="431"/>
        <v>* El total de Procesados debe ser mayor o igual al total de Reactivos en el grupo de edad 50 - 54 años</v>
      </c>
      <c r="CT127" s="2784" t="str">
        <f t="shared" si="432"/>
        <v>* El total de Procesados debe ser mayor o igual al total de Reactivos en el grupo de edad 55 - 59 años</v>
      </c>
      <c r="CU127" s="2784" t="str">
        <f t="shared" si="433"/>
        <v>* El total de Procesados debe ser mayor o igual al total de Reactivos en el grupo de edad 60 - 64 años</v>
      </c>
      <c r="CV127" s="2784" t="str">
        <f t="shared" si="434"/>
        <v>* El total de Procesados debe ser mayor o igual al total de Reactivos en el grupo de edad 65 - 69 años</v>
      </c>
      <c r="CW127" s="2784" t="str">
        <f t="shared" si="435"/>
        <v>* El total de Procesados debe ser mayor o igual al total de Reactivos en el grupo de edad 70 - 74 años</v>
      </c>
      <c r="CX127" s="2784" t="str">
        <f t="shared" si="436"/>
        <v>* El total de Procesados debe ser mayor o igual al total de Reactivos en el grupo de edad 75 - 79 años</v>
      </c>
      <c r="CY127" s="2784" t="str">
        <f t="shared" si="437"/>
        <v>* El total de Procesados debe ser mayor o igual al total de Reactivos en el grupo de edad 80 y más años</v>
      </c>
      <c r="DF127" s="2630"/>
      <c r="DG127" s="4747">
        <f t="shared" si="438"/>
        <v>1</v>
      </c>
      <c r="DH127" s="2920" t="e">
        <f t="shared" si="439"/>
        <v>#VALUE!</v>
      </c>
      <c r="DI127" s="2920">
        <f t="shared" si="440"/>
        <v>1</v>
      </c>
      <c r="DJ127" s="2920">
        <f t="shared" si="441"/>
        <v>1</v>
      </c>
      <c r="DK127" s="3018"/>
      <c r="DL127" s="3018"/>
      <c r="DM127" s="3018"/>
      <c r="DN127" s="3018"/>
      <c r="DO127" s="3018"/>
      <c r="DP127" s="2920">
        <f t="shared" si="442"/>
        <v>1</v>
      </c>
      <c r="DQ127" s="2920">
        <f t="shared" si="443"/>
        <v>1</v>
      </c>
      <c r="DR127" s="2920">
        <f t="shared" si="444"/>
        <v>1</v>
      </c>
      <c r="DS127" s="2920">
        <f t="shared" si="445"/>
        <v>1</v>
      </c>
      <c r="DT127" s="2920">
        <f t="shared" si="446"/>
        <v>1</v>
      </c>
      <c r="DU127" s="2920">
        <f t="shared" si="447"/>
        <v>1</v>
      </c>
      <c r="DV127" s="2920">
        <f t="shared" si="448"/>
        <v>1</v>
      </c>
      <c r="DW127" s="2920">
        <f t="shared" si="449"/>
        <v>1</v>
      </c>
      <c r="DX127" s="2920">
        <f t="shared" si="450"/>
        <v>1</v>
      </c>
      <c r="DY127" s="2920">
        <f t="shared" si="451"/>
        <v>1</v>
      </c>
      <c r="DZ127" s="2920">
        <f t="shared" si="452"/>
        <v>1</v>
      </c>
      <c r="EA127" s="2920">
        <f t="shared" si="453"/>
        <v>1</v>
      </c>
      <c r="EB127" s="2920">
        <f t="shared" si="454"/>
        <v>1</v>
      </c>
      <c r="EC127" s="2920">
        <f t="shared" si="455"/>
        <v>1</v>
      </c>
    </row>
    <row r="128" spans="1:133" x14ac:dyDescent="0.3">
      <c r="A128" s="6234">
        <v>11056459</v>
      </c>
      <c r="B128" s="3239" t="s">
        <v>2664</v>
      </c>
      <c r="C128" s="1928" t="s">
        <v>5292</v>
      </c>
      <c r="D128" s="3242" t="s">
        <v>5293</v>
      </c>
      <c r="E128" s="3475" t="s">
        <v>5294</v>
      </c>
      <c r="F128" s="5149" t="s">
        <v>5295</v>
      </c>
      <c r="G128" s="5148" t="s">
        <v>5296</v>
      </c>
      <c r="H128" s="5149" t="s">
        <v>5297</v>
      </c>
      <c r="I128" s="5148" t="s">
        <v>5298</v>
      </c>
      <c r="J128" s="5149" t="s">
        <v>5299</v>
      </c>
      <c r="K128" s="5148" t="s">
        <v>5300</v>
      </c>
      <c r="L128" s="5149" t="s">
        <v>5301</v>
      </c>
      <c r="M128" s="5148" t="s">
        <v>5302</v>
      </c>
      <c r="N128" s="5150" t="s">
        <v>5303</v>
      </c>
      <c r="O128" s="3479" t="s">
        <v>5304</v>
      </c>
      <c r="P128" s="5151" t="s">
        <v>5305</v>
      </c>
      <c r="Q128" s="5038" t="s">
        <v>5306</v>
      </c>
      <c r="R128" s="5151" t="s">
        <v>5307</v>
      </c>
      <c r="S128" s="5038" t="s">
        <v>5308</v>
      </c>
      <c r="T128" s="5151" t="s">
        <v>5309</v>
      </c>
      <c r="U128" s="5038" t="s">
        <v>5310</v>
      </c>
      <c r="V128" s="5151" t="s">
        <v>5311</v>
      </c>
      <c r="W128" s="5038" t="s">
        <v>5312</v>
      </c>
      <c r="X128" s="5151" t="s">
        <v>5313</v>
      </c>
      <c r="Y128" s="5038" t="s">
        <v>5314</v>
      </c>
      <c r="Z128" s="5151" t="s">
        <v>5315</v>
      </c>
      <c r="AA128" s="5038" t="s">
        <v>5316</v>
      </c>
      <c r="AB128" s="5151" t="s">
        <v>5317</v>
      </c>
      <c r="AC128" s="5038" t="s">
        <v>5318</v>
      </c>
      <c r="AD128" s="5151" t="s">
        <v>5319</v>
      </c>
      <c r="AE128" s="5038" t="s">
        <v>5320</v>
      </c>
      <c r="AF128" s="5151" t="s">
        <v>5321</v>
      </c>
      <c r="AG128" s="5038" t="s">
        <v>5322</v>
      </c>
      <c r="AH128" s="5151" t="s">
        <v>5323</v>
      </c>
      <c r="AI128" s="5038" t="s">
        <v>5324</v>
      </c>
      <c r="AJ128" s="5151" t="s">
        <v>5325</v>
      </c>
      <c r="AK128" s="5038" t="s">
        <v>5326</v>
      </c>
      <c r="AL128" s="5151" t="s">
        <v>5327</v>
      </c>
      <c r="AM128" s="5038" t="s">
        <v>5328</v>
      </c>
      <c r="AN128" s="5151" t="s">
        <v>5329</v>
      </c>
      <c r="AO128" s="5038" t="s">
        <v>5330</v>
      </c>
      <c r="AP128" s="5151" t="s">
        <v>5331</v>
      </c>
      <c r="AQ128" s="5038" t="s">
        <v>5332</v>
      </c>
      <c r="AR128" s="5145" t="s">
        <v>5333</v>
      </c>
      <c r="AS128" s="3479" t="s">
        <v>5334</v>
      </c>
      <c r="AT128" s="5145" t="s">
        <v>5335</v>
      </c>
      <c r="AU128" s="5146" t="s">
        <v>5336</v>
      </c>
      <c r="AV128" s="5145" t="s">
        <v>5337</v>
      </c>
      <c r="AW128" s="3479" t="s">
        <v>5338</v>
      </c>
      <c r="AX128" s="5147" t="s">
        <v>5339</v>
      </c>
      <c r="AY128" s="1687" t="e">
        <f t="shared" si="419"/>
        <v>#VALUE!</v>
      </c>
      <c r="CB128" s="600"/>
      <c r="CC128" s="2784" t="e">
        <f>IF(C128&lt;&gt;(AT128+AS128)," * La suma de las columnas "&amp;AS$10&amp;""&amp;" DEBE SER IGUAL a los Exámenes Procesados. ","")</f>
        <v>#VALUE!</v>
      </c>
      <c r="CD128" s="2784" t="e">
        <f t="shared" si="421"/>
        <v>#VALUE!</v>
      </c>
      <c r="CE128" s="2784" t="str">
        <f t="shared" si="422"/>
        <v xml:space="preserve"> *El Número de Pueblos Originarios no puede superar el Total Procesados. </v>
      </c>
      <c r="CF128" s="2784" t="str">
        <f t="shared" si="423"/>
        <v xml:space="preserve"> *El Número de Migrantes no puede superar el Total Procesados. </v>
      </c>
      <c r="CG128" s="3018"/>
      <c r="CH128" s="3018"/>
      <c r="CI128" s="3018"/>
      <c r="CJ128" s="3018"/>
      <c r="CK128" s="3018"/>
      <c r="CL128" s="2784" t="str">
        <f>IF(O128&lt;P128,CONCATENATE("* El total de Procesados debe ser mayor o igual al total de Reactivos en el grupo de edad ",$O$11),"")</f>
        <v>* El total de Procesados debe ser mayor o igual al total de Reactivos en el grupo de edad 10 - 14 años</v>
      </c>
      <c r="CM128" s="2784" t="str">
        <f t="shared" si="425"/>
        <v>* El total de Procesados debe ser mayor o igual al total de Reactivos en el grupo de edad 15 - 19 años</v>
      </c>
      <c r="CN128" s="2784" t="str">
        <f t="shared" si="426"/>
        <v>* El total de Procesados debe ser mayor o igual al total de Reactivos en el grupo de edad 20 - 24 años</v>
      </c>
      <c r="CO128" s="2784" t="str">
        <f t="shared" si="427"/>
        <v>* El total de Procesados debe ser mayor o igual al total de Reactivos en el grupo de edad 25 - 29 años</v>
      </c>
      <c r="CP128" s="2784" t="str">
        <f t="shared" si="428"/>
        <v>* El total de Procesados debe ser mayor o igual al total de Reactivos en el grupo de edad 30 - 34 años</v>
      </c>
      <c r="CQ128" s="2784" t="str">
        <f t="shared" si="429"/>
        <v>* El total de Procesados debe ser mayor o igual al total de Reactivos en el grupo de edad 35 - 39 años</v>
      </c>
      <c r="CR128" s="2784" t="str">
        <f t="shared" si="430"/>
        <v>* El total de Procesados debe ser mayor o igual al total de Reactivos en el grupo de edad 40 - 44 años</v>
      </c>
      <c r="CS128" s="2784" t="str">
        <f t="shared" si="431"/>
        <v>* El total de Procesados debe ser mayor o igual al total de Reactivos en el grupo de edad 50 - 54 años</v>
      </c>
      <c r="CT128" s="2784" t="str">
        <f t="shared" si="432"/>
        <v>* El total de Procesados debe ser mayor o igual al total de Reactivos en el grupo de edad 55 - 59 años</v>
      </c>
      <c r="CU128" s="2784" t="str">
        <f t="shared" si="433"/>
        <v>* El total de Procesados debe ser mayor o igual al total de Reactivos en el grupo de edad 60 - 64 años</v>
      </c>
      <c r="CV128" s="2784" t="str">
        <f t="shared" si="434"/>
        <v>* El total de Procesados debe ser mayor o igual al total de Reactivos en el grupo de edad 65 - 69 años</v>
      </c>
      <c r="CW128" s="2784" t="str">
        <f t="shared" si="435"/>
        <v>* El total de Procesados debe ser mayor o igual al total de Reactivos en el grupo de edad 70 - 74 años</v>
      </c>
      <c r="CX128" s="2784" t="str">
        <f t="shared" si="436"/>
        <v>* El total de Procesados debe ser mayor o igual al total de Reactivos en el grupo de edad 75 - 79 años</v>
      </c>
      <c r="CY128" s="2784" t="str">
        <f t="shared" si="437"/>
        <v>* El total de Procesados debe ser mayor o igual al total de Reactivos en el grupo de edad 80 y más años</v>
      </c>
      <c r="DF128" s="2630"/>
      <c r="DG128" s="2784" t="e">
        <f>IF(C128&lt;&gt;(AT128+AS128),1,0)</f>
        <v>#VALUE!</v>
      </c>
      <c r="DH128" s="2920" t="e">
        <f t="shared" si="439"/>
        <v>#VALUE!</v>
      </c>
      <c r="DI128" s="2920">
        <f t="shared" si="440"/>
        <v>1</v>
      </c>
      <c r="DJ128" s="2920">
        <f t="shared" si="441"/>
        <v>1</v>
      </c>
      <c r="DK128" s="3018"/>
      <c r="DL128" s="3018"/>
      <c r="DM128" s="3018"/>
      <c r="DN128" s="3018"/>
      <c r="DO128" s="3018"/>
      <c r="DP128" s="2920">
        <f t="shared" si="442"/>
        <v>1</v>
      </c>
      <c r="DQ128" s="2920">
        <f t="shared" si="443"/>
        <v>1</v>
      </c>
      <c r="DR128" s="2920">
        <f t="shared" si="444"/>
        <v>1</v>
      </c>
      <c r="DS128" s="2920">
        <f t="shared" si="445"/>
        <v>1</v>
      </c>
      <c r="DT128" s="2920">
        <f t="shared" si="446"/>
        <v>1</v>
      </c>
      <c r="DU128" s="2920">
        <f t="shared" si="447"/>
        <v>1</v>
      </c>
      <c r="DV128" s="2920">
        <f t="shared" si="448"/>
        <v>1</v>
      </c>
      <c r="DW128" s="2920">
        <f t="shared" si="449"/>
        <v>1</v>
      </c>
      <c r="DX128" s="2920">
        <f t="shared" si="450"/>
        <v>1</v>
      </c>
      <c r="DY128" s="2920">
        <f t="shared" si="451"/>
        <v>1</v>
      </c>
      <c r="DZ128" s="2920">
        <f t="shared" si="452"/>
        <v>1</v>
      </c>
      <c r="EA128" s="2920">
        <f t="shared" si="453"/>
        <v>1</v>
      </c>
      <c r="EB128" s="2920">
        <f t="shared" si="454"/>
        <v>1</v>
      </c>
      <c r="EC128" s="2920">
        <f t="shared" si="455"/>
        <v>1</v>
      </c>
    </row>
    <row r="129" spans="1:133" x14ac:dyDescent="0.3">
      <c r="A129" s="6234">
        <v>11056460</v>
      </c>
      <c r="B129" s="3239" t="s">
        <v>2665</v>
      </c>
      <c r="C129" s="1928" t="s">
        <v>5292</v>
      </c>
      <c r="D129" s="3242" t="s">
        <v>5293</v>
      </c>
      <c r="E129" s="3475" t="s">
        <v>5294</v>
      </c>
      <c r="F129" s="5149" t="s">
        <v>5295</v>
      </c>
      <c r="G129" s="5148" t="s">
        <v>5296</v>
      </c>
      <c r="H129" s="5149" t="s">
        <v>5297</v>
      </c>
      <c r="I129" s="5148" t="s">
        <v>5298</v>
      </c>
      <c r="J129" s="5149" t="s">
        <v>5299</v>
      </c>
      <c r="K129" s="5148" t="s">
        <v>5300</v>
      </c>
      <c r="L129" s="5149" t="s">
        <v>5301</v>
      </c>
      <c r="M129" s="5148" t="s">
        <v>5302</v>
      </c>
      <c r="N129" s="5150" t="s">
        <v>5303</v>
      </c>
      <c r="O129" s="3479" t="s">
        <v>5304</v>
      </c>
      <c r="P129" s="5151" t="s">
        <v>5305</v>
      </c>
      <c r="Q129" s="5038" t="s">
        <v>5306</v>
      </c>
      <c r="R129" s="5151" t="s">
        <v>5307</v>
      </c>
      <c r="S129" s="5038" t="s">
        <v>5308</v>
      </c>
      <c r="T129" s="5151" t="s">
        <v>5309</v>
      </c>
      <c r="U129" s="5038" t="s">
        <v>5310</v>
      </c>
      <c r="V129" s="5151" t="s">
        <v>5311</v>
      </c>
      <c r="W129" s="5038" t="s">
        <v>5312</v>
      </c>
      <c r="X129" s="5151" t="s">
        <v>5313</v>
      </c>
      <c r="Y129" s="5038" t="s">
        <v>5314</v>
      </c>
      <c r="Z129" s="5151" t="s">
        <v>5315</v>
      </c>
      <c r="AA129" s="5038" t="s">
        <v>5316</v>
      </c>
      <c r="AB129" s="5151" t="s">
        <v>5317</v>
      </c>
      <c r="AC129" s="5038" t="s">
        <v>5318</v>
      </c>
      <c r="AD129" s="5151" t="s">
        <v>5319</v>
      </c>
      <c r="AE129" s="5038" t="s">
        <v>5320</v>
      </c>
      <c r="AF129" s="5151" t="s">
        <v>5321</v>
      </c>
      <c r="AG129" s="5038" t="s">
        <v>5322</v>
      </c>
      <c r="AH129" s="5151" t="s">
        <v>5323</v>
      </c>
      <c r="AI129" s="5038" t="s">
        <v>5324</v>
      </c>
      <c r="AJ129" s="5151" t="s">
        <v>5325</v>
      </c>
      <c r="AK129" s="5038" t="s">
        <v>5326</v>
      </c>
      <c r="AL129" s="5151" t="s">
        <v>5327</v>
      </c>
      <c r="AM129" s="5038" t="s">
        <v>5328</v>
      </c>
      <c r="AN129" s="5151" t="s">
        <v>5329</v>
      </c>
      <c r="AO129" s="5038" t="s">
        <v>5330</v>
      </c>
      <c r="AP129" s="5151" t="s">
        <v>5331</v>
      </c>
      <c r="AQ129" s="5038" t="s">
        <v>5332</v>
      </c>
      <c r="AR129" s="5145" t="s">
        <v>5333</v>
      </c>
      <c r="AS129" s="3483" t="s">
        <v>5334</v>
      </c>
      <c r="AT129" s="5145" t="s">
        <v>5335</v>
      </c>
      <c r="AU129" s="5146" t="s">
        <v>5336</v>
      </c>
      <c r="AV129" s="5145" t="s">
        <v>5337</v>
      </c>
      <c r="AW129" s="3479" t="s">
        <v>5338</v>
      </c>
      <c r="AX129" s="5147" t="s">
        <v>5339</v>
      </c>
      <c r="AY129" s="1687" t="e">
        <f t="shared" si="419"/>
        <v>#VALUE!</v>
      </c>
      <c r="CB129" s="600"/>
      <c r="CC129" s="4747" t="str">
        <f t="shared" ref="CC129:CC131" si="456">IF(C129&lt;&gt;(AT129)," * La suma de las columnas "&amp;AS$10&amp;""&amp;" DEBE SER IGUAL a los Exámenes Procesados. ","")</f>
        <v xml:space="preserve"> * La suma de las columnas POR SEXO (Procesados) DEBE SER IGUAL a los Exámenes Procesados. </v>
      </c>
      <c r="CD129" s="2784" t="e">
        <f t="shared" si="421"/>
        <v>#VALUE!</v>
      </c>
      <c r="CE129" s="2784" t="str">
        <f t="shared" si="422"/>
        <v xml:space="preserve"> *El Número de Pueblos Originarios no puede superar el Total Procesados. </v>
      </c>
      <c r="CF129" s="2784" t="str">
        <f t="shared" si="423"/>
        <v xml:space="preserve"> *El Número de Migrantes no puede superar el Total Procesados. </v>
      </c>
      <c r="CG129" s="3018"/>
      <c r="CH129" s="3018"/>
      <c r="CI129" s="3018"/>
      <c r="CJ129" s="3018"/>
      <c r="CK129" s="3018"/>
      <c r="CL129" s="2784" t="str">
        <f t="shared" ref="CL129" si="457">IF(O129&lt;P129,CONCATENATE("* El total de Procesados debe ser mayor o igual al total de Reactivos en el grupo de edad ",$O$11),"")</f>
        <v>* El total de Procesados debe ser mayor o igual al total de Reactivos en el grupo de edad 10 - 14 años</v>
      </c>
      <c r="CM129" s="2784" t="str">
        <f t="shared" si="425"/>
        <v>* El total de Procesados debe ser mayor o igual al total de Reactivos en el grupo de edad 15 - 19 años</v>
      </c>
      <c r="CN129" s="2784" t="str">
        <f t="shared" si="426"/>
        <v>* El total de Procesados debe ser mayor o igual al total de Reactivos en el grupo de edad 20 - 24 años</v>
      </c>
      <c r="CO129" s="2784" t="str">
        <f t="shared" si="427"/>
        <v>* El total de Procesados debe ser mayor o igual al total de Reactivos en el grupo de edad 25 - 29 años</v>
      </c>
      <c r="CP129" s="2784" t="str">
        <f t="shared" si="428"/>
        <v>* El total de Procesados debe ser mayor o igual al total de Reactivos en el grupo de edad 30 - 34 años</v>
      </c>
      <c r="CQ129" s="2784" t="str">
        <f t="shared" si="429"/>
        <v>* El total de Procesados debe ser mayor o igual al total de Reactivos en el grupo de edad 35 - 39 años</v>
      </c>
      <c r="CR129" s="2784" t="str">
        <f t="shared" si="430"/>
        <v>* El total de Procesados debe ser mayor o igual al total de Reactivos en el grupo de edad 40 - 44 años</v>
      </c>
      <c r="CS129" s="2784" t="str">
        <f t="shared" si="431"/>
        <v>* El total de Procesados debe ser mayor o igual al total de Reactivos en el grupo de edad 50 - 54 años</v>
      </c>
      <c r="CT129" s="2784" t="str">
        <f t="shared" si="432"/>
        <v>* El total de Procesados debe ser mayor o igual al total de Reactivos en el grupo de edad 55 - 59 años</v>
      </c>
      <c r="CU129" s="2784" t="str">
        <f t="shared" si="433"/>
        <v>* El total de Procesados debe ser mayor o igual al total de Reactivos en el grupo de edad 60 - 64 años</v>
      </c>
      <c r="CV129" s="2784" t="str">
        <f t="shared" si="434"/>
        <v>* El total de Procesados debe ser mayor o igual al total de Reactivos en el grupo de edad 65 - 69 años</v>
      </c>
      <c r="CW129" s="2784" t="str">
        <f t="shared" si="435"/>
        <v>* El total de Procesados debe ser mayor o igual al total de Reactivos en el grupo de edad 70 - 74 años</v>
      </c>
      <c r="CX129" s="2784" t="str">
        <f t="shared" si="436"/>
        <v>* El total de Procesados debe ser mayor o igual al total de Reactivos en el grupo de edad 75 - 79 años</v>
      </c>
      <c r="CY129" s="2784" t="str">
        <f t="shared" si="437"/>
        <v>* El total de Procesados debe ser mayor o igual al total de Reactivos en el grupo de edad 80 y más años</v>
      </c>
      <c r="DF129" s="2630"/>
      <c r="DG129" s="4747">
        <f>IF(C129&lt;&gt;(AT129),1,0)</f>
        <v>1</v>
      </c>
      <c r="DH129" s="2920" t="e">
        <f t="shared" si="439"/>
        <v>#VALUE!</v>
      </c>
      <c r="DI129" s="2920">
        <f t="shared" si="440"/>
        <v>1</v>
      </c>
      <c r="DJ129" s="2920">
        <f t="shared" si="441"/>
        <v>1</v>
      </c>
      <c r="DK129" s="3018"/>
      <c r="DL129" s="3018"/>
      <c r="DM129" s="3018"/>
      <c r="DN129" s="3018"/>
      <c r="DO129" s="3018"/>
      <c r="DP129" s="2920">
        <f t="shared" si="442"/>
        <v>1</v>
      </c>
      <c r="DQ129" s="2920">
        <f t="shared" si="443"/>
        <v>1</v>
      </c>
      <c r="DR129" s="2920">
        <f t="shared" si="444"/>
        <v>1</v>
      </c>
      <c r="DS129" s="2920">
        <f t="shared" si="445"/>
        <v>1</v>
      </c>
      <c r="DT129" s="2920">
        <f t="shared" si="446"/>
        <v>1</v>
      </c>
      <c r="DU129" s="2920">
        <f t="shared" si="447"/>
        <v>1</v>
      </c>
      <c r="DV129" s="2920">
        <f t="shared" si="448"/>
        <v>1</v>
      </c>
      <c r="DW129" s="2920">
        <f t="shared" si="449"/>
        <v>1</v>
      </c>
      <c r="DX129" s="2920">
        <f t="shared" si="450"/>
        <v>1</v>
      </c>
      <c r="DY129" s="2920">
        <f t="shared" si="451"/>
        <v>1</v>
      </c>
      <c r="DZ129" s="2920">
        <f t="shared" si="452"/>
        <v>1</v>
      </c>
      <c r="EA129" s="2920">
        <f t="shared" si="453"/>
        <v>1</v>
      </c>
      <c r="EB129" s="2920">
        <f t="shared" si="454"/>
        <v>1</v>
      </c>
      <c r="EC129" s="2920">
        <f t="shared" si="455"/>
        <v>1</v>
      </c>
    </row>
    <row r="130" spans="1:133" x14ac:dyDescent="0.3">
      <c r="A130" s="6234">
        <v>11056461</v>
      </c>
      <c r="B130" s="3184" t="s">
        <v>2666</v>
      </c>
      <c r="C130" s="1928" t="s">
        <v>5292</v>
      </c>
      <c r="D130" s="3242" t="s">
        <v>5293</v>
      </c>
      <c r="E130" s="3475" t="s">
        <v>5294</v>
      </c>
      <c r="F130" s="5149" t="s">
        <v>5295</v>
      </c>
      <c r="G130" s="5148" t="s">
        <v>5296</v>
      </c>
      <c r="H130" s="5149" t="s">
        <v>5297</v>
      </c>
      <c r="I130" s="5148" t="s">
        <v>5298</v>
      </c>
      <c r="J130" s="5149" t="s">
        <v>5299</v>
      </c>
      <c r="K130" s="5148" t="s">
        <v>5300</v>
      </c>
      <c r="L130" s="5149" t="s">
        <v>5301</v>
      </c>
      <c r="M130" s="5148" t="s">
        <v>5302</v>
      </c>
      <c r="N130" s="5150" t="s">
        <v>5303</v>
      </c>
      <c r="O130" s="3479" t="s">
        <v>5304</v>
      </c>
      <c r="P130" s="5151" t="s">
        <v>5305</v>
      </c>
      <c r="Q130" s="5038" t="s">
        <v>5306</v>
      </c>
      <c r="R130" s="5151" t="s">
        <v>5307</v>
      </c>
      <c r="S130" s="5038" t="s">
        <v>5308</v>
      </c>
      <c r="T130" s="5151" t="s">
        <v>5309</v>
      </c>
      <c r="U130" s="5038" t="s">
        <v>5310</v>
      </c>
      <c r="V130" s="5151" t="s">
        <v>5311</v>
      </c>
      <c r="W130" s="5038" t="s">
        <v>5312</v>
      </c>
      <c r="X130" s="5151" t="s">
        <v>5313</v>
      </c>
      <c r="Y130" s="5038" t="s">
        <v>5314</v>
      </c>
      <c r="Z130" s="5151" t="s">
        <v>5315</v>
      </c>
      <c r="AA130" s="5038" t="s">
        <v>5316</v>
      </c>
      <c r="AB130" s="5151" t="s">
        <v>5317</v>
      </c>
      <c r="AC130" s="5038" t="s">
        <v>5318</v>
      </c>
      <c r="AD130" s="5151" t="s">
        <v>5319</v>
      </c>
      <c r="AE130" s="5038" t="s">
        <v>5320</v>
      </c>
      <c r="AF130" s="5151" t="s">
        <v>5321</v>
      </c>
      <c r="AG130" s="5038" t="s">
        <v>5322</v>
      </c>
      <c r="AH130" s="5151" t="s">
        <v>5323</v>
      </c>
      <c r="AI130" s="5038" t="s">
        <v>5324</v>
      </c>
      <c r="AJ130" s="5151" t="s">
        <v>5325</v>
      </c>
      <c r="AK130" s="5038" t="s">
        <v>5326</v>
      </c>
      <c r="AL130" s="5151" t="s">
        <v>5327</v>
      </c>
      <c r="AM130" s="5038" t="s">
        <v>5328</v>
      </c>
      <c r="AN130" s="5151" t="s">
        <v>5329</v>
      </c>
      <c r="AO130" s="5038" t="s">
        <v>5330</v>
      </c>
      <c r="AP130" s="5151" t="s">
        <v>5331</v>
      </c>
      <c r="AQ130" s="5038" t="s">
        <v>5332</v>
      </c>
      <c r="AR130" s="5145" t="s">
        <v>5333</v>
      </c>
      <c r="AS130" s="3483" t="s">
        <v>5334</v>
      </c>
      <c r="AT130" s="5145" t="s">
        <v>5335</v>
      </c>
      <c r="AU130" s="5146" t="s">
        <v>5336</v>
      </c>
      <c r="AV130" s="5145" t="s">
        <v>5337</v>
      </c>
      <c r="AW130" s="3479" t="s">
        <v>5338</v>
      </c>
      <c r="AX130" s="5147" t="s">
        <v>5339</v>
      </c>
      <c r="AY130" s="1687" t="e">
        <f t="shared" si="419"/>
        <v>#VALUE!</v>
      </c>
      <c r="CB130" s="600"/>
      <c r="CC130" s="4747" t="str">
        <f t="shared" si="456"/>
        <v xml:space="preserve"> * La suma de las columnas POR SEXO (Procesados) DEBE SER IGUAL a los Exámenes Procesados. </v>
      </c>
      <c r="CD130" s="2784" t="e">
        <f t="shared" si="421"/>
        <v>#VALUE!</v>
      </c>
      <c r="CE130" s="2784" t="str">
        <f t="shared" si="422"/>
        <v xml:space="preserve"> *El Número de Pueblos Originarios no puede superar el Total Procesados. </v>
      </c>
      <c r="CF130" s="2784" t="str">
        <f t="shared" si="423"/>
        <v xml:space="preserve"> *El Número de Migrantes no puede superar el Total Procesados. </v>
      </c>
      <c r="CG130" s="3018"/>
      <c r="CH130" s="3018"/>
      <c r="CI130" s="3018"/>
      <c r="CJ130" s="3018"/>
      <c r="CK130" s="3018"/>
      <c r="CL130" s="2784" t="str">
        <f>IF(O130&lt;P130,CONCATENATE("* El total de Procesados debe ser mayor o igual al total de Reactivos en el grupo de edad ",$O$11),"")</f>
        <v>* El total de Procesados debe ser mayor o igual al total de Reactivos en el grupo de edad 10 - 14 años</v>
      </c>
      <c r="CM130" s="2784" t="str">
        <f>IF(Q130&lt;R130,CONCATENATE("* El total de Procesados debe ser mayor o igual al total de Reactivos en el grupo de edad ",$Q$11),"")</f>
        <v>* El total de Procesados debe ser mayor o igual al total de Reactivos en el grupo de edad 15 - 19 años</v>
      </c>
      <c r="CN130" s="2784" t="str">
        <f t="shared" si="426"/>
        <v>* El total de Procesados debe ser mayor o igual al total de Reactivos en el grupo de edad 20 - 24 años</v>
      </c>
      <c r="CO130" s="2784" t="str">
        <f t="shared" si="427"/>
        <v>* El total de Procesados debe ser mayor o igual al total de Reactivos en el grupo de edad 25 - 29 años</v>
      </c>
      <c r="CP130" s="2784" t="str">
        <f t="shared" si="428"/>
        <v>* El total de Procesados debe ser mayor o igual al total de Reactivos en el grupo de edad 30 - 34 años</v>
      </c>
      <c r="CQ130" s="2784" t="str">
        <f t="shared" si="429"/>
        <v>* El total de Procesados debe ser mayor o igual al total de Reactivos en el grupo de edad 35 - 39 años</v>
      </c>
      <c r="CR130" s="2784" t="str">
        <f t="shared" si="430"/>
        <v>* El total de Procesados debe ser mayor o igual al total de Reactivos en el grupo de edad 40 - 44 años</v>
      </c>
      <c r="CS130" s="2784" t="str">
        <f t="shared" si="431"/>
        <v>* El total de Procesados debe ser mayor o igual al total de Reactivos en el grupo de edad 50 - 54 años</v>
      </c>
      <c r="CT130" s="2784" t="str">
        <f t="shared" si="432"/>
        <v>* El total de Procesados debe ser mayor o igual al total de Reactivos en el grupo de edad 55 - 59 años</v>
      </c>
      <c r="CU130" s="2784" t="str">
        <f t="shared" si="433"/>
        <v>* El total de Procesados debe ser mayor o igual al total de Reactivos en el grupo de edad 60 - 64 años</v>
      </c>
      <c r="CV130" s="2784" t="str">
        <f t="shared" si="434"/>
        <v>* El total de Procesados debe ser mayor o igual al total de Reactivos en el grupo de edad 65 - 69 años</v>
      </c>
      <c r="CW130" s="2784" t="str">
        <f t="shared" si="435"/>
        <v>* El total de Procesados debe ser mayor o igual al total de Reactivos en el grupo de edad 70 - 74 años</v>
      </c>
      <c r="CX130" s="2784" t="str">
        <f t="shared" si="436"/>
        <v>* El total de Procesados debe ser mayor o igual al total de Reactivos en el grupo de edad 75 - 79 años</v>
      </c>
      <c r="CY130" s="2784" t="str">
        <f t="shared" si="437"/>
        <v>* El total de Procesados debe ser mayor o igual al total de Reactivos en el grupo de edad 80 y más años</v>
      </c>
      <c r="DF130" s="2630"/>
      <c r="DG130" s="4747">
        <f t="shared" ref="DG130:DG131" si="458">IF(C130&lt;&gt;(AT130),1,0)</f>
        <v>1</v>
      </c>
      <c r="DH130" s="2920" t="e">
        <f t="shared" si="439"/>
        <v>#VALUE!</v>
      </c>
      <c r="DI130" s="2920">
        <f t="shared" si="440"/>
        <v>1</v>
      </c>
      <c r="DJ130" s="2920">
        <f t="shared" si="441"/>
        <v>1</v>
      </c>
      <c r="DK130" s="3018"/>
      <c r="DL130" s="3018"/>
      <c r="DM130" s="3018"/>
      <c r="DN130" s="3018"/>
      <c r="DO130" s="3018"/>
      <c r="DP130" s="2920">
        <f t="shared" si="442"/>
        <v>1</v>
      </c>
      <c r="DQ130" s="2920">
        <f t="shared" si="443"/>
        <v>1</v>
      </c>
      <c r="DR130" s="2920">
        <f t="shared" si="444"/>
        <v>1</v>
      </c>
      <c r="DS130" s="2920">
        <f t="shared" si="445"/>
        <v>1</v>
      </c>
      <c r="DT130" s="2920">
        <f t="shared" si="446"/>
        <v>1</v>
      </c>
      <c r="DU130" s="2920">
        <f t="shared" si="447"/>
        <v>1</v>
      </c>
      <c r="DV130" s="2920">
        <f t="shared" si="448"/>
        <v>1</v>
      </c>
      <c r="DW130" s="2920">
        <f t="shared" si="449"/>
        <v>1</v>
      </c>
      <c r="DX130" s="2920">
        <f t="shared" si="450"/>
        <v>1</v>
      </c>
      <c r="DY130" s="2920">
        <f t="shared" si="451"/>
        <v>1</v>
      </c>
      <c r="DZ130" s="2920">
        <f t="shared" si="452"/>
        <v>1</v>
      </c>
      <c r="EA130" s="2920">
        <f t="shared" si="453"/>
        <v>1</v>
      </c>
      <c r="EB130" s="2920">
        <f t="shared" si="454"/>
        <v>1</v>
      </c>
      <c r="EC130" s="2920">
        <f t="shared" si="455"/>
        <v>1</v>
      </c>
    </row>
    <row r="131" spans="1:133" x14ac:dyDescent="0.3">
      <c r="A131" s="6234">
        <v>11056462</v>
      </c>
      <c r="B131" s="3184" t="s">
        <v>2667</v>
      </c>
      <c r="C131" s="1928" t="s">
        <v>5292</v>
      </c>
      <c r="D131" s="3242" t="s">
        <v>5293</v>
      </c>
      <c r="E131" s="3479" t="s">
        <v>5294</v>
      </c>
      <c r="F131" s="5151" t="s">
        <v>5295</v>
      </c>
      <c r="G131" s="5038" t="s">
        <v>5296</v>
      </c>
      <c r="H131" s="5151" t="s">
        <v>5297</v>
      </c>
      <c r="I131" s="5038" t="s">
        <v>5298</v>
      </c>
      <c r="J131" s="5147" t="s">
        <v>5299</v>
      </c>
      <c r="K131" s="3479" t="s">
        <v>5300</v>
      </c>
      <c r="L131" s="3479" t="s">
        <v>5301</v>
      </c>
      <c r="M131" s="5038" t="s">
        <v>5302</v>
      </c>
      <c r="N131" s="5147" t="s">
        <v>5303</v>
      </c>
      <c r="O131" s="3479" t="s">
        <v>5304</v>
      </c>
      <c r="P131" s="5151" t="s">
        <v>5305</v>
      </c>
      <c r="Q131" s="5038" t="s">
        <v>5306</v>
      </c>
      <c r="R131" s="5151" t="s">
        <v>5307</v>
      </c>
      <c r="S131" s="5038" t="s">
        <v>5308</v>
      </c>
      <c r="T131" s="5151" t="s">
        <v>5309</v>
      </c>
      <c r="U131" s="5038" t="s">
        <v>5310</v>
      </c>
      <c r="V131" s="5151" t="s">
        <v>5311</v>
      </c>
      <c r="W131" s="5038" t="s">
        <v>5312</v>
      </c>
      <c r="X131" s="5151" t="s">
        <v>5313</v>
      </c>
      <c r="Y131" s="5038" t="s">
        <v>5314</v>
      </c>
      <c r="Z131" s="5151" t="s">
        <v>5315</v>
      </c>
      <c r="AA131" s="5038" t="s">
        <v>5316</v>
      </c>
      <c r="AB131" s="5151" t="s">
        <v>5317</v>
      </c>
      <c r="AC131" s="5038" t="s">
        <v>5318</v>
      </c>
      <c r="AD131" s="5151" t="s">
        <v>5319</v>
      </c>
      <c r="AE131" s="5038" t="s">
        <v>5320</v>
      </c>
      <c r="AF131" s="5151" t="s">
        <v>5321</v>
      </c>
      <c r="AG131" s="5038" t="s">
        <v>5322</v>
      </c>
      <c r="AH131" s="5151" t="s">
        <v>5323</v>
      </c>
      <c r="AI131" s="5038" t="s">
        <v>5324</v>
      </c>
      <c r="AJ131" s="5151" t="s">
        <v>5325</v>
      </c>
      <c r="AK131" s="5038" t="s">
        <v>5326</v>
      </c>
      <c r="AL131" s="5151" t="s">
        <v>5327</v>
      </c>
      <c r="AM131" s="5038" t="s">
        <v>5328</v>
      </c>
      <c r="AN131" s="5151" t="s">
        <v>5329</v>
      </c>
      <c r="AO131" s="5038" t="s">
        <v>5330</v>
      </c>
      <c r="AP131" s="5151" t="s">
        <v>5331</v>
      </c>
      <c r="AQ131" s="5038" t="s">
        <v>5332</v>
      </c>
      <c r="AR131" s="5145" t="s">
        <v>5333</v>
      </c>
      <c r="AS131" s="3483" t="s">
        <v>5334</v>
      </c>
      <c r="AT131" s="5145" t="s">
        <v>5335</v>
      </c>
      <c r="AU131" s="5146" t="s">
        <v>5336</v>
      </c>
      <c r="AV131" s="5145" t="s">
        <v>5337</v>
      </c>
      <c r="AW131" s="3479" t="s">
        <v>5338</v>
      </c>
      <c r="AX131" s="5147" t="s">
        <v>5339</v>
      </c>
      <c r="AY131" s="1687" t="e">
        <f t="shared" ref="AY131:AY140" si="459">CB131&amp;CC131&amp;CD131&amp;CE131&amp;CF131&amp;CL131&amp;CM131&amp;CN131&amp;CO131&amp;CP131&amp;CQ131&amp;CR131&amp;CS131&amp;CT131&amp;CU131&amp;CV131&amp;CW131&amp;CX131&amp;CY131&amp;CG131&amp;CH131&amp;CI131&amp;CJ131&amp;CK131</f>
        <v>#VALUE!</v>
      </c>
      <c r="CB131" s="600"/>
      <c r="CC131" s="4747" t="str">
        <f t="shared" si="456"/>
        <v xml:space="preserve"> * La suma de las columnas POR SEXO (Procesados) DEBE SER IGUAL a los Exámenes Procesados. </v>
      </c>
      <c r="CD131" s="2784" t="e">
        <f t="shared" si="421"/>
        <v>#VALUE!</v>
      </c>
      <c r="CE131" s="2784" t="str">
        <f t="shared" si="422"/>
        <v xml:space="preserve"> *El Número de Pueblos Originarios no puede superar el Total Procesados. </v>
      </c>
      <c r="CF131" s="2784" t="str">
        <f t="shared" si="423"/>
        <v xml:space="preserve"> *El Número de Migrantes no puede superar el Total Procesados. </v>
      </c>
      <c r="CG131" s="2784" t="str">
        <f>IF(E131&lt;F131,CONCATENATE("* El total de Procesados debe ser mayor o igual al total de Reactivos en el grupo de edad ",$E$11),"")</f>
        <v>* El total de Procesados debe ser mayor o igual al total de Reactivos en el grupo de edad Menos de 6 meses</v>
      </c>
      <c r="CH131" s="2784" t="str">
        <f>IF(G131&lt;H131,CONCATENATE("* El total de Procesados debe ser mayor o igual al total de Reactivos en el grupo de edad ",$G$11),"")</f>
        <v>* El total de Procesados debe ser mayor o igual al total de Reactivos en el grupo de edad 6 - 11 meses</v>
      </c>
      <c r="CI131" s="2784" t="str">
        <f>IF(I131&lt;J131,CONCATENATE("* El total de Procesados debe ser mayor o igual al total de Reactivos en el grupo de edad ",$I$11),"")</f>
        <v>* El total de Procesados debe ser mayor o igual al total de Reactivos en el grupo de edad 12-24 meses</v>
      </c>
      <c r="CJ131" s="2784" t="str">
        <f>IF(K131&lt;L131,CONCATENATE("* El total de Procesados debe ser mayor o igual al total de Reactivos en el grupo de edad ",$K$11),"")</f>
        <v>* El total de Procesados debe ser mayor o igual al total de Reactivos en el grupo de edad 3 - 4 años</v>
      </c>
      <c r="CK131" s="2784" t="str">
        <f>IF(M131&lt;N131,CONCATENATE("* El total de Procesados debe ser mayor o igual al total de Reactivos en el grupo de edad ",$M$11),"")</f>
        <v>* El total de Procesados debe ser mayor o igual al total de Reactivos en el grupo de edad 5 - 9 años</v>
      </c>
      <c r="CL131" s="2784" t="str">
        <f>IF(O131&lt;P131,CONCATENATE("* El total de Procesados debe ser mayor o igual al total de Reactivos en el grupo de edad ",$O$11),"")</f>
        <v>* El total de Procesados debe ser mayor o igual al total de Reactivos en el grupo de edad 10 - 14 años</v>
      </c>
      <c r="CM131" s="2784" t="str">
        <f>IF(Q131&lt;R131,CONCATENATE("* El total de Procesados debe ser mayor o igual al total de Reactivos en el grupo de edad ",$Q$11),"")</f>
        <v>* El total de Procesados debe ser mayor o igual al total de Reactivos en el grupo de edad 15 - 19 años</v>
      </c>
      <c r="CN131" s="2784" t="str">
        <f t="shared" si="426"/>
        <v>* El total de Procesados debe ser mayor o igual al total de Reactivos en el grupo de edad 20 - 24 años</v>
      </c>
      <c r="CO131" s="2784" t="str">
        <f t="shared" si="427"/>
        <v>* El total de Procesados debe ser mayor o igual al total de Reactivos en el grupo de edad 25 - 29 años</v>
      </c>
      <c r="CP131" s="2784" t="str">
        <f t="shared" si="428"/>
        <v>* El total de Procesados debe ser mayor o igual al total de Reactivos en el grupo de edad 30 - 34 años</v>
      </c>
      <c r="CQ131" s="2784" t="str">
        <f t="shared" si="429"/>
        <v>* El total de Procesados debe ser mayor o igual al total de Reactivos en el grupo de edad 35 - 39 años</v>
      </c>
      <c r="CR131" s="2784" t="str">
        <f t="shared" si="430"/>
        <v>* El total de Procesados debe ser mayor o igual al total de Reactivos en el grupo de edad 40 - 44 años</v>
      </c>
      <c r="CS131" s="2784" t="str">
        <f t="shared" si="431"/>
        <v>* El total de Procesados debe ser mayor o igual al total de Reactivos en el grupo de edad 50 - 54 años</v>
      </c>
      <c r="CT131" s="2784" t="str">
        <f t="shared" si="432"/>
        <v>* El total de Procesados debe ser mayor o igual al total de Reactivos en el grupo de edad 55 - 59 años</v>
      </c>
      <c r="CU131" s="2784" t="str">
        <f t="shared" si="433"/>
        <v>* El total de Procesados debe ser mayor o igual al total de Reactivos en el grupo de edad 60 - 64 años</v>
      </c>
      <c r="CV131" s="2784" t="str">
        <f t="shared" si="434"/>
        <v>* El total de Procesados debe ser mayor o igual al total de Reactivos en el grupo de edad 65 - 69 años</v>
      </c>
      <c r="CW131" s="2784" t="str">
        <f t="shared" si="435"/>
        <v>* El total de Procesados debe ser mayor o igual al total de Reactivos en el grupo de edad 70 - 74 años</v>
      </c>
      <c r="CX131" s="2784" t="str">
        <f t="shared" si="436"/>
        <v>* El total de Procesados debe ser mayor o igual al total de Reactivos en el grupo de edad 75 - 79 años</v>
      </c>
      <c r="CY131" s="2784" t="str">
        <f t="shared" si="437"/>
        <v>* El total de Procesados debe ser mayor o igual al total de Reactivos en el grupo de edad 80 y más años</v>
      </c>
      <c r="DF131" s="2630"/>
      <c r="DG131" s="4747">
        <f t="shared" si="458"/>
        <v>1</v>
      </c>
      <c r="DH131" s="2920" t="e">
        <f t="shared" si="439"/>
        <v>#VALUE!</v>
      </c>
      <c r="DI131" s="2920">
        <f t="shared" si="440"/>
        <v>1</v>
      </c>
      <c r="DJ131" s="2920">
        <f t="shared" si="441"/>
        <v>1</v>
      </c>
      <c r="DK131" s="2920">
        <f>IF(E131&lt;F131,1,0)</f>
        <v>1</v>
      </c>
      <c r="DL131" s="2920">
        <f>IF(G131&lt;H131,1,0)</f>
        <v>1</v>
      </c>
      <c r="DM131" s="2920">
        <f>IF(I131&lt;J131,1,0)</f>
        <v>1</v>
      </c>
      <c r="DN131" s="2920">
        <f>IF(K131&lt;L131,1,0)</f>
        <v>1</v>
      </c>
      <c r="DO131" s="2920">
        <f>IF(M131&lt;N131,1,0)</f>
        <v>1</v>
      </c>
      <c r="DP131" s="2920">
        <f t="shared" si="442"/>
        <v>1</v>
      </c>
      <c r="DQ131" s="2920">
        <f t="shared" si="443"/>
        <v>1</v>
      </c>
      <c r="DR131" s="2920">
        <f t="shared" si="444"/>
        <v>1</v>
      </c>
      <c r="DS131" s="2920">
        <f t="shared" si="445"/>
        <v>1</v>
      </c>
      <c r="DT131" s="2920">
        <f t="shared" si="446"/>
        <v>1</v>
      </c>
      <c r="DU131" s="2920">
        <f t="shared" si="447"/>
        <v>1</v>
      </c>
      <c r="DV131" s="2920">
        <f t="shared" si="448"/>
        <v>1</v>
      </c>
      <c r="DW131" s="2920">
        <f t="shared" si="449"/>
        <v>1</v>
      </c>
      <c r="DX131" s="2920">
        <f t="shared" si="450"/>
        <v>1</v>
      </c>
      <c r="DY131" s="2920">
        <f t="shared" si="451"/>
        <v>1</v>
      </c>
      <c r="DZ131" s="2920">
        <f t="shared" si="452"/>
        <v>1</v>
      </c>
      <c r="EA131" s="2920">
        <f t="shared" si="453"/>
        <v>1</v>
      </c>
      <c r="EB131" s="2920">
        <f t="shared" si="454"/>
        <v>1</v>
      </c>
      <c r="EC131" s="2920">
        <f t="shared" si="455"/>
        <v>1</v>
      </c>
    </row>
    <row r="132" spans="1:133" ht="20.399999999999999" x14ac:dyDescent="0.3">
      <c r="A132" s="6234">
        <v>11056463</v>
      </c>
      <c r="B132" s="3239" t="s">
        <v>2668</v>
      </c>
      <c r="C132" s="1928" t="s">
        <v>5292</v>
      </c>
      <c r="D132" s="3242" t="s">
        <v>5293</v>
      </c>
      <c r="E132" s="3479" t="s">
        <v>5294</v>
      </c>
      <c r="F132" s="5151" t="s">
        <v>5295</v>
      </c>
      <c r="G132" s="5038" t="s">
        <v>5296</v>
      </c>
      <c r="H132" s="5151" t="s">
        <v>5297</v>
      </c>
      <c r="I132" s="5038" t="s">
        <v>5298</v>
      </c>
      <c r="J132" s="5147" t="s">
        <v>5299</v>
      </c>
      <c r="K132" s="5152" t="s">
        <v>5300</v>
      </c>
      <c r="L132" s="5153" t="s">
        <v>5301</v>
      </c>
      <c r="M132" s="5152" t="s">
        <v>5302</v>
      </c>
      <c r="N132" s="5153" t="s">
        <v>5303</v>
      </c>
      <c r="O132" s="5152" t="s">
        <v>5304</v>
      </c>
      <c r="P132" s="5153" t="s">
        <v>5305</v>
      </c>
      <c r="Q132" s="5152" t="s">
        <v>5306</v>
      </c>
      <c r="R132" s="5153" t="s">
        <v>5307</v>
      </c>
      <c r="S132" s="5152" t="s">
        <v>5308</v>
      </c>
      <c r="T132" s="5153" t="s">
        <v>5309</v>
      </c>
      <c r="U132" s="5152" t="s">
        <v>5310</v>
      </c>
      <c r="V132" s="5153" t="s">
        <v>5311</v>
      </c>
      <c r="W132" s="5152" t="s">
        <v>5312</v>
      </c>
      <c r="X132" s="5153" t="s">
        <v>5313</v>
      </c>
      <c r="Y132" s="5152" t="s">
        <v>5314</v>
      </c>
      <c r="Z132" s="5153" t="s">
        <v>5315</v>
      </c>
      <c r="AA132" s="5152" t="s">
        <v>5316</v>
      </c>
      <c r="AB132" s="5153" t="s">
        <v>5317</v>
      </c>
      <c r="AC132" s="5152" t="s">
        <v>5318</v>
      </c>
      <c r="AD132" s="5153" t="s">
        <v>5319</v>
      </c>
      <c r="AE132" s="5152" t="s">
        <v>5320</v>
      </c>
      <c r="AF132" s="5153" t="s">
        <v>5321</v>
      </c>
      <c r="AG132" s="5152" t="s">
        <v>5322</v>
      </c>
      <c r="AH132" s="5153" t="s">
        <v>5323</v>
      </c>
      <c r="AI132" s="5152" t="s">
        <v>5324</v>
      </c>
      <c r="AJ132" s="5153" t="s">
        <v>5325</v>
      </c>
      <c r="AK132" s="5152" t="s">
        <v>5326</v>
      </c>
      <c r="AL132" s="5153" t="s">
        <v>5327</v>
      </c>
      <c r="AM132" s="5152" t="s">
        <v>5328</v>
      </c>
      <c r="AN132" s="5153" t="s">
        <v>5329</v>
      </c>
      <c r="AO132" s="5152" t="s">
        <v>5330</v>
      </c>
      <c r="AP132" s="5153" t="s">
        <v>5331</v>
      </c>
      <c r="AQ132" s="5152" t="s">
        <v>5332</v>
      </c>
      <c r="AR132" s="5154" t="s">
        <v>5333</v>
      </c>
      <c r="AS132" s="3479" t="s">
        <v>5334</v>
      </c>
      <c r="AT132" s="5145" t="s">
        <v>5335</v>
      </c>
      <c r="AU132" s="5146" t="s">
        <v>5336</v>
      </c>
      <c r="AV132" s="5145" t="s">
        <v>5337</v>
      </c>
      <c r="AW132" s="3479" t="s">
        <v>5338</v>
      </c>
      <c r="AX132" s="5147" t="s">
        <v>5339</v>
      </c>
      <c r="AY132" s="1687" t="e">
        <f>CB132&amp;CC132&amp;CD132&amp;CE132&amp;CF132&amp;CG132&amp;CH132&amp;CI132</f>
        <v>#VALUE!</v>
      </c>
      <c r="CB132" s="600"/>
      <c r="CC132" s="2784" t="e">
        <f>IF(C132&lt;&gt;(AT132+AS132)," * La suma de las columnas "&amp;AS$10&amp;""&amp;" DEBE SER IGUAL a los Exámenes Procesados. ","")</f>
        <v>#VALUE!</v>
      </c>
      <c r="CD132" s="2784" t="e">
        <f t="shared" si="421"/>
        <v>#VALUE!</v>
      </c>
      <c r="CE132" s="2784" t="str">
        <f t="shared" si="422"/>
        <v xml:space="preserve"> *El Número de Pueblos Originarios no puede superar el Total Procesados. </v>
      </c>
      <c r="CF132" s="2784" t="str">
        <f t="shared" si="423"/>
        <v xml:space="preserve"> *El Número de Migrantes no puede superar el Total Procesados. </v>
      </c>
      <c r="CG132" s="2784" t="str">
        <f>IF(E132&lt;F132,CONCATENATE("* El total de Procesados debe ser mayor o igual al total de Reactivos en el grupo de edad ",$E$11),"")</f>
        <v>* El total de Procesados debe ser mayor o igual al total de Reactivos en el grupo de edad Menos de 6 meses</v>
      </c>
      <c r="CH132" s="2784" t="str">
        <f>IF(G132&lt;H132,CONCATENATE("* El total de Procesados debe ser mayor o igual al total de Reactivos en el grupo de edad ",$G$11),"")</f>
        <v>* El total de Procesados debe ser mayor o igual al total de Reactivos en el grupo de edad 6 - 11 meses</v>
      </c>
      <c r="CI132" s="2784" t="str">
        <f>IF(I132&lt;J132,CONCATENATE("* El total de Procesados debe ser mayor o igual al total de Reactivos en el grupo de edad ",$I$11),"")</f>
        <v>* El total de Procesados debe ser mayor o igual al total de Reactivos en el grupo de edad 12-24 meses</v>
      </c>
      <c r="CJ132" s="2783"/>
      <c r="CK132" s="2783"/>
      <c r="CL132" s="3488"/>
      <c r="CM132" s="2783"/>
      <c r="CN132" s="2783"/>
      <c r="CO132" s="2783"/>
      <c r="CP132" s="2783"/>
      <c r="CQ132" s="2783"/>
      <c r="CR132" s="2783"/>
      <c r="CS132" s="2783"/>
      <c r="CT132" s="2783"/>
      <c r="CU132" s="2783"/>
      <c r="CV132" s="2783"/>
      <c r="CW132" s="2783"/>
      <c r="CX132" s="2783"/>
      <c r="CY132" s="2783"/>
      <c r="DF132" s="2630"/>
      <c r="DG132" s="2784" t="e">
        <f>IF(C132&lt;&gt;(AT132+AS132),1,0)</f>
        <v>#VALUE!</v>
      </c>
      <c r="DH132" s="2920" t="e">
        <f t="shared" si="439"/>
        <v>#VALUE!</v>
      </c>
      <c r="DI132" s="2920">
        <f t="shared" si="440"/>
        <v>1</v>
      </c>
      <c r="DJ132" s="2920">
        <f t="shared" si="441"/>
        <v>1</v>
      </c>
      <c r="DK132" s="2920">
        <f>IF(E132&lt;F132,1,0)</f>
        <v>1</v>
      </c>
      <c r="DL132" s="2920">
        <f>IF(G132&lt;H132,1,0)</f>
        <v>1</v>
      </c>
      <c r="DM132" s="2920">
        <f>IF(I132&lt;J132,1,0)</f>
        <v>1</v>
      </c>
      <c r="DN132" s="2783"/>
      <c r="DO132" s="2783"/>
      <c r="DP132" s="3018"/>
      <c r="DQ132" s="3018"/>
      <c r="DR132" s="3018"/>
      <c r="DS132" s="3018"/>
      <c r="DT132" s="3018"/>
      <c r="DU132" s="3018"/>
      <c r="DV132" s="3018"/>
      <c r="DW132" s="3018"/>
      <c r="DX132" s="3018"/>
      <c r="DY132" s="3018"/>
      <c r="DZ132" s="3018"/>
      <c r="EA132" s="3018"/>
      <c r="EB132" s="3018"/>
      <c r="EC132" s="3018"/>
    </row>
    <row r="133" spans="1:133" x14ac:dyDescent="0.3">
      <c r="A133" s="6234">
        <v>11056464</v>
      </c>
      <c r="B133" s="3239" t="s">
        <v>2669</v>
      </c>
      <c r="C133" s="1928" t="s">
        <v>5292</v>
      </c>
      <c r="D133" s="3242" t="s">
        <v>5293</v>
      </c>
      <c r="E133" s="3475" t="s">
        <v>5294</v>
      </c>
      <c r="F133" s="5149" t="s">
        <v>5295</v>
      </c>
      <c r="G133" s="5148" t="s">
        <v>5296</v>
      </c>
      <c r="H133" s="5149" t="s">
        <v>5297</v>
      </c>
      <c r="I133" s="5148" t="s">
        <v>5298</v>
      </c>
      <c r="J133" s="5149" t="s">
        <v>5299</v>
      </c>
      <c r="K133" s="5148" t="s">
        <v>5300</v>
      </c>
      <c r="L133" s="5149" t="s">
        <v>5301</v>
      </c>
      <c r="M133" s="5148" t="s">
        <v>5302</v>
      </c>
      <c r="N133" s="5150" t="s">
        <v>5303</v>
      </c>
      <c r="O133" s="3475" t="s">
        <v>5304</v>
      </c>
      <c r="P133" s="5149" t="s">
        <v>5305</v>
      </c>
      <c r="Q133" s="5038" t="s">
        <v>5306</v>
      </c>
      <c r="R133" s="5151" t="s">
        <v>5307</v>
      </c>
      <c r="S133" s="5038" t="s">
        <v>5308</v>
      </c>
      <c r="T133" s="5151" t="s">
        <v>5309</v>
      </c>
      <c r="U133" s="5038" t="s">
        <v>5310</v>
      </c>
      <c r="V133" s="5151" t="s">
        <v>5311</v>
      </c>
      <c r="W133" s="5038" t="s">
        <v>5312</v>
      </c>
      <c r="X133" s="5151" t="s">
        <v>5313</v>
      </c>
      <c r="Y133" s="5038" t="s">
        <v>5314</v>
      </c>
      <c r="Z133" s="5151" t="s">
        <v>5315</v>
      </c>
      <c r="AA133" s="5038" t="s">
        <v>5316</v>
      </c>
      <c r="AB133" s="5151" t="s">
        <v>5317</v>
      </c>
      <c r="AC133" s="5038" t="s">
        <v>5318</v>
      </c>
      <c r="AD133" s="5151" t="s">
        <v>5319</v>
      </c>
      <c r="AE133" s="5038" t="s">
        <v>5320</v>
      </c>
      <c r="AF133" s="5151" t="s">
        <v>5321</v>
      </c>
      <c r="AG133" s="5038" t="s">
        <v>5322</v>
      </c>
      <c r="AH133" s="5151" t="s">
        <v>5323</v>
      </c>
      <c r="AI133" s="5038" t="s">
        <v>5324</v>
      </c>
      <c r="AJ133" s="5151" t="s">
        <v>5325</v>
      </c>
      <c r="AK133" s="5038" t="s">
        <v>5326</v>
      </c>
      <c r="AL133" s="5151" t="s">
        <v>5327</v>
      </c>
      <c r="AM133" s="5038" t="s">
        <v>5328</v>
      </c>
      <c r="AN133" s="5151" t="s">
        <v>5329</v>
      </c>
      <c r="AO133" s="5038" t="s">
        <v>5330</v>
      </c>
      <c r="AP133" s="5151" t="s">
        <v>5331</v>
      </c>
      <c r="AQ133" s="5038" t="s">
        <v>5332</v>
      </c>
      <c r="AR133" s="5145" t="s">
        <v>5333</v>
      </c>
      <c r="AS133" s="3479" t="s">
        <v>5334</v>
      </c>
      <c r="AT133" s="5145" t="s">
        <v>5335</v>
      </c>
      <c r="AU133" s="5146" t="s">
        <v>5336</v>
      </c>
      <c r="AV133" s="5145" t="s">
        <v>5337</v>
      </c>
      <c r="AW133" s="3479" t="s">
        <v>5338</v>
      </c>
      <c r="AX133" s="5147" t="s">
        <v>5339</v>
      </c>
      <c r="AY133" s="1687" t="e">
        <f>CB133&amp;CC133&amp;CD133&amp;CE133&amp;CF133&amp;CM133&amp;CN133&amp;CO133&amp;CP133&amp;CQ133&amp;CR133&amp;CS133&amp;CT133&amp;CU133&amp;CV133&amp;CW133&amp;CX133&amp;CY133</f>
        <v>#VALUE!</v>
      </c>
      <c r="CB133" s="600"/>
      <c r="CC133" s="2784" t="e">
        <f t="shared" ref="CC133:CC140" si="460">IF(C133&lt;&gt;(AT133+AS133)," * La suma de las columnas "&amp;AS$10&amp;""&amp;" DEBE SER IGUAL a los Exámenes Procesados. ","")</f>
        <v>#VALUE!</v>
      </c>
      <c r="CD133" s="2784" t="e">
        <f t="shared" si="421"/>
        <v>#VALUE!</v>
      </c>
      <c r="CE133" s="2784" t="str">
        <f t="shared" si="422"/>
        <v xml:space="preserve"> *El Número de Pueblos Originarios no puede superar el Total Procesados. </v>
      </c>
      <c r="CF133" s="2784" t="str">
        <f t="shared" si="423"/>
        <v xml:space="preserve"> *El Número de Migrantes no puede superar el Total Procesados. </v>
      </c>
      <c r="CG133" s="3488"/>
      <c r="CH133" s="3488"/>
      <c r="CI133" s="2783"/>
      <c r="CJ133" s="2783"/>
      <c r="CK133" s="2783"/>
      <c r="CL133" s="3488"/>
      <c r="CM133" s="2784" t="str">
        <f>IF(Q133&lt;R133,CONCATENATE("* El total de Procesados debe ser mayor o igual al total de Reactivos en el grupo de edad ",$Q$11),"")</f>
        <v>* El total de Procesados debe ser mayor o igual al total de Reactivos en el grupo de edad 15 - 19 años</v>
      </c>
      <c r="CN133" s="2784" t="str">
        <f t="shared" ref="CN133:CN140" si="461">IF(S133&lt;T133,CONCATENATE("* El total de Procesados debe ser mayor o igual al total de Reactivos en el grupo de edad ",$S$11),"")</f>
        <v>* El total de Procesados debe ser mayor o igual al total de Reactivos en el grupo de edad 20 - 24 años</v>
      </c>
      <c r="CO133" s="2784" t="str">
        <f t="shared" si="427"/>
        <v>* El total de Procesados debe ser mayor o igual al total de Reactivos en el grupo de edad 25 - 29 años</v>
      </c>
      <c r="CP133" s="2784" t="str">
        <f t="shared" ref="CP133:CP140" si="462">IF(W133&lt;X133,CONCATENATE("* El total de Procesados debe ser mayor o igual al total de Reactivos en el grupo de edad ",$W$11),"")</f>
        <v>* El total de Procesados debe ser mayor o igual al total de Reactivos en el grupo de edad 30 - 34 años</v>
      </c>
      <c r="CQ133" s="2784" t="str">
        <f t="shared" ref="CQ133:CQ140" si="463">IF(Y133&lt;Z133,CONCATENATE("* El total de Procesados debe ser mayor o igual al total de Reactivos en el grupo de edad ",$Y$11),"")</f>
        <v>* El total de Procesados debe ser mayor o igual al total de Reactivos en el grupo de edad 35 - 39 años</v>
      </c>
      <c r="CR133" s="2784" t="str">
        <f t="shared" ref="CR133:CR140" si="464">IF(AA133&lt;AB133,CONCATENATE("* El total de Procesados debe ser mayor o igual al total de Reactivos en el grupo de edad ",$AA$11),"")</f>
        <v>* El total de Procesados debe ser mayor o igual al total de Reactivos en el grupo de edad 40 - 44 años</v>
      </c>
      <c r="CS133" s="2784" t="str">
        <f t="shared" ref="CS133:CS140" si="465">IF(AE133&lt;AF133,CONCATENATE("* El total de Procesados debe ser mayor o igual al total de Reactivos en el grupo de edad ",$AE$11),"")</f>
        <v>* El total de Procesados debe ser mayor o igual al total de Reactivos en el grupo de edad 50 - 54 años</v>
      </c>
      <c r="CT133" s="2784" t="str">
        <f t="shared" ref="CT133:CT140" si="466">IF(AG133&lt;AH133,CONCATENATE("* El total de Procesados debe ser mayor o igual al total de Reactivos en el grupo de edad ",$AG$11),"")</f>
        <v>* El total de Procesados debe ser mayor o igual al total de Reactivos en el grupo de edad 55 - 59 años</v>
      </c>
      <c r="CU133" s="2784" t="str">
        <f t="shared" ref="CU133:CU140" si="467">IF(AI133&lt;AJ133,CONCATENATE("* El total de Procesados debe ser mayor o igual al total de Reactivos en el grupo de edad ",$AI$11),"")</f>
        <v>* El total de Procesados debe ser mayor o igual al total de Reactivos en el grupo de edad 60 - 64 años</v>
      </c>
      <c r="CV133" s="2784" t="str">
        <f t="shared" ref="CV133:CV136" si="468">IF(AK133&lt;AL133,CONCATENATE("* El total de Procesados debe ser mayor o igual al total de Reactivos en el grupo de edad ",$AK$11),"")</f>
        <v>* El total de Procesados debe ser mayor o igual al total de Reactivos en el grupo de edad 65 - 69 años</v>
      </c>
      <c r="CW133" s="2784" t="str">
        <f t="shared" ref="CW133:CW136" si="469">IF(AM133&lt;AN133,CONCATENATE("* El total de Procesados debe ser mayor o igual al total de Reactivos en el grupo de edad ",$AM$11),"")</f>
        <v>* El total de Procesados debe ser mayor o igual al total de Reactivos en el grupo de edad 70 - 74 años</v>
      </c>
      <c r="CX133" s="2784" t="str">
        <f t="shared" ref="CX133:CX136" si="470">IF(AO133&lt;AP133,CONCATENATE("* El total de Procesados debe ser mayor o igual al total de Reactivos en el grupo de edad ",$AO$11),"")</f>
        <v>* El total de Procesados debe ser mayor o igual al total de Reactivos en el grupo de edad 75 - 79 años</v>
      </c>
      <c r="CY133" s="2784" t="str">
        <f t="shared" ref="CY133:CY136" si="471">IF(AQ133&lt;AR133,CONCATENATE("* El total de Procesados debe ser mayor o igual al total de Reactivos en el grupo de edad ",$AQ$11),"")</f>
        <v>* El total de Procesados debe ser mayor o igual al total de Reactivos en el grupo de edad 80 y más años</v>
      </c>
      <c r="DF133" s="2630"/>
      <c r="DG133" s="2784" t="e">
        <f t="shared" ref="DG133:DG140" si="472">IF(C133&lt;&gt;(AT133+AS133),1,0)</f>
        <v>#VALUE!</v>
      </c>
      <c r="DH133" s="2920" t="e">
        <f t="shared" si="439"/>
        <v>#VALUE!</v>
      </c>
      <c r="DI133" s="2920">
        <f t="shared" si="440"/>
        <v>1</v>
      </c>
      <c r="DJ133" s="2920">
        <f t="shared" si="441"/>
        <v>1</v>
      </c>
      <c r="DK133" s="2783"/>
      <c r="DL133" s="2783"/>
      <c r="DM133" s="2783"/>
      <c r="DN133" s="2783"/>
      <c r="DO133" s="2783"/>
      <c r="DP133" s="3018"/>
      <c r="DQ133" s="2920">
        <f t="shared" ref="DQ133:DQ140" si="473">IF(Q133&lt;R133,1,0)</f>
        <v>1</v>
      </c>
      <c r="DR133" s="2920">
        <f t="shared" ref="DR133:DR140" si="474">IF(S133&lt;T133,1,0)</f>
        <v>1</v>
      </c>
      <c r="DS133" s="2920">
        <f t="shared" si="445"/>
        <v>1</v>
      </c>
      <c r="DT133" s="2920">
        <f t="shared" ref="DT133:DT140" si="475">IF(W133&lt;X133,1,0)</f>
        <v>1</v>
      </c>
      <c r="DU133" s="2920">
        <f t="shared" ref="DU133:DU140" si="476">IF(Y133&lt;Z133,1,0)</f>
        <v>1</v>
      </c>
      <c r="DV133" s="2920">
        <f t="shared" ref="DV133:DV140" si="477">IF(AA133&lt;AB133,1,0)</f>
        <v>1</v>
      </c>
      <c r="DW133" s="2920">
        <f t="shared" ref="DW133:DW140" si="478">IF(AE133&lt;AF133,1,0)</f>
        <v>1</v>
      </c>
      <c r="DX133" s="2920">
        <f t="shared" ref="DX133:DX140" si="479">IF(AG133&lt;AH133,1,0)</f>
        <v>1</v>
      </c>
      <c r="DY133" s="2920">
        <f t="shared" ref="DY133:DY140" si="480">IF(AI133&lt;AJ133,1,0)</f>
        <v>1</v>
      </c>
      <c r="DZ133" s="2920">
        <f t="shared" ref="DZ133:DZ136" si="481">IF(AK133&lt;AL133,1,0)</f>
        <v>1</v>
      </c>
      <c r="EA133" s="2920">
        <f t="shared" ref="EA133:EA136" si="482">IF(AM133&lt;AN133,1,0)</f>
        <v>1</v>
      </c>
      <c r="EB133" s="2920">
        <f t="shared" ref="EB133:EB136" si="483">IF(AO133&lt;AP133,1,0)</f>
        <v>1</v>
      </c>
      <c r="EC133" s="2920">
        <f t="shared" ref="EC133:EC136" si="484">IF(AQ133&lt;AR133,1,0)</f>
        <v>1</v>
      </c>
    </row>
    <row r="134" spans="1:133" x14ac:dyDescent="0.3">
      <c r="A134" s="6234">
        <v>11056465</v>
      </c>
      <c r="B134" s="3184" t="s">
        <v>2670</v>
      </c>
      <c r="C134" s="1928" t="s">
        <v>5292</v>
      </c>
      <c r="D134" s="3242" t="s">
        <v>5293</v>
      </c>
      <c r="E134" s="3483" t="s">
        <v>5294</v>
      </c>
      <c r="F134" s="5153" t="s">
        <v>5295</v>
      </c>
      <c r="G134" s="5152" t="s">
        <v>5296</v>
      </c>
      <c r="H134" s="5153" t="s">
        <v>5297</v>
      </c>
      <c r="I134" s="5152" t="s">
        <v>5298</v>
      </c>
      <c r="J134" s="5155" t="s">
        <v>5299</v>
      </c>
      <c r="K134" s="3483" t="s">
        <v>5300</v>
      </c>
      <c r="L134" s="3483" t="s">
        <v>5301</v>
      </c>
      <c r="M134" s="5152" t="s">
        <v>5302</v>
      </c>
      <c r="N134" s="5155" t="s">
        <v>5303</v>
      </c>
      <c r="O134" s="3479" t="s">
        <v>5304</v>
      </c>
      <c r="P134" s="5151" t="s">
        <v>5305</v>
      </c>
      <c r="Q134" s="5038" t="s">
        <v>5306</v>
      </c>
      <c r="R134" s="5151" t="s">
        <v>5307</v>
      </c>
      <c r="S134" s="5038" t="s">
        <v>5308</v>
      </c>
      <c r="T134" s="5151" t="s">
        <v>5309</v>
      </c>
      <c r="U134" s="5038" t="s">
        <v>5310</v>
      </c>
      <c r="V134" s="5151" t="s">
        <v>5311</v>
      </c>
      <c r="W134" s="5038" t="s">
        <v>5312</v>
      </c>
      <c r="X134" s="5151" t="s">
        <v>5313</v>
      </c>
      <c r="Y134" s="5038" t="s">
        <v>5314</v>
      </c>
      <c r="Z134" s="5151" t="s">
        <v>5315</v>
      </c>
      <c r="AA134" s="5038" t="s">
        <v>5316</v>
      </c>
      <c r="AB134" s="5151" t="s">
        <v>5317</v>
      </c>
      <c r="AC134" s="5038" t="s">
        <v>5318</v>
      </c>
      <c r="AD134" s="5151" t="s">
        <v>5319</v>
      </c>
      <c r="AE134" s="5038" t="s">
        <v>5320</v>
      </c>
      <c r="AF134" s="5151" t="s">
        <v>5321</v>
      </c>
      <c r="AG134" s="5038" t="s">
        <v>5322</v>
      </c>
      <c r="AH134" s="5151" t="s">
        <v>5323</v>
      </c>
      <c r="AI134" s="5038" t="s">
        <v>5324</v>
      </c>
      <c r="AJ134" s="5151" t="s">
        <v>5325</v>
      </c>
      <c r="AK134" s="5038" t="s">
        <v>5326</v>
      </c>
      <c r="AL134" s="5151" t="s">
        <v>5327</v>
      </c>
      <c r="AM134" s="5038" t="s">
        <v>5328</v>
      </c>
      <c r="AN134" s="5151" t="s">
        <v>5329</v>
      </c>
      <c r="AO134" s="5038" t="s">
        <v>5330</v>
      </c>
      <c r="AP134" s="5151" t="s">
        <v>5331</v>
      </c>
      <c r="AQ134" s="5038" t="s">
        <v>5332</v>
      </c>
      <c r="AR134" s="5145" t="s">
        <v>5333</v>
      </c>
      <c r="AS134" s="3479" t="s">
        <v>5334</v>
      </c>
      <c r="AT134" s="5145" t="s">
        <v>5335</v>
      </c>
      <c r="AU134" s="5146" t="s">
        <v>5336</v>
      </c>
      <c r="AV134" s="5145" t="s">
        <v>5337</v>
      </c>
      <c r="AW134" s="3479" t="s">
        <v>5338</v>
      </c>
      <c r="AX134" s="5147" t="s">
        <v>5339</v>
      </c>
      <c r="AY134" s="1687" t="e">
        <f>CB134&amp;CC134&amp;CD134&amp;CE134&amp;CF134&amp;CM134&amp;CN134&amp;CO134&amp;CP134&amp;CQ134&amp;CR134&amp;CS134&amp;CT134&amp;CU134&amp;CV134&amp;CW134&amp;CX134&amp;CY134&amp;CL134</f>
        <v>#VALUE!</v>
      </c>
      <c r="CB134" s="600"/>
      <c r="CC134" s="2784" t="e">
        <f t="shared" si="460"/>
        <v>#VALUE!</v>
      </c>
      <c r="CD134" s="2784" t="e">
        <f t="shared" si="421"/>
        <v>#VALUE!</v>
      </c>
      <c r="CE134" s="2784" t="str">
        <f t="shared" si="422"/>
        <v xml:space="preserve"> *El Número de Pueblos Originarios no puede superar el Total Procesados. </v>
      </c>
      <c r="CF134" s="2784" t="str">
        <f t="shared" si="423"/>
        <v xml:space="preserve"> *El Número de Migrantes no puede superar el Total Procesados. </v>
      </c>
      <c r="CG134" s="3488"/>
      <c r="CH134" s="3488"/>
      <c r="CI134" s="2783"/>
      <c r="CJ134" s="2783"/>
      <c r="CK134" s="2783"/>
      <c r="CL134" s="2784" t="str">
        <f>IF(O134&lt;P134,CONCATENATE("* El total de Procesados debe ser mayor o igual al total de Reactivos en el grupo de edad ",$O$11),"")</f>
        <v>* El total de Procesados debe ser mayor o igual al total de Reactivos en el grupo de edad 10 - 14 años</v>
      </c>
      <c r="CM134" s="2784" t="str">
        <f t="shared" ref="CM134" si="485">IF(Q134&lt;R134,CONCATENATE("* El total de Procesados debe ser mayor o igual al total de Reactivos en el grupo de edad ",$Q$11),"")</f>
        <v>* El total de Procesados debe ser mayor o igual al total de Reactivos en el grupo de edad 15 - 19 años</v>
      </c>
      <c r="CN134" s="2784" t="str">
        <f t="shared" si="461"/>
        <v>* El total de Procesados debe ser mayor o igual al total de Reactivos en el grupo de edad 20 - 24 años</v>
      </c>
      <c r="CO134" s="2784" t="str">
        <f t="shared" si="427"/>
        <v>* El total de Procesados debe ser mayor o igual al total de Reactivos en el grupo de edad 25 - 29 años</v>
      </c>
      <c r="CP134" s="2784" t="str">
        <f t="shared" si="462"/>
        <v>* El total de Procesados debe ser mayor o igual al total de Reactivos en el grupo de edad 30 - 34 años</v>
      </c>
      <c r="CQ134" s="2784" t="str">
        <f t="shared" si="463"/>
        <v>* El total de Procesados debe ser mayor o igual al total de Reactivos en el grupo de edad 35 - 39 años</v>
      </c>
      <c r="CR134" s="2784" t="str">
        <f t="shared" si="464"/>
        <v>* El total de Procesados debe ser mayor o igual al total de Reactivos en el grupo de edad 40 - 44 años</v>
      </c>
      <c r="CS134" s="2784" t="str">
        <f t="shared" si="465"/>
        <v>* El total de Procesados debe ser mayor o igual al total de Reactivos en el grupo de edad 50 - 54 años</v>
      </c>
      <c r="CT134" s="2784" t="str">
        <f t="shared" si="466"/>
        <v>* El total de Procesados debe ser mayor o igual al total de Reactivos en el grupo de edad 55 - 59 años</v>
      </c>
      <c r="CU134" s="2784" t="str">
        <f t="shared" si="467"/>
        <v>* El total de Procesados debe ser mayor o igual al total de Reactivos en el grupo de edad 60 - 64 años</v>
      </c>
      <c r="CV134" s="2784" t="str">
        <f t="shared" si="468"/>
        <v>* El total de Procesados debe ser mayor o igual al total de Reactivos en el grupo de edad 65 - 69 años</v>
      </c>
      <c r="CW134" s="2784" t="str">
        <f t="shared" si="469"/>
        <v>* El total de Procesados debe ser mayor o igual al total de Reactivos en el grupo de edad 70 - 74 años</v>
      </c>
      <c r="CX134" s="2784" t="str">
        <f t="shared" si="470"/>
        <v>* El total de Procesados debe ser mayor o igual al total de Reactivos en el grupo de edad 75 - 79 años</v>
      </c>
      <c r="CY134" s="2784" t="str">
        <f t="shared" si="471"/>
        <v>* El total de Procesados debe ser mayor o igual al total de Reactivos en el grupo de edad 80 y más años</v>
      </c>
      <c r="DF134" s="2630"/>
      <c r="DG134" s="2784" t="e">
        <f t="shared" si="472"/>
        <v>#VALUE!</v>
      </c>
      <c r="DH134" s="2920" t="e">
        <f t="shared" si="439"/>
        <v>#VALUE!</v>
      </c>
      <c r="DI134" s="2920">
        <f t="shared" si="440"/>
        <v>1</v>
      </c>
      <c r="DJ134" s="2920">
        <f t="shared" si="441"/>
        <v>1</v>
      </c>
      <c r="DK134" s="2783"/>
      <c r="DL134" s="2783"/>
      <c r="DM134" s="2783"/>
      <c r="DN134" s="2783"/>
      <c r="DO134" s="2783"/>
      <c r="DP134" s="2920">
        <f t="shared" ref="DP134:DP135" si="486">IF(O134&lt;P134,1,0)</f>
        <v>1</v>
      </c>
      <c r="DQ134" s="2920">
        <f t="shared" si="473"/>
        <v>1</v>
      </c>
      <c r="DR134" s="2920">
        <f t="shared" si="474"/>
        <v>1</v>
      </c>
      <c r="DS134" s="2920">
        <f t="shared" si="445"/>
        <v>1</v>
      </c>
      <c r="DT134" s="2920">
        <f t="shared" si="475"/>
        <v>1</v>
      </c>
      <c r="DU134" s="2920">
        <f t="shared" si="476"/>
        <v>1</v>
      </c>
      <c r="DV134" s="2920">
        <f t="shared" si="477"/>
        <v>1</v>
      </c>
      <c r="DW134" s="2920">
        <f t="shared" si="478"/>
        <v>1</v>
      </c>
      <c r="DX134" s="2920">
        <f t="shared" si="479"/>
        <v>1</v>
      </c>
      <c r="DY134" s="2920">
        <f t="shared" si="480"/>
        <v>1</v>
      </c>
      <c r="DZ134" s="2920">
        <f t="shared" si="481"/>
        <v>1</v>
      </c>
      <c r="EA134" s="2920">
        <f t="shared" si="482"/>
        <v>1</v>
      </c>
      <c r="EB134" s="2920">
        <f t="shared" si="483"/>
        <v>1</v>
      </c>
      <c r="EC134" s="2920">
        <f t="shared" si="484"/>
        <v>1</v>
      </c>
    </row>
    <row r="135" spans="1:133" x14ac:dyDescent="0.3">
      <c r="A135" s="6234">
        <v>11056466</v>
      </c>
      <c r="B135" s="3184" t="s">
        <v>2671</v>
      </c>
      <c r="C135" s="1928" t="s">
        <v>5292</v>
      </c>
      <c r="D135" s="3242" t="s">
        <v>5293</v>
      </c>
      <c r="E135" s="3479" t="s">
        <v>5294</v>
      </c>
      <c r="F135" s="5151" t="s">
        <v>5295</v>
      </c>
      <c r="G135" s="5038" t="s">
        <v>5296</v>
      </c>
      <c r="H135" s="5151" t="s">
        <v>5297</v>
      </c>
      <c r="I135" s="5038" t="s">
        <v>5298</v>
      </c>
      <c r="J135" s="5147" t="s">
        <v>5299</v>
      </c>
      <c r="K135" s="3479" t="s">
        <v>5300</v>
      </c>
      <c r="L135" s="3479" t="s">
        <v>5301</v>
      </c>
      <c r="M135" s="5038" t="s">
        <v>5302</v>
      </c>
      <c r="N135" s="5147" t="s">
        <v>5303</v>
      </c>
      <c r="O135" s="3479" t="s">
        <v>5304</v>
      </c>
      <c r="P135" s="5151" t="s">
        <v>5305</v>
      </c>
      <c r="Q135" s="5038" t="s">
        <v>5306</v>
      </c>
      <c r="R135" s="5151" t="s">
        <v>5307</v>
      </c>
      <c r="S135" s="5038" t="s">
        <v>5308</v>
      </c>
      <c r="T135" s="5151" t="s">
        <v>5309</v>
      </c>
      <c r="U135" s="5038" t="s">
        <v>5310</v>
      </c>
      <c r="V135" s="5151" t="s">
        <v>5311</v>
      </c>
      <c r="W135" s="5038" t="s">
        <v>5312</v>
      </c>
      <c r="X135" s="5151" t="s">
        <v>5313</v>
      </c>
      <c r="Y135" s="5038" t="s">
        <v>5314</v>
      </c>
      <c r="Z135" s="5151" t="s">
        <v>5315</v>
      </c>
      <c r="AA135" s="5038" t="s">
        <v>5316</v>
      </c>
      <c r="AB135" s="5151" t="s">
        <v>5317</v>
      </c>
      <c r="AC135" s="5038" t="s">
        <v>5318</v>
      </c>
      <c r="AD135" s="5151" t="s">
        <v>5319</v>
      </c>
      <c r="AE135" s="5038" t="s">
        <v>5320</v>
      </c>
      <c r="AF135" s="5151" t="s">
        <v>5321</v>
      </c>
      <c r="AG135" s="5038" t="s">
        <v>5322</v>
      </c>
      <c r="AH135" s="5151" t="s">
        <v>5323</v>
      </c>
      <c r="AI135" s="5038" t="s">
        <v>5324</v>
      </c>
      <c r="AJ135" s="5151" t="s">
        <v>5325</v>
      </c>
      <c r="AK135" s="5038" t="s">
        <v>5326</v>
      </c>
      <c r="AL135" s="5151" t="s">
        <v>5327</v>
      </c>
      <c r="AM135" s="5038" t="s">
        <v>5328</v>
      </c>
      <c r="AN135" s="5151" t="s">
        <v>5329</v>
      </c>
      <c r="AO135" s="5038" t="s">
        <v>5330</v>
      </c>
      <c r="AP135" s="5151" t="s">
        <v>5331</v>
      </c>
      <c r="AQ135" s="5038" t="s">
        <v>5332</v>
      </c>
      <c r="AR135" s="5145" t="s">
        <v>5333</v>
      </c>
      <c r="AS135" s="3479" t="s">
        <v>5334</v>
      </c>
      <c r="AT135" s="5145" t="s">
        <v>5335</v>
      </c>
      <c r="AU135" s="5146" t="s">
        <v>5336</v>
      </c>
      <c r="AV135" s="5145" t="s">
        <v>5337</v>
      </c>
      <c r="AW135" s="3479" t="s">
        <v>5338</v>
      </c>
      <c r="AX135" s="5147" t="s">
        <v>5339</v>
      </c>
      <c r="AY135" s="1687" t="e">
        <f t="shared" si="459"/>
        <v>#VALUE!</v>
      </c>
      <c r="CB135" s="600"/>
      <c r="CC135" s="2784" t="e">
        <f t="shared" si="460"/>
        <v>#VALUE!</v>
      </c>
      <c r="CD135" s="2784" t="e">
        <f t="shared" si="421"/>
        <v>#VALUE!</v>
      </c>
      <c r="CE135" s="2784" t="str">
        <f t="shared" si="422"/>
        <v xml:space="preserve"> *El Número de Pueblos Originarios no puede superar el Total Procesados. </v>
      </c>
      <c r="CF135" s="2784" t="str">
        <f t="shared" si="423"/>
        <v xml:space="preserve"> *El Número de Migrantes no puede superar el Total Procesados. </v>
      </c>
      <c r="CG135" s="2784" t="str">
        <f>IF(E135&lt;F135,CONCATENATE("* El total de Procesados debe ser mayor o igual al total de Reactivos en el grupo de edad ",$E$11),"")</f>
        <v>* El total de Procesados debe ser mayor o igual al total de Reactivos en el grupo de edad Menos de 6 meses</v>
      </c>
      <c r="CH135" s="2784" t="str">
        <f>IF(G135&lt;H135,CONCATENATE("* El total de Procesados debe ser mayor o igual al total de Reactivos en el grupo de edad ",$G$11),"")</f>
        <v>* El total de Procesados debe ser mayor o igual al total de Reactivos en el grupo de edad 6 - 11 meses</v>
      </c>
      <c r="CI135" s="2784" t="str">
        <f>IF(I135&lt;J135,CONCATENATE("* El total de Procesados debe ser mayor o igual al total de Reactivos en el grupo de edad ",$I$11),"")</f>
        <v>* El total de Procesados debe ser mayor o igual al total de Reactivos en el grupo de edad 12-24 meses</v>
      </c>
      <c r="CJ135" s="2784" t="str">
        <f>IF(K135&lt;L135,CONCATENATE("* El total de Procesados debe ser mayor o igual al total de Reactivos en el grupo de edad ",$K$11),"")</f>
        <v>* El total de Procesados debe ser mayor o igual al total de Reactivos en el grupo de edad 3 - 4 años</v>
      </c>
      <c r="CK135" s="2784" t="str">
        <f>IF(M135&lt;N135,CONCATENATE("* El total de Procesados debe ser mayor o igual al total de Reactivos en el grupo de edad ",$M$11),"")</f>
        <v>* El total de Procesados debe ser mayor o igual al total de Reactivos en el grupo de edad 5 - 9 años</v>
      </c>
      <c r="CL135" s="2784" t="str">
        <f>IF(O135&lt;P135,CONCATENATE("* El total de Procesados debe ser mayor o igual al total de Reactivos en el grupo de edad ",$O$11),"")</f>
        <v>* El total de Procesados debe ser mayor o igual al total de Reactivos en el grupo de edad 10 - 14 años</v>
      </c>
      <c r="CM135" s="2784" t="str">
        <f>IF(Q135&lt;R135,CONCATENATE("* El total de Procesados debe ser mayor o igual al total de Reactivos en el grupo de edad ",$Q$11),"")</f>
        <v>* El total de Procesados debe ser mayor o igual al total de Reactivos en el grupo de edad 15 - 19 años</v>
      </c>
      <c r="CN135" s="2784" t="str">
        <f t="shared" si="461"/>
        <v>* El total de Procesados debe ser mayor o igual al total de Reactivos en el grupo de edad 20 - 24 años</v>
      </c>
      <c r="CO135" s="2784" t="str">
        <f t="shared" si="427"/>
        <v>* El total de Procesados debe ser mayor o igual al total de Reactivos en el grupo de edad 25 - 29 años</v>
      </c>
      <c r="CP135" s="2784" t="str">
        <f t="shared" si="462"/>
        <v>* El total de Procesados debe ser mayor o igual al total de Reactivos en el grupo de edad 30 - 34 años</v>
      </c>
      <c r="CQ135" s="2784" t="str">
        <f t="shared" si="463"/>
        <v>* El total de Procesados debe ser mayor o igual al total de Reactivos en el grupo de edad 35 - 39 años</v>
      </c>
      <c r="CR135" s="2784" t="str">
        <f t="shared" si="464"/>
        <v>* El total de Procesados debe ser mayor o igual al total de Reactivos en el grupo de edad 40 - 44 años</v>
      </c>
      <c r="CS135" s="2784" t="str">
        <f t="shared" si="465"/>
        <v>* El total de Procesados debe ser mayor o igual al total de Reactivos en el grupo de edad 50 - 54 años</v>
      </c>
      <c r="CT135" s="2784" t="str">
        <f t="shared" si="466"/>
        <v>* El total de Procesados debe ser mayor o igual al total de Reactivos en el grupo de edad 55 - 59 años</v>
      </c>
      <c r="CU135" s="2784" t="str">
        <f t="shared" si="467"/>
        <v>* El total de Procesados debe ser mayor o igual al total de Reactivos en el grupo de edad 60 - 64 años</v>
      </c>
      <c r="CV135" s="2784" t="str">
        <f t="shared" si="468"/>
        <v>* El total de Procesados debe ser mayor o igual al total de Reactivos en el grupo de edad 65 - 69 años</v>
      </c>
      <c r="CW135" s="2784" t="str">
        <f t="shared" si="469"/>
        <v>* El total de Procesados debe ser mayor o igual al total de Reactivos en el grupo de edad 70 - 74 años</v>
      </c>
      <c r="CX135" s="2784" t="str">
        <f t="shared" si="470"/>
        <v>* El total de Procesados debe ser mayor o igual al total de Reactivos en el grupo de edad 75 - 79 años</v>
      </c>
      <c r="CY135" s="2784" t="str">
        <f t="shared" si="471"/>
        <v>* El total de Procesados debe ser mayor o igual al total de Reactivos en el grupo de edad 80 y más años</v>
      </c>
      <c r="DF135" s="2630"/>
      <c r="DG135" s="2784" t="e">
        <f t="shared" si="472"/>
        <v>#VALUE!</v>
      </c>
      <c r="DH135" s="2920" t="e">
        <f t="shared" si="439"/>
        <v>#VALUE!</v>
      </c>
      <c r="DI135" s="2920">
        <f t="shared" si="440"/>
        <v>1</v>
      </c>
      <c r="DJ135" s="2920">
        <f t="shared" si="441"/>
        <v>1</v>
      </c>
      <c r="DK135" s="2920">
        <f>IF(E135&lt;F135,1,0)</f>
        <v>1</v>
      </c>
      <c r="DL135" s="2920">
        <f>IF(G135&lt;H135,1,0)</f>
        <v>1</v>
      </c>
      <c r="DM135" s="2920">
        <f>IF(I135&lt;J135,1,0)</f>
        <v>1</v>
      </c>
      <c r="DN135" s="2920">
        <f>IF(K135&lt;L135,1,0)</f>
        <v>1</v>
      </c>
      <c r="DO135" s="2920">
        <f>IF(M135&lt;N135,1,0)</f>
        <v>1</v>
      </c>
      <c r="DP135" s="2920">
        <f t="shared" si="486"/>
        <v>1</v>
      </c>
      <c r="DQ135" s="2920">
        <f t="shared" si="473"/>
        <v>1</v>
      </c>
      <c r="DR135" s="2920">
        <f t="shared" si="474"/>
        <v>1</v>
      </c>
      <c r="DS135" s="2920">
        <f t="shared" si="445"/>
        <v>1</v>
      </c>
      <c r="DT135" s="2920">
        <f t="shared" si="475"/>
        <v>1</v>
      </c>
      <c r="DU135" s="2920">
        <f t="shared" si="476"/>
        <v>1</v>
      </c>
      <c r="DV135" s="2920">
        <f t="shared" si="477"/>
        <v>1</v>
      </c>
      <c r="DW135" s="2920">
        <f t="shared" si="478"/>
        <v>1</v>
      </c>
      <c r="DX135" s="2920">
        <f t="shared" si="479"/>
        <v>1</v>
      </c>
      <c r="DY135" s="2920">
        <f t="shared" si="480"/>
        <v>1</v>
      </c>
      <c r="DZ135" s="2920">
        <f t="shared" si="481"/>
        <v>1</v>
      </c>
      <c r="EA135" s="2920">
        <f t="shared" si="482"/>
        <v>1</v>
      </c>
      <c r="EB135" s="2920">
        <f t="shared" si="483"/>
        <v>1</v>
      </c>
      <c r="EC135" s="2920">
        <f t="shared" si="484"/>
        <v>1</v>
      </c>
    </row>
    <row r="136" spans="1:133" x14ac:dyDescent="0.3">
      <c r="A136" s="6234">
        <v>11056467</v>
      </c>
      <c r="B136" s="3485" t="s">
        <v>2672</v>
      </c>
      <c r="C136" s="1928" t="s">
        <v>5292</v>
      </c>
      <c r="D136" s="3242" t="s">
        <v>5293</v>
      </c>
      <c r="E136" s="3475" t="s">
        <v>5294</v>
      </c>
      <c r="F136" s="5149" t="s">
        <v>5295</v>
      </c>
      <c r="G136" s="5148" t="s">
        <v>5296</v>
      </c>
      <c r="H136" s="5149" t="s">
        <v>5297</v>
      </c>
      <c r="I136" s="5148" t="s">
        <v>5298</v>
      </c>
      <c r="J136" s="5149" t="s">
        <v>5299</v>
      </c>
      <c r="K136" s="5148" t="s">
        <v>5300</v>
      </c>
      <c r="L136" s="5149" t="s">
        <v>5301</v>
      </c>
      <c r="M136" s="5148" t="s">
        <v>5302</v>
      </c>
      <c r="N136" s="5150" t="s">
        <v>5303</v>
      </c>
      <c r="O136" s="3475" t="s">
        <v>5304</v>
      </c>
      <c r="P136" s="5149" t="s">
        <v>5305</v>
      </c>
      <c r="Q136" s="5038" t="s">
        <v>5306</v>
      </c>
      <c r="R136" s="5151" t="s">
        <v>5307</v>
      </c>
      <c r="S136" s="5038" t="s">
        <v>5308</v>
      </c>
      <c r="T136" s="5151" t="s">
        <v>5309</v>
      </c>
      <c r="U136" s="5038" t="s">
        <v>5310</v>
      </c>
      <c r="V136" s="5151" t="s">
        <v>5311</v>
      </c>
      <c r="W136" s="5038" t="s">
        <v>5312</v>
      </c>
      <c r="X136" s="5151" t="s">
        <v>5313</v>
      </c>
      <c r="Y136" s="5038" t="s">
        <v>5314</v>
      </c>
      <c r="Z136" s="5151" t="s">
        <v>5315</v>
      </c>
      <c r="AA136" s="5038" t="s">
        <v>5316</v>
      </c>
      <c r="AB136" s="5151" t="s">
        <v>5317</v>
      </c>
      <c r="AC136" s="5038" t="s">
        <v>5318</v>
      </c>
      <c r="AD136" s="5151" t="s">
        <v>5319</v>
      </c>
      <c r="AE136" s="5038" t="s">
        <v>5320</v>
      </c>
      <c r="AF136" s="5151" t="s">
        <v>5321</v>
      </c>
      <c r="AG136" s="5038" t="s">
        <v>5322</v>
      </c>
      <c r="AH136" s="5151" t="s">
        <v>5323</v>
      </c>
      <c r="AI136" s="5038" t="s">
        <v>5324</v>
      </c>
      <c r="AJ136" s="5151" t="s">
        <v>5325</v>
      </c>
      <c r="AK136" s="5038" t="s">
        <v>5326</v>
      </c>
      <c r="AL136" s="5151" t="s">
        <v>5327</v>
      </c>
      <c r="AM136" s="5038" t="s">
        <v>5328</v>
      </c>
      <c r="AN136" s="5151" t="s">
        <v>5329</v>
      </c>
      <c r="AO136" s="5038" t="s">
        <v>5330</v>
      </c>
      <c r="AP136" s="5151" t="s">
        <v>5331</v>
      </c>
      <c r="AQ136" s="5038" t="s">
        <v>5332</v>
      </c>
      <c r="AR136" s="5145" t="s">
        <v>5333</v>
      </c>
      <c r="AS136" s="3479" t="s">
        <v>5334</v>
      </c>
      <c r="AT136" s="5145" t="s">
        <v>5335</v>
      </c>
      <c r="AU136" s="5146" t="s">
        <v>5336</v>
      </c>
      <c r="AV136" s="5145" t="s">
        <v>5337</v>
      </c>
      <c r="AW136" s="3479" t="s">
        <v>5338</v>
      </c>
      <c r="AX136" s="5147" t="s">
        <v>5339</v>
      </c>
      <c r="AY136" s="1687" t="e">
        <f>CB136&amp;CC136&amp;CD136&amp;CE136&amp;CF136&amp;CM136&amp;CN136&amp;CO136&amp;CP136&amp;CQ136&amp;CR136&amp;CS136&amp;CT136&amp;CU136&amp;CV136&amp;CW136&amp;CX136&amp;CY136</f>
        <v>#VALUE!</v>
      </c>
      <c r="CB136" s="600"/>
      <c r="CC136" s="2784" t="e">
        <f t="shared" si="460"/>
        <v>#VALUE!</v>
      </c>
      <c r="CD136" s="2784" t="e">
        <f t="shared" si="421"/>
        <v>#VALUE!</v>
      </c>
      <c r="CE136" s="2784" t="str">
        <f t="shared" si="422"/>
        <v xml:space="preserve"> *El Número de Pueblos Originarios no puede superar el Total Procesados. </v>
      </c>
      <c r="CF136" s="2784" t="str">
        <f t="shared" si="423"/>
        <v xml:space="preserve"> *El Número de Migrantes no puede superar el Total Procesados. </v>
      </c>
      <c r="CG136" s="3488"/>
      <c r="CH136" s="3488"/>
      <c r="CI136" s="2783"/>
      <c r="CJ136" s="2783"/>
      <c r="CK136" s="2783"/>
      <c r="CL136" s="3488"/>
      <c r="CM136" s="2784" t="str">
        <f t="shared" ref="CM136:CM140" si="487">IF(Q136&lt;R136,CONCATENATE("* El total de Procesados debe ser mayor o igual al total de Reactivos en el grupo de edad ",$Q$11),"")</f>
        <v>* El total de Procesados debe ser mayor o igual al total de Reactivos en el grupo de edad 15 - 19 años</v>
      </c>
      <c r="CN136" s="2784" t="str">
        <f t="shared" si="461"/>
        <v>* El total de Procesados debe ser mayor o igual al total de Reactivos en el grupo de edad 20 - 24 años</v>
      </c>
      <c r="CO136" s="2784" t="str">
        <f t="shared" si="427"/>
        <v>* El total de Procesados debe ser mayor o igual al total de Reactivos en el grupo de edad 25 - 29 años</v>
      </c>
      <c r="CP136" s="2784" t="str">
        <f t="shared" si="462"/>
        <v>* El total de Procesados debe ser mayor o igual al total de Reactivos en el grupo de edad 30 - 34 años</v>
      </c>
      <c r="CQ136" s="2784" t="str">
        <f t="shared" si="463"/>
        <v>* El total de Procesados debe ser mayor o igual al total de Reactivos en el grupo de edad 35 - 39 años</v>
      </c>
      <c r="CR136" s="2784" t="str">
        <f t="shared" si="464"/>
        <v>* El total de Procesados debe ser mayor o igual al total de Reactivos en el grupo de edad 40 - 44 años</v>
      </c>
      <c r="CS136" s="2784" t="str">
        <f t="shared" si="465"/>
        <v>* El total de Procesados debe ser mayor o igual al total de Reactivos en el grupo de edad 50 - 54 años</v>
      </c>
      <c r="CT136" s="2784" t="str">
        <f t="shared" si="466"/>
        <v>* El total de Procesados debe ser mayor o igual al total de Reactivos en el grupo de edad 55 - 59 años</v>
      </c>
      <c r="CU136" s="2784" t="str">
        <f t="shared" si="467"/>
        <v>* El total de Procesados debe ser mayor o igual al total de Reactivos en el grupo de edad 60 - 64 años</v>
      </c>
      <c r="CV136" s="2784" t="str">
        <f t="shared" si="468"/>
        <v>* El total de Procesados debe ser mayor o igual al total de Reactivos en el grupo de edad 65 - 69 años</v>
      </c>
      <c r="CW136" s="2784" t="str">
        <f t="shared" si="469"/>
        <v>* El total de Procesados debe ser mayor o igual al total de Reactivos en el grupo de edad 70 - 74 años</v>
      </c>
      <c r="CX136" s="2784" t="str">
        <f t="shared" si="470"/>
        <v>* El total de Procesados debe ser mayor o igual al total de Reactivos en el grupo de edad 75 - 79 años</v>
      </c>
      <c r="CY136" s="2784" t="str">
        <f t="shared" si="471"/>
        <v>* El total de Procesados debe ser mayor o igual al total de Reactivos en el grupo de edad 80 y más años</v>
      </c>
      <c r="DF136" s="2630"/>
      <c r="DG136" s="2784" t="e">
        <f t="shared" si="472"/>
        <v>#VALUE!</v>
      </c>
      <c r="DH136" s="2920" t="e">
        <f t="shared" si="439"/>
        <v>#VALUE!</v>
      </c>
      <c r="DI136" s="2920">
        <f t="shared" si="440"/>
        <v>1</v>
      </c>
      <c r="DJ136" s="2920">
        <f t="shared" si="441"/>
        <v>1</v>
      </c>
      <c r="DK136" s="2783"/>
      <c r="DL136" s="2783"/>
      <c r="DM136" s="2783"/>
      <c r="DN136" s="2783"/>
      <c r="DO136" s="2783"/>
      <c r="DP136" s="3018"/>
      <c r="DQ136" s="2920">
        <f t="shared" si="473"/>
        <v>1</v>
      </c>
      <c r="DR136" s="2920">
        <f t="shared" si="474"/>
        <v>1</v>
      </c>
      <c r="DS136" s="2920">
        <f t="shared" si="445"/>
        <v>1</v>
      </c>
      <c r="DT136" s="2920">
        <f t="shared" si="475"/>
        <v>1</v>
      </c>
      <c r="DU136" s="2920">
        <f t="shared" si="476"/>
        <v>1</v>
      </c>
      <c r="DV136" s="2920">
        <f t="shared" si="477"/>
        <v>1</v>
      </c>
      <c r="DW136" s="2920">
        <f t="shared" si="478"/>
        <v>1</v>
      </c>
      <c r="DX136" s="2920">
        <f t="shared" si="479"/>
        <v>1</v>
      </c>
      <c r="DY136" s="2920">
        <f t="shared" si="480"/>
        <v>1</v>
      </c>
      <c r="DZ136" s="2920">
        <f t="shared" si="481"/>
        <v>1</v>
      </c>
      <c r="EA136" s="2920">
        <f t="shared" si="482"/>
        <v>1</v>
      </c>
      <c r="EB136" s="2920">
        <f t="shared" si="483"/>
        <v>1</v>
      </c>
      <c r="EC136" s="2920">
        <f t="shared" si="484"/>
        <v>1</v>
      </c>
    </row>
    <row r="137" spans="1:133" x14ac:dyDescent="0.3">
      <c r="A137" s="6234">
        <v>11056468</v>
      </c>
      <c r="B137" s="3184" t="s">
        <v>2673</v>
      </c>
      <c r="C137" s="1928" t="s">
        <v>5292</v>
      </c>
      <c r="D137" s="3242" t="s">
        <v>5293</v>
      </c>
      <c r="E137" s="3475" t="s">
        <v>5294</v>
      </c>
      <c r="F137" s="5149" t="s">
        <v>5295</v>
      </c>
      <c r="G137" s="5148" t="s">
        <v>5296</v>
      </c>
      <c r="H137" s="5149" t="s">
        <v>5297</v>
      </c>
      <c r="I137" s="5148" t="s">
        <v>5298</v>
      </c>
      <c r="J137" s="5149" t="s">
        <v>5299</v>
      </c>
      <c r="K137" s="5148" t="s">
        <v>5300</v>
      </c>
      <c r="L137" s="5149" t="s">
        <v>5301</v>
      </c>
      <c r="M137" s="5148" t="s">
        <v>5302</v>
      </c>
      <c r="N137" s="5150" t="s">
        <v>5303</v>
      </c>
      <c r="O137" s="3475" t="s">
        <v>5304</v>
      </c>
      <c r="P137" s="5149" t="s">
        <v>5305</v>
      </c>
      <c r="Q137" s="5038" t="s">
        <v>5306</v>
      </c>
      <c r="R137" s="5151" t="s">
        <v>5307</v>
      </c>
      <c r="S137" s="5038" t="s">
        <v>5308</v>
      </c>
      <c r="T137" s="5151" t="s">
        <v>5309</v>
      </c>
      <c r="U137" s="5038" t="s">
        <v>5310</v>
      </c>
      <c r="V137" s="5151" t="s">
        <v>5311</v>
      </c>
      <c r="W137" s="5038" t="s">
        <v>5312</v>
      </c>
      <c r="X137" s="5151" t="s">
        <v>5313</v>
      </c>
      <c r="Y137" s="5038" t="s">
        <v>5314</v>
      </c>
      <c r="Z137" s="5151" t="s">
        <v>5315</v>
      </c>
      <c r="AA137" s="5038" t="s">
        <v>5316</v>
      </c>
      <c r="AB137" s="5151" t="s">
        <v>5317</v>
      </c>
      <c r="AC137" s="5038" t="s">
        <v>5318</v>
      </c>
      <c r="AD137" s="5151" t="s">
        <v>5319</v>
      </c>
      <c r="AE137" s="5038" t="s">
        <v>5320</v>
      </c>
      <c r="AF137" s="5151" t="s">
        <v>5321</v>
      </c>
      <c r="AG137" s="5038" t="s">
        <v>5322</v>
      </c>
      <c r="AH137" s="5151" t="s">
        <v>5323</v>
      </c>
      <c r="AI137" s="5038" t="s">
        <v>5324</v>
      </c>
      <c r="AJ137" s="5151" t="s">
        <v>5325</v>
      </c>
      <c r="AK137" s="5148" t="s">
        <v>5326</v>
      </c>
      <c r="AL137" s="5149" t="s">
        <v>5327</v>
      </c>
      <c r="AM137" s="5148" t="s">
        <v>5328</v>
      </c>
      <c r="AN137" s="5149" t="s">
        <v>5329</v>
      </c>
      <c r="AO137" s="5148" t="s">
        <v>5330</v>
      </c>
      <c r="AP137" s="5149" t="s">
        <v>5331</v>
      </c>
      <c r="AQ137" s="5148" t="s">
        <v>5332</v>
      </c>
      <c r="AR137" s="5156" t="s">
        <v>5333</v>
      </c>
      <c r="AS137" s="3479" t="s">
        <v>5334</v>
      </c>
      <c r="AT137" s="5145" t="s">
        <v>5335</v>
      </c>
      <c r="AU137" s="5146" t="s">
        <v>5336</v>
      </c>
      <c r="AV137" s="5145" t="s">
        <v>5337</v>
      </c>
      <c r="AW137" s="3479" t="s">
        <v>5338</v>
      </c>
      <c r="AX137" s="5147" t="s">
        <v>5339</v>
      </c>
      <c r="AY137" s="1687" t="e">
        <f>CB137&amp;CC137&amp;CD137&amp;CE137&amp;CF137&amp;CM137&amp;CN137&amp;CO137&amp;CP137&amp;CQ137&amp;CR137&amp;CS137&amp;CT137&amp;CU137</f>
        <v>#VALUE!</v>
      </c>
      <c r="CB137" s="600"/>
      <c r="CC137" s="2784" t="e">
        <f t="shared" si="460"/>
        <v>#VALUE!</v>
      </c>
      <c r="CD137" s="2784" t="e">
        <f t="shared" si="421"/>
        <v>#VALUE!</v>
      </c>
      <c r="CE137" s="2784" t="str">
        <f t="shared" si="422"/>
        <v xml:space="preserve"> *El Número de Pueblos Originarios no puede superar el Total Procesados. </v>
      </c>
      <c r="CF137" s="2784" t="str">
        <f t="shared" si="423"/>
        <v xml:space="preserve"> *El Número de Migrantes no puede superar el Total Procesados. </v>
      </c>
      <c r="CG137" s="3488"/>
      <c r="CH137" s="3488"/>
      <c r="CI137" s="2783"/>
      <c r="CJ137" s="2783"/>
      <c r="CK137" s="2783"/>
      <c r="CL137" s="3488"/>
      <c r="CM137" s="2784" t="str">
        <f t="shared" si="487"/>
        <v>* El total de Procesados debe ser mayor o igual al total de Reactivos en el grupo de edad 15 - 19 años</v>
      </c>
      <c r="CN137" s="2784" t="str">
        <f t="shared" si="461"/>
        <v>* El total de Procesados debe ser mayor o igual al total de Reactivos en el grupo de edad 20 - 24 años</v>
      </c>
      <c r="CO137" s="2784" t="str">
        <f t="shared" si="427"/>
        <v>* El total de Procesados debe ser mayor o igual al total de Reactivos en el grupo de edad 25 - 29 años</v>
      </c>
      <c r="CP137" s="2784" t="str">
        <f t="shared" si="462"/>
        <v>* El total de Procesados debe ser mayor o igual al total de Reactivos en el grupo de edad 30 - 34 años</v>
      </c>
      <c r="CQ137" s="2784" t="str">
        <f t="shared" si="463"/>
        <v>* El total de Procesados debe ser mayor o igual al total de Reactivos en el grupo de edad 35 - 39 años</v>
      </c>
      <c r="CR137" s="2784" t="str">
        <f t="shared" si="464"/>
        <v>* El total de Procesados debe ser mayor o igual al total de Reactivos en el grupo de edad 40 - 44 años</v>
      </c>
      <c r="CS137" s="2784" t="str">
        <f t="shared" si="465"/>
        <v>* El total de Procesados debe ser mayor o igual al total de Reactivos en el grupo de edad 50 - 54 años</v>
      </c>
      <c r="CT137" s="2784" t="str">
        <f t="shared" si="466"/>
        <v>* El total de Procesados debe ser mayor o igual al total de Reactivos en el grupo de edad 55 - 59 años</v>
      </c>
      <c r="CU137" s="2784" t="str">
        <f t="shared" si="467"/>
        <v>* El total de Procesados debe ser mayor o igual al total de Reactivos en el grupo de edad 60 - 64 años</v>
      </c>
      <c r="CV137" s="3018"/>
      <c r="CW137" s="3018"/>
      <c r="CX137" s="3018"/>
      <c r="CY137" s="3018"/>
      <c r="DF137" s="2630"/>
      <c r="DG137" s="2784" t="e">
        <f t="shared" si="472"/>
        <v>#VALUE!</v>
      </c>
      <c r="DH137" s="2920" t="e">
        <f t="shared" si="439"/>
        <v>#VALUE!</v>
      </c>
      <c r="DI137" s="2920">
        <f t="shared" si="440"/>
        <v>1</v>
      </c>
      <c r="DJ137" s="2920">
        <f t="shared" si="441"/>
        <v>1</v>
      </c>
      <c r="DK137" s="2783"/>
      <c r="DL137" s="2783"/>
      <c r="DM137" s="2783"/>
      <c r="DN137" s="2783"/>
      <c r="DO137" s="2783"/>
      <c r="DP137" s="3018"/>
      <c r="DQ137" s="2920">
        <f t="shared" si="473"/>
        <v>1</v>
      </c>
      <c r="DR137" s="2920">
        <f t="shared" si="474"/>
        <v>1</v>
      </c>
      <c r="DS137" s="2920">
        <f t="shared" si="445"/>
        <v>1</v>
      </c>
      <c r="DT137" s="2920">
        <f t="shared" si="475"/>
        <v>1</v>
      </c>
      <c r="DU137" s="2920">
        <f t="shared" si="476"/>
        <v>1</v>
      </c>
      <c r="DV137" s="2920">
        <f t="shared" si="477"/>
        <v>1</v>
      </c>
      <c r="DW137" s="2920">
        <f t="shared" si="478"/>
        <v>1</v>
      </c>
      <c r="DX137" s="2920">
        <f t="shared" si="479"/>
        <v>1</v>
      </c>
      <c r="DY137" s="2920">
        <f t="shared" si="480"/>
        <v>1</v>
      </c>
      <c r="DZ137" s="3018"/>
      <c r="EA137" s="3018"/>
      <c r="EB137" s="3018"/>
      <c r="EC137" s="3018"/>
    </row>
    <row r="138" spans="1:133" x14ac:dyDescent="0.3">
      <c r="A138" s="6234">
        <v>11056469</v>
      </c>
      <c r="B138" s="3184" t="s">
        <v>2674</v>
      </c>
      <c r="C138" s="1928" t="s">
        <v>5292</v>
      </c>
      <c r="D138" s="3242" t="s">
        <v>5293</v>
      </c>
      <c r="E138" s="3479" t="s">
        <v>5294</v>
      </c>
      <c r="F138" s="5151" t="s">
        <v>5295</v>
      </c>
      <c r="G138" s="5038" t="s">
        <v>5296</v>
      </c>
      <c r="H138" s="5151" t="s">
        <v>5297</v>
      </c>
      <c r="I138" s="5038" t="s">
        <v>5298</v>
      </c>
      <c r="J138" s="5147" t="s">
        <v>5299</v>
      </c>
      <c r="K138" s="3479" t="s">
        <v>5300</v>
      </c>
      <c r="L138" s="3479" t="s">
        <v>5301</v>
      </c>
      <c r="M138" s="5038" t="s">
        <v>5302</v>
      </c>
      <c r="N138" s="5147" t="s">
        <v>5303</v>
      </c>
      <c r="O138" s="3479" t="s">
        <v>5304</v>
      </c>
      <c r="P138" s="5151" t="s">
        <v>5305</v>
      </c>
      <c r="Q138" s="5038" t="s">
        <v>5306</v>
      </c>
      <c r="R138" s="5151" t="s">
        <v>5307</v>
      </c>
      <c r="S138" s="5038" t="s">
        <v>5308</v>
      </c>
      <c r="T138" s="5151" t="s">
        <v>5309</v>
      </c>
      <c r="U138" s="5038" t="s">
        <v>5310</v>
      </c>
      <c r="V138" s="5151" t="s">
        <v>5311</v>
      </c>
      <c r="W138" s="5038" t="s">
        <v>5312</v>
      </c>
      <c r="X138" s="5151" t="s">
        <v>5313</v>
      </c>
      <c r="Y138" s="5038" t="s">
        <v>5314</v>
      </c>
      <c r="Z138" s="5151" t="s">
        <v>5315</v>
      </c>
      <c r="AA138" s="5038" t="s">
        <v>5316</v>
      </c>
      <c r="AB138" s="5151" t="s">
        <v>5317</v>
      </c>
      <c r="AC138" s="5038" t="s">
        <v>5318</v>
      </c>
      <c r="AD138" s="5151" t="s">
        <v>5319</v>
      </c>
      <c r="AE138" s="5038" t="s">
        <v>5320</v>
      </c>
      <c r="AF138" s="5151" t="s">
        <v>5321</v>
      </c>
      <c r="AG138" s="5038" t="s">
        <v>5322</v>
      </c>
      <c r="AH138" s="5151" t="s">
        <v>5323</v>
      </c>
      <c r="AI138" s="5038" t="s">
        <v>5324</v>
      </c>
      <c r="AJ138" s="5151" t="s">
        <v>5325</v>
      </c>
      <c r="AK138" s="5038" t="s">
        <v>5326</v>
      </c>
      <c r="AL138" s="5151" t="s">
        <v>5327</v>
      </c>
      <c r="AM138" s="5038" t="s">
        <v>5328</v>
      </c>
      <c r="AN138" s="5151" t="s">
        <v>5329</v>
      </c>
      <c r="AO138" s="5038" t="s">
        <v>5330</v>
      </c>
      <c r="AP138" s="5151" t="s">
        <v>5331</v>
      </c>
      <c r="AQ138" s="5038" t="s">
        <v>5332</v>
      </c>
      <c r="AR138" s="5145" t="s">
        <v>5333</v>
      </c>
      <c r="AS138" s="3479" t="s">
        <v>5334</v>
      </c>
      <c r="AT138" s="5145" t="s">
        <v>5335</v>
      </c>
      <c r="AU138" s="5146" t="s">
        <v>5336</v>
      </c>
      <c r="AV138" s="5145" t="s">
        <v>5337</v>
      </c>
      <c r="AW138" s="3479" t="s">
        <v>5338</v>
      </c>
      <c r="AX138" s="5147" t="s">
        <v>5339</v>
      </c>
      <c r="AY138" s="1687" t="e">
        <f t="shared" si="459"/>
        <v>#VALUE!</v>
      </c>
      <c r="CB138" s="600"/>
      <c r="CC138" s="2784" t="e">
        <f t="shared" si="460"/>
        <v>#VALUE!</v>
      </c>
      <c r="CD138" s="2784" t="e">
        <f t="shared" si="421"/>
        <v>#VALUE!</v>
      </c>
      <c r="CE138" s="2784" t="str">
        <f t="shared" si="422"/>
        <v xml:space="preserve"> *El Número de Pueblos Originarios no puede superar el Total Procesados. </v>
      </c>
      <c r="CF138" s="2784" t="str">
        <f t="shared" si="423"/>
        <v xml:space="preserve"> *El Número de Migrantes no puede superar el Total Procesados. </v>
      </c>
      <c r="CG138" s="2784" t="str">
        <f t="shared" ref="CG138:CG140" si="488">IF(E138&lt;F138,CONCATENATE("* El total de Procesados debe ser mayor o igual al total de Reactivos en el grupo de edad ",$E$11),"")</f>
        <v>* El total de Procesados debe ser mayor o igual al total de Reactivos en el grupo de edad Menos de 6 meses</v>
      </c>
      <c r="CH138" s="2784" t="str">
        <f t="shared" ref="CH138:CH140" si="489">IF(G138&lt;H138,CONCATENATE("* El total de Procesados debe ser mayor o igual al total de Reactivos en el grupo de edad ",$G$11),"")</f>
        <v>* El total de Procesados debe ser mayor o igual al total de Reactivos en el grupo de edad 6 - 11 meses</v>
      </c>
      <c r="CI138" s="2784" t="str">
        <f t="shared" ref="CI138:CI140" si="490">IF(I138&lt;J138,CONCATENATE("* El total de Procesados debe ser mayor o igual al total de Reactivos en el grupo de edad ",$I$11),"")</f>
        <v>* El total de Procesados debe ser mayor o igual al total de Reactivos en el grupo de edad 12-24 meses</v>
      </c>
      <c r="CJ138" s="2784" t="str">
        <f t="shared" ref="CJ138:CJ140" si="491">IF(K138&lt;L138,CONCATENATE("* El total de Procesados debe ser mayor o igual al total de Reactivos en el grupo de edad ",$K$11),"")</f>
        <v>* El total de Procesados debe ser mayor o igual al total de Reactivos en el grupo de edad 3 - 4 años</v>
      </c>
      <c r="CK138" s="2784" t="str">
        <f t="shared" ref="CK138:CK140" si="492">IF(M138&lt;N138,CONCATENATE("* El total de Procesados debe ser mayor o igual al total de Reactivos en el grupo de edad ",$M$11),"")</f>
        <v>* El total de Procesados debe ser mayor o igual al total de Reactivos en el grupo de edad 5 - 9 años</v>
      </c>
      <c r="CL138" s="2784" t="str">
        <f t="shared" ref="CL138:CL140" si="493">IF(O138&lt;P138,CONCATENATE("* El total de Procesados debe ser mayor o igual al total de Reactivos en el grupo de edad ",$O$11),"")</f>
        <v>* El total de Procesados debe ser mayor o igual al total de Reactivos en el grupo de edad 10 - 14 años</v>
      </c>
      <c r="CM138" s="2784" t="str">
        <f t="shared" si="487"/>
        <v>* El total de Procesados debe ser mayor o igual al total de Reactivos en el grupo de edad 15 - 19 años</v>
      </c>
      <c r="CN138" s="2784" t="str">
        <f t="shared" si="461"/>
        <v>* El total de Procesados debe ser mayor o igual al total de Reactivos en el grupo de edad 20 - 24 años</v>
      </c>
      <c r="CO138" s="2784" t="str">
        <f t="shared" si="427"/>
        <v>* El total de Procesados debe ser mayor o igual al total de Reactivos en el grupo de edad 25 - 29 años</v>
      </c>
      <c r="CP138" s="2784" t="str">
        <f t="shared" si="462"/>
        <v>* El total de Procesados debe ser mayor o igual al total de Reactivos en el grupo de edad 30 - 34 años</v>
      </c>
      <c r="CQ138" s="2784" t="str">
        <f t="shared" si="463"/>
        <v>* El total de Procesados debe ser mayor o igual al total de Reactivos en el grupo de edad 35 - 39 años</v>
      </c>
      <c r="CR138" s="2784" t="str">
        <f t="shared" si="464"/>
        <v>* El total de Procesados debe ser mayor o igual al total de Reactivos en el grupo de edad 40 - 44 años</v>
      </c>
      <c r="CS138" s="2784" t="str">
        <f t="shared" si="465"/>
        <v>* El total de Procesados debe ser mayor o igual al total de Reactivos en el grupo de edad 50 - 54 años</v>
      </c>
      <c r="CT138" s="2784" t="str">
        <f t="shared" si="466"/>
        <v>* El total de Procesados debe ser mayor o igual al total de Reactivos en el grupo de edad 55 - 59 años</v>
      </c>
      <c r="CU138" s="2784" t="str">
        <f t="shared" si="467"/>
        <v>* El total de Procesados debe ser mayor o igual al total de Reactivos en el grupo de edad 60 - 64 años</v>
      </c>
      <c r="CV138" s="2784" t="str">
        <f t="shared" ref="CV138:CV140" si="494">IF(AK138&lt;AL138,CONCATENATE("* El total de Procesados debe ser mayor o igual al total de Reactivos en el grupo de edad ",$AK$11),"")</f>
        <v>* El total de Procesados debe ser mayor o igual al total de Reactivos en el grupo de edad 65 - 69 años</v>
      </c>
      <c r="CW138" s="2784" t="str">
        <f t="shared" ref="CW138:CW140" si="495">IF(AM138&lt;AN138,CONCATENATE("* El total de Procesados debe ser mayor o igual al total de Reactivos en el grupo de edad ",$AM$11),"")</f>
        <v>* El total de Procesados debe ser mayor o igual al total de Reactivos en el grupo de edad 70 - 74 años</v>
      </c>
      <c r="CX138" s="2784" t="str">
        <f t="shared" ref="CX138:CX140" si="496">IF(AO138&lt;AP138,CONCATENATE("* El total de Procesados debe ser mayor o igual al total de Reactivos en el grupo de edad ",$AO$11),"")</f>
        <v>* El total de Procesados debe ser mayor o igual al total de Reactivos en el grupo de edad 75 - 79 años</v>
      </c>
      <c r="CY138" s="2784" t="str">
        <f t="shared" ref="CY138:CY140" si="497">IF(AQ138&lt;AR138,CONCATENATE("* El total de Procesados debe ser mayor o igual al total de Reactivos en el grupo de edad ",$AQ$11),"")</f>
        <v>* El total de Procesados debe ser mayor o igual al total de Reactivos en el grupo de edad 80 y más años</v>
      </c>
      <c r="DF138" s="2630"/>
      <c r="DG138" s="2784" t="e">
        <f t="shared" si="472"/>
        <v>#VALUE!</v>
      </c>
      <c r="DH138" s="2920" t="e">
        <f t="shared" si="439"/>
        <v>#VALUE!</v>
      </c>
      <c r="DI138" s="2920">
        <f t="shared" si="440"/>
        <v>1</v>
      </c>
      <c r="DJ138" s="2920">
        <f t="shared" si="441"/>
        <v>1</v>
      </c>
      <c r="DK138" s="2920">
        <f t="shared" ref="DK138:DK140" si="498">IF(E138&lt;F138,1,0)</f>
        <v>1</v>
      </c>
      <c r="DL138" s="2920">
        <f t="shared" ref="DL138:DL140" si="499">IF(G138&lt;H138,1,0)</f>
        <v>1</v>
      </c>
      <c r="DM138" s="2920">
        <f t="shared" ref="DM138:DM140" si="500">IF(I138&lt;J138,1,0)</f>
        <v>1</v>
      </c>
      <c r="DN138" s="2920">
        <f t="shared" ref="DN138:DN140" si="501">IF(K138&lt;L138,1,0)</f>
        <v>1</v>
      </c>
      <c r="DO138" s="2920">
        <f t="shared" ref="DO138:DO140" si="502">IF(M138&lt;N138,1,0)</f>
        <v>1</v>
      </c>
      <c r="DP138" s="2920">
        <f t="shared" ref="DP138:DP140" si="503">IF(O138&lt;P138,1,0)</f>
        <v>1</v>
      </c>
      <c r="DQ138" s="2920">
        <f t="shared" si="473"/>
        <v>1</v>
      </c>
      <c r="DR138" s="2920">
        <f t="shared" si="474"/>
        <v>1</v>
      </c>
      <c r="DS138" s="2920">
        <f t="shared" si="445"/>
        <v>1</v>
      </c>
      <c r="DT138" s="2920">
        <f t="shared" si="475"/>
        <v>1</v>
      </c>
      <c r="DU138" s="2920">
        <f t="shared" si="476"/>
        <v>1</v>
      </c>
      <c r="DV138" s="2920">
        <f t="shared" si="477"/>
        <v>1</v>
      </c>
      <c r="DW138" s="2920">
        <f t="shared" si="478"/>
        <v>1</v>
      </c>
      <c r="DX138" s="2920">
        <f t="shared" si="479"/>
        <v>1</v>
      </c>
      <c r="DY138" s="2920">
        <f t="shared" si="480"/>
        <v>1</v>
      </c>
      <c r="DZ138" s="2920">
        <f t="shared" ref="DZ138:DZ140" si="504">IF(AK138&lt;AL138,1,0)</f>
        <v>1</v>
      </c>
      <c r="EA138" s="2920">
        <f t="shared" ref="EA138:EA140" si="505">IF(AM138&lt;AN138,1,0)</f>
        <v>1</v>
      </c>
      <c r="EB138" s="2920">
        <f t="shared" ref="EB138:EB140" si="506">IF(AO138&lt;AP138,1,0)</f>
        <v>1</v>
      </c>
      <c r="EC138" s="2920">
        <f t="shared" ref="EC138:EC140" si="507">IF(AQ138&lt;AR138,1,0)</f>
        <v>1</v>
      </c>
    </row>
    <row r="139" spans="1:133" x14ac:dyDescent="0.3">
      <c r="A139" s="6234">
        <v>11056470</v>
      </c>
      <c r="B139" s="3184" t="s">
        <v>2675</v>
      </c>
      <c r="C139" s="1928" t="s">
        <v>5292</v>
      </c>
      <c r="D139" s="3242" t="s">
        <v>5293</v>
      </c>
      <c r="E139" s="3479" t="s">
        <v>5294</v>
      </c>
      <c r="F139" s="5151" t="s">
        <v>5295</v>
      </c>
      <c r="G139" s="5038" t="s">
        <v>5296</v>
      </c>
      <c r="H139" s="5151" t="s">
        <v>5297</v>
      </c>
      <c r="I139" s="5038" t="s">
        <v>5298</v>
      </c>
      <c r="J139" s="5147" t="s">
        <v>5299</v>
      </c>
      <c r="K139" s="3479" t="s">
        <v>5300</v>
      </c>
      <c r="L139" s="3479" t="s">
        <v>5301</v>
      </c>
      <c r="M139" s="5038" t="s">
        <v>5302</v>
      </c>
      <c r="N139" s="5147" t="s">
        <v>5303</v>
      </c>
      <c r="O139" s="3479" t="s">
        <v>5304</v>
      </c>
      <c r="P139" s="5151" t="s">
        <v>5305</v>
      </c>
      <c r="Q139" s="5038" t="s">
        <v>5306</v>
      </c>
      <c r="R139" s="5151" t="s">
        <v>5307</v>
      </c>
      <c r="S139" s="5038" t="s">
        <v>5308</v>
      </c>
      <c r="T139" s="5151" t="s">
        <v>5309</v>
      </c>
      <c r="U139" s="5038" t="s">
        <v>5310</v>
      </c>
      <c r="V139" s="5151" t="s">
        <v>5311</v>
      </c>
      <c r="W139" s="5038" t="s">
        <v>5312</v>
      </c>
      <c r="X139" s="5151" t="s">
        <v>5313</v>
      </c>
      <c r="Y139" s="5038" t="s">
        <v>5314</v>
      </c>
      <c r="Z139" s="5151" t="s">
        <v>5315</v>
      </c>
      <c r="AA139" s="5038" t="s">
        <v>5316</v>
      </c>
      <c r="AB139" s="5151" t="s">
        <v>5317</v>
      </c>
      <c r="AC139" s="5038" t="s">
        <v>5318</v>
      </c>
      <c r="AD139" s="5151" t="s">
        <v>5319</v>
      </c>
      <c r="AE139" s="5038" t="s">
        <v>5320</v>
      </c>
      <c r="AF139" s="5151" t="s">
        <v>5321</v>
      </c>
      <c r="AG139" s="5038" t="s">
        <v>5322</v>
      </c>
      <c r="AH139" s="5151" t="s">
        <v>5323</v>
      </c>
      <c r="AI139" s="5038" t="s">
        <v>5324</v>
      </c>
      <c r="AJ139" s="5151" t="s">
        <v>5325</v>
      </c>
      <c r="AK139" s="5038" t="s">
        <v>5326</v>
      </c>
      <c r="AL139" s="5151" t="s">
        <v>5327</v>
      </c>
      <c r="AM139" s="5038" t="s">
        <v>5328</v>
      </c>
      <c r="AN139" s="5151" t="s">
        <v>5329</v>
      </c>
      <c r="AO139" s="5038" t="s">
        <v>5330</v>
      </c>
      <c r="AP139" s="5151" t="s">
        <v>5331</v>
      </c>
      <c r="AQ139" s="5038" t="s">
        <v>5332</v>
      </c>
      <c r="AR139" s="5145" t="s">
        <v>5333</v>
      </c>
      <c r="AS139" s="3479" t="s">
        <v>5334</v>
      </c>
      <c r="AT139" s="5145" t="s">
        <v>5335</v>
      </c>
      <c r="AU139" s="5146" t="s">
        <v>5336</v>
      </c>
      <c r="AV139" s="5145" t="s">
        <v>5337</v>
      </c>
      <c r="AW139" s="3479" t="s">
        <v>5338</v>
      </c>
      <c r="AX139" s="5147" t="s">
        <v>5339</v>
      </c>
      <c r="AY139" s="1687" t="e">
        <f t="shared" si="459"/>
        <v>#VALUE!</v>
      </c>
      <c r="CB139" s="600"/>
      <c r="CC139" s="2784" t="e">
        <f t="shared" si="460"/>
        <v>#VALUE!</v>
      </c>
      <c r="CD139" s="2784" t="e">
        <f t="shared" si="421"/>
        <v>#VALUE!</v>
      </c>
      <c r="CE139" s="2784" t="str">
        <f t="shared" si="422"/>
        <v xml:space="preserve"> *El Número de Pueblos Originarios no puede superar el Total Procesados. </v>
      </c>
      <c r="CF139" s="2784" t="str">
        <f t="shared" si="423"/>
        <v xml:space="preserve"> *El Número de Migrantes no puede superar el Total Procesados. </v>
      </c>
      <c r="CG139" s="2784" t="str">
        <f t="shared" si="488"/>
        <v>* El total de Procesados debe ser mayor o igual al total de Reactivos en el grupo de edad Menos de 6 meses</v>
      </c>
      <c r="CH139" s="2784" t="str">
        <f t="shared" si="489"/>
        <v>* El total de Procesados debe ser mayor o igual al total de Reactivos en el grupo de edad 6 - 11 meses</v>
      </c>
      <c r="CI139" s="2784" t="str">
        <f t="shared" si="490"/>
        <v>* El total de Procesados debe ser mayor o igual al total de Reactivos en el grupo de edad 12-24 meses</v>
      </c>
      <c r="CJ139" s="2784" t="str">
        <f t="shared" si="491"/>
        <v>* El total de Procesados debe ser mayor o igual al total de Reactivos en el grupo de edad 3 - 4 años</v>
      </c>
      <c r="CK139" s="2784" t="str">
        <f t="shared" si="492"/>
        <v>* El total de Procesados debe ser mayor o igual al total de Reactivos en el grupo de edad 5 - 9 años</v>
      </c>
      <c r="CL139" s="2784" t="str">
        <f t="shared" si="493"/>
        <v>* El total de Procesados debe ser mayor o igual al total de Reactivos en el grupo de edad 10 - 14 años</v>
      </c>
      <c r="CM139" s="2784" t="str">
        <f t="shared" si="487"/>
        <v>* El total de Procesados debe ser mayor o igual al total de Reactivos en el grupo de edad 15 - 19 años</v>
      </c>
      <c r="CN139" s="2784" t="str">
        <f t="shared" si="461"/>
        <v>* El total de Procesados debe ser mayor o igual al total de Reactivos en el grupo de edad 20 - 24 años</v>
      </c>
      <c r="CO139" s="2784" t="str">
        <f t="shared" si="427"/>
        <v>* El total de Procesados debe ser mayor o igual al total de Reactivos en el grupo de edad 25 - 29 años</v>
      </c>
      <c r="CP139" s="2784" t="str">
        <f t="shared" si="462"/>
        <v>* El total de Procesados debe ser mayor o igual al total de Reactivos en el grupo de edad 30 - 34 años</v>
      </c>
      <c r="CQ139" s="2784" t="str">
        <f t="shared" si="463"/>
        <v>* El total de Procesados debe ser mayor o igual al total de Reactivos en el grupo de edad 35 - 39 años</v>
      </c>
      <c r="CR139" s="2784" t="str">
        <f t="shared" si="464"/>
        <v>* El total de Procesados debe ser mayor o igual al total de Reactivos en el grupo de edad 40 - 44 años</v>
      </c>
      <c r="CS139" s="2784" t="str">
        <f t="shared" si="465"/>
        <v>* El total de Procesados debe ser mayor o igual al total de Reactivos en el grupo de edad 50 - 54 años</v>
      </c>
      <c r="CT139" s="2784" t="str">
        <f t="shared" si="466"/>
        <v>* El total de Procesados debe ser mayor o igual al total de Reactivos en el grupo de edad 55 - 59 años</v>
      </c>
      <c r="CU139" s="2784" t="str">
        <f t="shared" si="467"/>
        <v>* El total de Procesados debe ser mayor o igual al total de Reactivos en el grupo de edad 60 - 64 años</v>
      </c>
      <c r="CV139" s="2784" t="str">
        <f t="shared" si="494"/>
        <v>* El total de Procesados debe ser mayor o igual al total de Reactivos en el grupo de edad 65 - 69 años</v>
      </c>
      <c r="CW139" s="2784" t="str">
        <f t="shared" si="495"/>
        <v>* El total de Procesados debe ser mayor o igual al total de Reactivos en el grupo de edad 70 - 74 años</v>
      </c>
      <c r="CX139" s="2784" t="str">
        <f t="shared" si="496"/>
        <v>* El total de Procesados debe ser mayor o igual al total de Reactivos en el grupo de edad 75 - 79 años</v>
      </c>
      <c r="CY139" s="2784" t="str">
        <f t="shared" si="497"/>
        <v>* El total de Procesados debe ser mayor o igual al total de Reactivos en el grupo de edad 80 y más años</v>
      </c>
      <c r="DF139" s="2630"/>
      <c r="DG139" s="2784" t="e">
        <f t="shared" si="472"/>
        <v>#VALUE!</v>
      </c>
      <c r="DH139" s="2920" t="e">
        <f t="shared" si="439"/>
        <v>#VALUE!</v>
      </c>
      <c r="DI139" s="2920">
        <f t="shared" si="440"/>
        <v>1</v>
      </c>
      <c r="DJ139" s="2920">
        <f t="shared" si="441"/>
        <v>1</v>
      </c>
      <c r="DK139" s="2920">
        <f t="shared" si="498"/>
        <v>1</v>
      </c>
      <c r="DL139" s="2920">
        <f t="shared" si="499"/>
        <v>1</v>
      </c>
      <c r="DM139" s="2920">
        <f t="shared" si="500"/>
        <v>1</v>
      </c>
      <c r="DN139" s="2920">
        <f t="shared" si="501"/>
        <v>1</v>
      </c>
      <c r="DO139" s="2920">
        <f t="shared" si="502"/>
        <v>1</v>
      </c>
      <c r="DP139" s="2920">
        <f t="shared" si="503"/>
        <v>1</v>
      </c>
      <c r="DQ139" s="2920">
        <f t="shared" si="473"/>
        <v>1</v>
      </c>
      <c r="DR139" s="2920">
        <f t="shared" si="474"/>
        <v>1</v>
      </c>
      <c r="DS139" s="2920">
        <f t="shared" si="445"/>
        <v>1</v>
      </c>
      <c r="DT139" s="2920">
        <f t="shared" si="475"/>
        <v>1</v>
      </c>
      <c r="DU139" s="2920">
        <f t="shared" si="476"/>
        <v>1</v>
      </c>
      <c r="DV139" s="2920">
        <f t="shared" si="477"/>
        <v>1</v>
      </c>
      <c r="DW139" s="2920">
        <f t="shared" si="478"/>
        <v>1</v>
      </c>
      <c r="DX139" s="2920">
        <f t="shared" si="479"/>
        <v>1</v>
      </c>
      <c r="DY139" s="2920">
        <f t="shared" si="480"/>
        <v>1</v>
      </c>
      <c r="DZ139" s="2920">
        <f t="shared" si="504"/>
        <v>1</v>
      </c>
      <c r="EA139" s="2920">
        <f t="shared" si="505"/>
        <v>1</v>
      </c>
      <c r="EB139" s="2920">
        <f t="shared" si="506"/>
        <v>1</v>
      </c>
      <c r="EC139" s="2920">
        <f t="shared" si="507"/>
        <v>1</v>
      </c>
    </row>
    <row r="140" spans="1:133" x14ac:dyDescent="0.3">
      <c r="A140" s="6240">
        <v>11056471</v>
      </c>
      <c r="B140" s="5160" t="s">
        <v>2676</v>
      </c>
      <c r="C140" s="5107" t="s">
        <v>5292</v>
      </c>
      <c r="D140" s="5108" t="s">
        <v>5293</v>
      </c>
      <c r="E140" s="288" t="s">
        <v>5294</v>
      </c>
      <c r="F140" s="3491" t="s">
        <v>5295</v>
      </c>
      <c r="G140" s="3492" t="s">
        <v>5296</v>
      </c>
      <c r="H140" s="3491" t="s">
        <v>5297</v>
      </c>
      <c r="I140" s="3492" t="s">
        <v>5298</v>
      </c>
      <c r="J140" s="3493" t="s">
        <v>5299</v>
      </c>
      <c r="K140" s="288" t="s">
        <v>5300</v>
      </c>
      <c r="L140" s="288" t="s">
        <v>5301</v>
      </c>
      <c r="M140" s="3492" t="s">
        <v>5302</v>
      </c>
      <c r="N140" s="3493" t="s">
        <v>5303</v>
      </c>
      <c r="O140" s="288" t="s">
        <v>5304</v>
      </c>
      <c r="P140" s="3491" t="s">
        <v>5305</v>
      </c>
      <c r="Q140" s="3492" t="s">
        <v>5306</v>
      </c>
      <c r="R140" s="3491" t="s">
        <v>5307</v>
      </c>
      <c r="S140" s="3492" t="s">
        <v>5308</v>
      </c>
      <c r="T140" s="3491" t="s">
        <v>5309</v>
      </c>
      <c r="U140" s="3492" t="s">
        <v>5310</v>
      </c>
      <c r="V140" s="3491" t="s">
        <v>5311</v>
      </c>
      <c r="W140" s="3492" t="s">
        <v>5312</v>
      </c>
      <c r="X140" s="3491" t="s">
        <v>5313</v>
      </c>
      <c r="Y140" s="3492" t="s">
        <v>5314</v>
      </c>
      <c r="Z140" s="3491" t="s">
        <v>5315</v>
      </c>
      <c r="AA140" s="3492" t="s">
        <v>5316</v>
      </c>
      <c r="AB140" s="3491" t="s">
        <v>5317</v>
      </c>
      <c r="AC140" s="3492" t="s">
        <v>5318</v>
      </c>
      <c r="AD140" s="3491" t="s">
        <v>5319</v>
      </c>
      <c r="AE140" s="3492" t="s">
        <v>5320</v>
      </c>
      <c r="AF140" s="3491" t="s">
        <v>5321</v>
      </c>
      <c r="AG140" s="3492" t="s">
        <v>5322</v>
      </c>
      <c r="AH140" s="3491" t="s">
        <v>5323</v>
      </c>
      <c r="AI140" s="3492" t="s">
        <v>5324</v>
      </c>
      <c r="AJ140" s="3491" t="s">
        <v>5325</v>
      </c>
      <c r="AK140" s="3492" t="s">
        <v>5326</v>
      </c>
      <c r="AL140" s="3491" t="s">
        <v>5327</v>
      </c>
      <c r="AM140" s="3492" t="s">
        <v>5328</v>
      </c>
      <c r="AN140" s="3491" t="s">
        <v>5329</v>
      </c>
      <c r="AO140" s="3492" t="s">
        <v>5330</v>
      </c>
      <c r="AP140" s="3491" t="s">
        <v>5331</v>
      </c>
      <c r="AQ140" s="3492" t="s">
        <v>5332</v>
      </c>
      <c r="AR140" s="3494" t="s">
        <v>5333</v>
      </c>
      <c r="AS140" s="288" t="s">
        <v>5334</v>
      </c>
      <c r="AT140" s="3494" t="s">
        <v>5335</v>
      </c>
      <c r="AU140" s="3495" t="s">
        <v>5336</v>
      </c>
      <c r="AV140" s="3494" t="s">
        <v>5337</v>
      </c>
      <c r="AW140" s="288" t="s">
        <v>5338</v>
      </c>
      <c r="AX140" s="3493" t="s">
        <v>5339</v>
      </c>
      <c r="AY140" s="1687" t="e">
        <f t="shared" si="459"/>
        <v>#VALUE!</v>
      </c>
      <c r="CB140" s="600"/>
      <c r="CC140" s="2784" t="e">
        <f t="shared" si="460"/>
        <v>#VALUE!</v>
      </c>
      <c r="CD140" s="2784" t="e">
        <f t="shared" si="421"/>
        <v>#VALUE!</v>
      </c>
      <c r="CE140" s="2784" t="str">
        <f t="shared" si="422"/>
        <v xml:space="preserve"> *El Número de Pueblos Originarios no puede superar el Total Procesados. </v>
      </c>
      <c r="CF140" s="2784" t="str">
        <f t="shared" si="423"/>
        <v xml:space="preserve"> *El Número de Migrantes no puede superar el Total Procesados. </v>
      </c>
      <c r="CG140" s="2784" t="str">
        <f t="shared" si="488"/>
        <v>* El total de Procesados debe ser mayor o igual al total de Reactivos en el grupo de edad Menos de 6 meses</v>
      </c>
      <c r="CH140" s="2784" t="str">
        <f t="shared" si="489"/>
        <v>* El total de Procesados debe ser mayor o igual al total de Reactivos en el grupo de edad 6 - 11 meses</v>
      </c>
      <c r="CI140" s="2784" t="str">
        <f t="shared" si="490"/>
        <v>* El total de Procesados debe ser mayor o igual al total de Reactivos en el grupo de edad 12-24 meses</v>
      </c>
      <c r="CJ140" s="2784" t="str">
        <f t="shared" si="491"/>
        <v>* El total de Procesados debe ser mayor o igual al total de Reactivos en el grupo de edad 3 - 4 años</v>
      </c>
      <c r="CK140" s="2784" t="str">
        <f t="shared" si="492"/>
        <v>* El total de Procesados debe ser mayor o igual al total de Reactivos en el grupo de edad 5 - 9 años</v>
      </c>
      <c r="CL140" s="2784" t="str">
        <f t="shared" si="493"/>
        <v>* El total de Procesados debe ser mayor o igual al total de Reactivos en el grupo de edad 10 - 14 años</v>
      </c>
      <c r="CM140" s="2784" t="str">
        <f t="shared" si="487"/>
        <v>* El total de Procesados debe ser mayor o igual al total de Reactivos en el grupo de edad 15 - 19 años</v>
      </c>
      <c r="CN140" s="2784" t="str">
        <f t="shared" si="461"/>
        <v>* El total de Procesados debe ser mayor o igual al total de Reactivos en el grupo de edad 20 - 24 años</v>
      </c>
      <c r="CO140" s="2784" t="str">
        <f t="shared" si="427"/>
        <v>* El total de Procesados debe ser mayor o igual al total de Reactivos en el grupo de edad 25 - 29 años</v>
      </c>
      <c r="CP140" s="2784" t="str">
        <f t="shared" si="462"/>
        <v>* El total de Procesados debe ser mayor o igual al total de Reactivos en el grupo de edad 30 - 34 años</v>
      </c>
      <c r="CQ140" s="2784" t="str">
        <f t="shared" si="463"/>
        <v>* El total de Procesados debe ser mayor o igual al total de Reactivos en el grupo de edad 35 - 39 años</v>
      </c>
      <c r="CR140" s="2784" t="str">
        <f t="shared" si="464"/>
        <v>* El total de Procesados debe ser mayor o igual al total de Reactivos en el grupo de edad 40 - 44 años</v>
      </c>
      <c r="CS140" s="2784" t="str">
        <f t="shared" si="465"/>
        <v>* El total de Procesados debe ser mayor o igual al total de Reactivos en el grupo de edad 50 - 54 años</v>
      </c>
      <c r="CT140" s="2784" t="str">
        <f t="shared" si="466"/>
        <v>* El total de Procesados debe ser mayor o igual al total de Reactivos en el grupo de edad 55 - 59 años</v>
      </c>
      <c r="CU140" s="2784" t="str">
        <f t="shared" si="467"/>
        <v>* El total de Procesados debe ser mayor o igual al total de Reactivos en el grupo de edad 60 - 64 años</v>
      </c>
      <c r="CV140" s="2784" t="str">
        <f t="shared" si="494"/>
        <v>* El total de Procesados debe ser mayor o igual al total de Reactivos en el grupo de edad 65 - 69 años</v>
      </c>
      <c r="CW140" s="2784" t="str">
        <f t="shared" si="495"/>
        <v>* El total de Procesados debe ser mayor o igual al total de Reactivos en el grupo de edad 70 - 74 años</v>
      </c>
      <c r="CX140" s="2784" t="str">
        <f t="shared" si="496"/>
        <v>* El total de Procesados debe ser mayor o igual al total de Reactivos en el grupo de edad 75 - 79 años</v>
      </c>
      <c r="CY140" s="2784" t="str">
        <f t="shared" si="497"/>
        <v>* El total de Procesados debe ser mayor o igual al total de Reactivos en el grupo de edad 80 y más años</v>
      </c>
      <c r="DF140" s="2630"/>
      <c r="DG140" s="2784" t="e">
        <f t="shared" si="472"/>
        <v>#VALUE!</v>
      </c>
      <c r="DH140" s="2920" t="e">
        <f t="shared" si="439"/>
        <v>#VALUE!</v>
      </c>
      <c r="DI140" s="2920">
        <f t="shared" si="440"/>
        <v>1</v>
      </c>
      <c r="DJ140" s="2920">
        <f t="shared" si="441"/>
        <v>1</v>
      </c>
      <c r="DK140" s="2920">
        <f t="shared" si="498"/>
        <v>1</v>
      </c>
      <c r="DL140" s="2920">
        <f t="shared" si="499"/>
        <v>1</v>
      </c>
      <c r="DM140" s="2920">
        <f t="shared" si="500"/>
        <v>1</v>
      </c>
      <c r="DN140" s="2920">
        <f t="shared" si="501"/>
        <v>1</v>
      </c>
      <c r="DO140" s="2920">
        <f t="shared" si="502"/>
        <v>1</v>
      </c>
      <c r="DP140" s="2920">
        <f t="shared" si="503"/>
        <v>1</v>
      </c>
      <c r="DQ140" s="2920">
        <f t="shared" si="473"/>
        <v>1</v>
      </c>
      <c r="DR140" s="2920">
        <f t="shared" si="474"/>
        <v>1</v>
      </c>
      <c r="DS140" s="2920">
        <f t="shared" si="445"/>
        <v>1</v>
      </c>
      <c r="DT140" s="2920">
        <f t="shared" si="475"/>
        <v>1</v>
      </c>
      <c r="DU140" s="2920">
        <f t="shared" si="476"/>
        <v>1</v>
      </c>
      <c r="DV140" s="2920">
        <f t="shared" si="477"/>
        <v>1</v>
      </c>
      <c r="DW140" s="2920">
        <f t="shared" si="478"/>
        <v>1</v>
      </c>
      <c r="DX140" s="2920">
        <f t="shared" si="479"/>
        <v>1</v>
      </c>
      <c r="DY140" s="2920">
        <f t="shared" si="480"/>
        <v>1</v>
      </c>
      <c r="DZ140" s="2920">
        <f t="shared" si="504"/>
        <v>1</v>
      </c>
      <c r="EA140" s="2920">
        <f t="shared" si="505"/>
        <v>1</v>
      </c>
      <c r="EB140" s="2920">
        <f t="shared" si="506"/>
        <v>1</v>
      </c>
      <c r="EC140" s="2920">
        <f t="shared" si="507"/>
        <v>1</v>
      </c>
    </row>
    <row r="141" spans="1:133" ht="18" customHeight="1" x14ac:dyDescent="0.3">
      <c r="A141" s="599"/>
      <c r="B141" s="7543" t="s">
        <v>2682</v>
      </c>
      <c r="C141" s="7543"/>
      <c r="D141" s="7543"/>
      <c r="E141" s="7543"/>
      <c r="F141" s="7543"/>
      <c r="G141" s="7543"/>
      <c r="H141" s="7543"/>
      <c r="I141" s="7543"/>
      <c r="J141" s="7543"/>
      <c r="K141" s="7543"/>
      <c r="L141" s="7543"/>
      <c r="M141" s="7543"/>
      <c r="N141" s="7543"/>
      <c r="O141" s="7543"/>
      <c r="P141" s="7543"/>
      <c r="Q141" s="7543"/>
    </row>
    <row r="142" spans="1:133" x14ac:dyDescent="0.3">
      <c r="A142" s="599"/>
      <c r="B142" s="7544" t="s">
        <v>2683</v>
      </c>
      <c r="C142" s="7538"/>
      <c r="D142" s="7524" t="s">
        <v>2684</v>
      </c>
      <c r="E142" s="7525"/>
      <c r="F142" s="7546"/>
      <c r="G142" s="7547" t="s">
        <v>2685</v>
      </c>
      <c r="H142" s="7547"/>
      <c r="I142" s="7547"/>
      <c r="J142" s="7547" t="s">
        <v>2686</v>
      </c>
      <c r="K142" s="7547"/>
      <c r="L142" s="7547"/>
      <c r="M142" s="7547" t="s">
        <v>2687</v>
      </c>
      <c r="N142" s="7547"/>
      <c r="O142" s="7547"/>
      <c r="P142" s="7548" t="s">
        <v>14</v>
      </c>
      <c r="Q142" s="7549"/>
    </row>
    <row r="143" spans="1:133" x14ac:dyDescent="0.3">
      <c r="A143" s="599"/>
      <c r="B143" s="7545"/>
      <c r="C143" s="7146"/>
      <c r="D143" s="5133" t="s">
        <v>2657</v>
      </c>
      <c r="E143" s="5134" t="s">
        <v>2658</v>
      </c>
      <c r="F143" s="5162" t="s">
        <v>2688</v>
      </c>
      <c r="G143" s="5133" t="s">
        <v>2657</v>
      </c>
      <c r="H143" s="5134" t="s">
        <v>2658</v>
      </c>
      <c r="I143" s="5162" t="s">
        <v>2688</v>
      </c>
      <c r="J143" s="5133" t="s">
        <v>2657</v>
      </c>
      <c r="K143" s="5134" t="s">
        <v>2658</v>
      </c>
      <c r="L143" s="5162" t="s">
        <v>2688</v>
      </c>
      <c r="M143" s="5133" t="s">
        <v>2657</v>
      </c>
      <c r="N143" s="5134" t="s">
        <v>2658</v>
      </c>
      <c r="O143" s="5162" t="s">
        <v>2688</v>
      </c>
      <c r="P143" s="5133" t="s">
        <v>2657</v>
      </c>
      <c r="Q143" s="5135" t="s">
        <v>2658</v>
      </c>
    </row>
    <row r="144" spans="1:133" x14ac:dyDescent="0.3">
      <c r="A144" s="6234">
        <v>11054300</v>
      </c>
      <c r="B144" s="7550" t="s">
        <v>2689</v>
      </c>
      <c r="C144" s="7551"/>
      <c r="D144" s="5163" t="s">
        <v>5292</v>
      </c>
      <c r="E144" s="5164" t="s">
        <v>5293</v>
      </c>
      <c r="F144" s="3498" t="s">
        <v>5294</v>
      </c>
      <c r="G144" s="5163" t="s">
        <v>5295</v>
      </c>
      <c r="H144" s="5164" t="s">
        <v>5296</v>
      </c>
      <c r="I144" s="3498" t="s">
        <v>5297</v>
      </c>
      <c r="J144" s="5163" t="s">
        <v>5298</v>
      </c>
      <c r="K144" s="5164" t="s">
        <v>5299</v>
      </c>
      <c r="L144" s="3498" t="s">
        <v>5300</v>
      </c>
      <c r="M144" s="5163" t="s">
        <v>5301</v>
      </c>
      <c r="N144" s="5164" t="s">
        <v>5302</v>
      </c>
      <c r="O144" s="3498" t="s">
        <v>5303</v>
      </c>
      <c r="P144" s="5163" t="s">
        <v>5304</v>
      </c>
      <c r="Q144" s="5165" t="s">
        <v>5305</v>
      </c>
      <c r="R144" s="1687" t="str">
        <f>$CB144&amp;CC144&amp;$CD144&amp;CE144&amp;$CF144&amp;CG144&amp;$CH144&amp;CI144&amp;$CJ144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4" s="1687"/>
      <c r="T144" s="1687"/>
      <c r="U144" s="1687"/>
      <c r="V144" s="1687"/>
      <c r="W144" s="1687"/>
      <c r="X144" s="1687"/>
      <c r="Y144" s="1687"/>
      <c r="Z144" s="1687"/>
      <c r="AA144" s="1687"/>
      <c r="AB144" s="1687"/>
      <c r="AC144" s="1687"/>
      <c r="AD144" s="3199"/>
      <c r="AE144" s="3199"/>
      <c r="AF144" s="599"/>
      <c r="AG144" s="599"/>
      <c r="AH144" s="599"/>
      <c r="AI144" s="599"/>
      <c r="AJ144" s="599"/>
      <c r="AK144" s="599"/>
      <c r="AL144" s="599"/>
      <c r="AM144" s="599"/>
      <c r="AN144" s="599"/>
      <c r="AO144" s="599"/>
      <c r="AP144" s="599"/>
      <c r="AQ144" s="599"/>
      <c r="AR144" s="599"/>
      <c r="AS144" s="599"/>
      <c r="AT144" s="599"/>
      <c r="AU144" s="599"/>
      <c r="AV144" s="599"/>
      <c r="AW144" s="599"/>
      <c r="AX144" s="599"/>
      <c r="AY144" s="3199"/>
      <c r="AZ144" s="3199"/>
      <c r="BA144" s="3199"/>
      <c r="BB144" s="3199"/>
      <c r="BC144" s="3199"/>
      <c r="BD144" s="3199"/>
      <c r="BE144" s="3199"/>
      <c r="BF144" s="3199"/>
      <c r="BG144" s="3199"/>
      <c r="BH144" s="3199"/>
      <c r="BI144" s="3199"/>
      <c r="BJ144" s="3199"/>
      <c r="BK144" s="3199"/>
      <c r="BL144" s="3199"/>
      <c r="BM144" s="3199"/>
      <c r="BN144" s="3199"/>
      <c r="BO144" s="599"/>
      <c r="BP144" s="599"/>
      <c r="BQ144" s="599"/>
      <c r="BR144" s="599"/>
      <c r="BS144" s="599"/>
      <c r="BT144" s="599"/>
      <c r="BU144" s="599"/>
      <c r="BV144" s="599"/>
      <c r="BW144" s="3199"/>
      <c r="BX144" s="3199"/>
      <c r="BY144" s="3200"/>
      <c r="BZ144" s="3200"/>
      <c r="CA144" s="3200"/>
      <c r="CB144" s="2784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2784" t="str">
        <f>IF(D144&gt;=F144,"","* Los Exámenes Confirmados de Hepatitis B NO DEBEN ser mayor a los exámenes Procesados. ")</f>
        <v xml:space="preserve">* Los Exámenes Confirmados de Hepatitis B NO DEBEN ser mayor a los exámenes Procesados. </v>
      </c>
      <c r="CD144" s="2784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E144" s="2784" t="str">
        <f>IF(G144&gt;=I144,"","* Los Exámenes Confirmados de Hepatitis C NO DEBEN ser mayor a los Exámenes Procesados. ")</f>
        <v xml:space="preserve">* Los Exámenes Confirmados de Hepatitis C NO DEBEN ser mayor a los Exámenes Procesados. </v>
      </c>
      <c r="CF144" s="2784" t="str">
        <f>IF(J144&gt;=K144,"","* Los Exámenes Reactivos de CHAGAS NO DEBEN ser mayor a los Exámenes Procesados. ")</f>
        <v xml:space="preserve">* Los Exámenes Reactivos de CHAGAS NO DEBEN ser mayor a los Exámenes Procesados. </v>
      </c>
      <c r="CG144" s="2784" t="str">
        <f>IF(J144&gt;=L144,"","* Los Exámenes Confirmados de CHAGAS NO DEBEN ser mayor a los Exámenes Procesados. ")</f>
        <v xml:space="preserve">* Los Exámenes Confirmados de CHAGAS NO DEBEN ser mayor a los Exámenes Procesados. </v>
      </c>
      <c r="CH144" s="2784" t="str">
        <f>IF(M144&gt;=N144,"","* Los Exámenes Reactivos de HTLV1 NO DEBEN ser mayor a los Exámenes Procesados. ")</f>
        <v xml:space="preserve">* Los Exámenes Reactivos de HTLV1 NO DEBEN ser mayor a los Exámenes Procesados. </v>
      </c>
      <c r="CI144" s="2784" t="str">
        <f>IF(M144&gt;=O144,"","* Los Exámenes Confirmados de HTLV1 NO DEBEN ser mayor a los Exámenes Procesados. ")</f>
        <v xml:space="preserve">* Los Exámenes Confirmados de HTLV1 NO DEBEN ser mayor a los Exámenes Procesados. </v>
      </c>
      <c r="CJ144" s="2784" t="str">
        <f>IF(P144&gt;=Q144,"","* Los exámenes Reactivos de SIFILIS NO DEBEN ser mayor a los exámenes Procesados. ")</f>
        <v xml:space="preserve">* Los exámenes Reactivos de SIFILIS NO DEBEN ser mayor a los exámenes Procesados. </v>
      </c>
      <c r="CK144" s="3201"/>
      <c r="DF144" s="2920">
        <f>IF(D144&gt;=E144,0,1)</f>
        <v>1</v>
      </c>
      <c r="DG144" s="2920">
        <f>IF(F144&gt;D144,1,0)</f>
        <v>1</v>
      </c>
      <c r="DH144" s="2920">
        <f>IF(G144&gt;=H144,0,1)</f>
        <v>1</v>
      </c>
      <c r="DI144" s="2920">
        <f>IF(G144&gt;=I144,0,1)</f>
        <v>1</v>
      </c>
      <c r="DJ144" s="2920">
        <f>IF(J144&gt;=K144,0,1)</f>
        <v>1</v>
      </c>
      <c r="DK144" s="2920">
        <f>IF(J144&gt;=L144,0,1)</f>
        <v>1</v>
      </c>
      <c r="DL144" s="2920">
        <f>IF(M144&gt;=N144,0,1)</f>
        <v>1</v>
      </c>
      <c r="DM144" s="2920">
        <f>IF(M144&gt;=O144,0,1)</f>
        <v>1</v>
      </c>
      <c r="DN144" s="2920">
        <f>IF(P144&gt;=Q144,0,1)</f>
        <v>1</v>
      </c>
    </row>
    <row r="145" spans="1:118" x14ac:dyDescent="0.3">
      <c r="A145" s="6234">
        <v>11054400</v>
      </c>
      <c r="B145" s="7552" t="s">
        <v>545</v>
      </c>
      <c r="C145" s="5166" t="s">
        <v>2690</v>
      </c>
      <c r="D145" s="5167" t="s">
        <v>5292</v>
      </c>
      <c r="E145" s="5168" t="s">
        <v>5293</v>
      </c>
      <c r="F145" s="5169" t="s">
        <v>5294</v>
      </c>
      <c r="G145" s="5167" t="s">
        <v>5295</v>
      </c>
      <c r="H145" s="5168" t="s">
        <v>5296</v>
      </c>
      <c r="I145" s="5169" t="s">
        <v>5297</v>
      </c>
      <c r="J145" s="5167" t="s">
        <v>5298</v>
      </c>
      <c r="K145" s="5168" t="s">
        <v>5299</v>
      </c>
      <c r="L145" s="5169" t="s">
        <v>5300</v>
      </c>
      <c r="M145" s="5167" t="s">
        <v>5301</v>
      </c>
      <c r="N145" s="5168" t="s">
        <v>5302</v>
      </c>
      <c r="O145" s="5169" t="s">
        <v>5303</v>
      </c>
      <c r="P145" s="5167" t="s">
        <v>5304</v>
      </c>
      <c r="Q145" s="5170" t="s">
        <v>5305</v>
      </c>
      <c r="R145" s="1687" t="str">
        <f t="shared" ref="R145:R148" si="508">$CB145&amp;CC145&amp;$CD145&amp;CE145&amp;$CF145&amp;CG145&amp;$CH145&amp;CI145&amp;$CJ145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5" s="1687"/>
      <c r="T145" s="1687"/>
      <c r="U145" s="1687"/>
      <c r="V145" s="1687"/>
      <c r="W145" s="1687"/>
      <c r="X145" s="1687"/>
      <c r="Y145" s="1687"/>
      <c r="Z145" s="1687"/>
      <c r="AA145" s="1687"/>
      <c r="AB145" s="1687"/>
      <c r="AC145" s="1687"/>
      <c r="AD145" s="3199"/>
      <c r="AE145" s="3199"/>
      <c r="AF145" s="599"/>
      <c r="AG145" s="599"/>
      <c r="AH145" s="599"/>
      <c r="AI145" s="599"/>
      <c r="AJ145" s="599"/>
      <c r="AK145" s="599"/>
      <c r="AL145" s="599"/>
      <c r="AM145" s="599"/>
      <c r="AN145" s="599"/>
      <c r="AO145" s="599"/>
      <c r="AP145" s="599"/>
      <c r="AQ145" s="599"/>
      <c r="AR145" s="599"/>
      <c r="AS145" s="599"/>
      <c r="AT145" s="599"/>
      <c r="AU145" s="599"/>
      <c r="AV145" s="599"/>
      <c r="AW145" s="599"/>
      <c r="AX145" s="599"/>
      <c r="AY145" s="3199"/>
      <c r="AZ145" s="3199"/>
      <c r="BA145" s="3199"/>
      <c r="BB145" s="3199"/>
      <c r="BC145" s="3199"/>
      <c r="BD145" s="3199"/>
      <c r="BE145" s="3199"/>
      <c r="BF145" s="3199"/>
      <c r="BG145" s="3199"/>
      <c r="BH145" s="3199"/>
      <c r="BI145" s="3199"/>
      <c r="BJ145" s="3199"/>
      <c r="BK145" s="3199"/>
      <c r="BL145" s="3199"/>
      <c r="BM145" s="3199"/>
      <c r="BN145" s="3199"/>
      <c r="BO145" s="599"/>
      <c r="BP145" s="599"/>
      <c r="BQ145" s="599"/>
      <c r="BR145" s="599"/>
      <c r="BS145" s="599"/>
      <c r="BT145" s="599"/>
      <c r="BU145" s="599"/>
      <c r="BV145" s="599"/>
      <c r="BW145" s="3199"/>
      <c r="BX145" s="3199"/>
      <c r="BY145" s="3200"/>
      <c r="BZ145" s="3200"/>
      <c r="CA145" s="3200"/>
      <c r="CB145" s="2784" t="str">
        <f t="shared" ref="CB145:CB148" si="509">IF(D145&gt;=E145,"","* Los Exámenes Reactivos de Hepatitis B NO DEBEN ser mayor a los Exámenes Procesados. ")</f>
        <v xml:space="preserve">* Los Exámenes Reactivos de Hepatitis B NO DEBEN ser mayor a los Exámenes Procesados. </v>
      </c>
      <c r="CC145" s="2784" t="str">
        <f t="shared" ref="CC145:CC148" si="510">IF(D145&gt;=F145,"","* Los Exámenes Confirmados de Hepatitis B NO DEBEN ser mayor a los exámenes Procesados. ")</f>
        <v xml:space="preserve">* Los Exámenes Confirmados de Hepatitis B NO DEBEN ser mayor a los exámenes Procesados. </v>
      </c>
      <c r="CD145" s="2784" t="str">
        <f t="shared" ref="CD145:CD148" si="511">IF(G145&gt;=H145,"","* Los Exámenes Reactivos de Hepatitis C NO DEBEN ser mayor a los Exámenes Procesados. ")</f>
        <v xml:space="preserve">* Los Exámenes Reactivos de Hepatitis C NO DEBEN ser mayor a los Exámenes Procesados. </v>
      </c>
      <c r="CE145" s="2784" t="str">
        <f t="shared" ref="CE145:CE148" si="512">IF(G145&gt;=I145,"","* Los Exámenes Confirmados de Hepatitis C NO DEBEN ser mayor a los Exámenes Procesados. ")</f>
        <v xml:space="preserve">* Los Exámenes Confirmados de Hepatitis C NO DEBEN ser mayor a los Exámenes Procesados. </v>
      </c>
      <c r="CF145" s="2784" t="str">
        <f t="shared" ref="CF145:CF148" si="513">IF(J145&gt;=K145,"","* Los Exámenes Reactivos de CHAGAS NO DEBEN ser mayor a los Exámenes Procesados. ")</f>
        <v xml:space="preserve">* Los Exámenes Reactivos de CHAGAS NO DEBEN ser mayor a los Exámenes Procesados. </v>
      </c>
      <c r="CG145" s="2784" t="str">
        <f t="shared" ref="CG145:CG148" si="514">IF(J145&gt;=L145,"","* Los Exámenes Confirmados de CHAGAS NO DEBEN ser mayor a los Exámenes Procesados. ")</f>
        <v xml:space="preserve">* Los Exámenes Confirmados de CHAGAS NO DEBEN ser mayor a los Exámenes Procesados. </v>
      </c>
      <c r="CH145" s="2784" t="str">
        <f t="shared" ref="CH145:CH148" si="515">IF(M145&gt;=N145,"","* Los Exámenes Reactivos de HTLV1 NO DEBEN ser mayor a los Exámenes Procesados. ")</f>
        <v xml:space="preserve">* Los Exámenes Reactivos de HTLV1 NO DEBEN ser mayor a los Exámenes Procesados. </v>
      </c>
      <c r="CI145" s="2784" t="str">
        <f t="shared" ref="CI145:CI148" si="516">IF(M145&gt;=O145,"","* Los Exámenes Confirmados de HTLV1 NO DEBEN ser mayor a los Exámenes Procesados. ")</f>
        <v xml:space="preserve">* Los Exámenes Confirmados de HTLV1 NO DEBEN ser mayor a los Exámenes Procesados. </v>
      </c>
      <c r="CJ145" s="2784" t="str">
        <f t="shared" ref="CJ145:CJ148" si="517">IF(P145&gt;=Q145,"","* Los exámenes Reactivos de SIFILIS NO DEBEN ser mayor a los exámenes Procesados. ")</f>
        <v xml:space="preserve">* Los exámenes Reactivos de SIFILIS NO DEBEN ser mayor a los exámenes Procesados. </v>
      </c>
      <c r="CK145" s="3201"/>
      <c r="DF145" s="2920">
        <f>IF(D145&gt;=E145,0,1)</f>
        <v>1</v>
      </c>
      <c r="DG145" s="2920">
        <f t="shared" ref="DG145:DG148" si="518">IF(F145&gt;D145,1,0)</f>
        <v>1</v>
      </c>
      <c r="DH145" s="2920">
        <f>IF(G145&gt;=H145,0,1)</f>
        <v>1</v>
      </c>
      <c r="DI145" s="2920">
        <f>IF(G145&gt;=I145,0,1)</f>
        <v>1</v>
      </c>
      <c r="DJ145" s="2920">
        <f>IF(J145&gt;=K145,0,1)</f>
        <v>1</v>
      </c>
      <c r="DK145" s="2920">
        <f>IF(J145&gt;=L145,0,1)</f>
        <v>1</v>
      </c>
      <c r="DL145" s="2920">
        <f>IF(M145&gt;=N145,0,1)</f>
        <v>1</v>
      </c>
      <c r="DM145" s="2920">
        <f>IF(M145&gt;=O145,0,1)</f>
        <v>1</v>
      </c>
      <c r="DN145" s="2920">
        <f>IF(P145&gt;=Q145,0,1)</f>
        <v>1</v>
      </c>
    </row>
    <row r="146" spans="1:118" x14ac:dyDescent="0.3">
      <c r="A146" s="6234">
        <v>11055100</v>
      </c>
      <c r="B146" s="6355"/>
      <c r="C146" s="3239" t="s">
        <v>2691</v>
      </c>
      <c r="D146" s="276" t="s">
        <v>5292</v>
      </c>
      <c r="E146" s="5143" t="s">
        <v>5293</v>
      </c>
      <c r="F146" s="4522" t="s">
        <v>5294</v>
      </c>
      <c r="G146" s="276" t="s">
        <v>5295</v>
      </c>
      <c r="H146" s="5143" t="s">
        <v>5296</v>
      </c>
      <c r="I146" s="4522" t="s">
        <v>5297</v>
      </c>
      <c r="J146" s="276" t="s">
        <v>5298</v>
      </c>
      <c r="K146" s="5143" t="s">
        <v>5299</v>
      </c>
      <c r="L146" s="4522" t="s">
        <v>5300</v>
      </c>
      <c r="M146" s="276" t="s">
        <v>5301</v>
      </c>
      <c r="N146" s="5143" t="s">
        <v>5302</v>
      </c>
      <c r="O146" s="4522" t="s">
        <v>5303</v>
      </c>
      <c r="P146" s="276" t="s">
        <v>5304</v>
      </c>
      <c r="Q146" s="5171" t="s">
        <v>5305</v>
      </c>
      <c r="R146" s="1687" t="str">
        <f t="shared" si="508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6" s="1687"/>
      <c r="T146" s="1687"/>
      <c r="U146" s="1687"/>
      <c r="V146" s="1687"/>
      <c r="W146" s="1687"/>
      <c r="X146" s="1687"/>
      <c r="Y146" s="1687"/>
      <c r="Z146" s="1687"/>
      <c r="AA146" s="1687"/>
      <c r="AB146" s="1687"/>
      <c r="AC146" s="1687"/>
      <c r="AD146" s="3199"/>
      <c r="AE146" s="3199"/>
      <c r="AF146" s="599"/>
      <c r="AG146" s="599"/>
      <c r="AH146" s="599"/>
      <c r="AI146" s="599"/>
      <c r="AJ146" s="599"/>
      <c r="AK146" s="599"/>
      <c r="AL146" s="599"/>
      <c r="AM146" s="599"/>
      <c r="AN146" s="599"/>
      <c r="AO146" s="599"/>
      <c r="AP146" s="599"/>
      <c r="AQ146" s="599"/>
      <c r="AR146" s="599"/>
      <c r="AS146" s="599"/>
      <c r="AT146" s="599"/>
      <c r="AU146" s="599"/>
      <c r="AV146" s="599"/>
      <c r="AW146" s="599"/>
      <c r="AX146" s="599"/>
      <c r="AY146" s="3199"/>
      <c r="AZ146" s="3199"/>
      <c r="BA146" s="3199"/>
      <c r="BB146" s="3199"/>
      <c r="BC146" s="3199"/>
      <c r="BD146" s="3199"/>
      <c r="BE146" s="3199"/>
      <c r="BF146" s="3199"/>
      <c r="BG146" s="3199"/>
      <c r="BH146" s="3199"/>
      <c r="BI146" s="3199"/>
      <c r="BJ146" s="3199"/>
      <c r="BK146" s="3199"/>
      <c r="BL146" s="3199"/>
      <c r="BM146" s="3199"/>
      <c r="BN146" s="3199"/>
      <c r="BO146" s="599"/>
      <c r="BP146" s="599"/>
      <c r="BQ146" s="599"/>
      <c r="BR146" s="599"/>
      <c r="BS146" s="599"/>
      <c r="BT146" s="599"/>
      <c r="BU146" s="599"/>
      <c r="BV146" s="599"/>
      <c r="BW146" s="3199"/>
      <c r="BX146" s="3199"/>
      <c r="BY146" s="3200"/>
      <c r="BZ146" s="3200"/>
      <c r="CA146" s="3200"/>
      <c r="CB146" s="2784" t="str">
        <f t="shared" si="509"/>
        <v xml:space="preserve">* Los Exámenes Reactivos de Hepatitis B NO DEBEN ser mayor a los Exámenes Procesados. </v>
      </c>
      <c r="CC146" s="2784" t="str">
        <f t="shared" si="510"/>
        <v xml:space="preserve">* Los Exámenes Confirmados de Hepatitis B NO DEBEN ser mayor a los exámenes Procesados. </v>
      </c>
      <c r="CD146" s="2784" t="str">
        <f t="shared" si="511"/>
        <v xml:space="preserve">* Los Exámenes Reactivos de Hepatitis C NO DEBEN ser mayor a los Exámenes Procesados. </v>
      </c>
      <c r="CE146" s="2784" t="str">
        <f t="shared" si="512"/>
        <v xml:space="preserve">* Los Exámenes Confirmados de Hepatitis C NO DEBEN ser mayor a los Exámenes Procesados. </v>
      </c>
      <c r="CF146" s="2784" t="str">
        <f t="shared" si="513"/>
        <v xml:space="preserve">* Los Exámenes Reactivos de CHAGAS NO DEBEN ser mayor a los Exámenes Procesados. </v>
      </c>
      <c r="CG146" s="2784" t="str">
        <f t="shared" si="514"/>
        <v xml:space="preserve">* Los Exámenes Confirmados de CHAGAS NO DEBEN ser mayor a los Exámenes Procesados. </v>
      </c>
      <c r="CH146" s="2784" t="str">
        <f t="shared" si="515"/>
        <v xml:space="preserve">* Los Exámenes Reactivos de HTLV1 NO DEBEN ser mayor a los Exámenes Procesados. </v>
      </c>
      <c r="CI146" s="2784" t="str">
        <f t="shared" si="516"/>
        <v xml:space="preserve">* Los Exámenes Confirmados de HTLV1 NO DEBEN ser mayor a los Exámenes Procesados. </v>
      </c>
      <c r="CJ146" s="2784" t="str">
        <f t="shared" si="517"/>
        <v xml:space="preserve">* Los exámenes Reactivos de SIFILIS NO DEBEN ser mayor a los exámenes Procesados. </v>
      </c>
      <c r="CK146" s="3201"/>
      <c r="DF146" s="2920">
        <f>IF(D146&gt;=E146,0,1)</f>
        <v>1</v>
      </c>
      <c r="DG146" s="2920">
        <f t="shared" si="518"/>
        <v>1</v>
      </c>
      <c r="DH146" s="2920">
        <f>IF(G146&gt;=H146,0,1)</f>
        <v>1</v>
      </c>
      <c r="DI146" s="2920">
        <f>IF(G146&gt;=I146,0,1)</f>
        <v>1</v>
      </c>
      <c r="DJ146" s="2920">
        <f>IF(J146&gt;=K146,0,1)</f>
        <v>1</v>
      </c>
      <c r="DK146" s="2920">
        <f>IF(J146&gt;=L146,0,1)</f>
        <v>1</v>
      </c>
      <c r="DL146" s="2920">
        <f>IF(M146&gt;=N146,0,1)</f>
        <v>1</v>
      </c>
      <c r="DM146" s="2920">
        <f>IF(M146&gt;=O146,0,1)</f>
        <v>1</v>
      </c>
      <c r="DN146" s="2920">
        <f>IF(P146&gt;=Q146,0,1)</f>
        <v>1</v>
      </c>
    </row>
    <row r="147" spans="1:118" x14ac:dyDescent="0.3">
      <c r="A147" s="6234">
        <v>11055110</v>
      </c>
      <c r="B147" s="6610"/>
      <c r="C147" s="5172" t="s">
        <v>2692</v>
      </c>
      <c r="D147" s="5173" t="s">
        <v>5292</v>
      </c>
      <c r="E147" s="3506" t="s">
        <v>5293</v>
      </c>
      <c r="F147" s="5174" t="s">
        <v>5294</v>
      </c>
      <c r="G147" s="5173" t="s">
        <v>5295</v>
      </c>
      <c r="H147" s="3506" t="s">
        <v>5296</v>
      </c>
      <c r="I147" s="5174" t="s">
        <v>5297</v>
      </c>
      <c r="J147" s="5173" t="s">
        <v>5298</v>
      </c>
      <c r="K147" s="3506" t="s">
        <v>5299</v>
      </c>
      <c r="L147" s="5174" t="s">
        <v>5300</v>
      </c>
      <c r="M147" s="5173" t="s">
        <v>5301</v>
      </c>
      <c r="N147" s="3506" t="s">
        <v>5302</v>
      </c>
      <c r="O147" s="5174" t="s">
        <v>5303</v>
      </c>
      <c r="P147" s="5173" t="s">
        <v>5304</v>
      </c>
      <c r="Q147" s="5175" t="s">
        <v>5305</v>
      </c>
      <c r="R147" s="1687" t="str">
        <f t="shared" si="508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7" s="1687"/>
      <c r="T147" s="1687"/>
      <c r="U147" s="1687"/>
      <c r="V147" s="1687"/>
      <c r="W147" s="1687"/>
      <c r="X147" s="1687"/>
      <c r="Y147" s="1687"/>
      <c r="Z147" s="1687"/>
      <c r="AA147" s="1687"/>
      <c r="AB147" s="1687"/>
      <c r="AC147" s="1687"/>
      <c r="AD147" s="3199"/>
      <c r="AE147" s="3199"/>
      <c r="AF147" s="599"/>
      <c r="AG147" s="599"/>
      <c r="AH147" s="599"/>
      <c r="AI147" s="599"/>
      <c r="AJ147" s="599"/>
      <c r="AK147" s="599"/>
      <c r="AL147" s="599"/>
      <c r="AM147" s="599"/>
      <c r="AN147" s="599"/>
      <c r="AO147" s="599"/>
      <c r="AP147" s="599"/>
      <c r="AQ147" s="599"/>
      <c r="AR147" s="599"/>
      <c r="AS147" s="599"/>
      <c r="AT147" s="599"/>
      <c r="AU147" s="599"/>
      <c r="AV147" s="599"/>
      <c r="AW147" s="599"/>
      <c r="AX147" s="599"/>
      <c r="AY147" s="3199"/>
      <c r="AZ147" s="3199"/>
      <c r="BA147" s="3199"/>
      <c r="BB147" s="3199"/>
      <c r="BC147" s="3199"/>
      <c r="BD147" s="3199"/>
      <c r="BE147" s="3199"/>
      <c r="BF147" s="3199"/>
      <c r="BG147" s="3199"/>
      <c r="BH147" s="3199"/>
      <c r="BI147" s="3199"/>
      <c r="BJ147" s="3199"/>
      <c r="BK147" s="3199"/>
      <c r="BL147" s="3199"/>
      <c r="BM147" s="3199"/>
      <c r="BN147" s="3199"/>
      <c r="BO147" s="599"/>
      <c r="BP147" s="599"/>
      <c r="BQ147" s="599"/>
      <c r="BR147" s="599"/>
      <c r="BS147" s="599"/>
      <c r="BT147" s="599"/>
      <c r="BU147" s="599"/>
      <c r="BV147" s="599"/>
      <c r="BW147" s="3199"/>
      <c r="BX147" s="3199"/>
      <c r="BY147" s="3200"/>
      <c r="BZ147" s="3200"/>
      <c r="CA147" s="3200"/>
      <c r="CB147" s="2784" t="str">
        <f t="shared" si="509"/>
        <v xml:space="preserve">* Los Exámenes Reactivos de Hepatitis B NO DEBEN ser mayor a los Exámenes Procesados. </v>
      </c>
      <c r="CC147" s="2784" t="str">
        <f t="shared" si="510"/>
        <v xml:space="preserve">* Los Exámenes Confirmados de Hepatitis B NO DEBEN ser mayor a los exámenes Procesados. </v>
      </c>
      <c r="CD147" s="2784" t="str">
        <f t="shared" si="511"/>
        <v xml:space="preserve">* Los Exámenes Reactivos de Hepatitis C NO DEBEN ser mayor a los Exámenes Procesados. </v>
      </c>
      <c r="CE147" s="2784" t="str">
        <f t="shared" si="512"/>
        <v xml:space="preserve">* Los Exámenes Confirmados de Hepatitis C NO DEBEN ser mayor a los Exámenes Procesados. </v>
      </c>
      <c r="CF147" s="2784" t="str">
        <f t="shared" si="513"/>
        <v xml:space="preserve">* Los Exámenes Reactivos de CHAGAS NO DEBEN ser mayor a los Exámenes Procesados. </v>
      </c>
      <c r="CG147" s="2784" t="str">
        <f t="shared" si="514"/>
        <v xml:space="preserve">* Los Exámenes Confirmados de CHAGAS NO DEBEN ser mayor a los Exámenes Procesados. </v>
      </c>
      <c r="CH147" s="2784" t="str">
        <f t="shared" si="515"/>
        <v xml:space="preserve">* Los Exámenes Reactivos de HTLV1 NO DEBEN ser mayor a los Exámenes Procesados. </v>
      </c>
      <c r="CI147" s="2784" t="str">
        <f t="shared" si="516"/>
        <v xml:space="preserve">* Los Exámenes Confirmados de HTLV1 NO DEBEN ser mayor a los Exámenes Procesados. </v>
      </c>
      <c r="CJ147" s="2784" t="str">
        <f t="shared" si="517"/>
        <v xml:space="preserve">* Los exámenes Reactivos de SIFILIS NO DEBEN ser mayor a los exámenes Procesados. </v>
      </c>
      <c r="CK147" s="3201"/>
      <c r="DF147" s="2920">
        <f>IF(D147&gt;=E147,0,1)</f>
        <v>1</v>
      </c>
      <c r="DG147" s="2920">
        <f t="shared" si="518"/>
        <v>1</v>
      </c>
      <c r="DH147" s="2920">
        <f>IF(G147&gt;=H147,0,1)</f>
        <v>1</v>
      </c>
      <c r="DI147" s="2920">
        <f>IF(G147&gt;=I147,0,1)</f>
        <v>1</v>
      </c>
      <c r="DJ147" s="2920">
        <f>IF(J147&gt;=K147,0,1)</f>
        <v>1</v>
      </c>
      <c r="DK147" s="2920">
        <f>IF(J147&gt;=L147,0,1)</f>
        <v>1</v>
      </c>
      <c r="DL147" s="2920">
        <f>IF(M147&gt;=N147,0,1)</f>
        <v>1</v>
      </c>
      <c r="DM147" s="2920">
        <f>IF(M147&gt;=O147,0,1)</f>
        <v>1</v>
      </c>
      <c r="DN147" s="2920">
        <f>IF(P147&gt;=Q147,0,1)</f>
        <v>1</v>
      </c>
    </row>
    <row r="148" spans="1:118" x14ac:dyDescent="0.3">
      <c r="A148" s="6234">
        <v>11055120</v>
      </c>
      <c r="B148" s="7553" t="s">
        <v>2693</v>
      </c>
      <c r="C148" s="7554"/>
      <c r="D148" s="5173" t="s">
        <v>5292</v>
      </c>
      <c r="E148" s="3506" t="s">
        <v>5293</v>
      </c>
      <c r="F148" s="5174" t="s">
        <v>5294</v>
      </c>
      <c r="G148" s="5173" t="s">
        <v>5295</v>
      </c>
      <c r="H148" s="3506" t="s">
        <v>5296</v>
      </c>
      <c r="I148" s="5174" t="s">
        <v>5297</v>
      </c>
      <c r="J148" s="5173" t="s">
        <v>5298</v>
      </c>
      <c r="K148" s="3506" t="s">
        <v>5299</v>
      </c>
      <c r="L148" s="5174" t="s">
        <v>5300</v>
      </c>
      <c r="M148" s="5173" t="s">
        <v>5301</v>
      </c>
      <c r="N148" s="3506" t="s">
        <v>5302</v>
      </c>
      <c r="O148" s="5174" t="s">
        <v>5303</v>
      </c>
      <c r="P148" s="5173" t="s">
        <v>5304</v>
      </c>
      <c r="Q148" s="5175" t="s">
        <v>5305</v>
      </c>
      <c r="R148" s="1687" t="str">
        <f t="shared" si="508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8" s="1687"/>
      <c r="T148" s="1687"/>
      <c r="U148" s="1687"/>
      <c r="V148" s="1687"/>
      <c r="W148" s="1687"/>
      <c r="X148" s="1687"/>
      <c r="Y148" s="1687"/>
      <c r="Z148" s="1687"/>
      <c r="AA148" s="1687"/>
      <c r="AB148" s="1687"/>
      <c r="AC148" s="1687"/>
      <c r="AD148" s="3199"/>
      <c r="AE148" s="3199"/>
      <c r="AF148" s="599"/>
      <c r="AG148" s="599"/>
      <c r="AH148" s="599"/>
      <c r="AI148" s="599"/>
      <c r="AJ148" s="599"/>
      <c r="AK148" s="599"/>
      <c r="AL148" s="599"/>
      <c r="AM148" s="599"/>
      <c r="AN148" s="599"/>
      <c r="AO148" s="599"/>
      <c r="AP148" s="599"/>
      <c r="AQ148" s="599"/>
      <c r="AR148" s="599"/>
      <c r="AS148" s="599"/>
      <c r="AT148" s="599"/>
      <c r="AU148" s="599"/>
      <c r="AV148" s="599"/>
      <c r="AW148" s="599"/>
      <c r="AX148" s="599"/>
      <c r="AY148" s="3199"/>
      <c r="AZ148" s="3199"/>
      <c r="BA148" s="3199"/>
      <c r="BB148" s="3199"/>
      <c r="BC148" s="3199"/>
      <c r="BD148" s="3199"/>
      <c r="BE148" s="3199"/>
      <c r="BF148" s="3199"/>
      <c r="BG148" s="3199"/>
      <c r="BH148" s="3199"/>
      <c r="BI148" s="3199"/>
      <c r="BJ148" s="3199"/>
      <c r="BK148" s="3199"/>
      <c r="BL148" s="3199"/>
      <c r="BM148" s="3199"/>
      <c r="BN148" s="3199"/>
      <c r="BO148" s="599"/>
      <c r="BP148" s="599"/>
      <c r="BQ148" s="599"/>
      <c r="BR148" s="599"/>
      <c r="BS148" s="599"/>
      <c r="BT148" s="599"/>
      <c r="BU148" s="599"/>
      <c r="BV148" s="599"/>
      <c r="BW148" s="3199"/>
      <c r="BX148" s="3199"/>
      <c r="BY148" s="3200"/>
      <c r="BZ148" s="3200"/>
      <c r="CA148" s="3200"/>
      <c r="CB148" s="2784" t="str">
        <f t="shared" si="509"/>
        <v xml:space="preserve">* Los Exámenes Reactivos de Hepatitis B NO DEBEN ser mayor a los Exámenes Procesados. </v>
      </c>
      <c r="CC148" s="2784" t="str">
        <f t="shared" si="510"/>
        <v xml:space="preserve">* Los Exámenes Confirmados de Hepatitis B NO DEBEN ser mayor a los exámenes Procesados. </v>
      </c>
      <c r="CD148" s="2784" t="str">
        <f t="shared" si="511"/>
        <v xml:space="preserve">* Los Exámenes Reactivos de Hepatitis C NO DEBEN ser mayor a los Exámenes Procesados. </v>
      </c>
      <c r="CE148" s="2784" t="str">
        <f t="shared" si="512"/>
        <v xml:space="preserve">* Los Exámenes Confirmados de Hepatitis C NO DEBEN ser mayor a los Exámenes Procesados. </v>
      </c>
      <c r="CF148" s="2784" t="str">
        <f t="shared" si="513"/>
        <v xml:space="preserve">* Los Exámenes Reactivos de CHAGAS NO DEBEN ser mayor a los Exámenes Procesados. </v>
      </c>
      <c r="CG148" s="2784" t="str">
        <f t="shared" si="514"/>
        <v xml:space="preserve">* Los Exámenes Confirmados de CHAGAS NO DEBEN ser mayor a los Exámenes Procesados. </v>
      </c>
      <c r="CH148" s="2784" t="str">
        <f t="shared" si="515"/>
        <v xml:space="preserve">* Los Exámenes Reactivos de HTLV1 NO DEBEN ser mayor a los Exámenes Procesados. </v>
      </c>
      <c r="CI148" s="2784" t="str">
        <f t="shared" si="516"/>
        <v xml:space="preserve">* Los Exámenes Confirmados de HTLV1 NO DEBEN ser mayor a los Exámenes Procesados. </v>
      </c>
      <c r="CJ148" s="2784" t="str">
        <f t="shared" si="517"/>
        <v xml:space="preserve">* Los exámenes Reactivos de SIFILIS NO DEBEN ser mayor a los exámenes Procesados. </v>
      </c>
      <c r="CK148" s="3201"/>
      <c r="DF148" s="2920">
        <f>IF(D148&gt;=E148,0,1)</f>
        <v>1</v>
      </c>
      <c r="DG148" s="2920">
        <f t="shared" si="518"/>
        <v>1</v>
      </c>
      <c r="DH148" s="2920">
        <f>IF(G148&gt;=H148,0,1)</f>
        <v>1</v>
      </c>
      <c r="DI148" s="2920">
        <f>IF(G148&gt;=I148,0,1)</f>
        <v>1</v>
      </c>
      <c r="DJ148" s="2920">
        <f>IF(J148&gt;=K148,0,1)</f>
        <v>1</v>
      </c>
      <c r="DK148" s="2920">
        <f>IF(J148&gt;=L148,0,1)</f>
        <v>1</v>
      </c>
      <c r="DL148" s="2920">
        <f>IF(M148&gt;=N148,0,1)</f>
        <v>1</v>
      </c>
      <c r="DM148" s="2920">
        <f>IF(M148&gt;=O148,0,1)</f>
        <v>1</v>
      </c>
      <c r="DN148" s="2920">
        <f>IF(P148&gt;=Q148,0,1)</f>
        <v>1</v>
      </c>
    </row>
    <row r="149" spans="1:118" s="17" customFormat="1" ht="18" customHeight="1" x14ac:dyDescent="0.3">
      <c r="A149" s="599"/>
      <c r="B149" s="7555" t="s">
        <v>2694</v>
      </c>
      <c r="C149" s="7555"/>
      <c r="D149" s="7555"/>
      <c r="E149" s="7555"/>
      <c r="F149" s="7555"/>
      <c r="G149" s="7555"/>
      <c r="H149" s="7555"/>
      <c r="I149" s="7555"/>
      <c r="J149" s="7555"/>
      <c r="K149" s="7555"/>
      <c r="L149" s="7555"/>
      <c r="M149" s="7555"/>
      <c r="N149" s="7555"/>
      <c r="O149" s="7555"/>
      <c r="P149" s="7555"/>
      <c r="Q149" s="7555"/>
    </row>
    <row r="150" spans="1:118" x14ac:dyDescent="0.3">
      <c r="A150" s="599"/>
      <c r="B150" s="7544" t="s">
        <v>2683</v>
      </c>
      <c r="C150" s="7538"/>
      <c r="D150" s="7548" t="s">
        <v>2684</v>
      </c>
      <c r="E150" s="7556"/>
      <c r="F150" s="7549"/>
      <c r="G150" s="7547" t="s">
        <v>2685</v>
      </c>
      <c r="H150" s="7547"/>
      <c r="I150" s="7547"/>
      <c r="J150" s="7547" t="s">
        <v>2686</v>
      </c>
      <c r="K150" s="7547"/>
      <c r="L150" s="7547"/>
      <c r="M150" s="7547" t="s">
        <v>2687</v>
      </c>
      <c r="N150" s="7547"/>
      <c r="O150" s="7547"/>
      <c r="P150" s="7548" t="s">
        <v>14</v>
      </c>
      <c r="Q150" s="7549"/>
    </row>
    <row r="151" spans="1:118" x14ac:dyDescent="0.3">
      <c r="A151" s="599"/>
      <c r="B151" s="7545"/>
      <c r="C151" s="7146"/>
      <c r="D151" s="5176" t="s">
        <v>2657</v>
      </c>
      <c r="E151" s="5177" t="s">
        <v>2658</v>
      </c>
      <c r="F151" s="5178" t="s">
        <v>2688</v>
      </c>
      <c r="G151" s="5176" t="s">
        <v>2657</v>
      </c>
      <c r="H151" s="5177" t="s">
        <v>2658</v>
      </c>
      <c r="I151" s="5178" t="s">
        <v>2688</v>
      </c>
      <c r="J151" s="5176" t="s">
        <v>2657</v>
      </c>
      <c r="K151" s="5177" t="s">
        <v>2658</v>
      </c>
      <c r="L151" s="5178" t="s">
        <v>2688</v>
      </c>
      <c r="M151" s="5176" t="s">
        <v>2657</v>
      </c>
      <c r="N151" s="5177" t="s">
        <v>2658</v>
      </c>
      <c r="O151" s="5178" t="s">
        <v>2688</v>
      </c>
      <c r="P151" s="5176" t="s">
        <v>2657</v>
      </c>
      <c r="Q151" s="5179" t="s">
        <v>2658</v>
      </c>
    </row>
    <row r="152" spans="1:118" x14ac:dyDescent="0.3">
      <c r="A152" s="6234">
        <v>11055130</v>
      </c>
      <c r="B152" s="7557" t="s">
        <v>2689</v>
      </c>
      <c r="C152" s="7558"/>
      <c r="D152" s="5163" t="s">
        <v>5292</v>
      </c>
      <c r="E152" s="5164" t="s">
        <v>5293</v>
      </c>
      <c r="F152" s="3498" t="s">
        <v>5294</v>
      </c>
      <c r="G152" s="5163" t="s">
        <v>5295</v>
      </c>
      <c r="H152" s="5164" t="s">
        <v>5296</v>
      </c>
      <c r="I152" s="3498" t="s">
        <v>5297</v>
      </c>
      <c r="J152" s="5163" t="s">
        <v>5298</v>
      </c>
      <c r="K152" s="5164" t="s">
        <v>5299</v>
      </c>
      <c r="L152" s="3498" t="s">
        <v>5300</v>
      </c>
      <c r="M152" s="5163" t="s">
        <v>5301</v>
      </c>
      <c r="N152" s="5164" t="s">
        <v>5302</v>
      </c>
      <c r="O152" s="3498" t="s">
        <v>5303</v>
      </c>
      <c r="P152" s="5163" t="s">
        <v>5304</v>
      </c>
      <c r="Q152" s="5165" t="s">
        <v>5305</v>
      </c>
      <c r="R152" s="1687" t="str">
        <f>$CB152&amp;CC152&amp;$CD152&amp;CE152&amp;$CF152&amp;CG152&amp;$CH152&amp;CI152&amp;$CJ152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2" s="1687"/>
      <c r="T152" s="1687"/>
      <c r="U152" s="1687"/>
      <c r="V152" s="1687"/>
      <c r="W152" s="1687"/>
      <c r="X152" s="1687"/>
      <c r="Y152" s="1687"/>
      <c r="Z152" s="1687"/>
      <c r="AA152" s="1687"/>
      <c r="AB152" s="1687"/>
      <c r="AC152" s="1687"/>
      <c r="AD152" s="3199"/>
      <c r="AE152" s="3199"/>
      <c r="AF152" s="599"/>
      <c r="AG152" s="599"/>
      <c r="AH152" s="599"/>
      <c r="AI152" s="599"/>
      <c r="AJ152" s="599"/>
      <c r="AK152" s="599"/>
      <c r="AL152" s="599"/>
      <c r="AM152" s="599"/>
      <c r="AN152" s="599"/>
      <c r="AO152" s="599"/>
      <c r="AP152" s="599"/>
      <c r="AQ152" s="599"/>
      <c r="AR152" s="599"/>
      <c r="AS152" s="599"/>
      <c r="AT152" s="599"/>
      <c r="AU152" s="599"/>
      <c r="AV152" s="599"/>
      <c r="AW152" s="599"/>
      <c r="AX152" s="599"/>
      <c r="AY152" s="3199"/>
      <c r="AZ152" s="3199"/>
      <c r="BA152" s="3199"/>
      <c r="BB152" s="3199"/>
      <c r="BC152" s="3199"/>
      <c r="BD152" s="3199"/>
      <c r="BE152" s="3199"/>
      <c r="BF152" s="3199"/>
      <c r="BG152" s="3199"/>
      <c r="BH152" s="3199"/>
      <c r="BI152" s="3199"/>
      <c r="BJ152" s="3199"/>
      <c r="BK152" s="3199"/>
      <c r="BL152" s="3199"/>
      <c r="BM152" s="3199"/>
      <c r="BN152" s="3199"/>
      <c r="BO152" s="599"/>
      <c r="BP152" s="599"/>
      <c r="BQ152" s="599"/>
      <c r="BR152" s="599"/>
      <c r="BS152" s="599"/>
      <c r="BT152" s="599"/>
      <c r="BU152" s="599"/>
      <c r="BV152" s="599"/>
      <c r="BW152" s="3199"/>
      <c r="BX152" s="3199"/>
      <c r="BY152" s="3200"/>
      <c r="BZ152" s="3200"/>
      <c r="CA152" s="3200"/>
      <c r="CB152" s="2784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2784" t="str">
        <f>IF(D152&gt;=F152,"","* Los Exámenes Confirmados de Hepatitis B NO DEBEN ser mayor a los exámenes Procesados. ")</f>
        <v xml:space="preserve">* Los Exámenes Confirmados de Hepatitis B NO DEBEN ser mayor a los exámenes Procesados. </v>
      </c>
      <c r="CD152" s="2784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E152" s="2784" t="str">
        <f>IF(G152&gt;=I152,"","* Los Exámenes Confirmados de Hepatitis C NO DEBEN ser mayor a los Exámenes Procesados. ")</f>
        <v xml:space="preserve">* Los Exámenes Confirmados de Hepatitis C NO DEBEN ser mayor a los Exámenes Procesados. </v>
      </c>
      <c r="CF152" s="2784" t="str">
        <f>IF(J152&gt;=K152,"","* Los Exámenes Reactivos de CHAGAS NO DEBEN ser mayor a los Exámenes Procesados. ")</f>
        <v xml:space="preserve">* Los Exámenes Reactivos de CHAGAS NO DEBEN ser mayor a los Exámenes Procesados. </v>
      </c>
      <c r="CG152" s="2784" t="str">
        <f>IF(J152&gt;=L152,"","* Los Exámenes Confirmados de CHAGAS NO DEBEN ser mayor a los Exámenes Procesados. ")</f>
        <v xml:space="preserve">* Los Exámenes Confirmados de CHAGAS NO DEBEN ser mayor a los Exámenes Procesados. </v>
      </c>
      <c r="CH152" s="2784" t="str">
        <f>IF(M152&gt;=N152,"","* Los Exámenes Reactivos de HTLV1 NO DEBEN ser mayor a los Exámenes Procesados. ")</f>
        <v xml:space="preserve">* Los Exámenes Reactivos de HTLV1 NO DEBEN ser mayor a los Exámenes Procesados. </v>
      </c>
      <c r="CI152" s="2784" t="str">
        <f>IF(M152&gt;=O152,"","* Los Exámenes Confirmados de HTLV1 NO DEBEN ser mayor a los Exámenes Procesados. ")</f>
        <v xml:space="preserve">* Los Exámenes Confirmados de HTLV1 NO DEBEN ser mayor a los Exámenes Procesados. </v>
      </c>
      <c r="CJ152" s="2784" t="str">
        <f>IF(P152&gt;=Q152,"","* Los exámenes Reactivos de SIFILIS NO DEBEN ser mayor a los exámenes Procesados. ")</f>
        <v xml:space="preserve">* Los exámenes Reactivos de SIFILIS NO DEBEN ser mayor a los exámenes Procesados. </v>
      </c>
      <c r="CK152" s="3201"/>
      <c r="DF152" s="2920">
        <f>IF(D152&gt;=E152,0,1)</f>
        <v>1</v>
      </c>
      <c r="DG152" s="2920">
        <f>IF(F152&gt;D152,1,0)</f>
        <v>1</v>
      </c>
      <c r="DH152" s="2920">
        <f>IF(G152&gt;=H152,0,1)</f>
        <v>1</v>
      </c>
      <c r="DI152" s="2920">
        <f>IF(G152&gt;=I152,0,1)</f>
        <v>1</v>
      </c>
      <c r="DJ152" s="2920">
        <f>IF(J152&gt;=K152,0,1)</f>
        <v>1</v>
      </c>
      <c r="DK152" s="2920">
        <f>IF(J152&gt;=L152,0,1)</f>
        <v>1</v>
      </c>
      <c r="DL152" s="2920">
        <f>IF(M152&gt;=N152,0,1)</f>
        <v>1</v>
      </c>
      <c r="DM152" s="2920">
        <f>IF(M152&gt;=O152,0,1)</f>
        <v>1</v>
      </c>
      <c r="DN152" s="2920">
        <f>IF(P152&gt;=Q152,0,1)</f>
        <v>1</v>
      </c>
    </row>
    <row r="153" spans="1:118" x14ac:dyDescent="0.3">
      <c r="A153" s="6234">
        <v>11055140</v>
      </c>
      <c r="B153" s="7552" t="s">
        <v>545</v>
      </c>
      <c r="C153" s="5180" t="s">
        <v>2690</v>
      </c>
      <c r="D153" s="5167" t="s">
        <v>5292</v>
      </c>
      <c r="E153" s="5168" t="s">
        <v>5293</v>
      </c>
      <c r="F153" s="5169" t="s">
        <v>5294</v>
      </c>
      <c r="G153" s="5167" t="s">
        <v>5295</v>
      </c>
      <c r="H153" s="5168" t="s">
        <v>5296</v>
      </c>
      <c r="I153" s="5169" t="s">
        <v>5297</v>
      </c>
      <c r="J153" s="5167" t="s">
        <v>5298</v>
      </c>
      <c r="K153" s="5168" t="s">
        <v>5299</v>
      </c>
      <c r="L153" s="5169" t="s">
        <v>5300</v>
      </c>
      <c r="M153" s="5167" t="s">
        <v>5301</v>
      </c>
      <c r="N153" s="5168" t="s">
        <v>5302</v>
      </c>
      <c r="O153" s="5169" t="s">
        <v>5303</v>
      </c>
      <c r="P153" s="5167" t="s">
        <v>5304</v>
      </c>
      <c r="Q153" s="5170" t="s">
        <v>5305</v>
      </c>
      <c r="R153" s="1687" t="str">
        <f t="shared" ref="R153:R156" si="519">$CB153&amp;CC153&amp;$CD153&amp;CE153&amp;$CF153&amp;CG153&amp;$CH153&amp;CI153&amp;$CJ153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3" s="1687"/>
      <c r="T153" s="1687"/>
      <c r="U153" s="1687"/>
      <c r="V153" s="1687"/>
      <c r="W153" s="1687"/>
      <c r="X153" s="1687"/>
      <c r="Y153" s="1687"/>
      <c r="Z153" s="1687"/>
      <c r="AA153" s="1687"/>
      <c r="AB153" s="1687"/>
      <c r="AC153" s="1687"/>
      <c r="AD153" s="3199"/>
      <c r="AE153" s="3199"/>
      <c r="AF153" s="599"/>
      <c r="AG153" s="599"/>
      <c r="AH153" s="599"/>
      <c r="AI153" s="599"/>
      <c r="AJ153" s="599"/>
      <c r="AK153" s="599"/>
      <c r="AL153" s="599"/>
      <c r="AM153" s="599"/>
      <c r="AN153" s="599"/>
      <c r="AO153" s="599"/>
      <c r="AP153" s="599"/>
      <c r="AQ153" s="599"/>
      <c r="AR153" s="599"/>
      <c r="AS153" s="599"/>
      <c r="AT153" s="599"/>
      <c r="AU153" s="599"/>
      <c r="AV153" s="599"/>
      <c r="AW153" s="599"/>
      <c r="AX153" s="599"/>
      <c r="AY153" s="3199"/>
      <c r="AZ153" s="3199"/>
      <c r="BA153" s="3199"/>
      <c r="BB153" s="3199"/>
      <c r="BC153" s="3199"/>
      <c r="BD153" s="3199"/>
      <c r="BE153" s="3199"/>
      <c r="BF153" s="3199"/>
      <c r="BG153" s="3199"/>
      <c r="BH153" s="3199"/>
      <c r="BI153" s="3199"/>
      <c r="BJ153" s="3199"/>
      <c r="BK153" s="3199"/>
      <c r="BL153" s="3199"/>
      <c r="BM153" s="3199"/>
      <c r="BN153" s="3199"/>
      <c r="BO153" s="599"/>
      <c r="BP153" s="599"/>
      <c r="BQ153" s="599"/>
      <c r="BR153" s="599"/>
      <c r="BS153" s="599"/>
      <c r="BT153" s="599"/>
      <c r="BU153" s="599"/>
      <c r="BV153" s="599"/>
      <c r="BW153" s="3199"/>
      <c r="BX153" s="3199"/>
      <c r="BY153" s="3200"/>
      <c r="BZ153" s="3200"/>
      <c r="CA153" s="3200"/>
      <c r="CB153" s="2784" t="str">
        <f t="shared" ref="CB153:CB156" si="520">IF(D153&gt;=E153,"","* Los Exámenes Reactivos de Hepatitis B NO DEBEN ser mayor a los Exámenes Procesados. ")</f>
        <v xml:space="preserve">* Los Exámenes Reactivos de Hepatitis B NO DEBEN ser mayor a los Exámenes Procesados. </v>
      </c>
      <c r="CC153" s="2784" t="str">
        <f t="shared" ref="CC153:CC156" si="521">IF(D153&gt;=F153,"","* Los Exámenes Confirmados de Hepatitis B NO DEBEN ser mayor a los exámenes Procesados. ")</f>
        <v xml:space="preserve">* Los Exámenes Confirmados de Hepatitis B NO DEBEN ser mayor a los exámenes Procesados. </v>
      </c>
      <c r="CD153" s="2784" t="str">
        <f t="shared" ref="CD153:CD156" si="522">IF(G153&gt;=H153,"","* Los Exámenes Reactivos de Hepatitis C NO DEBEN ser mayor a los Exámenes Procesados. ")</f>
        <v xml:space="preserve">* Los Exámenes Reactivos de Hepatitis C NO DEBEN ser mayor a los Exámenes Procesados. </v>
      </c>
      <c r="CE153" s="2784" t="str">
        <f t="shared" ref="CE153:CE156" si="523">IF(G153&gt;=I153,"","* Los Exámenes Confirmados de Hepatitis C NO DEBEN ser mayor a los Exámenes Procesados. ")</f>
        <v xml:space="preserve">* Los Exámenes Confirmados de Hepatitis C NO DEBEN ser mayor a los Exámenes Procesados. </v>
      </c>
      <c r="CF153" s="2784" t="str">
        <f t="shared" ref="CF153:CF156" si="524">IF(J153&gt;=K153,"","* Los Exámenes Reactivos de CHAGAS NO DEBEN ser mayor a los Exámenes Procesados. ")</f>
        <v xml:space="preserve">* Los Exámenes Reactivos de CHAGAS NO DEBEN ser mayor a los Exámenes Procesados. </v>
      </c>
      <c r="CG153" s="2784" t="str">
        <f t="shared" ref="CG153:CG156" si="525">IF(J153&gt;=L153,"","* Los Exámenes Confirmados de CHAGAS NO DEBEN ser mayor a los Exámenes Procesados. ")</f>
        <v xml:space="preserve">* Los Exámenes Confirmados de CHAGAS NO DEBEN ser mayor a los Exámenes Procesados. </v>
      </c>
      <c r="CH153" s="2784" t="str">
        <f t="shared" ref="CH153:CH156" si="526">IF(M153&gt;=N153,"","* Los Exámenes Reactivos de HTLV1 NO DEBEN ser mayor a los Exámenes Procesados. ")</f>
        <v xml:space="preserve">* Los Exámenes Reactivos de HTLV1 NO DEBEN ser mayor a los Exámenes Procesados. </v>
      </c>
      <c r="CI153" s="2784" t="str">
        <f t="shared" ref="CI153:CI156" si="527">IF(M153&gt;=O153,"","* Los Exámenes Confirmados de HTLV1 NO DEBEN ser mayor a los Exámenes Procesados. ")</f>
        <v xml:space="preserve">* Los Exámenes Confirmados de HTLV1 NO DEBEN ser mayor a los Exámenes Procesados. </v>
      </c>
      <c r="CJ153" s="2784" t="str">
        <f t="shared" ref="CJ153:CJ156" si="528">IF(P153&gt;=Q153,"","* Los exámenes Reactivos de SIFILIS NO DEBEN ser mayor a los exámenes Procesados. ")</f>
        <v xml:space="preserve">* Los exámenes Reactivos de SIFILIS NO DEBEN ser mayor a los exámenes Procesados. </v>
      </c>
      <c r="CK153" s="3201"/>
      <c r="DF153" s="2920">
        <f>IF(D153&gt;=E153,0,1)</f>
        <v>1</v>
      </c>
      <c r="DG153" s="2920">
        <f t="shared" ref="DG153:DG156" si="529">IF(F153&gt;D153,1,0)</f>
        <v>1</v>
      </c>
      <c r="DH153" s="2920">
        <f>IF(G153&gt;=H153,0,1)</f>
        <v>1</v>
      </c>
      <c r="DI153" s="2920">
        <f>IF(G153&gt;=I153,0,1)</f>
        <v>1</v>
      </c>
      <c r="DJ153" s="2920">
        <f>IF(J153&gt;=K153,0,1)</f>
        <v>1</v>
      </c>
      <c r="DK153" s="2920">
        <f>IF(J153&gt;=L153,0,1)</f>
        <v>1</v>
      </c>
      <c r="DL153" s="2920">
        <f>IF(M153&gt;=N153,0,1)</f>
        <v>1</v>
      </c>
      <c r="DM153" s="2920">
        <f>IF(M153&gt;=O153,0,1)</f>
        <v>1</v>
      </c>
      <c r="DN153" s="2920">
        <f>IF(P153&gt;=Q153,0,1)</f>
        <v>1</v>
      </c>
    </row>
    <row r="154" spans="1:118" x14ac:dyDescent="0.3">
      <c r="A154" s="6234">
        <v>11055150</v>
      </c>
      <c r="B154" s="6355"/>
      <c r="C154" s="3508" t="s">
        <v>2691</v>
      </c>
      <c r="D154" s="276" t="s">
        <v>5292</v>
      </c>
      <c r="E154" s="5143" t="s">
        <v>5293</v>
      </c>
      <c r="F154" s="4522" t="s">
        <v>5294</v>
      </c>
      <c r="G154" s="276" t="s">
        <v>5295</v>
      </c>
      <c r="H154" s="5143" t="s">
        <v>5296</v>
      </c>
      <c r="I154" s="4522" t="s">
        <v>5297</v>
      </c>
      <c r="J154" s="276" t="s">
        <v>5298</v>
      </c>
      <c r="K154" s="5143" t="s">
        <v>5299</v>
      </c>
      <c r="L154" s="4522" t="s">
        <v>5300</v>
      </c>
      <c r="M154" s="276" t="s">
        <v>5301</v>
      </c>
      <c r="N154" s="5143" t="s">
        <v>5302</v>
      </c>
      <c r="O154" s="4522" t="s">
        <v>5303</v>
      </c>
      <c r="P154" s="276" t="s">
        <v>5304</v>
      </c>
      <c r="Q154" s="5171" t="s">
        <v>5305</v>
      </c>
      <c r="R154" s="1687" t="str">
        <f t="shared" si="51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4" s="1687"/>
      <c r="T154" s="1687"/>
      <c r="U154" s="1687"/>
      <c r="V154" s="1687"/>
      <c r="W154" s="1687"/>
      <c r="X154" s="1687"/>
      <c r="Y154" s="1687"/>
      <c r="Z154" s="1687"/>
      <c r="AA154" s="1687"/>
      <c r="AB154" s="1687"/>
      <c r="AC154" s="1687"/>
      <c r="AD154" s="3199"/>
      <c r="AE154" s="3199"/>
      <c r="AF154" s="599"/>
      <c r="AG154" s="599"/>
      <c r="AH154" s="599"/>
      <c r="AI154" s="599"/>
      <c r="AJ154" s="599"/>
      <c r="AK154" s="599"/>
      <c r="AL154" s="599"/>
      <c r="AM154" s="599"/>
      <c r="AN154" s="599"/>
      <c r="AO154" s="599"/>
      <c r="AP154" s="599"/>
      <c r="AQ154" s="599"/>
      <c r="AR154" s="599"/>
      <c r="AS154" s="599"/>
      <c r="AT154" s="599"/>
      <c r="AU154" s="599"/>
      <c r="AV154" s="599"/>
      <c r="AW154" s="599"/>
      <c r="AX154" s="599"/>
      <c r="AY154" s="3199"/>
      <c r="AZ154" s="3199"/>
      <c r="BA154" s="3199"/>
      <c r="BB154" s="3199"/>
      <c r="BC154" s="3199"/>
      <c r="BD154" s="3199"/>
      <c r="BE154" s="3199"/>
      <c r="BF154" s="3199"/>
      <c r="BG154" s="3199"/>
      <c r="BH154" s="3199"/>
      <c r="BI154" s="3199"/>
      <c r="BJ154" s="3199"/>
      <c r="BK154" s="3199"/>
      <c r="BL154" s="3199"/>
      <c r="BM154" s="3199"/>
      <c r="BN154" s="3199"/>
      <c r="BO154" s="599"/>
      <c r="BP154" s="599"/>
      <c r="BQ154" s="599"/>
      <c r="BR154" s="599"/>
      <c r="BS154" s="599"/>
      <c r="BT154" s="599"/>
      <c r="BU154" s="599"/>
      <c r="BV154" s="599"/>
      <c r="BW154" s="3199"/>
      <c r="BX154" s="3199"/>
      <c r="BY154" s="3200"/>
      <c r="BZ154" s="3200"/>
      <c r="CA154" s="3200"/>
      <c r="CB154" s="2784" t="str">
        <f t="shared" si="520"/>
        <v xml:space="preserve">* Los Exámenes Reactivos de Hepatitis B NO DEBEN ser mayor a los Exámenes Procesados. </v>
      </c>
      <c r="CC154" s="2784" t="str">
        <f t="shared" si="521"/>
        <v xml:space="preserve">* Los Exámenes Confirmados de Hepatitis B NO DEBEN ser mayor a los exámenes Procesados. </v>
      </c>
      <c r="CD154" s="2784" t="str">
        <f t="shared" si="522"/>
        <v xml:space="preserve">* Los Exámenes Reactivos de Hepatitis C NO DEBEN ser mayor a los Exámenes Procesados. </v>
      </c>
      <c r="CE154" s="2784" t="str">
        <f t="shared" si="523"/>
        <v xml:space="preserve">* Los Exámenes Confirmados de Hepatitis C NO DEBEN ser mayor a los Exámenes Procesados. </v>
      </c>
      <c r="CF154" s="2784" t="str">
        <f t="shared" si="524"/>
        <v xml:space="preserve">* Los Exámenes Reactivos de CHAGAS NO DEBEN ser mayor a los Exámenes Procesados. </v>
      </c>
      <c r="CG154" s="2784" t="str">
        <f t="shared" si="525"/>
        <v xml:space="preserve">* Los Exámenes Confirmados de CHAGAS NO DEBEN ser mayor a los Exámenes Procesados. </v>
      </c>
      <c r="CH154" s="2784" t="str">
        <f t="shared" si="526"/>
        <v xml:space="preserve">* Los Exámenes Reactivos de HTLV1 NO DEBEN ser mayor a los Exámenes Procesados. </v>
      </c>
      <c r="CI154" s="2784" t="str">
        <f t="shared" si="527"/>
        <v xml:space="preserve">* Los Exámenes Confirmados de HTLV1 NO DEBEN ser mayor a los Exámenes Procesados. </v>
      </c>
      <c r="CJ154" s="2784" t="str">
        <f t="shared" si="528"/>
        <v xml:space="preserve">* Los exámenes Reactivos de SIFILIS NO DEBEN ser mayor a los exámenes Procesados. </v>
      </c>
      <c r="CK154" s="3201"/>
      <c r="DF154" s="2920">
        <f>IF(D154&gt;=E154,0,1)</f>
        <v>1</v>
      </c>
      <c r="DG154" s="2920">
        <f t="shared" si="529"/>
        <v>1</v>
      </c>
      <c r="DH154" s="2920">
        <f>IF(G154&gt;=H154,0,1)</f>
        <v>1</v>
      </c>
      <c r="DI154" s="2920">
        <f>IF(G154&gt;=I154,0,1)</f>
        <v>1</v>
      </c>
      <c r="DJ154" s="2920">
        <f>IF(J154&gt;=K154,0,1)</f>
        <v>1</v>
      </c>
      <c r="DK154" s="2920">
        <f>IF(J154&gt;=L154,0,1)</f>
        <v>1</v>
      </c>
      <c r="DL154" s="2920">
        <f>IF(M154&gt;=N154,0,1)</f>
        <v>1</v>
      </c>
      <c r="DM154" s="2920">
        <f>IF(M154&gt;=O154,0,1)</f>
        <v>1</v>
      </c>
      <c r="DN154" s="2920">
        <f>IF(P154&gt;=Q154,0,1)</f>
        <v>1</v>
      </c>
    </row>
    <row r="155" spans="1:118" x14ac:dyDescent="0.3">
      <c r="A155" s="6234">
        <v>11055160</v>
      </c>
      <c r="B155" s="6610"/>
      <c r="C155" s="5181" t="s">
        <v>2692</v>
      </c>
      <c r="D155" s="5173" t="s">
        <v>5292</v>
      </c>
      <c r="E155" s="3506" t="s">
        <v>5293</v>
      </c>
      <c r="F155" s="5174" t="s">
        <v>5294</v>
      </c>
      <c r="G155" s="5173" t="s">
        <v>5295</v>
      </c>
      <c r="H155" s="3506" t="s">
        <v>5296</v>
      </c>
      <c r="I155" s="5174" t="s">
        <v>5297</v>
      </c>
      <c r="J155" s="5173" t="s">
        <v>5298</v>
      </c>
      <c r="K155" s="3506" t="s">
        <v>5299</v>
      </c>
      <c r="L155" s="5174" t="s">
        <v>5300</v>
      </c>
      <c r="M155" s="5173" t="s">
        <v>5301</v>
      </c>
      <c r="N155" s="3506" t="s">
        <v>5302</v>
      </c>
      <c r="O155" s="5174" t="s">
        <v>5303</v>
      </c>
      <c r="P155" s="5173" t="s">
        <v>5304</v>
      </c>
      <c r="Q155" s="5175" t="s">
        <v>5305</v>
      </c>
      <c r="R155" s="1687" t="str">
        <f t="shared" si="51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5" s="1687"/>
      <c r="T155" s="1687"/>
      <c r="U155" s="1687"/>
      <c r="V155" s="1687"/>
      <c r="W155" s="1687"/>
      <c r="X155" s="1687"/>
      <c r="Y155" s="1687"/>
      <c r="Z155" s="1687"/>
      <c r="AA155" s="1687"/>
      <c r="AB155" s="1687"/>
      <c r="AC155" s="1687"/>
      <c r="AD155" s="3199"/>
      <c r="AE155" s="3199"/>
      <c r="AF155" s="599"/>
      <c r="AG155" s="599"/>
      <c r="AH155" s="599"/>
      <c r="AI155" s="599"/>
      <c r="AJ155" s="599"/>
      <c r="AK155" s="599"/>
      <c r="AL155" s="599"/>
      <c r="AM155" s="599"/>
      <c r="AN155" s="599"/>
      <c r="AO155" s="599"/>
      <c r="AP155" s="599"/>
      <c r="AQ155" s="599"/>
      <c r="AR155" s="599"/>
      <c r="AS155" s="599"/>
      <c r="AT155" s="599"/>
      <c r="AU155" s="599"/>
      <c r="AV155" s="599"/>
      <c r="AW155" s="599"/>
      <c r="AX155" s="599"/>
      <c r="AY155" s="3199"/>
      <c r="AZ155" s="3199"/>
      <c r="BA155" s="3199"/>
      <c r="BB155" s="3199"/>
      <c r="BC155" s="3199"/>
      <c r="BD155" s="3199"/>
      <c r="BE155" s="3199"/>
      <c r="BF155" s="3199"/>
      <c r="BG155" s="3199"/>
      <c r="BH155" s="3199"/>
      <c r="BI155" s="3199"/>
      <c r="BJ155" s="3199"/>
      <c r="BK155" s="3199"/>
      <c r="BL155" s="3199"/>
      <c r="BM155" s="3199"/>
      <c r="BN155" s="3199"/>
      <c r="BO155" s="599"/>
      <c r="BP155" s="599"/>
      <c r="BQ155" s="599"/>
      <c r="BR155" s="599"/>
      <c r="BS155" s="599"/>
      <c r="BT155" s="599"/>
      <c r="BU155" s="599"/>
      <c r="BV155" s="599"/>
      <c r="BW155" s="3199"/>
      <c r="BX155" s="3199"/>
      <c r="BY155" s="3200"/>
      <c r="BZ155" s="3200"/>
      <c r="CA155" s="3200"/>
      <c r="CB155" s="2784" t="str">
        <f t="shared" si="520"/>
        <v xml:space="preserve">* Los Exámenes Reactivos de Hepatitis B NO DEBEN ser mayor a los Exámenes Procesados. </v>
      </c>
      <c r="CC155" s="2784" t="str">
        <f t="shared" si="521"/>
        <v xml:space="preserve">* Los Exámenes Confirmados de Hepatitis B NO DEBEN ser mayor a los exámenes Procesados. </v>
      </c>
      <c r="CD155" s="2784" t="str">
        <f t="shared" si="522"/>
        <v xml:space="preserve">* Los Exámenes Reactivos de Hepatitis C NO DEBEN ser mayor a los Exámenes Procesados. </v>
      </c>
      <c r="CE155" s="2784" t="str">
        <f t="shared" si="523"/>
        <v xml:space="preserve">* Los Exámenes Confirmados de Hepatitis C NO DEBEN ser mayor a los Exámenes Procesados. </v>
      </c>
      <c r="CF155" s="2784" t="str">
        <f t="shared" si="524"/>
        <v xml:space="preserve">* Los Exámenes Reactivos de CHAGAS NO DEBEN ser mayor a los Exámenes Procesados. </v>
      </c>
      <c r="CG155" s="2784" t="str">
        <f t="shared" si="525"/>
        <v xml:space="preserve">* Los Exámenes Confirmados de CHAGAS NO DEBEN ser mayor a los Exámenes Procesados. </v>
      </c>
      <c r="CH155" s="2784" t="str">
        <f t="shared" si="526"/>
        <v xml:space="preserve">* Los Exámenes Reactivos de HTLV1 NO DEBEN ser mayor a los Exámenes Procesados. </v>
      </c>
      <c r="CI155" s="2784" t="str">
        <f t="shared" si="527"/>
        <v xml:space="preserve">* Los Exámenes Confirmados de HTLV1 NO DEBEN ser mayor a los Exámenes Procesados. </v>
      </c>
      <c r="CJ155" s="2784" t="str">
        <f t="shared" si="528"/>
        <v xml:space="preserve">* Los exámenes Reactivos de SIFILIS NO DEBEN ser mayor a los exámenes Procesados. </v>
      </c>
      <c r="CK155" s="3201"/>
      <c r="DF155" s="2920">
        <f>IF(D155&gt;=E155,0,1)</f>
        <v>1</v>
      </c>
      <c r="DG155" s="2920">
        <f t="shared" si="529"/>
        <v>1</v>
      </c>
      <c r="DH155" s="2920">
        <f>IF(G155&gt;=H155,0,1)</f>
        <v>1</v>
      </c>
      <c r="DI155" s="2920">
        <f>IF(G155&gt;=I155,0,1)</f>
        <v>1</v>
      </c>
      <c r="DJ155" s="2920">
        <f>IF(J155&gt;=K155,0,1)</f>
        <v>1</v>
      </c>
      <c r="DK155" s="2920">
        <f>IF(J155&gt;=L155,0,1)</f>
        <v>1</v>
      </c>
      <c r="DL155" s="2920">
        <f>IF(M155&gt;=N155,0,1)</f>
        <v>1</v>
      </c>
      <c r="DM155" s="2920">
        <f>IF(M155&gt;=O155,0,1)</f>
        <v>1</v>
      </c>
      <c r="DN155" s="2920">
        <f>IF(P155&gt;=Q155,0,1)</f>
        <v>1</v>
      </c>
    </row>
    <row r="156" spans="1:118" x14ac:dyDescent="0.3">
      <c r="A156" s="6234">
        <v>11055170</v>
      </c>
      <c r="B156" s="7559" t="s">
        <v>2693</v>
      </c>
      <c r="C156" s="7560"/>
      <c r="D156" s="5173" t="s">
        <v>5292</v>
      </c>
      <c r="E156" s="3506" t="s">
        <v>5293</v>
      </c>
      <c r="F156" s="5174" t="s">
        <v>5294</v>
      </c>
      <c r="G156" s="5173" t="s">
        <v>5295</v>
      </c>
      <c r="H156" s="3506" t="s">
        <v>5296</v>
      </c>
      <c r="I156" s="5174" t="s">
        <v>5297</v>
      </c>
      <c r="J156" s="5173" t="s">
        <v>5298</v>
      </c>
      <c r="K156" s="3506" t="s">
        <v>5299</v>
      </c>
      <c r="L156" s="5174" t="s">
        <v>5300</v>
      </c>
      <c r="M156" s="5173" t="s">
        <v>5301</v>
      </c>
      <c r="N156" s="3506" t="s">
        <v>5302</v>
      </c>
      <c r="O156" s="5174" t="s">
        <v>5303</v>
      </c>
      <c r="P156" s="5173" t="s">
        <v>5304</v>
      </c>
      <c r="Q156" s="5175" t="s">
        <v>5305</v>
      </c>
      <c r="R156" s="1687" t="str">
        <f t="shared" si="51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6" s="1687"/>
      <c r="T156" s="1687"/>
      <c r="U156" s="1687"/>
      <c r="V156" s="1687"/>
      <c r="W156" s="1687"/>
      <c r="X156" s="1687"/>
      <c r="Y156" s="1687"/>
      <c r="Z156" s="1687"/>
      <c r="AA156" s="1687"/>
      <c r="AB156" s="1687"/>
      <c r="AC156" s="1687"/>
      <c r="AD156" s="3199"/>
      <c r="AE156" s="3199"/>
      <c r="AF156" s="599"/>
      <c r="AG156" s="599"/>
      <c r="AH156" s="599"/>
      <c r="AI156" s="599"/>
      <c r="AJ156" s="599"/>
      <c r="AK156" s="599"/>
      <c r="AL156" s="599"/>
      <c r="AM156" s="599"/>
      <c r="AN156" s="599"/>
      <c r="AO156" s="599"/>
      <c r="AP156" s="599"/>
      <c r="AQ156" s="599"/>
      <c r="AR156" s="599"/>
      <c r="AS156" s="599"/>
      <c r="AT156" s="599"/>
      <c r="AU156" s="599"/>
      <c r="AV156" s="599"/>
      <c r="AW156" s="599"/>
      <c r="AX156" s="599"/>
      <c r="AY156" s="3199"/>
      <c r="AZ156" s="3199"/>
      <c r="BA156" s="3199"/>
      <c r="BB156" s="3199"/>
      <c r="BC156" s="3199"/>
      <c r="BD156" s="3199"/>
      <c r="BE156" s="3199"/>
      <c r="BF156" s="3199"/>
      <c r="BG156" s="3199"/>
      <c r="BH156" s="3199"/>
      <c r="BI156" s="3199"/>
      <c r="BJ156" s="3199"/>
      <c r="BK156" s="3199"/>
      <c r="BL156" s="3199"/>
      <c r="BM156" s="3199"/>
      <c r="BN156" s="3199"/>
      <c r="BO156" s="599"/>
      <c r="BP156" s="599"/>
      <c r="BQ156" s="599"/>
      <c r="BR156" s="599"/>
      <c r="BS156" s="599"/>
      <c r="BT156" s="599"/>
      <c r="BU156" s="599"/>
      <c r="BV156" s="599"/>
      <c r="BW156" s="3199"/>
      <c r="BX156" s="3199"/>
      <c r="BY156" s="3200"/>
      <c r="BZ156" s="3200"/>
      <c r="CA156" s="3200"/>
      <c r="CB156" s="2784" t="str">
        <f t="shared" si="520"/>
        <v xml:space="preserve">* Los Exámenes Reactivos de Hepatitis B NO DEBEN ser mayor a los Exámenes Procesados. </v>
      </c>
      <c r="CC156" s="2784" t="str">
        <f t="shared" si="521"/>
        <v xml:space="preserve">* Los Exámenes Confirmados de Hepatitis B NO DEBEN ser mayor a los exámenes Procesados. </v>
      </c>
      <c r="CD156" s="2784" t="str">
        <f t="shared" si="522"/>
        <v xml:space="preserve">* Los Exámenes Reactivos de Hepatitis C NO DEBEN ser mayor a los Exámenes Procesados. </v>
      </c>
      <c r="CE156" s="2784" t="str">
        <f t="shared" si="523"/>
        <v xml:space="preserve">* Los Exámenes Confirmados de Hepatitis C NO DEBEN ser mayor a los Exámenes Procesados. </v>
      </c>
      <c r="CF156" s="2784" t="str">
        <f t="shared" si="524"/>
        <v xml:space="preserve">* Los Exámenes Reactivos de CHAGAS NO DEBEN ser mayor a los Exámenes Procesados. </v>
      </c>
      <c r="CG156" s="2784" t="str">
        <f t="shared" si="525"/>
        <v xml:space="preserve">* Los Exámenes Confirmados de CHAGAS NO DEBEN ser mayor a los Exámenes Procesados. </v>
      </c>
      <c r="CH156" s="2784" t="str">
        <f t="shared" si="526"/>
        <v xml:space="preserve">* Los Exámenes Reactivos de HTLV1 NO DEBEN ser mayor a los Exámenes Procesados. </v>
      </c>
      <c r="CI156" s="2784" t="str">
        <f t="shared" si="527"/>
        <v xml:space="preserve">* Los Exámenes Confirmados de HTLV1 NO DEBEN ser mayor a los Exámenes Procesados. </v>
      </c>
      <c r="CJ156" s="2784" t="str">
        <f t="shared" si="528"/>
        <v xml:space="preserve">* Los exámenes Reactivos de SIFILIS NO DEBEN ser mayor a los exámenes Procesados. </v>
      </c>
      <c r="CK156" s="3201"/>
      <c r="DF156" s="2920">
        <f>IF(D156&gt;=E156,0,1)</f>
        <v>1</v>
      </c>
      <c r="DG156" s="2920">
        <f t="shared" si="529"/>
        <v>1</v>
      </c>
      <c r="DH156" s="2920">
        <f>IF(G156&gt;=H156,0,1)</f>
        <v>1</v>
      </c>
      <c r="DI156" s="2920">
        <f>IF(G156&gt;=I156,0,1)</f>
        <v>1</v>
      </c>
      <c r="DJ156" s="2920">
        <f>IF(J156&gt;=K156,0,1)</f>
        <v>1</v>
      </c>
      <c r="DK156" s="2920">
        <f>IF(J156&gt;=L156,0,1)</f>
        <v>1</v>
      </c>
      <c r="DL156" s="2920">
        <f>IF(M156&gt;=N156,0,1)</f>
        <v>1</v>
      </c>
      <c r="DM156" s="2920">
        <f>IF(M156&gt;=O156,0,1)</f>
        <v>1</v>
      </c>
      <c r="DN156" s="2920">
        <f>IF(P156&gt;=Q156,0,1)</f>
        <v>1</v>
      </c>
    </row>
    <row r="157" spans="1:118" ht="18" customHeight="1" x14ac:dyDescent="0.3">
      <c r="A157" s="599"/>
      <c r="B157" s="7555" t="s">
        <v>2695</v>
      </c>
      <c r="C157" s="7555"/>
      <c r="D157" s="7555"/>
      <c r="E157" s="7555"/>
      <c r="F157" s="7555"/>
      <c r="G157" s="7555"/>
      <c r="H157" s="7555"/>
      <c r="I157" s="7555"/>
      <c r="J157" s="5182"/>
      <c r="K157" s="5182"/>
      <c r="L157" s="5182"/>
      <c r="M157" s="5182"/>
      <c r="N157" s="5182"/>
      <c r="O157" s="5182"/>
      <c r="P157" s="5182"/>
      <c r="Q157" s="5182"/>
      <c r="R157" s="5182"/>
      <c r="S157" s="5182"/>
      <c r="T157" s="5182"/>
      <c r="U157" s="5182"/>
      <c r="V157" s="5182"/>
      <c r="W157" s="5182"/>
      <c r="X157" s="5182"/>
      <c r="Y157" s="5182"/>
      <c r="Z157" s="5182"/>
      <c r="AA157" s="5182"/>
      <c r="AB157" s="5182"/>
      <c r="AC157" s="5182"/>
      <c r="AD157" s="5182"/>
      <c r="AE157" s="5182"/>
      <c r="AF157" s="5182"/>
      <c r="AG157" s="5182"/>
      <c r="AH157" s="5182"/>
      <c r="AI157" s="5182"/>
      <c r="AJ157" s="5182"/>
      <c r="AK157" s="5182"/>
      <c r="AL157" s="600"/>
      <c r="AM157" s="600"/>
      <c r="AN157" s="600"/>
      <c r="AO157" s="600"/>
      <c r="AP157" s="600"/>
      <c r="AQ157" s="600"/>
      <c r="AR157" s="600"/>
      <c r="AS157" s="600"/>
      <c r="AT157" s="600"/>
      <c r="AU157" s="600"/>
      <c r="AV157" s="600"/>
      <c r="AW157" s="600"/>
      <c r="AX157" s="600"/>
      <c r="AY157" s="600"/>
    </row>
    <row r="158" spans="1:118" x14ac:dyDescent="0.3">
      <c r="A158" s="599"/>
      <c r="B158" s="7544" t="s">
        <v>2683</v>
      </c>
      <c r="C158" s="7538"/>
      <c r="D158" s="7542" t="s">
        <v>24</v>
      </c>
      <c r="E158" s="7523"/>
      <c r="F158" s="7548" t="s">
        <v>12</v>
      </c>
      <c r="G158" s="7556"/>
      <c r="H158" s="7556"/>
      <c r="I158" s="7556"/>
      <c r="J158" s="7556"/>
      <c r="K158" s="7556"/>
      <c r="L158" s="7556"/>
      <c r="M158" s="7556"/>
      <c r="N158" s="7556"/>
      <c r="O158" s="7556"/>
      <c r="P158" s="7556"/>
      <c r="Q158" s="7556"/>
      <c r="R158" s="7556"/>
      <c r="S158" s="7556"/>
      <c r="T158" s="7556"/>
      <c r="U158" s="7556"/>
      <c r="V158" s="7556"/>
      <c r="W158" s="7556"/>
      <c r="X158" s="7556"/>
      <c r="Y158" s="7556"/>
      <c r="Z158" s="7556"/>
      <c r="AA158" s="7556"/>
      <c r="AB158" s="7556"/>
      <c r="AC158" s="7556"/>
      <c r="AD158" s="7556"/>
      <c r="AE158" s="7556"/>
      <c r="AF158" s="7556"/>
      <c r="AG158" s="7556"/>
      <c r="AH158" s="7556"/>
      <c r="AI158" s="7556"/>
      <c r="AJ158" s="7556"/>
      <c r="AK158" s="7561"/>
      <c r="AL158" s="7562" t="s">
        <v>2696</v>
      </c>
      <c r="AM158" s="7562"/>
      <c r="AN158" s="7562"/>
      <c r="AO158" s="7563"/>
      <c r="AP158" s="7564" t="s">
        <v>48</v>
      </c>
      <c r="AQ158" s="7562"/>
      <c r="AR158" s="7562"/>
      <c r="AS158" s="7563"/>
      <c r="AT158" s="7565" t="s">
        <v>546</v>
      </c>
      <c r="AU158" s="7530"/>
      <c r="AV158" s="7565" t="s">
        <v>3</v>
      </c>
      <c r="AW158" s="7530"/>
      <c r="AX158" s="6527" t="s">
        <v>2697</v>
      </c>
      <c r="AY158" s="7538"/>
    </row>
    <row r="159" spans="1:118" x14ac:dyDescent="0.3">
      <c r="A159" s="599"/>
      <c r="B159" s="6590"/>
      <c r="C159" s="6324"/>
      <c r="D159" s="7151"/>
      <c r="E159" s="7150"/>
      <c r="F159" s="7567" t="s">
        <v>3779</v>
      </c>
      <c r="G159" s="7568"/>
      <c r="H159" s="7567" t="s">
        <v>54</v>
      </c>
      <c r="I159" s="7568"/>
      <c r="J159" s="7567" t="s">
        <v>3705</v>
      </c>
      <c r="K159" s="7568"/>
      <c r="L159" s="7548" t="s">
        <v>37</v>
      </c>
      <c r="M159" s="7549"/>
      <c r="N159" s="7548" t="s">
        <v>38</v>
      </c>
      <c r="O159" s="7549"/>
      <c r="P159" s="7548" t="s">
        <v>4</v>
      </c>
      <c r="Q159" s="7549"/>
      <c r="R159" s="7548" t="s">
        <v>5</v>
      </c>
      <c r="S159" s="7549"/>
      <c r="T159" s="7548" t="s">
        <v>6</v>
      </c>
      <c r="U159" s="7549"/>
      <c r="V159" s="7548" t="s">
        <v>7</v>
      </c>
      <c r="W159" s="7549"/>
      <c r="X159" s="7548" t="s">
        <v>8</v>
      </c>
      <c r="Y159" s="7549"/>
      <c r="Z159" s="7548" t="s">
        <v>9</v>
      </c>
      <c r="AA159" s="7549"/>
      <c r="AB159" s="7548" t="s">
        <v>10</v>
      </c>
      <c r="AC159" s="7549"/>
      <c r="AD159" s="7548" t="s">
        <v>11</v>
      </c>
      <c r="AE159" s="7549"/>
      <c r="AF159" s="7548" t="s">
        <v>18</v>
      </c>
      <c r="AG159" s="7549"/>
      <c r="AH159" s="7548" t="s">
        <v>19</v>
      </c>
      <c r="AI159" s="7549"/>
      <c r="AJ159" s="7548" t="s">
        <v>2698</v>
      </c>
      <c r="AK159" s="7561"/>
      <c r="AL159" s="7571" t="s">
        <v>22</v>
      </c>
      <c r="AM159" s="7572"/>
      <c r="AN159" s="7569" t="s">
        <v>27</v>
      </c>
      <c r="AO159" s="7570"/>
      <c r="AP159" s="7571" t="s">
        <v>41</v>
      </c>
      <c r="AQ159" s="7572"/>
      <c r="AR159" s="7573" t="s">
        <v>42</v>
      </c>
      <c r="AS159" s="7570"/>
      <c r="AT159" s="7531"/>
      <c r="AU159" s="7532"/>
      <c r="AV159" s="7531"/>
      <c r="AW159" s="7532"/>
      <c r="AX159" s="7566"/>
      <c r="AY159" s="7146"/>
    </row>
    <row r="160" spans="1:118" ht="30.6" x14ac:dyDescent="0.3">
      <c r="A160" s="599"/>
      <c r="B160" s="7545"/>
      <c r="C160" s="7146"/>
      <c r="D160" s="5133" t="s">
        <v>2657</v>
      </c>
      <c r="E160" s="5134" t="s">
        <v>2699</v>
      </c>
      <c r="F160" s="5133" t="s">
        <v>2657</v>
      </c>
      <c r="G160" s="5134" t="s">
        <v>2699</v>
      </c>
      <c r="H160" s="5133" t="s">
        <v>2657</v>
      </c>
      <c r="I160" s="5134" t="s">
        <v>2699</v>
      </c>
      <c r="J160" s="5133" t="s">
        <v>2657</v>
      </c>
      <c r="K160" s="5134" t="s">
        <v>2699</v>
      </c>
      <c r="L160" s="5133" t="s">
        <v>2657</v>
      </c>
      <c r="M160" s="5134" t="s">
        <v>2699</v>
      </c>
      <c r="N160" s="5133" t="s">
        <v>2657</v>
      </c>
      <c r="O160" s="5134" t="s">
        <v>2699</v>
      </c>
      <c r="P160" s="5133" t="s">
        <v>2657</v>
      </c>
      <c r="Q160" s="5134" t="s">
        <v>2699</v>
      </c>
      <c r="R160" s="5133" t="s">
        <v>2657</v>
      </c>
      <c r="S160" s="5134" t="s">
        <v>2699</v>
      </c>
      <c r="T160" s="5133" t="s">
        <v>2657</v>
      </c>
      <c r="U160" s="5134" t="s">
        <v>2699</v>
      </c>
      <c r="V160" s="5133" t="s">
        <v>2657</v>
      </c>
      <c r="W160" s="5134" t="s">
        <v>2699</v>
      </c>
      <c r="X160" s="5133" t="s">
        <v>2657</v>
      </c>
      <c r="Y160" s="5134" t="s">
        <v>2699</v>
      </c>
      <c r="Z160" s="5133" t="s">
        <v>2657</v>
      </c>
      <c r="AA160" s="5134" t="s">
        <v>2699</v>
      </c>
      <c r="AB160" s="5133" t="s">
        <v>2657</v>
      </c>
      <c r="AC160" s="5134" t="s">
        <v>2699</v>
      </c>
      <c r="AD160" s="5133" t="s">
        <v>2657</v>
      </c>
      <c r="AE160" s="5134" t="s">
        <v>2699</v>
      </c>
      <c r="AF160" s="5133" t="s">
        <v>2657</v>
      </c>
      <c r="AG160" s="5134" t="s">
        <v>2699</v>
      </c>
      <c r="AH160" s="5133" t="s">
        <v>2657</v>
      </c>
      <c r="AI160" s="5134" t="s">
        <v>2699</v>
      </c>
      <c r="AJ160" s="5133" t="s">
        <v>2657</v>
      </c>
      <c r="AK160" s="5137" t="s">
        <v>2699</v>
      </c>
      <c r="AL160" s="5187" t="s">
        <v>2657</v>
      </c>
      <c r="AM160" s="5134" t="s">
        <v>2699</v>
      </c>
      <c r="AN160" s="5133" t="s">
        <v>2657</v>
      </c>
      <c r="AO160" s="5134" t="s">
        <v>2699</v>
      </c>
      <c r="AP160" s="5188" t="s">
        <v>2657</v>
      </c>
      <c r="AQ160" s="5134" t="s">
        <v>2699</v>
      </c>
      <c r="AR160" s="5133" t="s">
        <v>2657</v>
      </c>
      <c r="AS160" s="5134" t="s">
        <v>2699</v>
      </c>
      <c r="AT160" s="5188" t="s">
        <v>2657</v>
      </c>
      <c r="AU160" s="5134" t="s">
        <v>2699</v>
      </c>
      <c r="AV160" s="5188" t="s">
        <v>2657</v>
      </c>
      <c r="AW160" s="5135" t="s">
        <v>2699</v>
      </c>
      <c r="AX160" s="5188" t="s">
        <v>2657</v>
      </c>
      <c r="AY160" s="5135" t="s">
        <v>2699</v>
      </c>
    </row>
    <row r="161" spans="1:132" x14ac:dyDescent="0.3">
      <c r="A161" s="6234">
        <v>11052500</v>
      </c>
      <c r="B161" s="7574" t="s">
        <v>2700</v>
      </c>
      <c r="C161" s="7575"/>
      <c r="D161" s="1928" t="s">
        <v>5292</v>
      </c>
      <c r="E161" s="5189" t="s">
        <v>5293</v>
      </c>
      <c r="F161" s="5190" t="s">
        <v>5294</v>
      </c>
      <c r="G161" s="5191" t="s">
        <v>5295</v>
      </c>
      <c r="H161" s="5190" t="s">
        <v>5296</v>
      </c>
      <c r="I161" s="5191" t="s">
        <v>5297</v>
      </c>
      <c r="J161" s="5190" t="s">
        <v>5298</v>
      </c>
      <c r="K161" s="5191" t="s">
        <v>5299</v>
      </c>
      <c r="L161" s="5190" t="s">
        <v>5300</v>
      </c>
      <c r="M161" s="5191" t="s">
        <v>5301</v>
      </c>
      <c r="N161" s="5167" t="s">
        <v>5302</v>
      </c>
      <c r="O161" s="5168" t="s">
        <v>5303</v>
      </c>
      <c r="P161" s="5167" t="s">
        <v>5304</v>
      </c>
      <c r="Q161" s="5168" t="s">
        <v>5305</v>
      </c>
      <c r="R161" s="5167" t="s">
        <v>5306</v>
      </c>
      <c r="S161" s="5168" t="s">
        <v>5307</v>
      </c>
      <c r="T161" s="5167" t="s">
        <v>5308</v>
      </c>
      <c r="U161" s="5168" t="s">
        <v>5309</v>
      </c>
      <c r="V161" s="5167" t="s">
        <v>5310</v>
      </c>
      <c r="W161" s="5168" t="s">
        <v>5311</v>
      </c>
      <c r="X161" s="5167" t="s">
        <v>5312</v>
      </c>
      <c r="Y161" s="5168" t="s">
        <v>5313</v>
      </c>
      <c r="Z161" s="5167" t="s">
        <v>5314</v>
      </c>
      <c r="AA161" s="5168" t="s">
        <v>5315</v>
      </c>
      <c r="AB161" s="5167" t="s">
        <v>5316</v>
      </c>
      <c r="AC161" s="5168" t="s">
        <v>5317</v>
      </c>
      <c r="AD161" s="5167" t="s">
        <v>5318</v>
      </c>
      <c r="AE161" s="5168" t="s">
        <v>5319</v>
      </c>
      <c r="AF161" s="5167" t="s">
        <v>5320</v>
      </c>
      <c r="AG161" s="5168" t="s">
        <v>5321</v>
      </c>
      <c r="AH161" s="5190" t="s">
        <v>5322</v>
      </c>
      <c r="AI161" s="5192" t="s">
        <v>5323</v>
      </c>
      <c r="AJ161" s="5190" t="s">
        <v>5324</v>
      </c>
      <c r="AK161" s="5193" t="s">
        <v>5325</v>
      </c>
      <c r="AL161" s="3509" t="s">
        <v>5326</v>
      </c>
      <c r="AM161" s="5194" t="s">
        <v>5327</v>
      </c>
      <c r="AN161" s="276" t="s">
        <v>5328</v>
      </c>
      <c r="AO161" s="3510" t="s">
        <v>5329</v>
      </c>
      <c r="AP161" s="5146" t="s">
        <v>5330</v>
      </c>
      <c r="AQ161" s="3511" t="s">
        <v>5331</v>
      </c>
      <c r="AR161" s="3479" t="s">
        <v>5332</v>
      </c>
      <c r="AS161" s="3512" t="s">
        <v>5333</v>
      </c>
      <c r="AT161" s="5146" t="s">
        <v>5334</v>
      </c>
      <c r="AU161" s="3512" t="s">
        <v>5335</v>
      </c>
      <c r="AV161" s="5146" t="s">
        <v>5336</v>
      </c>
      <c r="AW161" s="3511" t="s">
        <v>5337</v>
      </c>
      <c r="AX161" s="5146" t="s">
        <v>5338</v>
      </c>
      <c r="AY161" s="3511" t="s">
        <v>5339</v>
      </c>
      <c r="AZ161" s="1687" t="e">
        <f>$CB161&amp;$CD161&amp;CE161&amp;CF161&amp;CG161&amp;CH161&amp;CI161&amp;CJ161&amp;CK161&amp;CL161&amp;CM161&amp;CN161&amp;CO161&amp;CP161&amp;CQ161&amp;CR161&amp;CS161&amp;CT161&amp;CU161&amp;CV161&amp;CW161&amp;CX161</f>
        <v>#VALUE!</v>
      </c>
      <c r="CB161" s="3146" t="str">
        <f>IF(E161&gt;D161," * El Total de Exámenes Confirmados Positivos por ISP NO DEBE SUPERAR los  Exámenes Procesados. ","")</f>
        <v xml:space="preserve"> * El Total de Exámenes Confirmados Positivos por ISP NO DEBE SUPERAR los  Exámenes Procesados. </v>
      </c>
      <c r="CC161" s="3513"/>
      <c r="CD161" s="2784" t="str">
        <f>IF(AO161&gt;AN161,"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1" s="2630"/>
      <c r="CF161" s="2630"/>
      <c r="CG161" s="2630"/>
      <c r="CH161" s="2630"/>
      <c r="CI161" s="2630"/>
      <c r="CJ161" s="2784" t="e">
        <f>IF(AND(D161&gt;0,AND(AP161="",AR161=""))," * No olvide digitar los exámenes procesados Trans (Masculino y femenino) Digite Cero si no tiene.",IF((AP161+AR161)&gt;D161," * Los exámenes procesados en Trans (Masculino y femenino) no pueden ser mayor que el Total de exámenes procesados.",""))</f>
        <v>#VALUE!</v>
      </c>
      <c r="CK161" s="600"/>
      <c r="CL161" s="2784" t="e">
        <f>IF((AN161+AL161)&lt;&gt;D161," * El N° de exámenes Procesados por SEXO (Hombres + Mujeres)no puede ser distinto al Total de exámenes procesados","")</f>
        <v>#VALUE!</v>
      </c>
      <c r="CM161" s="2784" t="e">
        <f>IF((AO161+AM161)&lt;&gt;E161," * El N° de exámenes Confirmados positivos por ISP por Sexo (Hombres+Mujeres) no puede ser distinto al N° Total de exámenes Confirmados positivos por ISP ","")</f>
        <v>#VALUE!</v>
      </c>
      <c r="CN161" s="2784" t="str">
        <f>IF(AND(D161&gt;0,AT161="")," * No olvide digitar los examanes Procesados de Pueblos Originarios. Digite Cero si no tiene.",IF(AT161&gt;D161,"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161" s="2784" t="str">
        <f>IF(AND(D161&gt;0,AV161="")," * No olvide digitar los exámenes Procesados de Migrantes. Digite Cero si no tiene.",IF(AV161&gt;D161," * Los exámenes procesados de Migrantes no pueden ser mayor que el Total de exámenes procesados.",""))</f>
        <v xml:space="preserve"> * Los exámenes procesados de Migrantes no pueden ser mayor que el Total de exámenes procesados.</v>
      </c>
      <c r="CP161" s="2784" t="e">
        <f>IF(AND(E161&gt;0,AND(AQ161="",AS161=""))," * No olvide digitar los exámenes Confirmados positivos por ISP de Trans (Masculino y femenino) Digite Cero si no tiene.",IF((AQ161+AS161)&gt;E161," * Los exámenes confirmados positivos por ISP de Trans (Masculino y femenino) no pueden ser mayor que el Total de exámenes Confirmados positivos por ISP.",""))</f>
        <v>#VALUE!</v>
      </c>
      <c r="CQ161" s="2784" t="str">
        <f>IF(AND(E161&gt;0,AU161="")," * No olvide digitar los exámenes Confirmados positivos por ISP de Pueblos Originarios. Digite Cero si no tiene.",IF(AU161&gt;E161,"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1" s="2784" t="str">
        <f>IF(AND(E161&gt;0,AW161="")," * No olvide digitar los exámenes Confirmados positivos por ISP de Migrantes. Digite Cero si no tiene.",IF(AW161&gt;E161,"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1" s="2630"/>
      <c r="CT161" s="2630"/>
      <c r="CU161" s="6114" t="e">
        <f>IF(AX161&gt;(N161+P161),"* El Total de Procesados de 14-18 años NO DEBE ser mayor al Total de Procesados registrados en los grupos de edad 10 a 14 y 15 a 19 años. ","")</f>
        <v>#VALUE!</v>
      </c>
      <c r="CV161" s="6114" t="e">
        <f>IF(AY161&gt;(O161+Q161),"* El Total de Confirmados de 14-18 años NO DEBE ser mayor al Total de Confirmados registrados en los grupos de edad 10 a 14 y 15 a 19 años. ","")</f>
        <v>#VALUE!</v>
      </c>
      <c r="CW161" s="6114" t="e">
        <f>IF(AND((N161+P161)&gt;0,AX161=""),"*No olvide digitar los Exámenes Procesados de 14-18 años. Digite cero si no tiene.","")</f>
        <v>#VALUE!</v>
      </c>
      <c r="CX161" s="6114" t="e">
        <f>IF(AND((O161+Q161)&gt;0,AY161=""),"*No olvide digitar los Exámenes Confirmados Positivos por ISP de 14-18 años. Digite cero si no tiene.","")</f>
        <v>#VALUE!</v>
      </c>
      <c r="DF161" s="3146">
        <f>IF(E161&gt;D161,1,0)</f>
        <v>1</v>
      </c>
      <c r="DG161" s="3513"/>
      <c r="DH161" s="2784">
        <f>IF(AO161&gt;AN161,1,0)</f>
        <v>1</v>
      </c>
      <c r="DI161" s="2630"/>
      <c r="DJ161" s="2630"/>
      <c r="DK161" s="2630"/>
      <c r="DL161" s="2630"/>
      <c r="DM161" s="2630"/>
      <c r="DN161" s="2784" t="e">
        <f>IF(AND(D161&gt;0,AND(AP161="",AR161="")),1,IF((AP161+AR161)&gt;D161,1,0))</f>
        <v>#VALUE!</v>
      </c>
      <c r="DO161" s="600"/>
      <c r="DP161" s="2784" t="e">
        <f>IF((AN161+AL161)&lt;&gt;D161,1,0)</f>
        <v>#VALUE!</v>
      </c>
      <c r="DQ161" s="2784" t="e">
        <f>IF((AO161+AM161)&lt;&gt;E161,1,0)</f>
        <v>#VALUE!</v>
      </c>
      <c r="DR161" s="2784">
        <f>IF(AND(D161&gt;0,AT161=""),1,IF(AT161&gt;D161,1,0))</f>
        <v>1</v>
      </c>
      <c r="DS161" s="2784">
        <f>IF(AND(D161&gt;0,AV161=""),1,IF(AV161&gt;D161,1,0))</f>
        <v>1</v>
      </c>
      <c r="DT161" s="2784" t="e">
        <f>IF(AND(E161&gt;0,AND(AQ161="",AS161="")),1,IF((AQ161+AS161)&gt;E161,1,0))</f>
        <v>#VALUE!</v>
      </c>
      <c r="DU161" s="2784">
        <f>IF(AND(E161&gt;0,AU161=""),1,IF(AU161&gt;E161,1,0))</f>
        <v>1</v>
      </c>
      <c r="DV161" s="2784">
        <f>IF(AND(E161&gt;0,AW161=""),1,IF(AW161&gt;E161,1,0))</f>
        <v>1</v>
      </c>
      <c r="DW161" s="2630"/>
      <c r="DX161" s="2630"/>
      <c r="DY161" s="6114" t="e">
        <f>IF(AX161&gt;(N161+P161),1,0)</f>
        <v>#VALUE!</v>
      </c>
      <c r="DZ161" s="6114" t="e">
        <f>IF(AY161&gt;(O161+Q161),1,0)</f>
        <v>#VALUE!</v>
      </c>
      <c r="EA161" s="6114" t="e">
        <f>IF(AND((N161+P161)&gt;0,AX161=""),1,0)</f>
        <v>#VALUE!</v>
      </c>
      <c r="EB161" s="6114" t="e">
        <f>IF(AND((O161+Q161)&gt;0,AY161=""),1,0)</f>
        <v>#VALUE!</v>
      </c>
    </row>
    <row r="162" spans="1:132" x14ac:dyDescent="0.3">
      <c r="A162" s="6234">
        <v>11052600</v>
      </c>
      <c r="B162" s="7576" t="s">
        <v>2701</v>
      </c>
      <c r="C162" s="7577"/>
      <c r="D162" s="1928" t="s">
        <v>5292</v>
      </c>
      <c r="E162" s="5031" t="s">
        <v>5293</v>
      </c>
      <c r="F162" s="5148" t="s">
        <v>5294</v>
      </c>
      <c r="G162" s="5149" t="s">
        <v>5295</v>
      </c>
      <c r="H162" s="5148" t="s">
        <v>5296</v>
      </c>
      <c r="I162" s="5149" t="s">
        <v>5297</v>
      </c>
      <c r="J162" s="5148" t="s">
        <v>5298</v>
      </c>
      <c r="K162" s="5149" t="s">
        <v>5299</v>
      </c>
      <c r="L162" s="5148" t="s">
        <v>5300</v>
      </c>
      <c r="M162" s="5149" t="s">
        <v>5301</v>
      </c>
      <c r="N162" s="276" t="s">
        <v>5302</v>
      </c>
      <c r="O162" s="5143" t="s">
        <v>5303</v>
      </c>
      <c r="P162" s="276" t="s">
        <v>5304</v>
      </c>
      <c r="Q162" s="5143" t="s">
        <v>5305</v>
      </c>
      <c r="R162" s="276" t="s">
        <v>5306</v>
      </c>
      <c r="S162" s="5143" t="s">
        <v>5307</v>
      </c>
      <c r="T162" s="276" t="s">
        <v>5308</v>
      </c>
      <c r="U162" s="5143" t="s">
        <v>5309</v>
      </c>
      <c r="V162" s="276" t="s">
        <v>5310</v>
      </c>
      <c r="W162" s="5143" t="s">
        <v>5311</v>
      </c>
      <c r="X162" s="276" t="s">
        <v>5312</v>
      </c>
      <c r="Y162" s="5143" t="s">
        <v>5313</v>
      </c>
      <c r="Z162" s="276" t="s">
        <v>5314</v>
      </c>
      <c r="AA162" s="5143" t="s">
        <v>5315</v>
      </c>
      <c r="AB162" s="276" t="s">
        <v>5316</v>
      </c>
      <c r="AC162" s="5143" t="s">
        <v>5317</v>
      </c>
      <c r="AD162" s="276" t="s">
        <v>5318</v>
      </c>
      <c r="AE162" s="5143" t="s">
        <v>5319</v>
      </c>
      <c r="AF162" s="276" t="s">
        <v>5320</v>
      </c>
      <c r="AG162" s="5143" t="s">
        <v>5321</v>
      </c>
      <c r="AH162" s="5148" t="s">
        <v>5322</v>
      </c>
      <c r="AI162" s="5150" t="s">
        <v>5323</v>
      </c>
      <c r="AJ162" s="5148" t="s">
        <v>5324</v>
      </c>
      <c r="AK162" s="5156" t="s">
        <v>5325</v>
      </c>
      <c r="AL162" s="3483" t="s">
        <v>5326</v>
      </c>
      <c r="AM162" s="3514" t="s">
        <v>5327</v>
      </c>
      <c r="AN162" s="5038" t="s">
        <v>5328</v>
      </c>
      <c r="AO162" s="3512" t="s">
        <v>5329</v>
      </c>
      <c r="AP162" s="5146" t="s">
        <v>5330</v>
      </c>
      <c r="AQ162" s="3511" t="s">
        <v>5331</v>
      </c>
      <c r="AR162" s="3479" t="s">
        <v>5332</v>
      </c>
      <c r="AS162" s="3512" t="s">
        <v>5333</v>
      </c>
      <c r="AT162" s="5146" t="s">
        <v>5334</v>
      </c>
      <c r="AU162" s="3512" t="s">
        <v>5335</v>
      </c>
      <c r="AV162" s="5146" t="s">
        <v>5336</v>
      </c>
      <c r="AW162" s="3511" t="s">
        <v>5337</v>
      </c>
      <c r="AX162" s="5146" t="s">
        <v>5338</v>
      </c>
      <c r="AY162" s="3511" t="s">
        <v>5339</v>
      </c>
      <c r="AZ162" s="1687" t="e">
        <f t="shared" ref="AZ162:AZ163" si="530">$CB162&amp;$CD162&amp;CE162&amp;CF162&amp;CG162&amp;CH162&amp;CI162&amp;CJ162&amp;CK162&amp;CL162&amp;CM162&amp;CN162&amp;CO162&amp;CP162&amp;CQ162&amp;CR162&amp;CS162&amp;CT162&amp;CU162&amp;CV162&amp;CW162&amp;CX162</f>
        <v>#VALUE!</v>
      </c>
      <c r="CB162" s="3146" t="str">
        <f t="shared" ref="CB162:CB183" si="531">IF(E162&gt;D162," * El Total de Exámenes Confirmados Positivos por ISP NO DEBE SUPERAR los  Exámenes Procesados. ","")</f>
        <v xml:space="preserve"> * El Total de Exámenes Confirmados Positivos por ISP NO DEBE SUPERAR los  Exámenes Procesados. </v>
      </c>
      <c r="CC162" s="3513"/>
      <c r="CD162" s="2784" t="str">
        <f t="shared" ref="CD162:CD183" si="532">IF(AO162&gt;AN162,"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2" s="2630"/>
      <c r="CF162" s="2630"/>
      <c r="CG162" s="2630"/>
      <c r="CH162" s="2630"/>
      <c r="CI162" s="2630"/>
      <c r="CJ162" s="2784" t="e">
        <f t="shared" ref="CJ162:CJ183" si="533">IF(AND(D162&gt;0,AND(AP162="",AR162=""))," * No olvide digitar los exámenes procesados Trans (Masculino y femenino) Digite Cero si no tiene.",IF((AP162+AR162)&gt;D162," * Los exámenes procesados en Trans (Masculino y femenino) no pueden ser mayor que el Total de exámenes procesados.",""))</f>
        <v>#VALUE!</v>
      </c>
      <c r="CK162" s="600"/>
      <c r="CL162" s="2784" t="e">
        <f t="shared" ref="CL162:CL183" si="534">IF((AN162+AL162)&lt;&gt;D162," * El N° de exámenes Procesados por SEXO (Hombres + Mujeres)no puede ser distinto al Total de exámenes procesados","")</f>
        <v>#VALUE!</v>
      </c>
      <c r="CM162" s="2784" t="e">
        <f t="shared" ref="CM162:CM183" si="535">IF((AO162+AM162)&lt;&gt;E162," * El N° de exámenes Confirmados positivos por ISP por Sexo (Hombres+Mujeres) no puede ser distinto al N° Total de exámenes Confirmados positivos por ISP ","")</f>
        <v>#VALUE!</v>
      </c>
      <c r="CN162" s="2784" t="str">
        <f t="shared" ref="CN162:CN183" si="536">IF(AND(D162&gt;0,AT162="")," * No olvide digitar los examanes Procesados de Pueblos Originarios. Digite Cero si no tiene.",IF(AT162&gt;D162,"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162" s="2784" t="str">
        <f t="shared" ref="CO162:CO183" si="537">IF(AND(D162&gt;0,AV162="")," * No olvide digitar los exámenes Procesados de Migrantes. Digite Cero si no tiene.",IF(AV162&gt;D162," * Los exámenes procesados de Migrantes no pueden ser mayor que el Total de exámenes procesados.",""))</f>
        <v xml:space="preserve"> * Los exámenes procesados de Migrantes no pueden ser mayor que el Total de exámenes procesados.</v>
      </c>
      <c r="CP162" s="2784" t="e">
        <f t="shared" ref="CP162:CP183" si="538">IF(AND(E162&gt;0,AND(AQ162="",AS162=""))," * No olvide digitar los exámenes Confirmados positivos por ISP de Trans (Masculino y femenino) Digite Cero si no tiene.",IF((AQ162+AS162)&gt;E162," * Los exámenes confirmados positivos por ISP de Trans (Masculino y femenino) no pueden ser mayor que el Total de exámenes Confirmados positivos por ISP.",""))</f>
        <v>#VALUE!</v>
      </c>
      <c r="CQ162" s="2784" t="str">
        <f t="shared" ref="CQ162:CQ183" si="539">IF(AND(E162&gt;0,AU162="")," * No olvide digitar los exámenes Confirmados positivos por ISP de Pueblos Originarios. Digite Cero si no tiene.",IF(AU162&gt;E162,"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2" s="2784" t="str">
        <f t="shared" ref="CR162:CR183" si="540">IF(AND(E162&gt;0,AW162="")," * No olvide digitar los exámenes Confirmados positivos por ISP de Migrantes. Digite Cero si no tiene.",IF(AW162&gt;E162,"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2" s="2630"/>
      <c r="CT162" s="2630"/>
      <c r="CU162" s="6114" t="e">
        <f t="shared" ref="CU162:CU183" si="541">IF(AX162&gt;(N162+P162),"* El Total de Procesados de 14-18 años NO DEBE ser mayor al Total de Procesados registrados en los grupos de edad 10 a 14 y 15 a 19 años. ","")</f>
        <v>#VALUE!</v>
      </c>
      <c r="CV162" s="6114" t="e">
        <f t="shared" ref="CV162:CV183" si="542">IF(AY162&gt;(O162+Q162),"* El Total de Confirmados de 14-18 años NO DEBE ser mayor al Total de Confirmados registrados en los grupos de edad 10 a 14 y 15 a 19 años. ","")</f>
        <v>#VALUE!</v>
      </c>
      <c r="CW162" s="6114" t="e">
        <f t="shared" ref="CW162:CW169" si="543">IF(AND((N162+P162)&gt;0,AX162=""),"*No olvide digitar los Exámenes Procesados de 14-18 años. Digite cero si no tiene.","")</f>
        <v>#VALUE!</v>
      </c>
      <c r="CX162" s="6114" t="e">
        <f t="shared" ref="CX162:CX169" si="544">IF(AND((O162+Q162)&gt;0,AY162=""),"*No olvide digitar los Exámenes Confirmados Positivos por ISP de 14-18 años. Digite cero si no tiene.","")</f>
        <v>#VALUE!</v>
      </c>
      <c r="DF162" s="3146">
        <f t="shared" ref="DF162:DF183" si="545">IF(E162&gt;D162,1,0)</f>
        <v>1</v>
      </c>
      <c r="DG162" s="3513"/>
      <c r="DH162" s="2784">
        <f t="shared" ref="DH162:DH183" si="546">IF(AO162&gt;AN162,1,0)</f>
        <v>1</v>
      </c>
      <c r="DI162" s="2630"/>
      <c r="DJ162" s="2630"/>
      <c r="DK162" s="2630"/>
      <c r="DL162" s="2630"/>
      <c r="DM162" s="2630"/>
      <c r="DN162" s="2784" t="e">
        <f t="shared" ref="DN162:DN183" si="547">IF(AND(D162&gt;0,AND(AP162="",AR162="")),1,IF((AP162+AR162)&gt;D162,1,0))</f>
        <v>#VALUE!</v>
      </c>
      <c r="DO162" s="600"/>
      <c r="DP162" s="2784" t="e">
        <f t="shared" ref="DP162:DQ183" si="548">IF((AN162+AL162)&lt;&gt;D162,1,0)</f>
        <v>#VALUE!</v>
      </c>
      <c r="DQ162" s="2784" t="e">
        <f t="shared" si="548"/>
        <v>#VALUE!</v>
      </c>
      <c r="DR162" s="2784">
        <f t="shared" ref="DR162:DR183" si="549">IF(AND(D162&gt;0,AT162=""),1,IF(AT162&gt;D162,1,0))</f>
        <v>1</v>
      </c>
      <c r="DS162" s="2784">
        <f t="shared" ref="DS162:DS183" si="550">IF(AND(D162&gt;0,AV162=""),1,IF(AV162&gt;D162,1,0))</f>
        <v>1</v>
      </c>
      <c r="DT162" s="2784" t="e">
        <f t="shared" ref="DT162:DT183" si="551">IF(AND(E162&gt;0,AND(AQ162="",AS162="")),1,IF((AQ162+AS162)&gt;E162,1,0))</f>
        <v>#VALUE!</v>
      </c>
      <c r="DU162" s="2784">
        <f t="shared" ref="DU162:DU183" si="552">IF(AND(E162&gt;0,AU162=""),1,IF(AU162&gt;E162,1,0))</f>
        <v>1</v>
      </c>
      <c r="DV162" s="2784">
        <f t="shared" ref="DV162:DV183" si="553">IF(AND(E162&gt;0,AW162=""),1,IF(AW162&gt;E162,1,0))</f>
        <v>1</v>
      </c>
      <c r="DW162" s="2630"/>
      <c r="DX162" s="2630"/>
      <c r="DY162" s="6114" t="e">
        <f t="shared" ref="DY162:DY183" si="554">IF(AX162&gt;(N162+P162),1,0)</f>
        <v>#VALUE!</v>
      </c>
      <c r="DZ162" s="6114" t="e">
        <f t="shared" ref="DZ162:DZ183" si="555">IF(AY162&gt;(O162+Q162),1,0)</f>
        <v>#VALUE!</v>
      </c>
      <c r="EA162" s="6114" t="e">
        <f t="shared" ref="EA162:EA169" si="556">IF(AND((N162+P162)&gt;0,AX162=""),1,0)</f>
        <v>#VALUE!</v>
      </c>
      <c r="EB162" s="6114" t="e">
        <f t="shared" ref="EB162:EB169" si="557">IF(AND((O162+Q162)&gt;0,AY162=""),1,0)</f>
        <v>#VALUE!</v>
      </c>
    </row>
    <row r="163" spans="1:132" x14ac:dyDescent="0.3">
      <c r="A163" s="6234">
        <v>11052700</v>
      </c>
      <c r="B163" s="7576" t="s">
        <v>2702</v>
      </c>
      <c r="C163" s="7577"/>
      <c r="D163" s="1928" t="s">
        <v>5292</v>
      </c>
      <c r="E163" s="5031" t="s">
        <v>5293</v>
      </c>
      <c r="F163" s="5148" t="s">
        <v>5294</v>
      </c>
      <c r="G163" s="5149" t="s">
        <v>5295</v>
      </c>
      <c r="H163" s="5148" t="s">
        <v>5296</v>
      </c>
      <c r="I163" s="5149" t="s">
        <v>5297</v>
      </c>
      <c r="J163" s="5148" t="s">
        <v>5298</v>
      </c>
      <c r="K163" s="5149" t="s">
        <v>5299</v>
      </c>
      <c r="L163" s="5148" t="s">
        <v>5300</v>
      </c>
      <c r="M163" s="5149" t="s">
        <v>5301</v>
      </c>
      <c r="N163" s="5038" t="s">
        <v>5302</v>
      </c>
      <c r="O163" s="5151" t="s">
        <v>5303</v>
      </c>
      <c r="P163" s="5038" t="s">
        <v>5304</v>
      </c>
      <c r="Q163" s="5151" t="s">
        <v>5305</v>
      </c>
      <c r="R163" s="5038" t="s">
        <v>5306</v>
      </c>
      <c r="S163" s="5151" t="s">
        <v>5307</v>
      </c>
      <c r="T163" s="5038" t="s">
        <v>5308</v>
      </c>
      <c r="U163" s="5151" t="s">
        <v>5309</v>
      </c>
      <c r="V163" s="5038" t="s">
        <v>5310</v>
      </c>
      <c r="W163" s="5151" t="s">
        <v>5311</v>
      </c>
      <c r="X163" s="5038" t="s">
        <v>5312</v>
      </c>
      <c r="Y163" s="5151" t="s">
        <v>5313</v>
      </c>
      <c r="Z163" s="5038" t="s">
        <v>5314</v>
      </c>
      <c r="AA163" s="5151" t="s">
        <v>5315</v>
      </c>
      <c r="AB163" s="5038" t="s">
        <v>5316</v>
      </c>
      <c r="AC163" s="5151" t="s">
        <v>5317</v>
      </c>
      <c r="AD163" s="5038" t="s">
        <v>5318</v>
      </c>
      <c r="AE163" s="5151" t="s">
        <v>5319</v>
      </c>
      <c r="AF163" s="5038" t="s">
        <v>5320</v>
      </c>
      <c r="AG163" s="5151" t="s">
        <v>5321</v>
      </c>
      <c r="AH163" s="5148" t="s">
        <v>5322</v>
      </c>
      <c r="AI163" s="5150" t="s">
        <v>5323</v>
      </c>
      <c r="AJ163" s="5148" t="s">
        <v>5324</v>
      </c>
      <c r="AK163" s="5156" t="s">
        <v>5325</v>
      </c>
      <c r="AL163" s="3483" t="s">
        <v>5326</v>
      </c>
      <c r="AM163" s="3514" t="s">
        <v>5327</v>
      </c>
      <c r="AN163" s="5038" t="s">
        <v>5328</v>
      </c>
      <c r="AO163" s="3512" t="s">
        <v>5329</v>
      </c>
      <c r="AP163" s="5146" t="s">
        <v>5330</v>
      </c>
      <c r="AQ163" s="3511" t="s">
        <v>5331</v>
      </c>
      <c r="AR163" s="3479" t="s">
        <v>5332</v>
      </c>
      <c r="AS163" s="3512" t="s">
        <v>5333</v>
      </c>
      <c r="AT163" s="5146" t="s">
        <v>5334</v>
      </c>
      <c r="AU163" s="3512" t="s">
        <v>5335</v>
      </c>
      <c r="AV163" s="5146" t="s">
        <v>5336</v>
      </c>
      <c r="AW163" s="3511" t="s">
        <v>5337</v>
      </c>
      <c r="AX163" s="5146" t="s">
        <v>5338</v>
      </c>
      <c r="AY163" s="3511" t="s">
        <v>5339</v>
      </c>
      <c r="AZ163" s="1687" t="e">
        <f t="shared" si="530"/>
        <v>#VALUE!</v>
      </c>
      <c r="CB163" s="3146" t="str">
        <f t="shared" si="531"/>
        <v xml:space="preserve"> * El Total de Exámenes Confirmados Positivos por ISP NO DEBE SUPERAR los  Exámenes Procesados. </v>
      </c>
      <c r="CC163" s="3513"/>
      <c r="CD163" s="2784" t="str">
        <f t="shared" si="532"/>
        <v xml:space="preserve"> * El número de Exámenes por Sexo Mujeres Confirmados positivos por ISP NO PUEDE Superar al número de Procesados. </v>
      </c>
      <c r="CE163" s="2630"/>
      <c r="CF163" s="2630"/>
      <c r="CG163" s="2630"/>
      <c r="CH163" s="2630"/>
      <c r="CI163" s="2630"/>
      <c r="CJ163" s="2784" t="e">
        <f t="shared" si="533"/>
        <v>#VALUE!</v>
      </c>
      <c r="CK163" s="600"/>
      <c r="CL163" s="2784" t="e">
        <f t="shared" si="534"/>
        <v>#VALUE!</v>
      </c>
      <c r="CM163" s="2784" t="e">
        <f t="shared" si="535"/>
        <v>#VALUE!</v>
      </c>
      <c r="CN163" s="2784" t="str">
        <f t="shared" si="536"/>
        <v xml:space="preserve"> * Los exámenes procesados Pueblos originarios no pueden ser mayor que el Total de exámenes procesados.</v>
      </c>
      <c r="CO163" s="2784" t="str">
        <f t="shared" si="537"/>
        <v xml:space="preserve"> * Los exámenes procesados de Migrantes no pueden ser mayor que el Total de exámenes procesados.</v>
      </c>
      <c r="CP163" s="2784" t="e">
        <f t="shared" si="538"/>
        <v>#VALUE!</v>
      </c>
      <c r="CQ163" s="2784" t="str">
        <f t="shared" si="539"/>
        <v xml:space="preserve"> * Los exámenes Confirmados positivos por ISP de Pueblos originarios no pueden ser mayor que el Total de exámenes Procesados por ISP.</v>
      </c>
      <c r="CR163" s="2784" t="str">
        <f t="shared" si="540"/>
        <v xml:space="preserve"> * Los exámenes Confirmados positivos por ISP de Migrantes no pueden ser mayor que el Total de exámenes Procesados por ISP.</v>
      </c>
      <c r="CS163" s="2630"/>
      <c r="CT163" s="2630"/>
      <c r="CU163" s="6114" t="e">
        <f t="shared" si="541"/>
        <v>#VALUE!</v>
      </c>
      <c r="CV163" s="6114" t="e">
        <f t="shared" si="542"/>
        <v>#VALUE!</v>
      </c>
      <c r="CW163" s="6114" t="e">
        <f t="shared" si="543"/>
        <v>#VALUE!</v>
      </c>
      <c r="CX163" s="6114" t="e">
        <f t="shared" si="544"/>
        <v>#VALUE!</v>
      </c>
      <c r="DF163" s="3146">
        <f t="shared" si="545"/>
        <v>1</v>
      </c>
      <c r="DG163" s="3513"/>
      <c r="DH163" s="2784">
        <f t="shared" si="546"/>
        <v>1</v>
      </c>
      <c r="DI163" s="2630"/>
      <c r="DJ163" s="2630"/>
      <c r="DK163" s="2630"/>
      <c r="DL163" s="2630"/>
      <c r="DM163" s="2630"/>
      <c r="DN163" s="2784" t="e">
        <f t="shared" si="547"/>
        <v>#VALUE!</v>
      </c>
      <c r="DO163" s="600"/>
      <c r="DP163" s="2784" t="e">
        <f t="shared" si="548"/>
        <v>#VALUE!</v>
      </c>
      <c r="DQ163" s="2784" t="e">
        <f t="shared" si="548"/>
        <v>#VALUE!</v>
      </c>
      <c r="DR163" s="2784">
        <f t="shared" si="549"/>
        <v>1</v>
      </c>
      <c r="DS163" s="2784">
        <f t="shared" si="550"/>
        <v>1</v>
      </c>
      <c r="DT163" s="2784" t="e">
        <f t="shared" si="551"/>
        <v>#VALUE!</v>
      </c>
      <c r="DU163" s="2784">
        <f t="shared" si="552"/>
        <v>1</v>
      </c>
      <c r="DV163" s="2784">
        <f t="shared" si="553"/>
        <v>1</v>
      </c>
      <c r="DW163" s="2630"/>
      <c r="DX163" s="2630"/>
      <c r="DY163" s="6114" t="e">
        <f t="shared" si="554"/>
        <v>#VALUE!</v>
      </c>
      <c r="DZ163" s="6114" t="e">
        <f t="shared" si="555"/>
        <v>#VALUE!</v>
      </c>
      <c r="EA163" s="6114" t="e">
        <f t="shared" si="556"/>
        <v>#VALUE!</v>
      </c>
      <c r="EB163" s="6114" t="e">
        <f t="shared" si="557"/>
        <v>#VALUE!</v>
      </c>
    </row>
    <row r="164" spans="1:132" x14ac:dyDescent="0.3">
      <c r="A164" s="6234">
        <v>11052800</v>
      </c>
      <c r="B164" s="7576" t="s">
        <v>2669</v>
      </c>
      <c r="C164" s="7577"/>
      <c r="D164" s="1928" t="s">
        <v>5292</v>
      </c>
      <c r="E164" s="1926" t="s">
        <v>5293</v>
      </c>
      <c r="F164" s="5148" t="s">
        <v>5294</v>
      </c>
      <c r="G164" s="5149" t="s">
        <v>5295</v>
      </c>
      <c r="H164" s="5148" t="s">
        <v>5296</v>
      </c>
      <c r="I164" s="5149" t="s">
        <v>5297</v>
      </c>
      <c r="J164" s="5148" t="s">
        <v>5298</v>
      </c>
      <c r="K164" s="5149" t="s">
        <v>5299</v>
      </c>
      <c r="L164" s="5148" t="s">
        <v>5300</v>
      </c>
      <c r="M164" s="5149" t="s">
        <v>5301</v>
      </c>
      <c r="N164" s="5148" t="s">
        <v>5302</v>
      </c>
      <c r="O164" s="5149" t="s">
        <v>5303</v>
      </c>
      <c r="P164" s="5038" t="s">
        <v>5304</v>
      </c>
      <c r="Q164" s="5151" t="s">
        <v>5305</v>
      </c>
      <c r="R164" s="5038" t="s">
        <v>5306</v>
      </c>
      <c r="S164" s="5151" t="s">
        <v>5307</v>
      </c>
      <c r="T164" s="5038" t="s">
        <v>5308</v>
      </c>
      <c r="U164" s="5151" t="s">
        <v>5309</v>
      </c>
      <c r="V164" s="5038" t="s">
        <v>5310</v>
      </c>
      <c r="W164" s="5151" t="s">
        <v>5311</v>
      </c>
      <c r="X164" s="5038" t="s">
        <v>5312</v>
      </c>
      <c r="Y164" s="5151" t="s">
        <v>5313</v>
      </c>
      <c r="Z164" s="5038" t="s">
        <v>5314</v>
      </c>
      <c r="AA164" s="5151" t="s">
        <v>5315</v>
      </c>
      <c r="AB164" s="5038" t="s">
        <v>5316</v>
      </c>
      <c r="AC164" s="5151" t="s">
        <v>5317</v>
      </c>
      <c r="AD164" s="5038" t="s">
        <v>5318</v>
      </c>
      <c r="AE164" s="5151" t="s">
        <v>5319</v>
      </c>
      <c r="AF164" s="5038" t="s">
        <v>5320</v>
      </c>
      <c r="AG164" s="5151" t="s">
        <v>5321</v>
      </c>
      <c r="AH164" s="5038" t="s">
        <v>5322</v>
      </c>
      <c r="AI164" s="5151" t="s">
        <v>5323</v>
      </c>
      <c r="AJ164" s="5038" t="s">
        <v>5324</v>
      </c>
      <c r="AK164" s="5151" t="s">
        <v>5325</v>
      </c>
      <c r="AL164" s="5146" t="s">
        <v>5326</v>
      </c>
      <c r="AM164" s="3511" t="s">
        <v>5327</v>
      </c>
      <c r="AN164" s="5038" t="s">
        <v>5328</v>
      </c>
      <c r="AO164" s="3512" t="s">
        <v>5329</v>
      </c>
      <c r="AP164" s="5146" t="s">
        <v>5330</v>
      </c>
      <c r="AQ164" s="3511" t="s">
        <v>5331</v>
      </c>
      <c r="AR164" s="3479" t="s">
        <v>5332</v>
      </c>
      <c r="AS164" s="3512" t="s">
        <v>5333</v>
      </c>
      <c r="AT164" s="5146" t="s">
        <v>5334</v>
      </c>
      <c r="AU164" s="3512" t="s">
        <v>5335</v>
      </c>
      <c r="AV164" s="5146" t="s">
        <v>5336</v>
      </c>
      <c r="AW164" s="3511" t="s">
        <v>5337</v>
      </c>
      <c r="AX164" s="5146" t="s">
        <v>5338</v>
      </c>
      <c r="AY164" s="3511" t="s">
        <v>5339</v>
      </c>
      <c r="AZ164" s="1687" t="e">
        <f>$CB164&amp;CC164&amp;$CD164&amp;CE164&amp;CF164&amp;CG164&amp;CH164&amp;CI164&amp;CJ164&amp;CK164&amp;CL164&amp;CM164&amp;CN164&amp;CO164&amp;CP164&amp;CQ164&amp;CR164&amp;CS164&amp;CT164&amp;CU164&amp;CV164&amp;CW164&amp;CX164</f>
        <v>#VALUE!</v>
      </c>
      <c r="CB164" s="3146" t="str">
        <f t="shared" si="531"/>
        <v xml:space="preserve"> * El Total de Exámenes Confirmados Positivos por ISP NO DEBE SUPERAR los  Exámenes Procesados. </v>
      </c>
      <c r="CC164" s="2784" t="str">
        <f>IF(AM164&gt;AL164,"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4" s="2784" t="str">
        <f t="shared" si="532"/>
        <v xml:space="preserve"> * El número de Exámenes por Sexo Mujeres Confirmados positivos por ISP NO PUEDE Superar al número de Procesados. </v>
      </c>
      <c r="CE164" s="2630"/>
      <c r="CF164" s="2630"/>
      <c r="CG164" s="2630"/>
      <c r="CH164" s="2630"/>
      <c r="CI164" s="2630"/>
      <c r="CJ164" s="2784" t="e">
        <f t="shared" si="533"/>
        <v>#VALUE!</v>
      </c>
      <c r="CK164" s="600"/>
      <c r="CL164" s="2784" t="e">
        <f t="shared" si="534"/>
        <v>#VALUE!</v>
      </c>
      <c r="CM164" s="2784" t="e">
        <f t="shared" si="535"/>
        <v>#VALUE!</v>
      </c>
      <c r="CN164" s="2784" t="str">
        <f t="shared" si="536"/>
        <v xml:space="preserve"> * Los exámenes procesados Pueblos originarios no pueden ser mayor que el Total de exámenes procesados.</v>
      </c>
      <c r="CO164" s="2784" t="str">
        <f t="shared" si="537"/>
        <v xml:space="preserve"> * Los exámenes procesados de Migrantes no pueden ser mayor que el Total de exámenes procesados.</v>
      </c>
      <c r="CP164" s="2784" t="e">
        <f t="shared" si="538"/>
        <v>#VALUE!</v>
      </c>
      <c r="CQ164" s="2784" t="str">
        <f t="shared" si="539"/>
        <v xml:space="preserve"> * Los exámenes Confirmados positivos por ISP de Pueblos originarios no pueden ser mayor que el Total de exámenes Procesados por ISP.</v>
      </c>
      <c r="CR164" s="2784" t="str">
        <f t="shared" si="540"/>
        <v xml:space="preserve"> * Los exámenes Confirmados positivos por ISP de Migrantes no pueden ser mayor que el Total de exámenes Procesados por ISP.</v>
      </c>
      <c r="CS164" s="2630"/>
      <c r="CT164" s="2630"/>
      <c r="CU164" s="6114" t="e">
        <f t="shared" si="541"/>
        <v>#VALUE!</v>
      </c>
      <c r="CV164" s="6114" t="e">
        <f t="shared" si="542"/>
        <v>#VALUE!</v>
      </c>
      <c r="CW164" s="6114" t="e">
        <f t="shared" si="543"/>
        <v>#VALUE!</v>
      </c>
      <c r="CX164" s="6114" t="e">
        <f t="shared" si="544"/>
        <v>#VALUE!</v>
      </c>
      <c r="DF164" s="3146">
        <f t="shared" si="545"/>
        <v>1</v>
      </c>
      <c r="DG164" s="2784">
        <f>IF(AM164&gt;AL164,1,0)</f>
        <v>1</v>
      </c>
      <c r="DH164" s="2784">
        <f t="shared" si="546"/>
        <v>1</v>
      </c>
      <c r="DI164" s="2630"/>
      <c r="DJ164" s="2630"/>
      <c r="DK164" s="2630"/>
      <c r="DL164" s="2630"/>
      <c r="DM164" s="2630"/>
      <c r="DN164" s="2784" t="e">
        <f t="shared" si="547"/>
        <v>#VALUE!</v>
      </c>
      <c r="DO164" s="600"/>
      <c r="DP164" s="2784" t="e">
        <f t="shared" si="548"/>
        <v>#VALUE!</v>
      </c>
      <c r="DQ164" s="2784" t="e">
        <f t="shared" si="548"/>
        <v>#VALUE!</v>
      </c>
      <c r="DR164" s="2784">
        <f t="shared" si="549"/>
        <v>1</v>
      </c>
      <c r="DS164" s="2784">
        <f t="shared" si="550"/>
        <v>1</v>
      </c>
      <c r="DT164" s="2784" t="e">
        <f t="shared" si="551"/>
        <v>#VALUE!</v>
      </c>
      <c r="DU164" s="2784">
        <f t="shared" si="552"/>
        <v>1</v>
      </c>
      <c r="DV164" s="2784">
        <f t="shared" si="553"/>
        <v>1</v>
      </c>
      <c r="DW164" s="2630"/>
      <c r="DX164" s="2630"/>
      <c r="DY164" s="6114" t="e">
        <f t="shared" si="554"/>
        <v>#VALUE!</v>
      </c>
      <c r="DZ164" s="6114" t="e">
        <f t="shared" si="555"/>
        <v>#VALUE!</v>
      </c>
      <c r="EA164" s="6114" t="e">
        <f t="shared" si="556"/>
        <v>#VALUE!</v>
      </c>
      <c r="EB164" s="6114" t="e">
        <f t="shared" si="557"/>
        <v>#VALUE!</v>
      </c>
    </row>
    <row r="165" spans="1:132" x14ac:dyDescent="0.3">
      <c r="A165" s="6234">
        <v>11052900</v>
      </c>
      <c r="B165" s="7576" t="s">
        <v>2675</v>
      </c>
      <c r="C165" s="7577"/>
      <c r="D165" s="1928" t="s">
        <v>5292</v>
      </c>
      <c r="E165" s="1926" t="s">
        <v>5293</v>
      </c>
      <c r="F165" s="5038" t="s">
        <v>5294</v>
      </c>
      <c r="G165" s="5151" t="s">
        <v>5295</v>
      </c>
      <c r="H165" s="5038" t="s">
        <v>5296</v>
      </c>
      <c r="I165" s="5151" t="s">
        <v>5297</v>
      </c>
      <c r="J165" s="5038" t="s">
        <v>5298</v>
      </c>
      <c r="K165" s="5151" t="s">
        <v>5299</v>
      </c>
      <c r="L165" s="5038" t="s">
        <v>5300</v>
      </c>
      <c r="M165" s="5151" t="s">
        <v>5301</v>
      </c>
      <c r="N165" s="5038" t="s">
        <v>5302</v>
      </c>
      <c r="O165" s="5151" t="s">
        <v>5303</v>
      </c>
      <c r="P165" s="5038" t="s">
        <v>5304</v>
      </c>
      <c r="Q165" s="5151" t="s">
        <v>5305</v>
      </c>
      <c r="R165" s="5038" t="s">
        <v>5306</v>
      </c>
      <c r="S165" s="5151" t="s">
        <v>5307</v>
      </c>
      <c r="T165" s="5038" t="s">
        <v>5308</v>
      </c>
      <c r="U165" s="5151" t="s">
        <v>5309</v>
      </c>
      <c r="V165" s="5038" t="s">
        <v>5310</v>
      </c>
      <c r="W165" s="5151" t="s">
        <v>5311</v>
      </c>
      <c r="X165" s="5038" t="s">
        <v>5312</v>
      </c>
      <c r="Y165" s="5151" t="s">
        <v>5313</v>
      </c>
      <c r="Z165" s="5038" t="s">
        <v>5314</v>
      </c>
      <c r="AA165" s="5151" t="s">
        <v>5315</v>
      </c>
      <c r="AB165" s="5038" t="s">
        <v>5316</v>
      </c>
      <c r="AC165" s="5151" t="s">
        <v>5317</v>
      </c>
      <c r="AD165" s="5038" t="s">
        <v>5318</v>
      </c>
      <c r="AE165" s="5151" t="s">
        <v>5319</v>
      </c>
      <c r="AF165" s="5038" t="s">
        <v>5320</v>
      </c>
      <c r="AG165" s="5151" t="s">
        <v>5321</v>
      </c>
      <c r="AH165" s="5038" t="s">
        <v>5322</v>
      </c>
      <c r="AI165" s="5151" t="s">
        <v>5323</v>
      </c>
      <c r="AJ165" s="5038" t="s">
        <v>5324</v>
      </c>
      <c r="AK165" s="5151" t="s">
        <v>5325</v>
      </c>
      <c r="AL165" s="5195" t="s">
        <v>5326</v>
      </c>
      <c r="AM165" s="3515" t="s">
        <v>5327</v>
      </c>
      <c r="AN165" s="5196" t="s">
        <v>5328</v>
      </c>
      <c r="AO165" s="3512" t="s">
        <v>5329</v>
      </c>
      <c r="AP165" s="5146" t="s">
        <v>5330</v>
      </c>
      <c r="AQ165" s="3511" t="s">
        <v>5331</v>
      </c>
      <c r="AR165" s="3479" t="s">
        <v>5332</v>
      </c>
      <c r="AS165" s="3512" t="s">
        <v>5333</v>
      </c>
      <c r="AT165" s="5146" t="s">
        <v>5334</v>
      </c>
      <c r="AU165" s="3512" t="s">
        <v>5335</v>
      </c>
      <c r="AV165" s="5146" t="s">
        <v>5336</v>
      </c>
      <c r="AW165" s="3511" t="s">
        <v>5337</v>
      </c>
      <c r="AX165" s="5146" t="s">
        <v>5338</v>
      </c>
      <c r="AY165" s="3511" t="s">
        <v>5339</v>
      </c>
      <c r="AZ165" s="1687" t="e">
        <f t="shared" ref="AZ165:AZ182" si="558">$CB165&amp;CC165&amp;$CD165&amp;CE165&amp;CF165&amp;CG165&amp;CH165&amp;CI165&amp;CJ165&amp;CK165&amp;CL165&amp;CM165&amp;CN165&amp;CO165&amp;CP165&amp;CQ165&amp;CR165&amp;CS165&amp;CT165&amp;CU165&amp;CV165&amp;CW165&amp;CX165</f>
        <v>#VALUE!</v>
      </c>
      <c r="CB165" s="3146" t="str">
        <f t="shared" si="531"/>
        <v xml:space="preserve"> * El Total de Exámenes Confirmados Positivos por ISP NO DEBE SUPERAR los  Exámenes Procesados. </v>
      </c>
      <c r="CC165" s="2784" t="str">
        <f t="shared" ref="CC165:CC183" si="559">IF(AM165&gt;AL165,"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5" s="2784" t="str">
        <f t="shared" si="532"/>
        <v xml:space="preserve"> * El número de Exámenes por Sexo Mujeres Confirmados positivos por ISP NO PUEDE Superar al número de Procesados. </v>
      </c>
      <c r="CE165" s="2630"/>
      <c r="CF165" s="2630"/>
      <c r="CG165" s="2630"/>
      <c r="CH165" s="2630"/>
      <c r="CI165" s="2630"/>
      <c r="CJ165" s="2784" t="e">
        <f t="shared" si="533"/>
        <v>#VALUE!</v>
      </c>
      <c r="CK165" s="600"/>
      <c r="CL165" s="2784" t="e">
        <f t="shared" si="534"/>
        <v>#VALUE!</v>
      </c>
      <c r="CM165" s="2784" t="e">
        <f t="shared" si="535"/>
        <v>#VALUE!</v>
      </c>
      <c r="CN165" s="2784" t="str">
        <f t="shared" si="536"/>
        <v xml:space="preserve"> * Los exámenes procesados Pueblos originarios no pueden ser mayor que el Total de exámenes procesados.</v>
      </c>
      <c r="CO165" s="2784" t="str">
        <f t="shared" si="537"/>
        <v xml:space="preserve"> * Los exámenes procesados de Migrantes no pueden ser mayor que el Total de exámenes procesados.</v>
      </c>
      <c r="CP165" s="2784" t="e">
        <f t="shared" si="538"/>
        <v>#VALUE!</v>
      </c>
      <c r="CQ165" s="2784" t="str">
        <f t="shared" si="539"/>
        <v xml:space="preserve"> * Los exámenes Confirmados positivos por ISP de Pueblos originarios no pueden ser mayor que el Total de exámenes Procesados por ISP.</v>
      </c>
      <c r="CR165" s="2784" t="str">
        <f t="shared" si="540"/>
        <v xml:space="preserve"> * Los exámenes Confirmados positivos por ISP de Migrantes no pueden ser mayor que el Total de exámenes Procesados por ISP.</v>
      </c>
      <c r="CS165" s="2630"/>
      <c r="CT165" s="2630"/>
      <c r="CU165" s="6114" t="e">
        <f t="shared" si="541"/>
        <v>#VALUE!</v>
      </c>
      <c r="CV165" s="6114" t="e">
        <f t="shared" si="542"/>
        <v>#VALUE!</v>
      </c>
      <c r="CW165" s="6114" t="e">
        <f t="shared" si="543"/>
        <v>#VALUE!</v>
      </c>
      <c r="CX165" s="6114" t="e">
        <f t="shared" si="544"/>
        <v>#VALUE!</v>
      </c>
      <c r="DF165" s="3146">
        <f t="shared" si="545"/>
        <v>1</v>
      </c>
      <c r="DG165" s="2784">
        <f t="shared" ref="DG165:DG183" si="560">IF(AM165&gt;AL165,1,0)</f>
        <v>1</v>
      </c>
      <c r="DH165" s="2784">
        <f t="shared" si="546"/>
        <v>1</v>
      </c>
      <c r="DI165" s="2630"/>
      <c r="DJ165" s="2630"/>
      <c r="DK165" s="2630"/>
      <c r="DL165" s="2630"/>
      <c r="DM165" s="2630"/>
      <c r="DN165" s="2784" t="e">
        <f t="shared" si="547"/>
        <v>#VALUE!</v>
      </c>
      <c r="DO165" s="600"/>
      <c r="DP165" s="2784" t="e">
        <f t="shared" si="548"/>
        <v>#VALUE!</v>
      </c>
      <c r="DQ165" s="2784" t="e">
        <f t="shared" si="548"/>
        <v>#VALUE!</v>
      </c>
      <c r="DR165" s="2784">
        <f t="shared" si="549"/>
        <v>1</v>
      </c>
      <c r="DS165" s="2784">
        <f t="shared" si="550"/>
        <v>1</v>
      </c>
      <c r="DT165" s="2784" t="e">
        <f t="shared" si="551"/>
        <v>#VALUE!</v>
      </c>
      <c r="DU165" s="2784">
        <f t="shared" si="552"/>
        <v>1</v>
      </c>
      <c r="DV165" s="2784">
        <f t="shared" si="553"/>
        <v>1</v>
      </c>
      <c r="DW165" s="2630"/>
      <c r="DX165" s="2630"/>
      <c r="DY165" s="6114" t="e">
        <f t="shared" si="554"/>
        <v>#VALUE!</v>
      </c>
      <c r="DZ165" s="6114" t="e">
        <f t="shared" si="555"/>
        <v>#VALUE!</v>
      </c>
      <c r="EA165" s="6114" t="e">
        <f t="shared" si="556"/>
        <v>#VALUE!</v>
      </c>
      <c r="EB165" s="6114" t="e">
        <f t="shared" si="557"/>
        <v>#VALUE!</v>
      </c>
    </row>
    <row r="166" spans="1:132" x14ac:dyDescent="0.3">
      <c r="A166" s="6234">
        <v>11053000</v>
      </c>
      <c r="B166" s="7576" t="s">
        <v>2703</v>
      </c>
      <c r="C166" s="7577"/>
      <c r="D166" s="1928" t="s">
        <v>5292</v>
      </c>
      <c r="E166" s="5031" t="s">
        <v>5293</v>
      </c>
      <c r="F166" s="5038" t="s">
        <v>5294</v>
      </c>
      <c r="G166" s="5151" t="s">
        <v>5295</v>
      </c>
      <c r="H166" s="5038" t="s">
        <v>5296</v>
      </c>
      <c r="I166" s="5151" t="s">
        <v>5297</v>
      </c>
      <c r="J166" s="5038" t="s">
        <v>5298</v>
      </c>
      <c r="K166" s="5151" t="s">
        <v>5299</v>
      </c>
      <c r="L166" s="5038" t="s">
        <v>5300</v>
      </c>
      <c r="M166" s="5151" t="s">
        <v>5301</v>
      </c>
      <c r="N166" s="5038" t="s">
        <v>5302</v>
      </c>
      <c r="O166" s="5151" t="s">
        <v>5303</v>
      </c>
      <c r="P166" s="5038" t="s">
        <v>5304</v>
      </c>
      <c r="Q166" s="5151" t="s">
        <v>5305</v>
      </c>
      <c r="R166" s="5038" t="s">
        <v>5306</v>
      </c>
      <c r="S166" s="5151" t="s">
        <v>5307</v>
      </c>
      <c r="T166" s="5038" t="s">
        <v>5308</v>
      </c>
      <c r="U166" s="5151" t="s">
        <v>5309</v>
      </c>
      <c r="V166" s="5038" t="s">
        <v>5310</v>
      </c>
      <c r="W166" s="5151" t="s">
        <v>5311</v>
      </c>
      <c r="X166" s="5038" t="s">
        <v>5312</v>
      </c>
      <c r="Y166" s="5151" t="s">
        <v>5313</v>
      </c>
      <c r="Z166" s="5038" t="s">
        <v>5314</v>
      </c>
      <c r="AA166" s="5151" t="s">
        <v>5315</v>
      </c>
      <c r="AB166" s="5038" t="s">
        <v>5316</v>
      </c>
      <c r="AC166" s="5151" t="s">
        <v>5317</v>
      </c>
      <c r="AD166" s="5038" t="s">
        <v>5318</v>
      </c>
      <c r="AE166" s="5151" t="s">
        <v>5319</v>
      </c>
      <c r="AF166" s="5038" t="s">
        <v>5320</v>
      </c>
      <c r="AG166" s="5151" t="s">
        <v>5321</v>
      </c>
      <c r="AH166" s="5038" t="s">
        <v>5322</v>
      </c>
      <c r="AI166" s="5151" t="s">
        <v>5323</v>
      </c>
      <c r="AJ166" s="5038" t="s">
        <v>5324</v>
      </c>
      <c r="AK166" s="5151" t="s">
        <v>5325</v>
      </c>
      <c r="AL166" s="5146" t="s">
        <v>5326</v>
      </c>
      <c r="AM166" s="3511" t="s">
        <v>5327</v>
      </c>
      <c r="AN166" s="5038" t="s">
        <v>5328</v>
      </c>
      <c r="AO166" s="3512" t="s">
        <v>5329</v>
      </c>
      <c r="AP166" s="5146" t="s">
        <v>5330</v>
      </c>
      <c r="AQ166" s="3511" t="s">
        <v>5331</v>
      </c>
      <c r="AR166" s="3479" t="s">
        <v>5332</v>
      </c>
      <c r="AS166" s="3512" t="s">
        <v>5333</v>
      </c>
      <c r="AT166" s="5146" t="s">
        <v>5334</v>
      </c>
      <c r="AU166" s="3512" t="s">
        <v>5335</v>
      </c>
      <c r="AV166" s="5146" t="s">
        <v>5336</v>
      </c>
      <c r="AW166" s="3511" t="s">
        <v>5337</v>
      </c>
      <c r="AX166" s="5146" t="s">
        <v>5338</v>
      </c>
      <c r="AY166" s="3511" t="s">
        <v>5339</v>
      </c>
      <c r="AZ166" s="1687" t="e">
        <f t="shared" si="558"/>
        <v>#VALUE!</v>
      </c>
      <c r="CB166" s="3146" t="str">
        <f t="shared" si="531"/>
        <v xml:space="preserve"> * El Total de Exámenes Confirmados Positivos por ISP NO DEBE SUPERAR los  Exámenes Procesados. </v>
      </c>
      <c r="CC166" s="2784" t="str">
        <f t="shared" si="559"/>
        <v xml:space="preserve"> * El número de Exámenes por Sexo Hombres Confirmados positivos por ISP NO PUEDE Superar al número de Procesados. </v>
      </c>
      <c r="CD166" s="2784" t="str">
        <f t="shared" si="532"/>
        <v xml:space="preserve"> * El número de Exámenes por Sexo Mujeres Confirmados positivos por ISP NO PUEDE Superar al número de Procesados. </v>
      </c>
      <c r="CE166" s="2630"/>
      <c r="CF166" s="2630"/>
      <c r="CG166" s="2630"/>
      <c r="CH166" s="2630"/>
      <c r="CI166" s="2630"/>
      <c r="CJ166" s="2784" t="e">
        <f t="shared" si="533"/>
        <v>#VALUE!</v>
      </c>
      <c r="CK166" s="600"/>
      <c r="CL166" s="2784" t="e">
        <f t="shared" si="534"/>
        <v>#VALUE!</v>
      </c>
      <c r="CM166" s="2784" t="e">
        <f t="shared" si="535"/>
        <v>#VALUE!</v>
      </c>
      <c r="CN166" s="2784" t="str">
        <f t="shared" si="536"/>
        <v xml:space="preserve"> * Los exámenes procesados Pueblos originarios no pueden ser mayor que el Total de exámenes procesados.</v>
      </c>
      <c r="CO166" s="2784" t="str">
        <f t="shared" si="537"/>
        <v xml:space="preserve"> * Los exámenes procesados de Migrantes no pueden ser mayor que el Total de exámenes procesados.</v>
      </c>
      <c r="CP166" s="2784" t="e">
        <f t="shared" si="538"/>
        <v>#VALUE!</v>
      </c>
      <c r="CQ166" s="2784" t="str">
        <f t="shared" si="539"/>
        <v xml:space="preserve"> * Los exámenes Confirmados positivos por ISP de Pueblos originarios no pueden ser mayor que el Total de exámenes Procesados por ISP.</v>
      </c>
      <c r="CR166" s="2784" t="str">
        <f t="shared" si="540"/>
        <v xml:space="preserve"> * Los exámenes Confirmados positivos por ISP de Migrantes no pueden ser mayor que el Total de exámenes Procesados por ISP.</v>
      </c>
      <c r="CS166" s="2630"/>
      <c r="CT166" s="2630"/>
      <c r="CU166" s="6114" t="e">
        <f t="shared" si="541"/>
        <v>#VALUE!</v>
      </c>
      <c r="CV166" s="6114" t="e">
        <f t="shared" si="542"/>
        <v>#VALUE!</v>
      </c>
      <c r="CW166" s="6114" t="e">
        <f t="shared" si="543"/>
        <v>#VALUE!</v>
      </c>
      <c r="CX166" s="6114" t="e">
        <f t="shared" si="544"/>
        <v>#VALUE!</v>
      </c>
      <c r="DF166" s="3146">
        <f t="shared" si="545"/>
        <v>1</v>
      </c>
      <c r="DG166" s="2784">
        <f t="shared" si="560"/>
        <v>1</v>
      </c>
      <c r="DH166" s="2784">
        <f t="shared" si="546"/>
        <v>1</v>
      </c>
      <c r="DI166" s="2630"/>
      <c r="DJ166" s="2630"/>
      <c r="DK166" s="2630"/>
      <c r="DL166" s="2630"/>
      <c r="DM166" s="2630"/>
      <c r="DN166" s="2784" t="e">
        <f t="shared" si="547"/>
        <v>#VALUE!</v>
      </c>
      <c r="DO166" s="600"/>
      <c r="DP166" s="2784" t="e">
        <f t="shared" si="548"/>
        <v>#VALUE!</v>
      </c>
      <c r="DQ166" s="2784" t="e">
        <f t="shared" si="548"/>
        <v>#VALUE!</v>
      </c>
      <c r="DR166" s="2784">
        <f t="shared" si="549"/>
        <v>1</v>
      </c>
      <c r="DS166" s="2784">
        <f t="shared" si="550"/>
        <v>1</v>
      </c>
      <c r="DT166" s="2784" t="e">
        <f t="shared" si="551"/>
        <v>#VALUE!</v>
      </c>
      <c r="DU166" s="2784">
        <f t="shared" si="552"/>
        <v>1</v>
      </c>
      <c r="DV166" s="2784">
        <f t="shared" si="553"/>
        <v>1</v>
      </c>
      <c r="DW166" s="2630"/>
      <c r="DX166" s="2630"/>
      <c r="DY166" s="6114" t="e">
        <f t="shared" si="554"/>
        <v>#VALUE!</v>
      </c>
      <c r="DZ166" s="6114" t="e">
        <f t="shared" si="555"/>
        <v>#VALUE!</v>
      </c>
      <c r="EA166" s="6114" t="e">
        <f t="shared" si="556"/>
        <v>#VALUE!</v>
      </c>
      <c r="EB166" s="6114" t="e">
        <f t="shared" si="557"/>
        <v>#VALUE!</v>
      </c>
    </row>
    <row r="167" spans="1:132" x14ac:dyDescent="0.3">
      <c r="A167" s="6234">
        <v>11054500</v>
      </c>
      <c r="B167" s="7576" t="s">
        <v>2704</v>
      </c>
      <c r="C167" s="7577"/>
      <c r="D167" s="1928" t="s">
        <v>5292</v>
      </c>
      <c r="E167" s="5031" t="s">
        <v>5293</v>
      </c>
      <c r="F167" s="5148" t="s">
        <v>5294</v>
      </c>
      <c r="G167" s="5149" t="s">
        <v>5295</v>
      </c>
      <c r="H167" s="5148" t="s">
        <v>5296</v>
      </c>
      <c r="I167" s="5149" t="s">
        <v>5297</v>
      </c>
      <c r="J167" s="5148" t="s">
        <v>5298</v>
      </c>
      <c r="K167" s="5149" t="s">
        <v>5299</v>
      </c>
      <c r="L167" s="5148" t="s">
        <v>5300</v>
      </c>
      <c r="M167" s="5149" t="s">
        <v>5301</v>
      </c>
      <c r="N167" s="5148" t="s">
        <v>5302</v>
      </c>
      <c r="O167" s="5149" t="s">
        <v>5303</v>
      </c>
      <c r="P167" s="5038" t="s">
        <v>5304</v>
      </c>
      <c r="Q167" s="5151" t="s">
        <v>5305</v>
      </c>
      <c r="R167" s="5038" t="s">
        <v>5306</v>
      </c>
      <c r="S167" s="5151" t="s">
        <v>5307</v>
      </c>
      <c r="T167" s="5038" t="s">
        <v>5308</v>
      </c>
      <c r="U167" s="5151" t="s">
        <v>5309</v>
      </c>
      <c r="V167" s="5038" t="s">
        <v>5310</v>
      </c>
      <c r="W167" s="5151" t="s">
        <v>5311</v>
      </c>
      <c r="X167" s="5038" t="s">
        <v>5312</v>
      </c>
      <c r="Y167" s="5151" t="s">
        <v>5313</v>
      </c>
      <c r="Z167" s="5038" t="s">
        <v>5314</v>
      </c>
      <c r="AA167" s="5151" t="s">
        <v>5315</v>
      </c>
      <c r="AB167" s="5038" t="s">
        <v>5316</v>
      </c>
      <c r="AC167" s="5151" t="s">
        <v>5317</v>
      </c>
      <c r="AD167" s="5038" t="s">
        <v>5318</v>
      </c>
      <c r="AE167" s="5151" t="s">
        <v>5319</v>
      </c>
      <c r="AF167" s="5038" t="s">
        <v>5320</v>
      </c>
      <c r="AG167" s="5151" t="s">
        <v>5321</v>
      </c>
      <c r="AH167" s="5038" t="s">
        <v>5322</v>
      </c>
      <c r="AI167" s="5151" t="s">
        <v>5323</v>
      </c>
      <c r="AJ167" s="5038" t="s">
        <v>5324</v>
      </c>
      <c r="AK167" s="5151" t="s">
        <v>5325</v>
      </c>
      <c r="AL167" s="5146" t="s">
        <v>5326</v>
      </c>
      <c r="AM167" s="3511" t="s">
        <v>5327</v>
      </c>
      <c r="AN167" s="5038" t="s">
        <v>5328</v>
      </c>
      <c r="AO167" s="3512" t="s">
        <v>5329</v>
      </c>
      <c r="AP167" s="5146" t="s">
        <v>5330</v>
      </c>
      <c r="AQ167" s="3511" t="s">
        <v>5331</v>
      </c>
      <c r="AR167" s="3479" t="s">
        <v>5332</v>
      </c>
      <c r="AS167" s="3512" t="s">
        <v>5333</v>
      </c>
      <c r="AT167" s="5146" t="s">
        <v>5334</v>
      </c>
      <c r="AU167" s="3512" t="s">
        <v>5335</v>
      </c>
      <c r="AV167" s="5146" t="s">
        <v>5336</v>
      </c>
      <c r="AW167" s="3511" t="s">
        <v>5337</v>
      </c>
      <c r="AX167" s="5146" t="s">
        <v>5338</v>
      </c>
      <c r="AY167" s="3511" t="s">
        <v>5339</v>
      </c>
      <c r="AZ167" s="1687" t="e">
        <f t="shared" si="558"/>
        <v>#VALUE!</v>
      </c>
      <c r="CB167" s="3146" t="str">
        <f t="shared" si="531"/>
        <v xml:space="preserve"> * El Total de Exámenes Confirmados Positivos por ISP NO DEBE SUPERAR los  Exámenes Procesados. </v>
      </c>
      <c r="CC167" s="2784" t="str">
        <f t="shared" si="559"/>
        <v xml:space="preserve"> * El número de Exámenes por Sexo Hombres Confirmados positivos por ISP NO PUEDE Superar al número de Procesados. </v>
      </c>
      <c r="CD167" s="2784" t="str">
        <f t="shared" si="532"/>
        <v xml:space="preserve"> * El número de Exámenes por Sexo Mujeres Confirmados positivos por ISP NO PUEDE Superar al número de Procesados. </v>
      </c>
      <c r="CE167" s="2630"/>
      <c r="CF167" s="2630"/>
      <c r="CG167" s="2630"/>
      <c r="CH167" s="2630"/>
      <c r="CI167" s="2630"/>
      <c r="CJ167" s="2784" t="e">
        <f t="shared" si="533"/>
        <v>#VALUE!</v>
      </c>
      <c r="CK167" s="600"/>
      <c r="CL167" s="2784" t="e">
        <f t="shared" si="534"/>
        <v>#VALUE!</v>
      </c>
      <c r="CM167" s="2784" t="e">
        <f t="shared" si="535"/>
        <v>#VALUE!</v>
      </c>
      <c r="CN167" s="2784" t="str">
        <f t="shared" si="536"/>
        <v xml:space="preserve"> * Los exámenes procesados Pueblos originarios no pueden ser mayor que el Total de exámenes procesados.</v>
      </c>
      <c r="CO167" s="2784" t="str">
        <f t="shared" si="537"/>
        <v xml:space="preserve"> * Los exámenes procesados de Migrantes no pueden ser mayor que el Total de exámenes procesados.</v>
      </c>
      <c r="CP167" s="2784" t="e">
        <f t="shared" si="538"/>
        <v>#VALUE!</v>
      </c>
      <c r="CQ167" s="2784" t="str">
        <f t="shared" si="539"/>
        <v xml:space="preserve"> * Los exámenes Confirmados positivos por ISP de Pueblos originarios no pueden ser mayor que el Total de exámenes Procesados por ISP.</v>
      </c>
      <c r="CR167" s="2784" t="str">
        <f t="shared" si="540"/>
        <v xml:space="preserve"> * Los exámenes Confirmados positivos por ISP de Migrantes no pueden ser mayor que el Total de exámenes Procesados por ISP.</v>
      </c>
      <c r="CS167" s="2630"/>
      <c r="CT167" s="2630"/>
      <c r="CU167" s="6114" t="e">
        <f t="shared" si="541"/>
        <v>#VALUE!</v>
      </c>
      <c r="CV167" s="6114" t="e">
        <f t="shared" si="542"/>
        <v>#VALUE!</v>
      </c>
      <c r="CW167" s="6114" t="e">
        <f t="shared" si="543"/>
        <v>#VALUE!</v>
      </c>
      <c r="CX167" s="6114" t="e">
        <f t="shared" si="544"/>
        <v>#VALUE!</v>
      </c>
      <c r="DF167" s="3146">
        <f t="shared" si="545"/>
        <v>1</v>
      </c>
      <c r="DG167" s="2784">
        <f t="shared" si="560"/>
        <v>1</v>
      </c>
      <c r="DH167" s="2784">
        <f t="shared" si="546"/>
        <v>1</v>
      </c>
      <c r="DI167" s="2630"/>
      <c r="DJ167" s="2630"/>
      <c r="DK167" s="2630"/>
      <c r="DL167" s="2630"/>
      <c r="DM167" s="2630"/>
      <c r="DN167" s="2784" t="e">
        <f t="shared" si="547"/>
        <v>#VALUE!</v>
      </c>
      <c r="DO167" s="600"/>
      <c r="DP167" s="2784" t="e">
        <f t="shared" si="548"/>
        <v>#VALUE!</v>
      </c>
      <c r="DQ167" s="2784" t="e">
        <f t="shared" si="548"/>
        <v>#VALUE!</v>
      </c>
      <c r="DR167" s="2784">
        <f t="shared" si="549"/>
        <v>1</v>
      </c>
      <c r="DS167" s="2784">
        <f t="shared" si="550"/>
        <v>1</v>
      </c>
      <c r="DT167" s="2784" t="e">
        <f t="shared" si="551"/>
        <v>#VALUE!</v>
      </c>
      <c r="DU167" s="2784">
        <f t="shared" si="552"/>
        <v>1</v>
      </c>
      <c r="DV167" s="2784">
        <f t="shared" si="553"/>
        <v>1</v>
      </c>
      <c r="DW167" s="2630"/>
      <c r="DX167" s="2630"/>
      <c r="DY167" s="6114" t="e">
        <f t="shared" si="554"/>
        <v>#VALUE!</v>
      </c>
      <c r="DZ167" s="6114" t="e">
        <f t="shared" si="555"/>
        <v>#VALUE!</v>
      </c>
      <c r="EA167" s="6114" t="e">
        <f t="shared" si="556"/>
        <v>#VALUE!</v>
      </c>
      <c r="EB167" s="6114" t="e">
        <f t="shared" si="557"/>
        <v>#VALUE!</v>
      </c>
    </row>
    <row r="168" spans="1:132" x14ac:dyDescent="0.3">
      <c r="A168" s="6234">
        <v>11054600</v>
      </c>
      <c r="B168" s="7576" t="s">
        <v>2672</v>
      </c>
      <c r="C168" s="7577"/>
      <c r="D168" s="1928" t="s">
        <v>5292</v>
      </c>
      <c r="E168" s="5031" t="s">
        <v>5293</v>
      </c>
      <c r="F168" s="5148" t="s">
        <v>5294</v>
      </c>
      <c r="G168" s="5149" t="s">
        <v>5295</v>
      </c>
      <c r="H168" s="5148" t="s">
        <v>5296</v>
      </c>
      <c r="I168" s="5149" t="s">
        <v>5297</v>
      </c>
      <c r="J168" s="5148" t="s">
        <v>5298</v>
      </c>
      <c r="K168" s="5149" t="s">
        <v>5299</v>
      </c>
      <c r="L168" s="5148" t="s">
        <v>5300</v>
      </c>
      <c r="M168" s="5149" t="s">
        <v>5301</v>
      </c>
      <c r="N168" s="5148" t="s">
        <v>5302</v>
      </c>
      <c r="O168" s="5149" t="s">
        <v>5303</v>
      </c>
      <c r="P168" s="5038" t="s">
        <v>5304</v>
      </c>
      <c r="Q168" s="5151" t="s">
        <v>5305</v>
      </c>
      <c r="R168" s="5038" t="s">
        <v>5306</v>
      </c>
      <c r="S168" s="5151" t="s">
        <v>5307</v>
      </c>
      <c r="T168" s="5038" t="s">
        <v>5308</v>
      </c>
      <c r="U168" s="5151" t="s">
        <v>5309</v>
      </c>
      <c r="V168" s="5038" t="s">
        <v>5310</v>
      </c>
      <c r="W168" s="5151" t="s">
        <v>5311</v>
      </c>
      <c r="X168" s="5038" t="s">
        <v>5312</v>
      </c>
      <c r="Y168" s="5151" t="s">
        <v>5313</v>
      </c>
      <c r="Z168" s="5038" t="s">
        <v>5314</v>
      </c>
      <c r="AA168" s="5151" t="s">
        <v>5315</v>
      </c>
      <c r="AB168" s="5038" t="s">
        <v>5316</v>
      </c>
      <c r="AC168" s="5151" t="s">
        <v>5317</v>
      </c>
      <c r="AD168" s="5038" t="s">
        <v>5318</v>
      </c>
      <c r="AE168" s="5151" t="s">
        <v>5319</v>
      </c>
      <c r="AF168" s="5038" t="s">
        <v>5320</v>
      </c>
      <c r="AG168" s="5151" t="s">
        <v>5321</v>
      </c>
      <c r="AH168" s="5038" t="s">
        <v>5322</v>
      </c>
      <c r="AI168" s="5151" t="s">
        <v>5323</v>
      </c>
      <c r="AJ168" s="5038" t="s">
        <v>5324</v>
      </c>
      <c r="AK168" s="5151" t="s">
        <v>5325</v>
      </c>
      <c r="AL168" s="5146" t="s">
        <v>5326</v>
      </c>
      <c r="AM168" s="3511" t="s">
        <v>5327</v>
      </c>
      <c r="AN168" s="5038" t="s">
        <v>5328</v>
      </c>
      <c r="AO168" s="3512" t="s">
        <v>5329</v>
      </c>
      <c r="AP168" s="5146" t="s">
        <v>5330</v>
      </c>
      <c r="AQ168" s="3511" t="s">
        <v>5331</v>
      </c>
      <c r="AR168" s="3479" t="s">
        <v>5332</v>
      </c>
      <c r="AS168" s="3512" t="s">
        <v>5333</v>
      </c>
      <c r="AT168" s="5146" t="s">
        <v>5334</v>
      </c>
      <c r="AU168" s="3512" t="s">
        <v>5335</v>
      </c>
      <c r="AV168" s="5146" t="s">
        <v>5336</v>
      </c>
      <c r="AW168" s="3511" t="s">
        <v>5337</v>
      </c>
      <c r="AX168" s="5146" t="s">
        <v>5338</v>
      </c>
      <c r="AY168" s="3511" t="s">
        <v>5339</v>
      </c>
      <c r="AZ168" s="1687" t="e">
        <f t="shared" si="558"/>
        <v>#VALUE!</v>
      </c>
      <c r="CB168" s="3146" t="str">
        <f t="shared" si="531"/>
        <v xml:space="preserve"> * El Total de Exámenes Confirmados Positivos por ISP NO DEBE SUPERAR los  Exámenes Procesados. </v>
      </c>
      <c r="CC168" s="2784" t="str">
        <f t="shared" si="559"/>
        <v xml:space="preserve"> * El número de Exámenes por Sexo Hombres Confirmados positivos por ISP NO PUEDE Superar al número de Procesados. </v>
      </c>
      <c r="CD168" s="2784" t="str">
        <f t="shared" si="532"/>
        <v xml:space="preserve"> * El número de Exámenes por Sexo Mujeres Confirmados positivos por ISP NO PUEDE Superar al número de Procesados. </v>
      </c>
      <c r="CE168" s="2630"/>
      <c r="CF168" s="2630"/>
      <c r="CG168" s="2630"/>
      <c r="CH168" s="2630"/>
      <c r="CI168" s="2630"/>
      <c r="CJ168" s="2784" t="e">
        <f t="shared" si="533"/>
        <v>#VALUE!</v>
      </c>
      <c r="CK168" s="600"/>
      <c r="CL168" s="2784" t="e">
        <f t="shared" si="534"/>
        <v>#VALUE!</v>
      </c>
      <c r="CM168" s="2784" t="e">
        <f t="shared" si="535"/>
        <v>#VALUE!</v>
      </c>
      <c r="CN168" s="2784" t="str">
        <f t="shared" si="536"/>
        <v xml:space="preserve"> * Los exámenes procesados Pueblos originarios no pueden ser mayor que el Total de exámenes procesados.</v>
      </c>
      <c r="CO168" s="2784" t="str">
        <f t="shared" si="537"/>
        <v xml:space="preserve"> * Los exámenes procesados de Migrantes no pueden ser mayor que el Total de exámenes procesados.</v>
      </c>
      <c r="CP168" s="2784" t="e">
        <f t="shared" si="538"/>
        <v>#VALUE!</v>
      </c>
      <c r="CQ168" s="2784" t="str">
        <f t="shared" si="539"/>
        <v xml:space="preserve"> * Los exámenes Confirmados positivos por ISP de Pueblos originarios no pueden ser mayor que el Total de exámenes Procesados por ISP.</v>
      </c>
      <c r="CR168" s="2784" t="str">
        <f t="shared" si="540"/>
        <v xml:space="preserve"> * Los exámenes Confirmados positivos por ISP de Migrantes no pueden ser mayor que el Total de exámenes Procesados por ISP.</v>
      </c>
      <c r="CS168" s="2630"/>
      <c r="CT168" s="2630"/>
      <c r="CU168" s="6114" t="e">
        <f t="shared" si="541"/>
        <v>#VALUE!</v>
      </c>
      <c r="CV168" s="6114" t="e">
        <f t="shared" si="542"/>
        <v>#VALUE!</v>
      </c>
      <c r="CW168" s="6114" t="e">
        <f t="shared" si="543"/>
        <v>#VALUE!</v>
      </c>
      <c r="CX168" s="6114" t="e">
        <f t="shared" si="544"/>
        <v>#VALUE!</v>
      </c>
      <c r="DF168" s="3146">
        <f t="shared" si="545"/>
        <v>1</v>
      </c>
      <c r="DG168" s="2784">
        <f t="shared" si="560"/>
        <v>1</v>
      </c>
      <c r="DH168" s="2784">
        <f t="shared" si="546"/>
        <v>1</v>
      </c>
      <c r="DI168" s="2630"/>
      <c r="DJ168" s="2630"/>
      <c r="DK168" s="2630"/>
      <c r="DL168" s="2630"/>
      <c r="DM168" s="2630"/>
      <c r="DN168" s="2784" t="e">
        <f t="shared" si="547"/>
        <v>#VALUE!</v>
      </c>
      <c r="DO168" s="600"/>
      <c r="DP168" s="2784" t="e">
        <f t="shared" si="548"/>
        <v>#VALUE!</v>
      </c>
      <c r="DQ168" s="2784" t="e">
        <f t="shared" si="548"/>
        <v>#VALUE!</v>
      </c>
      <c r="DR168" s="2784">
        <f t="shared" si="549"/>
        <v>1</v>
      </c>
      <c r="DS168" s="2784">
        <f t="shared" si="550"/>
        <v>1</v>
      </c>
      <c r="DT168" s="2784" t="e">
        <f t="shared" si="551"/>
        <v>#VALUE!</v>
      </c>
      <c r="DU168" s="2784">
        <f t="shared" si="552"/>
        <v>1</v>
      </c>
      <c r="DV168" s="2784">
        <f t="shared" si="553"/>
        <v>1</v>
      </c>
      <c r="DW168" s="2630"/>
      <c r="DX168" s="2630"/>
      <c r="DY168" s="6114" t="e">
        <f t="shared" si="554"/>
        <v>#VALUE!</v>
      </c>
      <c r="DZ168" s="6114" t="e">
        <f t="shared" si="555"/>
        <v>#VALUE!</v>
      </c>
      <c r="EA168" s="6114" t="e">
        <f t="shared" si="556"/>
        <v>#VALUE!</v>
      </c>
      <c r="EB168" s="6114" t="e">
        <f t="shared" si="557"/>
        <v>#VALUE!</v>
      </c>
    </row>
    <row r="169" spans="1:132" x14ac:dyDescent="0.3">
      <c r="A169" s="6234">
        <v>11053100</v>
      </c>
      <c r="B169" s="7578" t="s">
        <v>2705</v>
      </c>
      <c r="C169" s="7579"/>
      <c r="D169" s="3516" t="s">
        <v>5292</v>
      </c>
      <c r="E169" s="3517" t="s">
        <v>5293</v>
      </c>
      <c r="F169" s="410" t="s">
        <v>5294</v>
      </c>
      <c r="G169" s="3518" t="s">
        <v>5295</v>
      </c>
      <c r="H169" s="410" t="s">
        <v>5296</v>
      </c>
      <c r="I169" s="3518" t="s">
        <v>5297</v>
      </c>
      <c r="J169" s="410" t="s">
        <v>5298</v>
      </c>
      <c r="K169" s="3518" t="s">
        <v>5299</v>
      </c>
      <c r="L169" s="410" t="s">
        <v>5300</v>
      </c>
      <c r="M169" s="3518" t="s">
        <v>5301</v>
      </c>
      <c r="N169" s="410" t="s">
        <v>5302</v>
      </c>
      <c r="O169" s="3518" t="s">
        <v>5303</v>
      </c>
      <c r="P169" s="410" t="s">
        <v>5304</v>
      </c>
      <c r="Q169" s="3518" t="s">
        <v>5305</v>
      </c>
      <c r="R169" s="410" t="s">
        <v>5306</v>
      </c>
      <c r="S169" s="3518" t="s">
        <v>5307</v>
      </c>
      <c r="T169" s="410" t="s">
        <v>5308</v>
      </c>
      <c r="U169" s="3518" t="s">
        <v>5309</v>
      </c>
      <c r="V169" s="410" t="s">
        <v>5310</v>
      </c>
      <c r="W169" s="3518" t="s">
        <v>5311</v>
      </c>
      <c r="X169" s="410" t="s">
        <v>5312</v>
      </c>
      <c r="Y169" s="3518" t="s">
        <v>5313</v>
      </c>
      <c r="Z169" s="410" t="s">
        <v>5314</v>
      </c>
      <c r="AA169" s="3518" t="s">
        <v>5315</v>
      </c>
      <c r="AB169" s="410" t="s">
        <v>5316</v>
      </c>
      <c r="AC169" s="3518" t="s">
        <v>5317</v>
      </c>
      <c r="AD169" s="410" t="s">
        <v>5318</v>
      </c>
      <c r="AE169" s="3518" t="s">
        <v>5319</v>
      </c>
      <c r="AF169" s="410" t="s">
        <v>5320</v>
      </c>
      <c r="AG169" s="3518" t="s">
        <v>5321</v>
      </c>
      <c r="AH169" s="410" t="s">
        <v>5322</v>
      </c>
      <c r="AI169" s="3518" t="s">
        <v>5323</v>
      </c>
      <c r="AJ169" s="410" t="s">
        <v>5324</v>
      </c>
      <c r="AK169" s="3518" t="s">
        <v>5325</v>
      </c>
      <c r="AL169" s="3519" t="s">
        <v>5326</v>
      </c>
      <c r="AM169" s="411" t="s">
        <v>5327</v>
      </c>
      <c r="AN169" s="410" t="s">
        <v>5328</v>
      </c>
      <c r="AO169" s="413" t="s">
        <v>5329</v>
      </c>
      <c r="AP169" s="3519" t="s">
        <v>5330</v>
      </c>
      <c r="AQ169" s="411" t="s">
        <v>5331</v>
      </c>
      <c r="AR169" s="414" t="s">
        <v>5332</v>
      </c>
      <c r="AS169" s="413" t="s">
        <v>5333</v>
      </c>
      <c r="AT169" s="3495" t="s">
        <v>5334</v>
      </c>
      <c r="AU169" s="385" t="s">
        <v>5335</v>
      </c>
      <c r="AV169" s="3519" t="s">
        <v>5336</v>
      </c>
      <c r="AW169" s="411" t="s">
        <v>5337</v>
      </c>
      <c r="AX169" s="3519" t="s">
        <v>5338</v>
      </c>
      <c r="AY169" s="411" t="s">
        <v>5339</v>
      </c>
      <c r="AZ169" s="1687" t="e">
        <f t="shared" si="558"/>
        <v>#VALUE!</v>
      </c>
      <c r="CB169" s="3146" t="str">
        <f t="shared" si="531"/>
        <v xml:space="preserve"> * El Total de Exámenes Confirmados Positivos por ISP NO DEBE SUPERAR los  Exámenes Procesados. </v>
      </c>
      <c r="CC169" s="2784" t="str">
        <f t="shared" si="559"/>
        <v xml:space="preserve"> * El número de Exámenes por Sexo Hombres Confirmados positivos por ISP NO PUEDE Superar al número de Procesados. </v>
      </c>
      <c r="CD169" s="2784" t="str">
        <f t="shared" si="532"/>
        <v xml:space="preserve"> * El número de Exámenes por Sexo Mujeres Confirmados positivos por ISP NO PUEDE Superar al número de Procesados. </v>
      </c>
      <c r="CE169" s="2630"/>
      <c r="CF169" s="2630"/>
      <c r="CG169" s="2630"/>
      <c r="CH169" s="2630"/>
      <c r="CI169" s="2630"/>
      <c r="CJ169" s="2784" t="e">
        <f t="shared" si="533"/>
        <v>#VALUE!</v>
      </c>
      <c r="CK169" s="600"/>
      <c r="CL169" s="2784" t="e">
        <f t="shared" si="534"/>
        <v>#VALUE!</v>
      </c>
      <c r="CM169" s="2784" t="e">
        <f t="shared" si="535"/>
        <v>#VALUE!</v>
      </c>
      <c r="CN169" s="2784" t="str">
        <f t="shared" si="536"/>
        <v xml:space="preserve"> * Los exámenes procesados Pueblos originarios no pueden ser mayor que el Total de exámenes procesados.</v>
      </c>
      <c r="CO169" s="2784" t="str">
        <f t="shared" si="537"/>
        <v xml:space="preserve"> * Los exámenes procesados de Migrantes no pueden ser mayor que el Total de exámenes procesados.</v>
      </c>
      <c r="CP169" s="2784" t="e">
        <f t="shared" si="538"/>
        <v>#VALUE!</v>
      </c>
      <c r="CQ169" s="2784" t="str">
        <f t="shared" si="539"/>
        <v xml:space="preserve"> * Los exámenes Confirmados positivos por ISP de Pueblos originarios no pueden ser mayor que el Total de exámenes Procesados por ISP.</v>
      </c>
      <c r="CR169" s="2784" t="str">
        <f t="shared" si="540"/>
        <v xml:space="preserve"> * Los exámenes Confirmados positivos por ISP de Migrantes no pueden ser mayor que el Total de exámenes Procesados por ISP.</v>
      </c>
      <c r="CS169" s="2630"/>
      <c r="CT169" s="2630"/>
      <c r="CU169" s="6114" t="e">
        <f t="shared" si="541"/>
        <v>#VALUE!</v>
      </c>
      <c r="CV169" s="6114" t="e">
        <f t="shared" si="542"/>
        <v>#VALUE!</v>
      </c>
      <c r="CW169" s="6114" t="e">
        <f t="shared" si="543"/>
        <v>#VALUE!</v>
      </c>
      <c r="CX169" s="6114" t="e">
        <f t="shared" si="544"/>
        <v>#VALUE!</v>
      </c>
      <c r="DF169" s="3146">
        <f t="shared" si="545"/>
        <v>1</v>
      </c>
      <c r="DG169" s="2784">
        <f t="shared" si="560"/>
        <v>1</v>
      </c>
      <c r="DH169" s="2784">
        <f t="shared" si="546"/>
        <v>1</v>
      </c>
      <c r="DI169" s="2630"/>
      <c r="DJ169" s="2630"/>
      <c r="DK169" s="2630"/>
      <c r="DL169" s="2630"/>
      <c r="DM169" s="2630"/>
      <c r="DN169" s="2784" t="e">
        <f t="shared" si="547"/>
        <v>#VALUE!</v>
      </c>
      <c r="DO169" s="600"/>
      <c r="DP169" s="2784" t="e">
        <f t="shared" si="548"/>
        <v>#VALUE!</v>
      </c>
      <c r="DQ169" s="2784" t="e">
        <f t="shared" si="548"/>
        <v>#VALUE!</v>
      </c>
      <c r="DR169" s="2784">
        <f t="shared" si="549"/>
        <v>1</v>
      </c>
      <c r="DS169" s="2784">
        <f t="shared" si="550"/>
        <v>1</v>
      </c>
      <c r="DT169" s="2784" t="e">
        <f t="shared" si="551"/>
        <v>#VALUE!</v>
      </c>
      <c r="DU169" s="2784">
        <f t="shared" si="552"/>
        <v>1</v>
      </c>
      <c r="DV169" s="2784">
        <f t="shared" si="553"/>
        <v>1</v>
      </c>
      <c r="DW169" s="2630"/>
      <c r="DX169" s="2630"/>
      <c r="DY169" s="6114" t="e">
        <f t="shared" si="554"/>
        <v>#VALUE!</v>
      </c>
      <c r="DZ169" s="6114" t="e">
        <f t="shared" si="555"/>
        <v>#VALUE!</v>
      </c>
      <c r="EA169" s="6114" t="e">
        <f t="shared" si="556"/>
        <v>#VALUE!</v>
      </c>
      <c r="EB169" s="6114" t="e">
        <f t="shared" si="557"/>
        <v>#VALUE!</v>
      </c>
    </row>
    <row r="170" spans="1:132" x14ac:dyDescent="0.3">
      <c r="A170" s="6234">
        <v>11055180</v>
      </c>
      <c r="B170" s="7552" t="s">
        <v>545</v>
      </c>
      <c r="C170" s="5180" t="s">
        <v>2690</v>
      </c>
      <c r="D170" s="2004" t="s">
        <v>5292</v>
      </c>
      <c r="E170" s="5189" t="s">
        <v>5293</v>
      </c>
      <c r="F170" s="5190" t="s">
        <v>5294</v>
      </c>
      <c r="G170" s="5191" t="s">
        <v>5295</v>
      </c>
      <c r="H170" s="5190" t="s">
        <v>5296</v>
      </c>
      <c r="I170" s="5191" t="s">
        <v>5297</v>
      </c>
      <c r="J170" s="5190" t="s">
        <v>5298</v>
      </c>
      <c r="K170" s="5191" t="s">
        <v>5299</v>
      </c>
      <c r="L170" s="5190" t="s">
        <v>5300</v>
      </c>
      <c r="M170" s="5191" t="s">
        <v>5301</v>
      </c>
      <c r="N170" s="5190" t="s">
        <v>5302</v>
      </c>
      <c r="O170" s="5191" t="s">
        <v>5303</v>
      </c>
      <c r="P170" s="5167" t="s">
        <v>5304</v>
      </c>
      <c r="Q170" s="5168" t="s">
        <v>5305</v>
      </c>
      <c r="R170" s="5167" t="s">
        <v>5306</v>
      </c>
      <c r="S170" s="5168" t="s">
        <v>5307</v>
      </c>
      <c r="T170" s="5167" t="s">
        <v>5308</v>
      </c>
      <c r="U170" s="5168" t="s">
        <v>5309</v>
      </c>
      <c r="V170" s="5167" t="s">
        <v>5310</v>
      </c>
      <c r="W170" s="5168" t="s">
        <v>5311</v>
      </c>
      <c r="X170" s="5167" t="s">
        <v>5312</v>
      </c>
      <c r="Y170" s="5168" t="s">
        <v>5313</v>
      </c>
      <c r="Z170" s="5167" t="s">
        <v>5314</v>
      </c>
      <c r="AA170" s="5168" t="s">
        <v>5315</v>
      </c>
      <c r="AB170" s="5167" t="s">
        <v>5316</v>
      </c>
      <c r="AC170" s="5168" t="s">
        <v>5317</v>
      </c>
      <c r="AD170" s="5167" t="s">
        <v>5318</v>
      </c>
      <c r="AE170" s="5168" t="s">
        <v>5319</v>
      </c>
      <c r="AF170" s="5167" t="s">
        <v>5320</v>
      </c>
      <c r="AG170" s="5168" t="s">
        <v>5321</v>
      </c>
      <c r="AH170" s="5167" t="s">
        <v>5322</v>
      </c>
      <c r="AI170" s="5168" t="s">
        <v>5323</v>
      </c>
      <c r="AJ170" s="5197" t="s">
        <v>5324</v>
      </c>
      <c r="AK170" s="5198" t="s">
        <v>5325</v>
      </c>
      <c r="AL170" s="5199" t="s">
        <v>5326</v>
      </c>
      <c r="AM170" s="5169" t="s">
        <v>5327</v>
      </c>
      <c r="AN170" s="5167" t="s">
        <v>5328</v>
      </c>
      <c r="AO170" s="5200" t="s">
        <v>5329</v>
      </c>
      <c r="AP170" s="5199" t="s">
        <v>5330</v>
      </c>
      <c r="AQ170" s="5169" t="s">
        <v>5331</v>
      </c>
      <c r="AR170" s="5201" t="s">
        <v>5332</v>
      </c>
      <c r="AS170" s="5200" t="s">
        <v>5333</v>
      </c>
      <c r="AT170" s="5202" t="s">
        <v>5334</v>
      </c>
      <c r="AU170" s="3510" t="s">
        <v>5335</v>
      </c>
      <c r="AV170" s="5201" t="s">
        <v>5336</v>
      </c>
      <c r="AW170" s="5200" t="s">
        <v>5337</v>
      </c>
      <c r="AX170" s="5203" t="s">
        <v>5338</v>
      </c>
      <c r="AY170" s="5204" t="s">
        <v>5339</v>
      </c>
      <c r="AZ170" s="1687" t="e">
        <f>$CB170&amp;CC170&amp;$CD170&amp;CE170&amp;CF170&amp;CG170&amp;CH170&amp;CI170&amp;CJ170&amp;CK170&amp;CL170&amp;CM170&amp;CN170&amp;CO170&amp;CP170&amp;CQ170&amp;CR170&amp;CS170&amp;CT170</f>
        <v>#VALUE!</v>
      </c>
      <c r="CB170" s="3146" t="str">
        <f t="shared" si="531"/>
        <v xml:space="preserve"> * El Total de Exámenes Confirmados Positivos por ISP NO DEBE SUPERAR los  Exámenes Procesados. </v>
      </c>
      <c r="CC170" s="2784" t="str">
        <f t="shared" si="559"/>
        <v xml:space="preserve"> * El número de Exámenes por Sexo Hombres Confirmados positivos por ISP NO PUEDE Superar al número de Procesados. </v>
      </c>
      <c r="CD170" s="2784" t="str">
        <f t="shared" si="532"/>
        <v xml:space="preserve"> * El número de Exámenes por Sexo Mujeres Confirmados positivos por ISP NO PUEDE Superar al número de Procesados. </v>
      </c>
      <c r="CE170" s="2630"/>
      <c r="CF170" s="2630"/>
      <c r="CG170" s="2630"/>
      <c r="CH170" s="2630"/>
      <c r="CI170" s="2630"/>
      <c r="CJ170" s="2784" t="e">
        <f t="shared" si="533"/>
        <v>#VALUE!</v>
      </c>
      <c r="CK170" s="600"/>
      <c r="CL170" s="2784" t="e">
        <f t="shared" si="534"/>
        <v>#VALUE!</v>
      </c>
      <c r="CM170" s="2784" t="e">
        <f t="shared" si="535"/>
        <v>#VALUE!</v>
      </c>
      <c r="CN170" s="2784" t="str">
        <f t="shared" si="536"/>
        <v xml:space="preserve"> * Los exámenes procesados Pueblos originarios no pueden ser mayor que el Total de exámenes procesados.</v>
      </c>
      <c r="CO170" s="2784" t="str">
        <f t="shared" si="537"/>
        <v xml:space="preserve"> * Los exámenes procesados de Migrantes no pueden ser mayor que el Total de exámenes procesados.</v>
      </c>
      <c r="CP170" s="2784" t="e">
        <f t="shared" si="538"/>
        <v>#VALUE!</v>
      </c>
      <c r="CQ170" s="2784" t="str">
        <f t="shared" si="539"/>
        <v xml:space="preserve"> * Los exámenes Confirmados positivos por ISP de Pueblos originarios no pueden ser mayor que el Total de exámenes Procesados por ISP.</v>
      </c>
      <c r="CR170" s="2784" t="str">
        <f t="shared" si="540"/>
        <v xml:space="preserve"> * Los exámenes Confirmados positivos por ISP de Migrantes no pueden ser mayor que el Total de exámenes Procesados por ISP.</v>
      </c>
      <c r="CS170" s="2630"/>
      <c r="CT170" s="2630"/>
      <c r="DF170" s="3146">
        <f t="shared" si="545"/>
        <v>1</v>
      </c>
      <c r="DG170" s="2784">
        <f t="shared" si="560"/>
        <v>1</v>
      </c>
      <c r="DH170" s="2784">
        <f t="shared" si="546"/>
        <v>1</v>
      </c>
      <c r="DI170" s="2630"/>
      <c r="DJ170" s="2630"/>
      <c r="DK170" s="2630"/>
      <c r="DL170" s="2630"/>
      <c r="DM170" s="2630"/>
      <c r="DN170" s="2784" t="e">
        <f t="shared" si="547"/>
        <v>#VALUE!</v>
      </c>
      <c r="DO170" s="600"/>
      <c r="DP170" s="2784" t="e">
        <f t="shared" si="548"/>
        <v>#VALUE!</v>
      </c>
      <c r="DQ170" s="2784" t="e">
        <f t="shared" si="548"/>
        <v>#VALUE!</v>
      </c>
      <c r="DR170" s="2784">
        <f t="shared" si="549"/>
        <v>1</v>
      </c>
      <c r="DS170" s="2784">
        <f t="shared" si="550"/>
        <v>1</v>
      </c>
      <c r="DT170" s="2784" t="e">
        <f t="shared" si="551"/>
        <v>#VALUE!</v>
      </c>
      <c r="DU170" s="2784">
        <f t="shared" si="552"/>
        <v>1</v>
      </c>
      <c r="DV170" s="2784">
        <f t="shared" si="553"/>
        <v>1</v>
      </c>
      <c r="DW170" s="2630"/>
      <c r="DX170" s="2630"/>
    </row>
    <row r="171" spans="1:132" x14ac:dyDescent="0.3">
      <c r="A171" s="6234">
        <v>11055190</v>
      </c>
      <c r="B171" s="6355"/>
      <c r="C171" s="3508" t="s">
        <v>2691</v>
      </c>
      <c r="D171" s="1928" t="s">
        <v>5292</v>
      </c>
      <c r="E171" s="5031" t="s">
        <v>5293</v>
      </c>
      <c r="F171" s="5148" t="s">
        <v>5294</v>
      </c>
      <c r="G171" s="5149" t="s">
        <v>5295</v>
      </c>
      <c r="H171" s="5148" t="s">
        <v>5296</v>
      </c>
      <c r="I171" s="5149" t="s">
        <v>5297</v>
      </c>
      <c r="J171" s="5148" t="s">
        <v>5298</v>
      </c>
      <c r="K171" s="5149" t="s">
        <v>5299</v>
      </c>
      <c r="L171" s="5148" t="s">
        <v>5300</v>
      </c>
      <c r="M171" s="5149" t="s">
        <v>5301</v>
      </c>
      <c r="N171" s="5148" t="s">
        <v>5302</v>
      </c>
      <c r="O171" s="5149" t="s">
        <v>5303</v>
      </c>
      <c r="P171" s="5038" t="s">
        <v>5304</v>
      </c>
      <c r="Q171" s="5151" t="s">
        <v>5305</v>
      </c>
      <c r="R171" s="5038" t="s">
        <v>5306</v>
      </c>
      <c r="S171" s="5151" t="s">
        <v>5307</v>
      </c>
      <c r="T171" s="5038" t="s">
        <v>5308</v>
      </c>
      <c r="U171" s="5151" t="s">
        <v>5309</v>
      </c>
      <c r="V171" s="5038" t="s">
        <v>5310</v>
      </c>
      <c r="W171" s="5151" t="s">
        <v>5311</v>
      </c>
      <c r="X171" s="5038" t="s">
        <v>5312</v>
      </c>
      <c r="Y171" s="5151" t="s">
        <v>5313</v>
      </c>
      <c r="Z171" s="5038" t="s">
        <v>5314</v>
      </c>
      <c r="AA171" s="5151" t="s">
        <v>5315</v>
      </c>
      <c r="AB171" s="5038" t="s">
        <v>5316</v>
      </c>
      <c r="AC171" s="5151" t="s">
        <v>5317</v>
      </c>
      <c r="AD171" s="5038" t="s">
        <v>5318</v>
      </c>
      <c r="AE171" s="5151" t="s">
        <v>5319</v>
      </c>
      <c r="AF171" s="5038" t="s">
        <v>5320</v>
      </c>
      <c r="AG171" s="5151" t="s">
        <v>5321</v>
      </c>
      <c r="AH171" s="5038" t="s">
        <v>5322</v>
      </c>
      <c r="AI171" s="5151" t="s">
        <v>5323</v>
      </c>
      <c r="AJ171" s="5148" t="s">
        <v>5324</v>
      </c>
      <c r="AK171" s="5150" t="s">
        <v>5325</v>
      </c>
      <c r="AL171" s="5146" t="s">
        <v>5326</v>
      </c>
      <c r="AM171" s="3511" t="s">
        <v>5327</v>
      </c>
      <c r="AN171" s="5038" t="s">
        <v>5328</v>
      </c>
      <c r="AO171" s="3512" t="s">
        <v>5329</v>
      </c>
      <c r="AP171" s="5146" t="s">
        <v>5330</v>
      </c>
      <c r="AQ171" s="3511" t="s">
        <v>5331</v>
      </c>
      <c r="AR171" s="3479" t="s">
        <v>5332</v>
      </c>
      <c r="AS171" s="3512" t="s">
        <v>5333</v>
      </c>
      <c r="AT171" s="5146" t="s">
        <v>5334</v>
      </c>
      <c r="AU171" s="3512" t="s">
        <v>5335</v>
      </c>
      <c r="AV171" s="3479" t="s">
        <v>5336</v>
      </c>
      <c r="AW171" s="3512" t="s">
        <v>5337</v>
      </c>
      <c r="AX171" s="5205" t="s">
        <v>5338</v>
      </c>
      <c r="AY171" s="3514" t="s">
        <v>5339</v>
      </c>
      <c r="AZ171" s="1687" t="e">
        <f t="shared" ref="AZ171" si="561">$CB171&amp;CC171&amp;$CD171&amp;CE171&amp;CF171&amp;CG171&amp;CH171&amp;CI171&amp;CJ171&amp;CK171&amp;CL171&amp;CM171&amp;CN171&amp;CO171&amp;CP171&amp;CQ171&amp;CR171&amp;CS171&amp;CT171</f>
        <v>#VALUE!</v>
      </c>
      <c r="CB171" s="3146" t="str">
        <f t="shared" si="531"/>
        <v xml:space="preserve"> * El Total de Exámenes Confirmados Positivos por ISP NO DEBE SUPERAR los  Exámenes Procesados. </v>
      </c>
      <c r="CC171" s="2784" t="str">
        <f t="shared" si="559"/>
        <v xml:space="preserve"> * El número de Exámenes por Sexo Hombres Confirmados positivos por ISP NO PUEDE Superar al número de Procesados. </v>
      </c>
      <c r="CD171" s="2784" t="str">
        <f t="shared" si="532"/>
        <v xml:space="preserve"> * El número de Exámenes por Sexo Mujeres Confirmados positivos por ISP NO PUEDE Superar al número de Procesados. </v>
      </c>
      <c r="CE171" s="2630"/>
      <c r="CF171" s="2630"/>
      <c r="CG171" s="2630"/>
      <c r="CH171" s="2630"/>
      <c r="CI171" s="2630"/>
      <c r="CJ171" s="2784" t="e">
        <f t="shared" si="533"/>
        <v>#VALUE!</v>
      </c>
      <c r="CK171" s="600"/>
      <c r="CL171" s="2784" t="e">
        <f t="shared" si="534"/>
        <v>#VALUE!</v>
      </c>
      <c r="CM171" s="2784" t="e">
        <f t="shared" si="535"/>
        <v>#VALUE!</v>
      </c>
      <c r="CN171" s="2784" t="str">
        <f t="shared" si="536"/>
        <v xml:space="preserve"> * Los exámenes procesados Pueblos originarios no pueden ser mayor que el Total de exámenes procesados.</v>
      </c>
      <c r="CO171" s="2784" t="str">
        <f t="shared" si="537"/>
        <v xml:space="preserve"> * Los exámenes procesados de Migrantes no pueden ser mayor que el Total de exámenes procesados.</v>
      </c>
      <c r="CP171" s="2784" t="e">
        <f t="shared" si="538"/>
        <v>#VALUE!</v>
      </c>
      <c r="CQ171" s="2784" t="str">
        <f t="shared" si="539"/>
        <v xml:space="preserve"> * Los exámenes Confirmados positivos por ISP de Pueblos originarios no pueden ser mayor que el Total de exámenes Procesados por ISP.</v>
      </c>
      <c r="CR171" s="2784" t="str">
        <f t="shared" si="540"/>
        <v xml:space="preserve"> * Los exámenes Confirmados positivos por ISP de Migrantes no pueden ser mayor que el Total de exámenes Procesados por ISP.</v>
      </c>
      <c r="CS171" s="2630"/>
      <c r="CT171" s="2630"/>
      <c r="DF171" s="3146">
        <f t="shared" si="545"/>
        <v>1</v>
      </c>
      <c r="DG171" s="2784">
        <f t="shared" si="560"/>
        <v>1</v>
      </c>
      <c r="DH171" s="2784">
        <f t="shared" si="546"/>
        <v>1</v>
      </c>
      <c r="DI171" s="2630"/>
      <c r="DJ171" s="2630"/>
      <c r="DK171" s="2630"/>
      <c r="DL171" s="2630"/>
      <c r="DM171" s="2630"/>
      <c r="DN171" s="2784" t="e">
        <f t="shared" si="547"/>
        <v>#VALUE!</v>
      </c>
      <c r="DO171" s="600"/>
      <c r="DP171" s="2784" t="e">
        <f t="shared" si="548"/>
        <v>#VALUE!</v>
      </c>
      <c r="DQ171" s="2784" t="e">
        <f t="shared" si="548"/>
        <v>#VALUE!</v>
      </c>
      <c r="DR171" s="2784">
        <f t="shared" si="549"/>
        <v>1</v>
      </c>
      <c r="DS171" s="2784">
        <f t="shared" si="550"/>
        <v>1</v>
      </c>
      <c r="DT171" s="2784" t="e">
        <f t="shared" si="551"/>
        <v>#VALUE!</v>
      </c>
      <c r="DU171" s="2784">
        <f t="shared" si="552"/>
        <v>1</v>
      </c>
      <c r="DV171" s="2784">
        <f t="shared" si="553"/>
        <v>1</v>
      </c>
      <c r="DW171" s="2630"/>
      <c r="DX171" s="2630"/>
    </row>
    <row r="172" spans="1:132" x14ac:dyDescent="0.3">
      <c r="A172" s="6234">
        <v>11053200</v>
      </c>
      <c r="B172" s="6610"/>
      <c r="C172" s="610" t="s">
        <v>2692</v>
      </c>
      <c r="D172" s="3516" t="s">
        <v>5292</v>
      </c>
      <c r="E172" s="3523" t="s">
        <v>5293</v>
      </c>
      <c r="F172" s="3524" t="s">
        <v>5294</v>
      </c>
      <c r="G172" s="3525" t="s">
        <v>5295</v>
      </c>
      <c r="H172" s="3524" t="s">
        <v>5296</v>
      </c>
      <c r="I172" s="3525" t="s">
        <v>5297</v>
      </c>
      <c r="J172" s="3524" t="s">
        <v>5298</v>
      </c>
      <c r="K172" s="3525" t="s">
        <v>5299</v>
      </c>
      <c r="L172" s="3524" t="s">
        <v>5300</v>
      </c>
      <c r="M172" s="3525" t="s">
        <v>5301</v>
      </c>
      <c r="N172" s="3524" t="s">
        <v>5302</v>
      </c>
      <c r="O172" s="3525" t="s">
        <v>5303</v>
      </c>
      <c r="P172" s="3492" t="s">
        <v>5304</v>
      </c>
      <c r="Q172" s="3491" t="s">
        <v>5305</v>
      </c>
      <c r="R172" s="3492" t="s">
        <v>5306</v>
      </c>
      <c r="S172" s="3491" t="s">
        <v>5307</v>
      </c>
      <c r="T172" s="3492" t="s">
        <v>5308</v>
      </c>
      <c r="U172" s="3491" t="s">
        <v>5309</v>
      </c>
      <c r="V172" s="3492" t="s">
        <v>5310</v>
      </c>
      <c r="W172" s="3491" t="s">
        <v>5311</v>
      </c>
      <c r="X172" s="3492" t="s">
        <v>5312</v>
      </c>
      <c r="Y172" s="3491" t="s">
        <v>5313</v>
      </c>
      <c r="Z172" s="3492" t="s">
        <v>5314</v>
      </c>
      <c r="AA172" s="3491" t="s">
        <v>5315</v>
      </c>
      <c r="AB172" s="3492" t="s">
        <v>5316</v>
      </c>
      <c r="AC172" s="3491" t="s">
        <v>5317</v>
      </c>
      <c r="AD172" s="3492" t="s">
        <v>5318</v>
      </c>
      <c r="AE172" s="3491" t="s">
        <v>5319</v>
      </c>
      <c r="AF172" s="3492" t="s">
        <v>5320</v>
      </c>
      <c r="AG172" s="3491" t="s">
        <v>5321</v>
      </c>
      <c r="AH172" s="3492" t="s">
        <v>5322</v>
      </c>
      <c r="AI172" s="3491" t="s">
        <v>5323</v>
      </c>
      <c r="AJ172" s="3524" t="s">
        <v>5324</v>
      </c>
      <c r="AK172" s="3526" t="s">
        <v>5325</v>
      </c>
      <c r="AL172" s="3495" t="s">
        <v>5326</v>
      </c>
      <c r="AM172" s="290" t="s">
        <v>5327</v>
      </c>
      <c r="AN172" s="3492" t="s">
        <v>5328</v>
      </c>
      <c r="AO172" s="385" t="s">
        <v>5329</v>
      </c>
      <c r="AP172" s="3495" t="s">
        <v>5330</v>
      </c>
      <c r="AQ172" s="290" t="s">
        <v>5331</v>
      </c>
      <c r="AR172" s="288" t="s">
        <v>5332</v>
      </c>
      <c r="AS172" s="385" t="s">
        <v>5333</v>
      </c>
      <c r="AT172" s="3495" t="s">
        <v>5334</v>
      </c>
      <c r="AU172" s="385" t="s">
        <v>5335</v>
      </c>
      <c r="AV172" s="288" t="s">
        <v>5336</v>
      </c>
      <c r="AW172" s="385" t="s">
        <v>5337</v>
      </c>
      <c r="AX172" s="3527" t="s">
        <v>5338</v>
      </c>
      <c r="AY172" s="611" t="s">
        <v>5339</v>
      </c>
      <c r="AZ172" s="1687" t="e">
        <f>$CB172&amp;CC172&amp;$CD172&amp;CE172&amp;CF172&amp;CG172&amp;CH172&amp;CI172&amp;CJ172&amp;CK172&amp;CL172&amp;CM172&amp;CN172&amp;CO172&amp;CP172&amp;CQ172&amp;CR172&amp;CS172&amp;CT172</f>
        <v>#VALUE!</v>
      </c>
      <c r="CB172" s="3146" t="str">
        <f t="shared" si="531"/>
        <v xml:space="preserve"> * El Total de Exámenes Confirmados Positivos por ISP NO DEBE SUPERAR los  Exámenes Procesados. </v>
      </c>
      <c r="CC172" s="2784" t="str">
        <f t="shared" si="559"/>
        <v xml:space="preserve"> * El número de Exámenes por Sexo Hombres Confirmados positivos por ISP NO PUEDE Superar al número de Procesados. </v>
      </c>
      <c r="CD172" s="2784" t="str">
        <f t="shared" si="532"/>
        <v xml:space="preserve"> * El número de Exámenes por Sexo Mujeres Confirmados positivos por ISP NO PUEDE Superar al número de Procesados. </v>
      </c>
      <c r="CE172" s="2630"/>
      <c r="CF172" s="2630"/>
      <c r="CG172" s="2630"/>
      <c r="CH172" s="2630"/>
      <c r="CI172" s="2630"/>
      <c r="CJ172" s="2784" t="e">
        <f t="shared" si="533"/>
        <v>#VALUE!</v>
      </c>
      <c r="CK172" s="600"/>
      <c r="CL172" s="2784" t="e">
        <f t="shared" si="534"/>
        <v>#VALUE!</v>
      </c>
      <c r="CM172" s="2784" t="e">
        <f t="shared" si="535"/>
        <v>#VALUE!</v>
      </c>
      <c r="CN172" s="2784" t="str">
        <f t="shared" si="536"/>
        <v xml:space="preserve"> * Los exámenes procesados Pueblos originarios no pueden ser mayor que el Total de exámenes procesados.</v>
      </c>
      <c r="CO172" s="2784" t="str">
        <f t="shared" si="537"/>
        <v xml:space="preserve"> * Los exámenes procesados de Migrantes no pueden ser mayor que el Total de exámenes procesados.</v>
      </c>
      <c r="CP172" s="2784" t="e">
        <f t="shared" si="538"/>
        <v>#VALUE!</v>
      </c>
      <c r="CQ172" s="2784" t="str">
        <f t="shared" si="539"/>
        <v xml:space="preserve"> * Los exámenes Confirmados positivos por ISP de Pueblos originarios no pueden ser mayor que el Total de exámenes Procesados por ISP.</v>
      </c>
      <c r="CR172" s="2784" t="str">
        <f t="shared" si="540"/>
        <v xml:space="preserve"> * Los exámenes Confirmados positivos por ISP de Migrantes no pueden ser mayor que el Total de exámenes Procesados por ISP.</v>
      </c>
      <c r="CS172" s="2630"/>
      <c r="CT172" s="2630"/>
      <c r="DF172" s="3146">
        <f t="shared" si="545"/>
        <v>1</v>
      </c>
      <c r="DG172" s="2784">
        <f t="shared" si="560"/>
        <v>1</v>
      </c>
      <c r="DH172" s="2784">
        <f t="shared" si="546"/>
        <v>1</v>
      </c>
      <c r="DI172" s="2630"/>
      <c r="DJ172" s="2630"/>
      <c r="DK172" s="2630"/>
      <c r="DL172" s="2630"/>
      <c r="DM172" s="2630"/>
      <c r="DN172" s="2784" t="e">
        <f t="shared" si="547"/>
        <v>#VALUE!</v>
      </c>
      <c r="DO172" s="600"/>
      <c r="DP172" s="2784" t="e">
        <f t="shared" si="548"/>
        <v>#VALUE!</v>
      </c>
      <c r="DQ172" s="2784" t="e">
        <f t="shared" si="548"/>
        <v>#VALUE!</v>
      </c>
      <c r="DR172" s="2784">
        <f t="shared" si="549"/>
        <v>1</v>
      </c>
      <c r="DS172" s="2784">
        <f t="shared" si="550"/>
        <v>1</v>
      </c>
      <c r="DT172" s="2784" t="e">
        <f t="shared" si="551"/>
        <v>#VALUE!</v>
      </c>
      <c r="DU172" s="2784">
        <f t="shared" si="552"/>
        <v>1</v>
      </c>
      <c r="DV172" s="2784">
        <f t="shared" si="553"/>
        <v>1</v>
      </c>
      <c r="DW172" s="2630"/>
      <c r="DX172" s="2630"/>
    </row>
    <row r="173" spans="1:132" x14ac:dyDescent="0.3">
      <c r="A173" s="6234">
        <v>11050700</v>
      </c>
      <c r="B173" s="7580" t="s">
        <v>2674</v>
      </c>
      <c r="C173" s="7581"/>
      <c r="D173" s="2004" t="s">
        <v>5292</v>
      </c>
      <c r="E173" s="5031" t="s">
        <v>5293</v>
      </c>
      <c r="F173" s="276" t="s">
        <v>5294</v>
      </c>
      <c r="G173" s="5143" t="s">
        <v>5295</v>
      </c>
      <c r="H173" s="276" t="s">
        <v>5296</v>
      </c>
      <c r="I173" s="5143" t="s">
        <v>5297</v>
      </c>
      <c r="J173" s="276" t="s">
        <v>5298</v>
      </c>
      <c r="K173" s="5143" t="s">
        <v>5299</v>
      </c>
      <c r="L173" s="276" t="s">
        <v>5300</v>
      </c>
      <c r="M173" s="5143" t="s">
        <v>5301</v>
      </c>
      <c r="N173" s="5206" t="s">
        <v>5302</v>
      </c>
      <c r="O173" s="3529" t="s">
        <v>5303</v>
      </c>
      <c r="P173" s="5206" t="s">
        <v>5304</v>
      </c>
      <c r="Q173" s="3529" t="s">
        <v>5305</v>
      </c>
      <c r="R173" s="5206" t="s">
        <v>5306</v>
      </c>
      <c r="S173" s="3529" t="s">
        <v>5307</v>
      </c>
      <c r="T173" s="5206" t="s">
        <v>5308</v>
      </c>
      <c r="U173" s="3529" t="s">
        <v>5309</v>
      </c>
      <c r="V173" s="5206" t="s">
        <v>5310</v>
      </c>
      <c r="W173" s="3529" t="s">
        <v>5311</v>
      </c>
      <c r="X173" s="5206" t="s">
        <v>5312</v>
      </c>
      <c r="Y173" s="3529" t="s">
        <v>5313</v>
      </c>
      <c r="Z173" s="5206" t="s">
        <v>5314</v>
      </c>
      <c r="AA173" s="3529" t="s">
        <v>5315</v>
      </c>
      <c r="AB173" s="5206" t="s">
        <v>5316</v>
      </c>
      <c r="AC173" s="3529" t="s">
        <v>5317</v>
      </c>
      <c r="AD173" s="5206" t="s">
        <v>5318</v>
      </c>
      <c r="AE173" s="3530" t="s">
        <v>5319</v>
      </c>
      <c r="AF173" s="5206" t="s">
        <v>5320</v>
      </c>
      <c r="AG173" s="3530" t="s">
        <v>5321</v>
      </c>
      <c r="AH173" s="5163" t="s">
        <v>5322</v>
      </c>
      <c r="AI173" s="5165" t="s">
        <v>5323</v>
      </c>
      <c r="AJ173" s="5206" t="s">
        <v>5324</v>
      </c>
      <c r="AK173" s="3529" t="s">
        <v>5325</v>
      </c>
      <c r="AL173" s="5202" t="s">
        <v>5326</v>
      </c>
      <c r="AM173" s="4522" t="s">
        <v>5327</v>
      </c>
      <c r="AN173" s="276" t="s">
        <v>5328</v>
      </c>
      <c r="AO173" s="3510" t="s">
        <v>5329</v>
      </c>
      <c r="AP173" s="5202" t="s">
        <v>5330</v>
      </c>
      <c r="AQ173" s="4522" t="s">
        <v>5331</v>
      </c>
      <c r="AR173" s="612" t="s">
        <v>5332</v>
      </c>
      <c r="AS173" s="3510" t="s">
        <v>5333</v>
      </c>
      <c r="AT173" s="5202" t="s">
        <v>5334</v>
      </c>
      <c r="AU173" s="3510" t="s">
        <v>5335</v>
      </c>
      <c r="AV173" s="5202" t="s">
        <v>5336</v>
      </c>
      <c r="AW173" s="4522" t="s">
        <v>5337</v>
      </c>
      <c r="AX173" s="5202" t="s">
        <v>5338</v>
      </c>
      <c r="AY173" s="4522" t="s">
        <v>5339</v>
      </c>
      <c r="AZ173" s="1687" t="e">
        <f t="shared" si="558"/>
        <v>#VALUE!</v>
      </c>
      <c r="CB173" s="3146" t="str">
        <f t="shared" si="531"/>
        <v xml:space="preserve"> * El Total de Exámenes Confirmados Positivos por ISP NO DEBE SUPERAR los  Exámenes Procesados. </v>
      </c>
      <c r="CC173" s="2784" t="str">
        <f t="shared" si="559"/>
        <v xml:space="preserve"> * El número de Exámenes por Sexo Hombres Confirmados positivos por ISP NO PUEDE Superar al número de Procesados. </v>
      </c>
      <c r="CD173" s="2784" t="str">
        <f t="shared" si="532"/>
        <v xml:space="preserve"> * El número de Exámenes por Sexo Mujeres Confirmados positivos por ISP NO PUEDE Superar al número de Procesados. </v>
      </c>
      <c r="CE173" s="2630"/>
      <c r="CF173" s="2630"/>
      <c r="CG173" s="2630"/>
      <c r="CH173" s="2630"/>
      <c r="CI173" s="2630"/>
      <c r="CJ173" s="2784" t="e">
        <f t="shared" si="533"/>
        <v>#VALUE!</v>
      </c>
      <c r="CK173" s="600"/>
      <c r="CL173" s="2784" t="e">
        <f t="shared" si="534"/>
        <v>#VALUE!</v>
      </c>
      <c r="CM173" s="2784" t="e">
        <f t="shared" si="535"/>
        <v>#VALUE!</v>
      </c>
      <c r="CN173" s="2784" t="str">
        <f t="shared" si="536"/>
        <v xml:space="preserve"> * Los exámenes procesados Pueblos originarios no pueden ser mayor que el Total de exámenes procesados.</v>
      </c>
      <c r="CO173" s="2784" t="str">
        <f t="shared" si="537"/>
        <v xml:space="preserve"> * Los exámenes procesados de Migrantes no pueden ser mayor que el Total de exámenes procesados.</v>
      </c>
      <c r="CP173" s="2784" t="e">
        <f t="shared" si="538"/>
        <v>#VALUE!</v>
      </c>
      <c r="CQ173" s="2784" t="str">
        <f t="shared" si="539"/>
        <v xml:space="preserve"> * Los exámenes Confirmados positivos por ISP de Pueblos originarios no pueden ser mayor que el Total de exámenes Procesados por ISP.</v>
      </c>
      <c r="CR173" s="2784" t="str">
        <f t="shared" si="540"/>
        <v xml:space="preserve"> * Los exámenes Confirmados positivos por ISP de Migrantes no pueden ser mayor que el Total de exámenes Procesados por ISP.</v>
      </c>
      <c r="CS173" s="2630"/>
      <c r="CT173" s="2630"/>
      <c r="CU173" s="6114" t="e">
        <f t="shared" si="541"/>
        <v>#VALUE!</v>
      </c>
      <c r="CV173" s="6114" t="e">
        <f t="shared" si="542"/>
        <v>#VALUE!</v>
      </c>
      <c r="CW173" s="6114" t="e">
        <f t="shared" ref="CW173:CW183" si="562">IF(AND((N173+P173)&gt;0,AX173=""),"*No olvide digitar los Exámenes Procesados de 14-18 años. Digite cero si no tiene.","")</f>
        <v>#VALUE!</v>
      </c>
      <c r="CX173" s="6114" t="e">
        <f t="shared" ref="CX173:CX183" si="563">IF(AND((O173+Q173)&gt;0,AY173=""),"*No olvide digitar los Exámenes Confirmados Positivos por ISP de 14-18 años. Digite cero si no tiene.","")</f>
        <v>#VALUE!</v>
      </c>
      <c r="DF173" s="3146">
        <f t="shared" si="545"/>
        <v>1</v>
      </c>
      <c r="DG173" s="2784">
        <f t="shared" si="560"/>
        <v>1</v>
      </c>
      <c r="DH173" s="2784">
        <f t="shared" si="546"/>
        <v>1</v>
      </c>
      <c r="DI173" s="2630"/>
      <c r="DJ173" s="2630"/>
      <c r="DK173" s="2630"/>
      <c r="DL173" s="2630"/>
      <c r="DM173" s="2630"/>
      <c r="DN173" s="2784" t="e">
        <f t="shared" si="547"/>
        <v>#VALUE!</v>
      </c>
      <c r="DO173" s="600"/>
      <c r="DP173" s="2784" t="e">
        <f t="shared" si="548"/>
        <v>#VALUE!</v>
      </c>
      <c r="DQ173" s="2784" t="e">
        <f t="shared" si="548"/>
        <v>#VALUE!</v>
      </c>
      <c r="DR173" s="2784">
        <f t="shared" si="549"/>
        <v>1</v>
      </c>
      <c r="DS173" s="2784">
        <f t="shared" si="550"/>
        <v>1</v>
      </c>
      <c r="DT173" s="2784" t="e">
        <f t="shared" si="551"/>
        <v>#VALUE!</v>
      </c>
      <c r="DU173" s="2784">
        <f t="shared" si="552"/>
        <v>1</v>
      </c>
      <c r="DV173" s="2784">
        <f t="shared" si="553"/>
        <v>1</v>
      </c>
      <c r="DW173" s="2630"/>
      <c r="DX173" s="2630"/>
      <c r="DY173" s="6114" t="e">
        <f t="shared" si="554"/>
        <v>#VALUE!</v>
      </c>
      <c r="DZ173" s="6114" t="e">
        <f t="shared" si="555"/>
        <v>#VALUE!</v>
      </c>
      <c r="EA173" s="6114" t="e">
        <f t="shared" ref="EA173:EA183" si="564">IF(AND((N173+P173)&gt;0,AX173=""),1,0)</f>
        <v>#VALUE!</v>
      </c>
      <c r="EB173" s="6114" t="e">
        <f t="shared" ref="EB173:EB183" si="565">IF(AND((O173+Q173)&gt;0,AY173=""),1,0)</f>
        <v>#VALUE!</v>
      </c>
    </row>
    <row r="174" spans="1:132" x14ac:dyDescent="0.3">
      <c r="A174" s="6234">
        <v>11053300</v>
      </c>
      <c r="B174" s="7576" t="s">
        <v>2706</v>
      </c>
      <c r="C174" s="7577"/>
      <c r="D174" s="1928" t="s">
        <v>5292</v>
      </c>
      <c r="E174" s="1926" t="s">
        <v>5293</v>
      </c>
      <c r="F174" s="5038" t="s">
        <v>5294</v>
      </c>
      <c r="G174" s="5151" t="s">
        <v>5295</v>
      </c>
      <c r="H174" s="5038" t="s">
        <v>5296</v>
      </c>
      <c r="I174" s="5151" t="s">
        <v>5297</v>
      </c>
      <c r="J174" s="5038" t="s">
        <v>5298</v>
      </c>
      <c r="K174" s="5151" t="s">
        <v>5299</v>
      </c>
      <c r="L174" s="5038" t="s">
        <v>5300</v>
      </c>
      <c r="M174" s="5151" t="s">
        <v>5301</v>
      </c>
      <c r="N174" s="5038" t="s">
        <v>5302</v>
      </c>
      <c r="O174" s="5151" t="s">
        <v>5303</v>
      </c>
      <c r="P174" s="410" t="s">
        <v>5304</v>
      </c>
      <c r="Q174" s="3518" t="s">
        <v>5305</v>
      </c>
      <c r="R174" s="410" t="s">
        <v>5306</v>
      </c>
      <c r="S174" s="3518" t="s">
        <v>5307</v>
      </c>
      <c r="T174" s="410" t="s">
        <v>5308</v>
      </c>
      <c r="U174" s="3518" t="s">
        <v>5309</v>
      </c>
      <c r="V174" s="410" t="s">
        <v>5310</v>
      </c>
      <c r="W174" s="3518" t="s">
        <v>5311</v>
      </c>
      <c r="X174" s="410" t="s">
        <v>5312</v>
      </c>
      <c r="Y174" s="3518" t="s">
        <v>5313</v>
      </c>
      <c r="Z174" s="410" t="s">
        <v>5314</v>
      </c>
      <c r="AA174" s="3518" t="s">
        <v>5315</v>
      </c>
      <c r="AB174" s="410" t="s">
        <v>5316</v>
      </c>
      <c r="AC174" s="3518" t="s">
        <v>5317</v>
      </c>
      <c r="AD174" s="410" t="s">
        <v>5318</v>
      </c>
      <c r="AE174" s="3531" t="s">
        <v>5319</v>
      </c>
      <c r="AF174" s="410" t="s">
        <v>5320</v>
      </c>
      <c r="AG174" s="3531" t="s">
        <v>5321</v>
      </c>
      <c r="AH174" s="410" t="s">
        <v>5322</v>
      </c>
      <c r="AI174" s="412" t="s">
        <v>5323</v>
      </c>
      <c r="AJ174" s="410" t="s">
        <v>5324</v>
      </c>
      <c r="AK174" s="3518" t="s">
        <v>5325</v>
      </c>
      <c r="AL174" s="3519" t="s">
        <v>5326</v>
      </c>
      <c r="AM174" s="411" t="s">
        <v>5327</v>
      </c>
      <c r="AN174" s="410" t="s">
        <v>5328</v>
      </c>
      <c r="AO174" s="413" t="s">
        <v>5329</v>
      </c>
      <c r="AP174" s="3519" t="s">
        <v>5330</v>
      </c>
      <c r="AQ174" s="411" t="s">
        <v>5331</v>
      </c>
      <c r="AR174" s="414" t="s">
        <v>5332</v>
      </c>
      <c r="AS174" s="413" t="s">
        <v>5333</v>
      </c>
      <c r="AT174" s="3519" t="s">
        <v>5334</v>
      </c>
      <c r="AU174" s="413" t="s">
        <v>5335</v>
      </c>
      <c r="AV174" s="3519" t="s">
        <v>5336</v>
      </c>
      <c r="AW174" s="411" t="s">
        <v>5337</v>
      </c>
      <c r="AX174" s="3519" t="s">
        <v>5338</v>
      </c>
      <c r="AY174" s="411" t="s">
        <v>5339</v>
      </c>
      <c r="AZ174" s="1687" t="e">
        <f t="shared" si="558"/>
        <v>#VALUE!</v>
      </c>
      <c r="CB174" s="3146" t="str">
        <f t="shared" si="531"/>
        <v xml:space="preserve"> * El Total de Exámenes Confirmados Positivos por ISP NO DEBE SUPERAR los  Exámenes Procesados. </v>
      </c>
      <c r="CC174" s="2784" t="str">
        <f t="shared" si="559"/>
        <v xml:space="preserve"> * El número de Exámenes por Sexo Hombres Confirmados positivos por ISP NO PUEDE Superar al número de Procesados. </v>
      </c>
      <c r="CD174" s="2784" t="str">
        <f t="shared" si="532"/>
        <v xml:space="preserve"> * El número de Exámenes por Sexo Mujeres Confirmados positivos por ISP NO PUEDE Superar al número de Procesados. </v>
      </c>
      <c r="CE174" s="2630"/>
      <c r="CF174" s="2630"/>
      <c r="CG174" s="2630"/>
      <c r="CH174" s="2630"/>
      <c r="CI174" s="2630"/>
      <c r="CJ174" s="2784" t="e">
        <f t="shared" si="533"/>
        <v>#VALUE!</v>
      </c>
      <c r="CK174" s="600"/>
      <c r="CL174" s="2784" t="e">
        <f t="shared" si="534"/>
        <v>#VALUE!</v>
      </c>
      <c r="CM174" s="2784" t="e">
        <f t="shared" si="535"/>
        <v>#VALUE!</v>
      </c>
      <c r="CN174" s="2784" t="str">
        <f t="shared" si="536"/>
        <v xml:space="preserve"> * Los exámenes procesados Pueblos originarios no pueden ser mayor que el Total de exámenes procesados.</v>
      </c>
      <c r="CO174" s="2784" t="str">
        <f t="shared" si="537"/>
        <v xml:space="preserve"> * Los exámenes procesados de Migrantes no pueden ser mayor que el Total de exámenes procesados.</v>
      </c>
      <c r="CP174" s="2784" t="e">
        <f t="shared" si="538"/>
        <v>#VALUE!</v>
      </c>
      <c r="CQ174" s="2784" t="str">
        <f t="shared" si="539"/>
        <v xml:space="preserve"> * Los exámenes Confirmados positivos por ISP de Pueblos originarios no pueden ser mayor que el Total de exámenes Procesados por ISP.</v>
      </c>
      <c r="CR174" s="2784" t="str">
        <f t="shared" si="540"/>
        <v xml:space="preserve"> * Los exámenes Confirmados positivos por ISP de Migrantes no pueden ser mayor que el Total de exámenes Procesados por ISP.</v>
      </c>
      <c r="CS174" s="2630"/>
      <c r="CT174" s="2630"/>
      <c r="CU174" s="6114" t="e">
        <f t="shared" si="541"/>
        <v>#VALUE!</v>
      </c>
      <c r="CV174" s="6114" t="e">
        <f t="shared" si="542"/>
        <v>#VALUE!</v>
      </c>
      <c r="CW174" s="6114" t="e">
        <f t="shared" si="562"/>
        <v>#VALUE!</v>
      </c>
      <c r="CX174" s="6114" t="e">
        <f t="shared" si="563"/>
        <v>#VALUE!</v>
      </c>
      <c r="DF174" s="3146">
        <f t="shared" si="545"/>
        <v>1</v>
      </c>
      <c r="DG174" s="2784">
        <f t="shared" si="560"/>
        <v>1</v>
      </c>
      <c r="DH174" s="2784">
        <f t="shared" si="546"/>
        <v>1</v>
      </c>
      <c r="DI174" s="2630"/>
      <c r="DJ174" s="2630"/>
      <c r="DK174" s="2630"/>
      <c r="DL174" s="2630"/>
      <c r="DM174" s="2630"/>
      <c r="DN174" s="2784" t="e">
        <f t="shared" si="547"/>
        <v>#VALUE!</v>
      </c>
      <c r="DO174" s="600"/>
      <c r="DP174" s="2784" t="e">
        <f t="shared" si="548"/>
        <v>#VALUE!</v>
      </c>
      <c r="DQ174" s="2784" t="e">
        <f t="shared" si="548"/>
        <v>#VALUE!</v>
      </c>
      <c r="DR174" s="2784">
        <f t="shared" si="549"/>
        <v>1</v>
      </c>
      <c r="DS174" s="2784">
        <f t="shared" si="550"/>
        <v>1</v>
      </c>
      <c r="DT174" s="2784" t="e">
        <f t="shared" si="551"/>
        <v>#VALUE!</v>
      </c>
      <c r="DU174" s="2784">
        <f t="shared" si="552"/>
        <v>1</v>
      </c>
      <c r="DV174" s="2784">
        <f t="shared" si="553"/>
        <v>1</v>
      </c>
      <c r="DW174" s="2630"/>
      <c r="DX174" s="2630"/>
      <c r="DY174" s="6114" t="e">
        <f t="shared" si="554"/>
        <v>#VALUE!</v>
      </c>
      <c r="DZ174" s="6114" t="e">
        <f t="shared" si="555"/>
        <v>#VALUE!</v>
      </c>
      <c r="EA174" s="6114" t="e">
        <f t="shared" si="564"/>
        <v>#VALUE!</v>
      </c>
      <c r="EB174" s="6114" t="e">
        <f t="shared" si="565"/>
        <v>#VALUE!</v>
      </c>
    </row>
    <row r="175" spans="1:132" x14ac:dyDescent="0.3">
      <c r="A175" s="6234">
        <v>11053400</v>
      </c>
      <c r="B175" s="7576" t="s">
        <v>2676</v>
      </c>
      <c r="C175" s="7577"/>
      <c r="D175" s="1928" t="s">
        <v>5292</v>
      </c>
      <c r="E175" s="1926" t="s">
        <v>5293</v>
      </c>
      <c r="F175" s="5038" t="s">
        <v>5294</v>
      </c>
      <c r="G175" s="5151" t="s">
        <v>5295</v>
      </c>
      <c r="H175" s="5038" t="s">
        <v>5296</v>
      </c>
      <c r="I175" s="5151" t="s">
        <v>5297</v>
      </c>
      <c r="J175" s="5038" t="s">
        <v>5298</v>
      </c>
      <c r="K175" s="5151" t="s">
        <v>5299</v>
      </c>
      <c r="L175" s="5038" t="s">
        <v>5300</v>
      </c>
      <c r="M175" s="5151" t="s">
        <v>5301</v>
      </c>
      <c r="N175" s="5038" t="s">
        <v>5302</v>
      </c>
      <c r="O175" s="5151" t="s">
        <v>5303</v>
      </c>
      <c r="P175" s="410" t="s">
        <v>5304</v>
      </c>
      <c r="Q175" s="3518" t="s">
        <v>5305</v>
      </c>
      <c r="R175" s="410" t="s">
        <v>5306</v>
      </c>
      <c r="S175" s="3518" t="s">
        <v>5307</v>
      </c>
      <c r="T175" s="410" t="s">
        <v>5308</v>
      </c>
      <c r="U175" s="3518" t="s">
        <v>5309</v>
      </c>
      <c r="V175" s="410" t="s">
        <v>5310</v>
      </c>
      <c r="W175" s="3518" t="s">
        <v>5311</v>
      </c>
      <c r="X175" s="410" t="s">
        <v>5312</v>
      </c>
      <c r="Y175" s="3518" t="s">
        <v>5313</v>
      </c>
      <c r="Z175" s="410" t="s">
        <v>5314</v>
      </c>
      <c r="AA175" s="3518" t="s">
        <v>5315</v>
      </c>
      <c r="AB175" s="410" t="s">
        <v>5316</v>
      </c>
      <c r="AC175" s="3518" t="s">
        <v>5317</v>
      </c>
      <c r="AD175" s="410" t="s">
        <v>5318</v>
      </c>
      <c r="AE175" s="3531" t="s">
        <v>5319</v>
      </c>
      <c r="AF175" s="410" t="s">
        <v>5320</v>
      </c>
      <c r="AG175" s="3531" t="s">
        <v>5321</v>
      </c>
      <c r="AH175" s="410" t="s">
        <v>5322</v>
      </c>
      <c r="AI175" s="412" t="s">
        <v>5323</v>
      </c>
      <c r="AJ175" s="410" t="s">
        <v>5324</v>
      </c>
      <c r="AK175" s="3518" t="s">
        <v>5325</v>
      </c>
      <c r="AL175" s="3519" t="s">
        <v>5326</v>
      </c>
      <c r="AM175" s="411" t="s">
        <v>5327</v>
      </c>
      <c r="AN175" s="410" t="s">
        <v>5328</v>
      </c>
      <c r="AO175" s="413" t="s">
        <v>5329</v>
      </c>
      <c r="AP175" s="3519" t="s">
        <v>5330</v>
      </c>
      <c r="AQ175" s="411" t="s">
        <v>5331</v>
      </c>
      <c r="AR175" s="414" t="s">
        <v>5332</v>
      </c>
      <c r="AS175" s="413" t="s">
        <v>5333</v>
      </c>
      <c r="AT175" s="3519" t="s">
        <v>5334</v>
      </c>
      <c r="AU175" s="413" t="s">
        <v>5335</v>
      </c>
      <c r="AV175" s="3519" t="s">
        <v>5336</v>
      </c>
      <c r="AW175" s="411" t="s">
        <v>5337</v>
      </c>
      <c r="AX175" s="3519" t="s">
        <v>5338</v>
      </c>
      <c r="AY175" s="411" t="s">
        <v>5339</v>
      </c>
      <c r="AZ175" s="1687" t="e">
        <f t="shared" si="558"/>
        <v>#VALUE!</v>
      </c>
      <c r="CB175" s="3146" t="str">
        <f t="shared" si="531"/>
        <v xml:space="preserve"> * El Total de Exámenes Confirmados Positivos por ISP NO DEBE SUPERAR los  Exámenes Procesados. </v>
      </c>
      <c r="CC175" s="2784" t="str">
        <f t="shared" si="559"/>
        <v xml:space="preserve"> * El número de Exámenes por Sexo Hombres Confirmados positivos por ISP NO PUEDE Superar al número de Procesados. </v>
      </c>
      <c r="CD175" s="2784" t="str">
        <f t="shared" si="532"/>
        <v xml:space="preserve"> * El número de Exámenes por Sexo Mujeres Confirmados positivos por ISP NO PUEDE Superar al número de Procesados. </v>
      </c>
      <c r="CE175" s="2630"/>
      <c r="CF175" s="2630"/>
      <c r="CG175" s="2630"/>
      <c r="CH175" s="2630"/>
      <c r="CI175" s="2630"/>
      <c r="CJ175" s="2784" t="e">
        <f t="shared" si="533"/>
        <v>#VALUE!</v>
      </c>
      <c r="CK175" s="600"/>
      <c r="CL175" s="2784" t="e">
        <f t="shared" si="534"/>
        <v>#VALUE!</v>
      </c>
      <c r="CM175" s="2784" t="e">
        <f t="shared" si="535"/>
        <v>#VALUE!</v>
      </c>
      <c r="CN175" s="2784" t="str">
        <f t="shared" si="536"/>
        <v xml:space="preserve"> * Los exámenes procesados Pueblos originarios no pueden ser mayor que el Total de exámenes procesados.</v>
      </c>
      <c r="CO175" s="2784" t="str">
        <f t="shared" si="537"/>
        <v xml:space="preserve"> * Los exámenes procesados de Migrantes no pueden ser mayor que el Total de exámenes procesados.</v>
      </c>
      <c r="CP175" s="2784" t="e">
        <f t="shared" si="538"/>
        <v>#VALUE!</v>
      </c>
      <c r="CQ175" s="2784" t="str">
        <f t="shared" si="539"/>
        <v xml:space="preserve"> * Los exámenes Confirmados positivos por ISP de Pueblos originarios no pueden ser mayor que el Total de exámenes Procesados por ISP.</v>
      </c>
      <c r="CR175" s="2784" t="str">
        <f t="shared" si="540"/>
        <v xml:space="preserve"> * Los exámenes Confirmados positivos por ISP de Migrantes no pueden ser mayor que el Total de exámenes Procesados por ISP.</v>
      </c>
      <c r="CS175" s="2630"/>
      <c r="CT175" s="2630"/>
      <c r="CU175" s="6114" t="e">
        <f t="shared" si="541"/>
        <v>#VALUE!</v>
      </c>
      <c r="CV175" s="6114" t="e">
        <f t="shared" si="542"/>
        <v>#VALUE!</v>
      </c>
      <c r="CW175" s="6114" t="e">
        <f t="shared" si="562"/>
        <v>#VALUE!</v>
      </c>
      <c r="CX175" s="6114" t="e">
        <f t="shared" si="563"/>
        <v>#VALUE!</v>
      </c>
      <c r="DF175" s="3146">
        <f t="shared" si="545"/>
        <v>1</v>
      </c>
      <c r="DG175" s="2784">
        <f t="shared" si="560"/>
        <v>1</v>
      </c>
      <c r="DH175" s="2784">
        <f t="shared" si="546"/>
        <v>1</v>
      </c>
      <c r="DI175" s="2630"/>
      <c r="DJ175" s="2630"/>
      <c r="DK175" s="2630"/>
      <c r="DL175" s="2630"/>
      <c r="DM175" s="2630"/>
      <c r="DN175" s="2784" t="e">
        <f t="shared" si="547"/>
        <v>#VALUE!</v>
      </c>
      <c r="DO175" s="600"/>
      <c r="DP175" s="2784" t="e">
        <f t="shared" si="548"/>
        <v>#VALUE!</v>
      </c>
      <c r="DQ175" s="2784" t="e">
        <f t="shared" si="548"/>
        <v>#VALUE!</v>
      </c>
      <c r="DR175" s="2784">
        <f t="shared" si="549"/>
        <v>1</v>
      </c>
      <c r="DS175" s="2784">
        <f t="shared" si="550"/>
        <v>1</v>
      </c>
      <c r="DT175" s="2784" t="e">
        <f t="shared" si="551"/>
        <v>#VALUE!</v>
      </c>
      <c r="DU175" s="2784">
        <f t="shared" si="552"/>
        <v>1</v>
      </c>
      <c r="DV175" s="2784">
        <f t="shared" si="553"/>
        <v>1</v>
      </c>
      <c r="DW175" s="2630"/>
      <c r="DX175" s="2630"/>
      <c r="DY175" s="6114" t="e">
        <f t="shared" si="554"/>
        <v>#VALUE!</v>
      </c>
      <c r="DZ175" s="6114" t="e">
        <f t="shared" si="555"/>
        <v>#VALUE!</v>
      </c>
      <c r="EA175" s="6114" t="e">
        <f t="shared" si="564"/>
        <v>#VALUE!</v>
      </c>
      <c r="EB175" s="6114" t="e">
        <f t="shared" si="565"/>
        <v>#VALUE!</v>
      </c>
    </row>
    <row r="176" spans="1:132" x14ac:dyDescent="0.3">
      <c r="A176" s="6234">
        <v>11053401</v>
      </c>
      <c r="B176" s="7576" t="s">
        <v>2707</v>
      </c>
      <c r="C176" s="7577"/>
      <c r="D176" s="1928" t="s">
        <v>5292</v>
      </c>
      <c r="E176" s="3532" t="s">
        <v>5293</v>
      </c>
      <c r="F176" s="5148" t="s">
        <v>5294</v>
      </c>
      <c r="G176" s="5149" t="s">
        <v>5295</v>
      </c>
      <c r="H176" s="5148" t="s">
        <v>5296</v>
      </c>
      <c r="I176" s="5149" t="s">
        <v>5297</v>
      </c>
      <c r="J176" s="5148" t="s">
        <v>5298</v>
      </c>
      <c r="K176" s="5149" t="s">
        <v>5299</v>
      </c>
      <c r="L176" s="5148" t="s">
        <v>5300</v>
      </c>
      <c r="M176" s="5149" t="s">
        <v>5301</v>
      </c>
      <c r="N176" s="5148" t="s">
        <v>5302</v>
      </c>
      <c r="O176" s="5149" t="s">
        <v>5303</v>
      </c>
      <c r="P176" s="410" t="s">
        <v>5304</v>
      </c>
      <c r="Q176" s="3518" t="s">
        <v>5305</v>
      </c>
      <c r="R176" s="410" t="s">
        <v>5306</v>
      </c>
      <c r="S176" s="3518" t="s">
        <v>5307</v>
      </c>
      <c r="T176" s="410" t="s">
        <v>5308</v>
      </c>
      <c r="U176" s="3518" t="s">
        <v>5309</v>
      </c>
      <c r="V176" s="410" t="s">
        <v>5310</v>
      </c>
      <c r="W176" s="3518" t="s">
        <v>5311</v>
      </c>
      <c r="X176" s="410" t="s">
        <v>5312</v>
      </c>
      <c r="Y176" s="3518" t="s">
        <v>5313</v>
      </c>
      <c r="Z176" s="410" t="s">
        <v>5314</v>
      </c>
      <c r="AA176" s="3518" t="s">
        <v>5315</v>
      </c>
      <c r="AB176" s="410" t="s">
        <v>5316</v>
      </c>
      <c r="AC176" s="3518" t="s">
        <v>5317</v>
      </c>
      <c r="AD176" s="410" t="s">
        <v>5318</v>
      </c>
      <c r="AE176" s="3531" t="s">
        <v>5319</v>
      </c>
      <c r="AF176" s="410" t="s">
        <v>5320</v>
      </c>
      <c r="AG176" s="3531" t="s">
        <v>5321</v>
      </c>
      <c r="AH176" s="410" t="s">
        <v>5322</v>
      </c>
      <c r="AI176" s="412" t="s">
        <v>5323</v>
      </c>
      <c r="AJ176" s="410" t="s">
        <v>5324</v>
      </c>
      <c r="AK176" s="3518" t="s">
        <v>5325</v>
      </c>
      <c r="AL176" s="3519" t="s">
        <v>5326</v>
      </c>
      <c r="AM176" s="411" t="s">
        <v>5327</v>
      </c>
      <c r="AN176" s="410" t="s">
        <v>5328</v>
      </c>
      <c r="AO176" s="413" t="s">
        <v>5329</v>
      </c>
      <c r="AP176" s="3519" t="s">
        <v>5330</v>
      </c>
      <c r="AQ176" s="411" t="s">
        <v>5331</v>
      </c>
      <c r="AR176" s="414" t="s">
        <v>5332</v>
      </c>
      <c r="AS176" s="413" t="s">
        <v>5333</v>
      </c>
      <c r="AT176" s="3519" t="s">
        <v>5334</v>
      </c>
      <c r="AU176" s="413" t="s">
        <v>5335</v>
      </c>
      <c r="AV176" s="3519" t="s">
        <v>5336</v>
      </c>
      <c r="AW176" s="411" t="s">
        <v>5337</v>
      </c>
      <c r="AX176" s="3519" t="s">
        <v>5338</v>
      </c>
      <c r="AY176" s="411" t="s">
        <v>5339</v>
      </c>
      <c r="AZ176" s="1687" t="e">
        <f t="shared" si="558"/>
        <v>#VALUE!</v>
      </c>
      <c r="CB176" s="3146" t="str">
        <f t="shared" si="531"/>
        <v xml:space="preserve"> * El Total de Exámenes Confirmados Positivos por ISP NO DEBE SUPERAR los  Exámenes Procesados. </v>
      </c>
      <c r="CC176" s="2784" t="str">
        <f t="shared" si="559"/>
        <v xml:space="preserve"> * El número de Exámenes por Sexo Hombres Confirmados positivos por ISP NO PUEDE Superar al número de Procesados. </v>
      </c>
      <c r="CD176" s="2784" t="str">
        <f t="shared" si="532"/>
        <v xml:space="preserve"> * El número de Exámenes por Sexo Mujeres Confirmados positivos por ISP NO PUEDE Superar al número de Procesados. </v>
      </c>
      <c r="CE176" s="2630"/>
      <c r="CF176" s="2630"/>
      <c r="CG176" s="2630"/>
      <c r="CH176" s="2630"/>
      <c r="CI176" s="2630"/>
      <c r="CJ176" s="2784" t="e">
        <f t="shared" si="533"/>
        <v>#VALUE!</v>
      </c>
      <c r="CK176" s="600"/>
      <c r="CL176" s="2784" t="e">
        <f t="shared" si="534"/>
        <v>#VALUE!</v>
      </c>
      <c r="CM176" s="2784" t="e">
        <f t="shared" si="535"/>
        <v>#VALUE!</v>
      </c>
      <c r="CN176" s="2784" t="str">
        <f t="shared" si="536"/>
        <v xml:space="preserve"> * Los exámenes procesados Pueblos originarios no pueden ser mayor que el Total de exámenes procesados.</v>
      </c>
      <c r="CO176" s="2784" t="str">
        <f t="shared" si="537"/>
        <v xml:space="preserve"> * Los exámenes procesados de Migrantes no pueden ser mayor que el Total de exámenes procesados.</v>
      </c>
      <c r="CP176" s="2784" t="e">
        <f t="shared" si="538"/>
        <v>#VALUE!</v>
      </c>
      <c r="CQ176" s="2784" t="str">
        <f t="shared" si="539"/>
        <v xml:space="preserve"> * Los exámenes Confirmados positivos por ISP de Pueblos originarios no pueden ser mayor que el Total de exámenes Procesados por ISP.</v>
      </c>
      <c r="CR176" s="2784" t="str">
        <f t="shared" si="540"/>
        <v xml:space="preserve"> * Los exámenes Confirmados positivos por ISP de Migrantes no pueden ser mayor que el Total de exámenes Procesados por ISP.</v>
      </c>
      <c r="CS176" s="2630"/>
      <c r="CT176" s="2630"/>
      <c r="CU176" s="6114" t="e">
        <f t="shared" si="541"/>
        <v>#VALUE!</v>
      </c>
      <c r="CV176" s="6114" t="e">
        <f t="shared" si="542"/>
        <v>#VALUE!</v>
      </c>
      <c r="CW176" s="6114" t="e">
        <f t="shared" si="562"/>
        <v>#VALUE!</v>
      </c>
      <c r="CX176" s="6114" t="e">
        <f t="shared" si="563"/>
        <v>#VALUE!</v>
      </c>
      <c r="DF176" s="3146">
        <f t="shared" si="545"/>
        <v>1</v>
      </c>
      <c r="DG176" s="2784">
        <f t="shared" si="560"/>
        <v>1</v>
      </c>
      <c r="DH176" s="2784">
        <f t="shared" si="546"/>
        <v>1</v>
      </c>
      <c r="DI176" s="2630"/>
      <c r="DJ176" s="2630"/>
      <c r="DK176" s="2630"/>
      <c r="DL176" s="2630"/>
      <c r="DM176" s="2630"/>
      <c r="DN176" s="2784" t="e">
        <f t="shared" si="547"/>
        <v>#VALUE!</v>
      </c>
      <c r="DO176" s="600"/>
      <c r="DP176" s="2784" t="e">
        <f t="shared" si="548"/>
        <v>#VALUE!</v>
      </c>
      <c r="DQ176" s="2784" t="e">
        <f t="shared" si="548"/>
        <v>#VALUE!</v>
      </c>
      <c r="DR176" s="2784">
        <f t="shared" si="549"/>
        <v>1</v>
      </c>
      <c r="DS176" s="2784">
        <f t="shared" si="550"/>
        <v>1</v>
      </c>
      <c r="DT176" s="2784" t="e">
        <f t="shared" si="551"/>
        <v>#VALUE!</v>
      </c>
      <c r="DU176" s="2784">
        <f t="shared" si="552"/>
        <v>1</v>
      </c>
      <c r="DV176" s="2784">
        <f t="shared" si="553"/>
        <v>1</v>
      </c>
      <c r="DW176" s="2630"/>
      <c r="DX176" s="2630"/>
      <c r="DY176" s="6114" t="e">
        <f t="shared" si="554"/>
        <v>#VALUE!</v>
      </c>
      <c r="DZ176" s="6114" t="e">
        <f t="shared" si="555"/>
        <v>#VALUE!</v>
      </c>
      <c r="EA176" s="6114" t="e">
        <f t="shared" si="564"/>
        <v>#VALUE!</v>
      </c>
      <c r="EB176" s="6114" t="e">
        <f t="shared" si="565"/>
        <v>#VALUE!</v>
      </c>
    </row>
    <row r="177" spans="1:132" x14ac:dyDescent="0.3">
      <c r="A177" s="6234">
        <v>11053402</v>
      </c>
      <c r="B177" s="7576" t="s">
        <v>2708</v>
      </c>
      <c r="C177" s="7577"/>
      <c r="D177" s="1928" t="s">
        <v>5292</v>
      </c>
      <c r="E177" s="3532" t="s">
        <v>5293</v>
      </c>
      <c r="F177" s="5148" t="s">
        <v>5294</v>
      </c>
      <c r="G177" s="5149" t="s">
        <v>5295</v>
      </c>
      <c r="H177" s="5148" t="s">
        <v>5296</v>
      </c>
      <c r="I177" s="5149" t="s">
        <v>5297</v>
      </c>
      <c r="J177" s="5148" t="s">
        <v>5298</v>
      </c>
      <c r="K177" s="5149" t="s">
        <v>5299</v>
      </c>
      <c r="L177" s="5148" t="s">
        <v>5300</v>
      </c>
      <c r="M177" s="5149" t="s">
        <v>5301</v>
      </c>
      <c r="N177" s="5148" t="s">
        <v>5302</v>
      </c>
      <c r="O177" s="5149" t="s">
        <v>5303</v>
      </c>
      <c r="P177" s="410" t="s">
        <v>5304</v>
      </c>
      <c r="Q177" s="3518" t="s">
        <v>5305</v>
      </c>
      <c r="R177" s="410" t="s">
        <v>5306</v>
      </c>
      <c r="S177" s="3518" t="s">
        <v>5307</v>
      </c>
      <c r="T177" s="410" t="s">
        <v>5308</v>
      </c>
      <c r="U177" s="3518" t="s">
        <v>5309</v>
      </c>
      <c r="V177" s="410" t="s">
        <v>5310</v>
      </c>
      <c r="W177" s="3518" t="s">
        <v>5311</v>
      </c>
      <c r="X177" s="410" t="s">
        <v>5312</v>
      </c>
      <c r="Y177" s="3518" t="s">
        <v>5313</v>
      </c>
      <c r="Z177" s="410" t="s">
        <v>5314</v>
      </c>
      <c r="AA177" s="3518" t="s">
        <v>5315</v>
      </c>
      <c r="AB177" s="410" t="s">
        <v>5316</v>
      </c>
      <c r="AC177" s="3518" t="s">
        <v>5317</v>
      </c>
      <c r="AD177" s="410" t="s">
        <v>5318</v>
      </c>
      <c r="AE177" s="3531" t="s">
        <v>5319</v>
      </c>
      <c r="AF177" s="410" t="s">
        <v>5320</v>
      </c>
      <c r="AG177" s="3531" t="s">
        <v>5321</v>
      </c>
      <c r="AH177" s="5038" t="s">
        <v>5322</v>
      </c>
      <c r="AI177" s="411" t="s">
        <v>5323</v>
      </c>
      <c r="AJ177" s="5038" t="s">
        <v>5324</v>
      </c>
      <c r="AK177" s="414" t="s">
        <v>5325</v>
      </c>
      <c r="AL177" s="3519" t="s">
        <v>5326</v>
      </c>
      <c r="AM177" s="411" t="s">
        <v>5327</v>
      </c>
      <c r="AN177" s="410" t="s">
        <v>5328</v>
      </c>
      <c r="AO177" s="413" t="s">
        <v>5329</v>
      </c>
      <c r="AP177" s="3519" t="s">
        <v>5330</v>
      </c>
      <c r="AQ177" s="411" t="s">
        <v>5331</v>
      </c>
      <c r="AR177" s="414" t="s">
        <v>5332</v>
      </c>
      <c r="AS177" s="413" t="s">
        <v>5333</v>
      </c>
      <c r="AT177" s="3519" t="s">
        <v>5334</v>
      </c>
      <c r="AU177" s="413" t="s">
        <v>5335</v>
      </c>
      <c r="AV177" s="3519" t="s">
        <v>5336</v>
      </c>
      <c r="AW177" s="411" t="s">
        <v>5337</v>
      </c>
      <c r="AX177" s="3519" t="s">
        <v>5338</v>
      </c>
      <c r="AY177" s="411" t="s">
        <v>5339</v>
      </c>
      <c r="AZ177" s="1687" t="e">
        <f t="shared" si="558"/>
        <v>#VALUE!</v>
      </c>
      <c r="CB177" s="3146" t="str">
        <f t="shared" si="531"/>
        <v xml:space="preserve"> * El Total de Exámenes Confirmados Positivos por ISP NO DEBE SUPERAR los  Exámenes Procesados. </v>
      </c>
      <c r="CC177" s="2784" t="str">
        <f t="shared" si="559"/>
        <v xml:space="preserve"> * El número de Exámenes por Sexo Hombres Confirmados positivos por ISP NO PUEDE Superar al número de Procesados. </v>
      </c>
      <c r="CD177" s="2784" t="str">
        <f t="shared" si="532"/>
        <v xml:space="preserve"> * El número de Exámenes por Sexo Mujeres Confirmados positivos por ISP NO PUEDE Superar al número de Procesados. </v>
      </c>
      <c r="CE177" s="2630"/>
      <c r="CF177" s="2630"/>
      <c r="CG177" s="2630"/>
      <c r="CH177" s="2630"/>
      <c r="CI177" s="2630"/>
      <c r="CJ177" s="2784" t="e">
        <f t="shared" si="533"/>
        <v>#VALUE!</v>
      </c>
      <c r="CK177" s="600"/>
      <c r="CL177" s="2784" t="e">
        <f t="shared" si="534"/>
        <v>#VALUE!</v>
      </c>
      <c r="CM177" s="2784" t="e">
        <f t="shared" si="535"/>
        <v>#VALUE!</v>
      </c>
      <c r="CN177" s="2784" t="str">
        <f t="shared" si="536"/>
        <v xml:space="preserve"> * Los exámenes procesados Pueblos originarios no pueden ser mayor que el Total de exámenes procesados.</v>
      </c>
      <c r="CO177" s="2784" t="str">
        <f t="shared" si="537"/>
        <v xml:space="preserve"> * Los exámenes procesados de Migrantes no pueden ser mayor que el Total de exámenes procesados.</v>
      </c>
      <c r="CP177" s="2784" t="e">
        <f t="shared" si="538"/>
        <v>#VALUE!</v>
      </c>
      <c r="CQ177" s="2784" t="str">
        <f t="shared" si="539"/>
        <v xml:space="preserve"> * Los exámenes Confirmados positivos por ISP de Pueblos originarios no pueden ser mayor que el Total de exámenes Procesados por ISP.</v>
      </c>
      <c r="CR177" s="2784" t="str">
        <f t="shared" si="540"/>
        <v xml:space="preserve"> * Los exámenes Confirmados positivos por ISP de Migrantes no pueden ser mayor que el Total de exámenes Procesados por ISP.</v>
      </c>
      <c r="CS177" s="2630"/>
      <c r="CT177" s="2630"/>
      <c r="CU177" s="6114" t="e">
        <f t="shared" si="541"/>
        <v>#VALUE!</v>
      </c>
      <c r="CV177" s="6114" t="e">
        <f t="shared" si="542"/>
        <v>#VALUE!</v>
      </c>
      <c r="CW177" s="6114" t="e">
        <f t="shared" si="562"/>
        <v>#VALUE!</v>
      </c>
      <c r="CX177" s="6114" t="e">
        <f t="shared" si="563"/>
        <v>#VALUE!</v>
      </c>
      <c r="DF177" s="3146">
        <f t="shared" si="545"/>
        <v>1</v>
      </c>
      <c r="DG177" s="2784">
        <f t="shared" si="560"/>
        <v>1</v>
      </c>
      <c r="DH177" s="2784">
        <f t="shared" si="546"/>
        <v>1</v>
      </c>
      <c r="DI177" s="2630"/>
      <c r="DJ177" s="2630"/>
      <c r="DK177" s="2630"/>
      <c r="DL177" s="2630"/>
      <c r="DM177" s="2630"/>
      <c r="DN177" s="2784" t="e">
        <f t="shared" si="547"/>
        <v>#VALUE!</v>
      </c>
      <c r="DO177" s="600"/>
      <c r="DP177" s="2784" t="e">
        <f t="shared" si="548"/>
        <v>#VALUE!</v>
      </c>
      <c r="DQ177" s="2784" t="e">
        <f t="shared" si="548"/>
        <v>#VALUE!</v>
      </c>
      <c r="DR177" s="2784">
        <f t="shared" si="549"/>
        <v>1</v>
      </c>
      <c r="DS177" s="2784">
        <f t="shared" si="550"/>
        <v>1</v>
      </c>
      <c r="DT177" s="2784" t="e">
        <f t="shared" si="551"/>
        <v>#VALUE!</v>
      </c>
      <c r="DU177" s="2784">
        <f t="shared" si="552"/>
        <v>1</v>
      </c>
      <c r="DV177" s="2784">
        <f t="shared" si="553"/>
        <v>1</v>
      </c>
      <c r="DW177" s="2630"/>
      <c r="DX177" s="2630"/>
      <c r="DY177" s="6114" t="e">
        <f t="shared" si="554"/>
        <v>#VALUE!</v>
      </c>
      <c r="DZ177" s="6114" t="e">
        <f t="shared" si="555"/>
        <v>#VALUE!</v>
      </c>
      <c r="EA177" s="6114" t="e">
        <f t="shared" si="564"/>
        <v>#VALUE!</v>
      </c>
      <c r="EB177" s="6114" t="e">
        <f t="shared" si="565"/>
        <v>#VALUE!</v>
      </c>
    </row>
    <row r="178" spans="1:132" x14ac:dyDescent="0.3">
      <c r="A178" s="6234">
        <v>11053500</v>
      </c>
      <c r="B178" s="7576" t="s">
        <v>2709</v>
      </c>
      <c r="C178" s="7577"/>
      <c r="D178" s="1928" t="s">
        <v>5292</v>
      </c>
      <c r="E178" s="3532" t="s">
        <v>5293</v>
      </c>
      <c r="F178" s="5148" t="s">
        <v>5294</v>
      </c>
      <c r="G178" s="5149" t="s">
        <v>5295</v>
      </c>
      <c r="H178" s="5148" t="s">
        <v>5296</v>
      </c>
      <c r="I178" s="5149" t="s">
        <v>5297</v>
      </c>
      <c r="J178" s="5148" t="s">
        <v>5298</v>
      </c>
      <c r="K178" s="5149" t="s">
        <v>5299</v>
      </c>
      <c r="L178" s="5148" t="s">
        <v>5300</v>
      </c>
      <c r="M178" s="5149" t="s">
        <v>5301</v>
      </c>
      <c r="N178" s="5148" t="s">
        <v>5302</v>
      </c>
      <c r="O178" s="5149" t="s">
        <v>5303</v>
      </c>
      <c r="P178" s="410" t="s">
        <v>5304</v>
      </c>
      <c r="Q178" s="3518" t="s">
        <v>5305</v>
      </c>
      <c r="R178" s="410" t="s">
        <v>5306</v>
      </c>
      <c r="S178" s="3518" t="s">
        <v>5307</v>
      </c>
      <c r="T178" s="410" t="s">
        <v>5308</v>
      </c>
      <c r="U178" s="3518" t="s">
        <v>5309</v>
      </c>
      <c r="V178" s="410" t="s">
        <v>5310</v>
      </c>
      <c r="W178" s="3518" t="s">
        <v>5311</v>
      </c>
      <c r="X178" s="410" t="s">
        <v>5312</v>
      </c>
      <c r="Y178" s="3518" t="s">
        <v>5313</v>
      </c>
      <c r="Z178" s="410" t="s">
        <v>5314</v>
      </c>
      <c r="AA178" s="3518" t="s">
        <v>5315</v>
      </c>
      <c r="AB178" s="410" t="s">
        <v>5316</v>
      </c>
      <c r="AC178" s="3518" t="s">
        <v>5317</v>
      </c>
      <c r="AD178" s="410" t="s">
        <v>5318</v>
      </c>
      <c r="AE178" s="3531" t="s">
        <v>5319</v>
      </c>
      <c r="AF178" s="410" t="s">
        <v>5320</v>
      </c>
      <c r="AG178" s="3531" t="s">
        <v>5321</v>
      </c>
      <c r="AH178" s="410" t="s">
        <v>5322</v>
      </c>
      <c r="AI178" s="412" t="s">
        <v>5323</v>
      </c>
      <c r="AJ178" s="410" t="s">
        <v>5324</v>
      </c>
      <c r="AK178" s="3518" t="s">
        <v>5325</v>
      </c>
      <c r="AL178" s="3519" t="s">
        <v>5326</v>
      </c>
      <c r="AM178" s="411" t="s">
        <v>5327</v>
      </c>
      <c r="AN178" s="410" t="s">
        <v>5328</v>
      </c>
      <c r="AO178" s="413" t="s">
        <v>5329</v>
      </c>
      <c r="AP178" s="3519" t="s">
        <v>5330</v>
      </c>
      <c r="AQ178" s="411" t="s">
        <v>5331</v>
      </c>
      <c r="AR178" s="414" t="s">
        <v>5332</v>
      </c>
      <c r="AS178" s="413" t="s">
        <v>5333</v>
      </c>
      <c r="AT178" s="3519" t="s">
        <v>5334</v>
      </c>
      <c r="AU178" s="413" t="s">
        <v>5335</v>
      </c>
      <c r="AV178" s="3519" t="s">
        <v>5336</v>
      </c>
      <c r="AW178" s="411" t="s">
        <v>5337</v>
      </c>
      <c r="AX178" s="3519" t="s">
        <v>5338</v>
      </c>
      <c r="AY178" s="411" t="s">
        <v>5339</v>
      </c>
      <c r="AZ178" s="1687" t="e">
        <f t="shared" si="558"/>
        <v>#VALUE!</v>
      </c>
      <c r="CB178" s="3146" t="str">
        <f t="shared" si="531"/>
        <v xml:space="preserve"> * El Total de Exámenes Confirmados Positivos por ISP NO DEBE SUPERAR los  Exámenes Procesados. </v>
      </c>
      <c r="CC178" s="2784" t="str">
        <f t="shared" si="559"/>
        <v xml:space="preserve"> * El número de Exámenes por Sexo Hombres Confirmados positivos por ISP NO PUEDE Superar al número de Procesados. </v>
      </c>
      <c r="CD178" s="2784" t="str">
        <f t="shared" si="532"/>
        <v xml:space="preserve"> * El número de Exámenes por Sexo Mujeres Confirmados positivos por ISP NO PUEDE Superar al número de Procesados. </v>
      </c>
      <c r="CE178" s="2630"/>
      <c r="CF178" s="2630"/>
      <c r="CG178" s="2630"/>
      <c r="CH178" s="2630"/>
      <c r="CI178" s="2630"/>
      <c r="CJ178" s="2784" t="e">
        <f t="shared" si="533"/>
        <v>#VALUE!</v>
      </c>
      <c r="CK178" s="600"/>
      <c r="CL178" s="2784" t="e">
        <f t="shared" si="534"/>
        <v>#VALUE!</v>
      </c>
      <c r="CM178" s="2784" t="e">
        <f t="shared" si="535"/>
        <v>#VALUE!</v>
      </c>
      <c r="CN178" s="2784" t="str">
        <f t="shared" si="536"/>
        <v xml:space="preserve"> * Los exámenes procesados Pueblos originarios no pueden ser mayor que el Total de exámenes procesados.</v>
      </c>
      <c r="CO178" s="2784" t="str">
        <f t="shared" si="537"/>
        <v xml:space="preserve"> * Los exámenes procesados de Migrantes no pueden ser mayor que el Total de exámenes procesados.</v>
      </c>
      <c r="CP178" s="2784" t="e">
        <f t="shared" si="538"/>
        <v>#VALUE!</v>
      </c>
      <c r="CQ178" s="2784" t="str">
        <f t="shared" si="539"/>
        <v xml:space="preserve"> * Los exámenes Confirmados positivos por ISP de Pueblos originarios no pueden ser mayor que el Total de exámenes Procesados por ISP.</v>
      </c>
      <c r="CR178" s="2784" t="str">
        <f t="shared" si="540"/>
        <v xml:space="preserve"> * Los exámenes Confirmados positivos por ISP de Migrantes no pueden ser mayor que el Total de exámenes Procesados por ISP.</v>
      </c>
      <c r="CS178" s="2630"/>
      <c r="CT178" s="2630"/>
      <c r="CU178" s="6114" t="e">
        <f t="shared" si="541"/>
        <v>#VALUE!</v>
      </c>
      <c r="CV178" s="6114" t="e">
        <f t="shared" si="542"/>
        <v>#VALUE!</v>
      </c>
      <c r="CW178" s="6114" t="e">
        <f t="shared" si="562"/>
        <v>#VALUE!</v>
      </c>
      <c r="CX178" s="6114" t="e">
        <f t="shared" si="563"/>
        <v>#VALUE!</v>
      </c>
      <c r="DF178" s="3146">
        <f t="shared" si="545"/>
        <v>1</v>
      </c>
      <c r="DG178" s="2784">
        <f t="shared" si="560"/>
        <v>1</v>
      </c>
      <c r="DH178" s="2784">
        <f t="shared" si="546"/>
        <v>1</v>
      </c>
      <c r="DI178" s="2630"/>
      <c r="DJ178" s="2630"/>
      <c r="DK178" s="2630"/>
      <c r="DL178" s="2630"/>
      <c r="DM178" s="2630"/>
      <c r="DN178" s="2784" t="e">
        <f t="shared" si="547"/>
        <v>#VALUE!</v>
      </c>
      <c r="DO178" s="600"/>
      <c r="DP178" s="2784" t="e">
        <f t="shared" si="548"/>
        <v>#VALUE!</v>
      </c>
      <c r="DQ178" s="2784" t="e">
        <f t="shared" si="548"/>
        <v>#VALUE!</v>
      </c>
      <c r="DR178" s="2784">
        <f t="shared" si="549"/>
        <v>1</v>
      </c>
      <c r="DS178" s="2784">
        <f t="shared" si="550"/>
        <v>1</v>
      </c>
      <c r="DT178" s="2784" t="e">
        <f t="shared" si="551"/>
        <v>#VALUE!</v>
      </c>
      <c r="DU178" s="2784">
        <f t="shared" si="552"/>
        <v>1</v>
      </c>
      <c r="DV178" s="2784">
        <f t="shared" si="553"/>
        <v>1</v>
      </c>
      <c r="DW178" s="2630"/>
      <c r="DX178" s="2630"/>
      <c r="DY178" s="6114" t="e">
        <f t="shared" si="554"/>
        <v>#VALUE!</v>
      </c>
      <c r="DZ178" s="6114" t="e">
        <f t="shared" si="555"/>
        <v>#VALUE!</v>
      </c>
      <c r="EA178" s="6114" t="e">
        <f t="shared" si="564"/>
        <v>#VALUE!</v>
      </c>
      <c r="EB178" s="6114" t="e">
        <f t="shared" si="565"/>
        <v>#VALUE!</v>
      </c>
    </row>
    <row r="179" spans="1:132" x14ac:dyDescent="0.3">
      <c r="A179" s="6234">
        <v>11053501</v>
      </c>
      <c r="B179" s="7576" t="s">
        <v>2710</v>
      </c>
      <c r="C179" s="7577"/>
      <c r="D179" s="1928" t="s">
        <v>5292</v>
      </c>
      <c r="E179" s="3532" t="s">
        <v>5293</v>
      </c>
      <c r="F179" s="410" t="s">
        <v>5294</v>
      </c>
      <c r="G179" s="3518" t="s">
        <v>5295</v>
      </c>
      <c r="H179" s="410" t="s">
        <v>5296</v>
      </c>
      <c r="I179" s="3518" t="s">
        <v>5297</v>
      </c>
      <c r="J179" s="410" t="s">
        <v>5298</v>
      </c>
      <c r="K179" s="3518" t="s">
        <v>5299</v>
      </c>
      <c r="L179" s="410" t="s">
        <v>5300</v>
      </c>
      <c r="M179" s="3518" t="s">
        <v>5301</v>
      </c>
      <c r="N179" s="410" t="s">
        <v>5302</v>
      </c>
      <c r="O179" s="3518" t="s">
        <v>5303</v>
      </c>
      <c r="P179" s="410" t="s">
        <v>5304</v>
      </c>
      <c r="Q179" s="3518" t="s">
        <v>5305</v>
      </c>
      <c r="R179" s="410" t="s">
        <v>5306</v>
      </c>
      <c r="S179" s="3518" t="s">
        <v>5307</v>
      </c>
      <c r="T179" s="410" t="s">
        <v>5308</v>
      </c>
      <c r="U179" s="3518" t="s">
        <v>5309</v>
      </c>
      <c r="V179" s="410" t="s">
        <v>5310</v>
      </c>
      <c r="W179" s="3518" t="s">
        <v>5311</v>
      </c>
      <c r="X179" s="410" t="s">
        <v>5312</v>
      </c>
      <c r="Y179" s="3518" t="s">
        <v>5313</v>
      </c>
      <c r="Z179" s="410" t="s">
        <v>5314</v>
      </c>
      <c r="AA179" s="3518" t="s">
        <v>5315</v>
      </c>
      <c r="AB179" s="410" t="s">
        <v>5316</v>
      </c>
      <c r="AC179" s="3518" t="s">
        <v>5317</v>
      </c>
      <c r="AD179" s="410" t="s">
        <v>5318</v>
      </c>
      <c r="AE179" s="3531" t="s">
        <v>5319</v>
      </c>
      <c r="AF179" s="410" t="s">
        <v>5320</v>
      </c>
      <c r="AG179" s="3531" t="s">
        <v>5321</v>
      </c>
      <c r="AH179" s="410" t="s">
        <v>5322</v>
      </c>
      <c r="AI179" s="412" t="s">
        <v>5323</v>
      </c>
      <c r="AJ179" s="410" t="s">
        <v>5324</v>
      </c>
      <c r="AK179" s="3518" t="s">
        <v>5325</v>
      </c>
      <c r="AL179" s="3519" t="s">
        <v>5326</v>
      </c>
      <c r="AM179" s="411" t="s">
        <v>5327</v>
      </c>
      <c r="AN179" s="410" t="s">
        <v>5328</v>
      </c>
      <c r="AO179" s="413" t="s">
        <v>5329</v>
      </c>
      <c r="AP179" s="3519" t="s">
        <v>5330</v>
      </c>
      <c r="AQ179" s="411" t="s">
        <v>5331</v>
      </c>
      <c r="AR179" s="414" t="s">
        <v>5332</v>
      </c>
      <c r="AS179" s="413" t="s">
        <v>5333</v>
      </c>
      <c r="AT179" s="3519" t="s">
        <v>5334</v>
      </c>
      <c r="AU179" s="413" t="s">
        <v>5335</v>
      </c>
      <c r="AV179" s="3519" t="s">
        <v>5336</v>
      </c>
      <c r="AW179" s="411" t="s">
        <v>5337</v>
      </c>
      <c r="AX179" s="3519" t="s">
        <v>5338</v>
      </c>
      <c r="AY179" s="411" t="s">
        <v>5339</v>
      </c>
      <c r="AZ179" s="1687" t="e">
        <f t="shared" si="558"/>
        <v>#VALUE!</v>
      </c>
      <c r="CB179" s="3146" t="str">
        <f t="shared" si="531"/>
        <v xml:space="preserve"> * El Total de Exámenes Confirmados Positivos por ISP NO DEBE SUPERAR los  Exámenes Procesados. </v>
      </c>
      <c r="CC179" s="2784" t="str">
        <f t="shared" si="559"/>
        <v xml:space="preserve"> * El número de Exámenes por Sexo Hombres Confirmados positivos por ISP NO PUEDE Superar al número de Procesados. </v>
      </c>
      <c r="CD179" s="2784" t="str">
        <f t="shared" si="532"/>
        <v xml:space="preserve"> * El número de Exámenes por Sexo Mujeres Confirmados positivos por ISP NO PUEDE Superar al número de Procesados. </v>
      </c>
      <c r="CE179" s="2630"/>
      <c r="CF179" s="2630"/>
      <c r="CG179" s="2630"/>
      <c r="CH179" s="2630"/>
      <c r="CI179" s="2630"/>
      <c r="CJ179" s="2784" t="e">
        <f t="shared" si="533"/>
        <v>#VALUE!</v>
      </c>
      <c r="CK179" s="600"/>
      <c r="CL179" s="2784" t="e">
        <f t="shared" si="534"/>
        <v>#VALUE!</v>
      </c>
      <c r="CM179" s="2784" t="e">
        <f t="shared" si="535"/>
        <v>#VALUE!</v>
      </c>
      <c r="CN179" s="2784" t="str">
        <f t="shared" si="536"/>
        <v xml:space="preserve"> * Los exámenes procesados Pueblos originarios no pueden ser mayor que el Total de exámenes procesados.</v>
      </c>
      <c r="CO179" s="2784" t="str">
        <f t="shared" si="537"/>
        <v xml:space="preserve"> * Los exámenes procesados de Migrantes no pueden ser mayor que el Total de exámenes procesados.</v>
      </c>
      <c r="CP179" s="2784" t="e">
        <f t="shared" si="538"/>
        <v>#VALUE!</v>
      </c>
      <c r="CQ179" s="2784" t="str">
        <f t="shared" si="539"/>
        <v xml:space="preserve"> * Los exámenes Confirmados positivos por ISP de Pueblos originarios no pueden ser mayor que el Total de exámenes Procesados por ISP.</v>
      </c>
      <c r="CR179" s="2784" t="str">
        <f t="shared" si="540"/>
        <v xml:space="preserve"> * Los exámenes Confirmados positivos por ISP de Migrantes no pueden ser mayor que el Total de exámenes Procesados por ISP.</v>
      </c>
      <c r="CS179" s="2630"/>
      <c r="CT179" s="2630"/>
      <c r="CU179" s="6114" t="e">
        <f t="shared" si="541"/>
        <v>#VALUE!</v>
      </c>
      <c r="CV179" s="6114" t="e">
        <f t="shared" si="542"/>
        <v>#VALUE!</v>
      </c>
      <c r="CW179" s="6114" t="e">
        <f t="shared" si="562"/>
        <v>#VALUE!</v>
      </c>
      <c r="CX179" s="6114" t="e">
        <f t="shared" si="563"/>
        <v>#VALUE!</v>
      </c>
      <c r="DF179" s="3146">
        <f t="shared" si="545"/>
        <v>1</v>
      </c>
      <c r="DG179" s="2784">
        <f t="shared" si="560"/>
        <v>1</v>
      </c>
      <c r="DH179" s="2784">
        <f t="shared" si="546"/>
        <v>1</v>
      </c>
      <c r="DI179" s="2630"/>
      <c r="DJ179" s="2630"/>
      <c r="DK179" s="2630"/>
      <c r="DL179" s="2630"/>
      <c r="DM179" s="2630"/>
      <c r="DN179" s="2784" t="e">
        <f t="shared" si="547"/>
        <v>#VALUE!</v>
      </c>
      <c r="DO179" s="600"/>
      <c r="DP179" s="2784" t="e">
        <f t="shared" si="548"/>
        <v>#VALUE!</v>
      </c>
      <c r="DQ179" s="2784" t="e">
        <f t="shared" si="548"/>
        <v>#VALUE!</v>
      </c>
      <c r="DR179" s="2784">
        <f t="shared" si="549"/>
        <v>1</v>
      </c>
      <c r="DS179" s="2784">
        <f t="shared" si="550"/>
        <v>1</v>
      </c>
      <c r="DT179" s="2784" t="e">
        <f t="shared" si="551"/>
        <v>#VALUE!</v>
      </c>
      <c r="DU179" s="2784">
        <f t="shared" si="552"/>
        <v>1</v>
      </c>
      <c r="DV179" s="2784">
        <f t="shared" si="553"/>
        <v>1</v>
      </c>
      <c r="DW179" s="2630"/>
      <c r="DX179" s="2630"/>
      <c r="DY179" s="6114" t="e">
        <f t="shared" si="554"/>
        <v>#VALUE!</v>
      </c>
      <c r="DZ179" s="6114" t="e">
        <f t="shared" si="555"/>
        <v>#VALUE!</v>
      </c>
      <c r="EA179" s="6114" t="e">
        <f t="shared" si="564"/>
        <v>#VALUE!</v>
      </c>
      <c r="EB179" s="6114" t="e">
        <f t="shared" si="565"/>
        <v>#VALUE!</v>
      </c>
    </row>
    <row r="180" spans="1:132" x14ac:dyDescent="0.3">
      <c r="A180" s="6234">
        <v>11053502</v>
      </c>
      <c r="B180" s="7576" t="s">
        <v>2711</v>
      </c>
      <c r="C180" s="7577"/>
      <c r="D180" s="1928" t="s">
        <v>5292</v>
      </c>
      <c r="E180" s="3532" t="s">
        <v>5293</v>
      </c>
      <c r="F180" s="410" t="s">
        <v>5294</v>
      </c>
      <c r="G180" s="3518" t="s">
        <v>5295</v>
      </c>
      <c r="H180" s="410" t="s">
        <v>5296</v>
      </c>
      <c r="I180" s="3518" t="s">
        <v>5297</v>
      </c>
      <c r="J180" s="410" t="s">
        <v>5298</v>
      </c>
      <c r="K180" s="3518" t="s">
        <v>5299</v>
      </c>
      <c r="L180" s="410" t="s">
        <v>5300</v>
      </c>
      <c r="M180" s="3518" t="s">
        <v>5301</v>
      </c>
      <c r="N180" s="410" t="s">
        <v>5302</v>
      </c>
      <c r="O180" s="3518" t="s">
        <v>5303</v>
      </c>
      <c r="P180" s="410" t="s">
        <v>5304</v>
      </c>
      <c r="Q180" s="3518" t="s">
        <v>5305</v>
      </c>
      <c r="R180" s="410" t="s">
        <v>5306</v>
      </c>
      <c r="S180" s="3518" t="s">
        <v>5307</v>
      </c>
      <c r="T180" s="410" t="s">
        <v>5308</v>
      </c>
      <c r="U180" s="3518" t="s">
        <v>5309</v>
      </c>
      <c r="V180" s="410" t="s">
        <v>5310</v>
      </c>
      <c r="W180" s="3518" t="s">
        <v>5311</v>
      </c>
      <c r="X180" s="410" t="s">
        <v>5312</v>
      </c>
      <c r="Y180" s="3518" t="s">
        <v>5313</v>
      </c>
      <c r="Z180" s="410" t="s">
        <v>5314</v>
      </c>
      <c r="AA180" s="3518" t="s">
        <v>5315</v>
      </c>
      <c r="AB180" s="410" t="s">
        <v>5316</v>
      </c>
      <c r="AC180" s="3518" t="s">
        <v>5317</v>
      </c>
      <c r="AD180" s="410" t="s">
        <v>5318</v>
      </c>
      <c r="AE180" s="3531" t="s">
        <v>5319</v>
      </c>
      <c r="AF180" s="410" t="s">
        <v>5320</v>
      </c>
      <c r="AG180" s="3531" t="s">
        <v>5321</v>
      </c>
      <c r="AH180" s="410" t="s">
        <v>5322</v>
      </c>
      <c r="AI180" s="412" t="s">
        <v>5323</v>
      </c>
      <c r="AJ180" s="410" t="s">
        <v>5324</v>
      </c>
      <c r="AK180" s="3518" t="s">
        <v>5325</v>
      </c>
      <c r="AL180" s="3519" t="s">
        <v>5326</v>
      </c>
      <c r="AM180" s="411" t="s">
        <v>5327</v>
      </c>
      <c r="AN180" s="410" t="s">
        <v>5328</v>
      </c>
      <c r="AO180" s="413" t="s">
        <v>5329</v>
      </c>
      <c r="AP180" s="3519" t="s">
        <v>5330</v>
      </c>
      <c r="AQ180" s="411" t="s">
        <v>5331</v>
      </c>
      <c r="AR180" s="414" t="s">
        <v>5332</v>
      </c>
      <c r="AS180" s="413" t="s">
        <v>5333</v>
      </c>
      <c r="AT180" s="3519" t="s">
        <v>5334</v>
      </c>
      <c r="AU180" s="413" t="s">
        <v>5335</v>
      </c>
      <c r="AV180" s="3519" t="s">
        <v>5336</v>
      </c>
      <c r="AW180" s="411" t="s">
        <v>5337</v>
      </c>
      <c r="AX180" s="3519" t="s">
        <v>5338</v>
      </c>
      <c r="AY180" s="411" t="s">
        <v>5339</v>
      </c>
      <c r="AZ180" s="1687" t="e">
        <f t="shared" si="558"/>
        <v>#VALUE!</v>
      </c>
      <c r="CB180" s="3146" t="str">
        <f t="shared" si="531"/>
        <v xml:space="preserve"> * El Total de Exámenes Confirmados Positivos por ISP NO DEBE SUPERAR los  Exámenes Procesados. </v>
      </c>
      <c r="CC180" s="2784" t="str">
        <f t="shared" si="559"/>
        <v xml:space="preserve"> * El número de Exámenes por Sexo Hombres Confirmados positivos por ISP NO PUEDE Superar al número de Procesados. </v>
      </c>
      <c r="CD180" s="2784" t="str">
        <f t="shared" si="532"/>
        <v xml:space="preserve"> * El número de Exámenes por Sexo Mujeres Confirmados positivos por ISP NO PUEDE Superar al número de Procesados. </v>
      </c>
      <c r="CE180" s="2630"/>
      <c r="CF180" s="2630"/>
      <c r="CG180" s="2630"/>
      <c r="CH180" s="2630"/>
      <c r="CI180" s="2630"/>
      <c r="CJ180" s="2784" t="e">
        <f t="shared" si="533"/>
        <v>#VALUE!</v>
      </c>
      <c r="CK180" s="600"/>
      <c r="CL180" s="2784" t="e">
        <f t="shared" si="534"/>
        <v>#VALUE!</v>
      </c>
      <c r="CM180" s="2784" t="e">
        <f t="shared" si="535"/>
        <v>#VALUE!</v>
      </c>
      <c r="CN180" s="2784" t="str">
        <f t="shared" si="536"/>
        <v xml:space="preserve"> * Los exámenes procesados Pueblos originarios no pueden ser mayor que el Total de exámenes procesados.</v>
      </c>
      <c r="CO180" s="2784" t="str">
        <f t="shared" si="537"/>
        <v xml:space="preserve"> * Los exámenes procesados de Migrantes no pueden ser mayor que el Total de exámenes procesados.</v>
      </c>
      <c r="CP180" s="2784" t="e">
        <f t="shared" si="538"/>
        <v>#VALUE!</v>
      </c>
      <c r="CQ180" s="2784" t="str">
        <f t="shared" si="539"/>
        <v xml:space="preserve"> * Los exámenes Confirmados positivos por ISP de Pueblos originarios no pueden ser mayor que el Total de exámenes Procesados por ISP.</v>
      </c>
      <c r="CR180" s="2784" t="str">
        <f t="shared" si="540"/>
        <v xml:space="preserve"> * Los exámenes Confirmados positivos por ISP de Migrantes no pueden ser mayor que el Total de exámenes Procesados por ISP.</v>
      </c>
      <c r="CS180" s="2630"/>
      <c r="CT180" s="2630"/>
      <c r="CU180" s="6114" t="e">
        <f t="shared" si="541"/>
        <v>#VALUE!</v>
      </c>
      <c r="CV180" s="6114" t="e">
        <f t="shared" si="542"/>
        <v>#VALUE!</v>
      </c>
      <c r="CW180" s="6114" t="e">
        <f t="shared" si="562"/>
        <v>#VALUE!</v>
      </c>
      <c r="CX180" s="6114" t="e">
        <f t="shared" si="563"/>
        <v>#VALUE!</v>
      </c>
      <c r="DF180" s="3146">
        <f t="shared" si="545"/>
        <v>1</v>
      </c>
      <c r="DG180" s="2784">
        <f t="shared" si="560"/>
        <v>1</v>
      </c>
      <c r="DH180" s="2784">
        <f t="shared" si="546"/>
        <v>1</v>
      </c>
      <c r="DI180" s="2630"/>
      <c r="DJ180" s="2630"/>
      <c r="DK180" s="2630"/>
      <c r="DL180" s="2630"/>
      <c r="DM180" s="2630"/>
      <c r="DN180" s="2784" t="e">
        <f t="shared" si="547"/>
        <v>#VALUE!</v>
      </c>
      <c r="DO180" s="600"/>
      <c r="DP180" s="2784" t="e">
        <f t="shared" si="548"/>
        <v>#VALUE!</v>
      </c>
      <c r="DQ180" s="2784" t="e">
        <f t="shared" si="548"/>
        <v>#VALUE!</v>
      </c>
      <c r="DR180" s="2784">
        <f t="shared" si="549"/>
        <v>1</v>
      </c>
      <c r="DS180" s="2784">
        <f t="shared" si="550"/>
        <v>1</v>
      </c>
      <c r="DT180" s="2784" t="e">
        <f t="shared" si="551"/>
        <v>#VALUE!</v>
      </c>
      <c r="DU180" s="2784">
        <f t="shared" si="552"/>
        <v>1</v>
      </c>
      <c r="DV180" s="2784">
        <f t="shared" si="553"/>
        <v>1</v>
      </c>
      <c r="DW180" s="2630"/>
      <c r="DX180" s="2630"/>
      <c r="DY180" s="6114" t="e">
        <f t="shared" si="554"/>
        <v>#VALUE!</v>
      </c>
      <c r="DZ180" s="6114" t="e">
        <f t="shared" si="555"/>
        <v>#VALUE!</v>
      </c>
      <c r="EA180" s="6114" t="e">
        <f t="shared" si="564"/>
        <v>#VALUE!</v>
      </c>
      <c r="EB180" s="6114" t="e">
        <f t="shared" si="565"/>
        <v>#VALUE!</v>
      </c>
    </row>
    <row r="181" spans="1:132" x14ac:dyDescent="0.3">
      <c r="A181" s="6234">
        <v>11053503</v>
      </c>
      <c r="B181" s="7576" t="s">
        <v>2712</v>
      </c>
      <c r="C181" s="7577"/>
      <c r="D181" s="1928" t="s">
        <v>5292</v>
      </c>
      <c r="E181" s="3532" t="s">
        <v>5293</v>
      </c>
      <c r="F181" s="410" t="s">
        <v>5294</v>
      </c>
      <c r="G181" s="3518" t="s">
        <v>5295</v>
      </c>
      <c r="H181" s="410" t="s">
        <v>5296</v>
      </c>
      <c r="I181" s="3518" t="s">
        <v>5297</v>
      </c>
      <c r="J181" s="410" t="s">
        <v>5298</v>
      </c>
      <c r="K181" s="3518" t="s">
        <v>5299</v>
      </c>
      <c r="L181" s="410" t="s">
        <v>5300</v>
      </c>
      <c r="M181" s="3518" t="s">
        <v>5301</v>
      </c>
      <c r="N181" s="410" t="s">
        <v>5302</v>
      </c>
      <c r="O181" s="3518" t="s">
        <v>5303</v>
      </c>
      <c r="P181" s="410" t="s">
        <v>5304</v>
      </c>
      <c r="Q181" s="3518" t="s">
        <v>5305</v>
      </c>
      <c r="R181" s="410" t="s">
        <v>5306</v>
      </c>
      <c r="S181" s="3518" t="s">
        <v>5307</v>
      </c>
      <c r="T181" s="410" t="s">
        <v>5308</v>
      </c>
      <c r="U181" s="3518" t="s">
        <v>5309</v>
      </c>
      <c r="V181" s="410" t="s">
        <v>5310</v>
      </c>
      <c r="W181" s="3518" t="s">
        <v>5311</v>
      </c>
      <c r="X181" s="410" t="s">
        <v>5312</v>
      </c>
      <c r="Y181" s="3518" t="s">
        <v>5313</v>
      </c>
      <c r="Z181" s="410" t="s">
        <v>5314</v>
      </c>
      <c r="AA181" s="3518" t="s">
        <v>5315</v>
      </c>
      <c r="AB181" s="410" t="s">
        <v>5316</v>
      </c>
      <c r="AC181" s="3518" t="s">
        <v>5317</v>
      </c>
      <c r="AD181" s="410" t="s">
        <v>5318</v>
      </c>
      <c r="AE181" s="3531" t="s">
        <v>5319</v>
      </c>
      <c r="AF181" s="410" t="s">
        <v>5320</v>
      </c>
      <c r="AG181" s="3531" t="s">
        <v>5321</v>
      </c>
      <c r="AH181" s="410" t="s">
        <v>5322</v>
      </c>
      <c r="AI181" s="412" t="s">
        <v>5323</v>
      </c>
      <c r="AJ181" s="410" t="s">
        <v>5324</v>
      </c>
      <c r="AK181" s="3518" t="s">
        <v>5325</v>
      </c>
      <c r="AL181" s="3519" t="s">
        <v>5326</v>
      </c>
      <c r="AM181" s="411" t="s">
        <v>5327</v>
      </c>
      <c r="AN181" s="410" t="s">
        <v>5328</v>
      </c>
      <c r="AO181" s="413" t="s">
        <v>5329</v>
      </c>
      <c r="AP181" s="3519" t="s">
        <v>5330</v>
      </c>
      <c r="AQ181" s="411" t="s">
        <v>5331</v>
      </c>
      <c r="AR181" s="414" t="s">
        <v>5332</v>
      </c>
      <c r="AS181" s="413" t="s">
        <v>5333</v>
      </c>
      <c r="AT181" s="3519" t="s">
        <v>5334</v>
      </c>
      <c r="AU181" s="413" t="s">
        <v>5335</v>
      </c>
      <c r="AV181" s="3519" t="s">
        <v>5336</v>
      </c>
      <c r="AW181" s="411" t="s">
        <v>5337</v>
      </c>
      <c r="AX181" s="3519" t="s">
        <v>5338</v>
      </c>
      <c r="AY181" s="411" t="s">
        <v>5339</v>
      </c>
      <c r="AZ181" s="1687" t="e">
        <f t="shared" si="558"/>
        <v>#VALUE!</v>
      </c>
      <c r="CB181" s="3146" t="str">
        <f t="shared" si="531"/>
        <v xml:space="preserve"> * El Total de Exámenes Confirmados Positivos por ISP NO DEBE SUPERAR los  Exámenes Procesados. </v>
      </c>
      <c r="CC181" s="2784" t="str">
        <f t="shared" si="559"/>
        <v xml:space="preserve"> * El número de Exámenes por Sexo Hombres Confirmados positivos por ISP NO PUEDE Superar al número de Procesados. </v>
      </c>
      <c r="CD181" s="2784" t="str">
        <f t="shared" si="532"/>
        <v xml:space="preserve"> * El número de Exámenes por Sexo Mujeres Confirmados positivos por ISP NO PUEDE Superar al número de Procesados. </v>
      </c>
      <c r="CE181" s="2630"/>
      <c r="CF181" s="2630"/>
      <c r="CG181" s="2630"/>
      <c r="CH181" s="2630"/>
      <c r="CI181" s="2630"/>
      <c r="CJ181" s="2784" t="e">
        <f t="shared" si="533"/>
        <v>#VALUE!</v>
      </c>
      <c r="CK181" s="600"/>
      <c r="CL181" s="2784" t="e">
        <f t="shared" si="534"/>
        <v>#VALUE!</v>
      </c>
      <c r="CM181" s="2784" t="e">
        <f t="shared" si="535"/>
        <v>#VALUE!</v>
      </c>
      <c r="CN181" s="2784" t="str">
        <f t="shared" si="536"/>
        <v xml:space="preserve"> * Los exámenes procesados Pueblos originarios no pueden ser mayor que el Total de exámenes procesados.</v>
      </c>
      <c r="CO181" s="2784" t="str">
        <f t="shared" si="537"/>
        <v xml:space="preserve"> * Los exámenes procesados de Migrantes no pueden ser mayor que el Total de exámenes procesados.</v>
      </c>
      <c r="CP181" s="2784" t="e">
        <f t="shared" si="538"/>
        <v>#VALUE!</v>
      </c>
      <c r="CQ181" s="2784" t="str">
        <f t="shared" si="539"/>
        <v xml:space="preserve"> * Los exámenes Confirmados positivos por ISP de Pueblos originarios no pueden ser mayor que el Total de exámenes Procesados por ISP.</v>
      </c>
      <c r="CR181" s="2784" t="str">
        <f t="shared" si="540"/>
        <v xml:space="preserve"> * Los exámenes Confirmados positivos por ISP de Migrantes no pueden ser mayor que el Total de exámenes Procesados por ISP.</v>
      </c>
      <c r="CS181" s="2630"/>
      <c r="CT181" s="2630"/>
      <c r="CU181" s="6114" t="e">
        <f t="shared" si="541"/>
        <v>#VALUE!</v>
      </c>
      <c r="CV181" s="6114" t="e">
        <f t="shared" si="542"/>
        <v>#VALUE!</v>
      </c>
      <c r="CW181" s="6114" t="e">
        <f t="shared" si="562"/>
        <v>#VALUE!</v>
      </c>
      <c r="CX181" s="6114" t="e">
        <f t="shared" si="563"/>
        <v>#VALUE!</v>
      </c>
      <c r="DF181" s="3146">
        <f t="shared" si="545"/>
        <v>1</v>
      </c>
      <c r="DG181" s="2784">
        <f t="shared" si="560"/>
        <v>1</v>
      </c>
      <c r="DH181" s="2784">
        <f t="shared" si="546"/>
        <v>1</v>
      </c>
      <c r="DI181" s="2630"/>
      <c r="DJ181" s="2630"/>
      <c r="DK181" s="2630"/>
      <c r="DL181" s="2630"/>
      <c r="DM181" s="2630"/>
      <c r="DN181" s="2784" t="e">
        <f t="shared" si="547"/>
        <v>#VALUE!</v>
      </c>
      <c r="DO181" s="600"/>
      <c r="DP181" s="2784" t="e">
        <f t="shared" si="548"/>
        <v>#VALUE!</v>
      </c>
      <c r="DQ181" s="2784" t="e">
        <f t="shared" si="548"/>
        <v>#VALUE!</v>
      </c>
      <c r="DR181" s="2784">
        <f t="shared" si="549"/>
        <v>1</v>
      </c>
      <c r="DS181" s="2784">
        <f t="shared" si="550"/>
        <v>1</v>
      </c>
      <c r="DT181" s="2784" t="e">
        <f t="shared" si="551"/>
        <v>#VALUE!</v>
      </c>
      <c r="DU181" s="2784">
        <f t="shared" si="552"/>
        <v>1</v>
      </c>
      <c r="DV181" s="2784">
        <f t="shared" si="553"/>
        <v>1</v>
      </c>
      <c r="DW181" s="2630"/>
      <c r="DX181" s="2630"/>
      <c r="DY181" s="6114" t="e">
        <f t="shared" si="554"/>
        <v>#VALUE!</v>
      </c>
      <c r="DZ181" s="6114" t="e">
        <f t="shared" si="555"/>
        <v>#VALUE!</v>
      </c>
      <c r="EA181" s="6114" t="e">
        <f t="shared" si="564"/>
        <v>#VALUE!</v>
      </c>
      <c r="EB181" s="6114" t="e">
        <f t="shared" si="565"/>
        <v>#VALUE!</v>
      </c>
    </row>
    <row r="182" spans="1:132" x14ac:dyDescent="0.3">
      <c r="A182" s="6234">
        <v>11053600</v>
      </c>
      <c r="B182" s="7576" t="s">
        <v>2713</v>
      </c>
      <c r="C182" s="7577"/>
      <c r="D182" s="1928" t="s">
        <v>5292</v>
      </c>
      <c r="E182" s="3532" t="s">
        <v>5293</v>
      </c>
      <c r="F182" s="410" t="s">
        <v>5294</v>
      </c>
      <c r="G182" s="3518" t="s">
        <v>5295</v>
      </c>
      <c r="H182" s="410" t="s">
        <v>5296</v>
      </c>
      <c r="I182" s="3518" t="s">
        <v>5297</v>
      </c>
      <c r="J182" s="410" t="s">
        <v>5298</v>
      </c>
      <c r="K182" s="3518" t="s">
        <v>5299</v>
      </c>
      <c r="L182" s="410" t="s">
        <v>5300</v>
      </c>
      <c r="M182" s="3518" t="s">
        <v>5301</v>
      </c>
      <c r="N182" s="410" t="s">
        <v>5302</v>
      </c>
      <c r="O182" s="3518" t="s">
        <v>5303</v>
      </c>
      <c r="P182" s="410" t="s">
        <v>5304</v>
      </c>
      <c r="Q182" s="3518" t="s">
        <v>5305</v>
      </c>
      <c r="R182" s="410" t="s">
        <v>5306</v>
      </c>
      <c r="S182" s="3518" t="s">
        <v>5307</v>
      </c>
      <c r="T182" s="410" t="s">
        <v>5308</v>
      </c>
      <c r="U182" s="3518" t="s">
        <v>5309</v>
      </c>
      <c r="V182" s="410" t="s">
        <v>5310</v>
      </c>
      <c r="W182" s="3518" t="s">
        <v>5311</v>
      </c>
      <c r="X182" s="410" t="s">
        <v>5312</v>
      </c>
      <c r="Y182" s="3518" t="s">
        <v>5313</v>
      </c>
      <c r="Z182" s="410" t="s">
        <v>5314</v>
      </c>
      <c r="AA182" s="3518" t="s">
        <v>5315</v>
      </c>
      <c r="AB182" s="410" t="s">
        <v>5316</v>
      </c>
      <c r="AC182" s="3518" t="s">
        <v>5317</v>
      </c>
      <c r="AD182" s="410" t="s">
        <v>5318</v>
      </c>
      <c r="AE182" s="3531" t="s">
        <v>5319</v>
      </c>
      <c r="AF182" s="410" t="s">
        <v>5320</v>
      </c>
      <c r="AG182" s="3531" t="s">
        <v>5321</v>
      </c>
      <c r="AH182" s="410" t="s">
        <v>5322</v>
      </c>
      <c r="AI182" s="412" t="s">
        <v>5323</v>
      </c>
      <c r="AJ182" s="410" t="s">
        <v>5324</v>
      </c>
      <c r="AK182" s="3518" t="s">
        <v>5325</v>
      </c>
      <c r="AL182" s="3519" t="s">
        <v>5326</v>
      </c>
      <c r="AM182" s="411" t="s">
        <v>5327</v>
      </c>
      <c r="AN182" s="410" t="s">
        <v>5328</v>
      </c>
      <c r="AO182" s="413" t="s">
        <v>5329</v>
      </c>
      <c r="AP182" s="3519" t="s">
        <v>5330</v>
      </c>
      <c r="AQ182" s="411" t="s">
        <v>5331</v>
      </c>
      <c r="AR182" s="414" t="s">
        <v>5332</v>
      </c>
      <c r="AS182" s="413" t="s">
        <v>5333</v>
      </c>
      <c r="AT182" s="3519" t="s">
        <v>5334</v>
      </c>
      <c r="AU182" s="413" t="s">
        <v>5335</v>
      </c>
      <c r="AV182" s="3519" t="s">
        <v>5336</v>
      </c>
      <c r="AW182" s="411" t="s">
        <v>5337</v>
      </c>
      <c r="AX182" s="3519" t="s">
        <v>5338</v>
      </c>
      <c r="AY182" s="411" t="s">
        <v>5339</v>
      </c>
      <c r="AZ182" s="1687" t="e">
        <f t="shared" si="558"/>
        <v>#VALUE!</v>
      </c>
      <c r="CB182" s="3146" t="str">
        <f t="shared" si="531"/>
        <v xml:space="preserve"> * El Total de Exámenes Confirmados Positivos por ISP NO DEBE SUPERAR los  Exámenes Procesados. </v>
      </c>
      <c r="CC182" s="2784" t="str">
        <f t="shared" si="559"/>
        <v xml:space="preserve"> * El número de Exámenes por Sexo Hombres Confirmados positivos por ISP NO PUEDE Superar al número de Procesados. </v>
      </c>
      <c r="CD182" s="2784" t="str">
        <f t="shared" si="532"/>
        <v xml:space="preserve"> * El número de Exámenes por Sexo Mujeres Confirmados positivos por ISP NO PUEDE Superar al número de Procesados. </v>
      </c>
      <c r="CE182" s="2630"/>
      <c r="CF182" s="2630"/>
      <c r="CG182" s="2630"/>
      <c r="CH182" s="2630"/>
      <c r="CI182" s="2630"/>
      <c r="CJ182" s="2784" t="e">
        <f t="shared" si="533"/>
        <v>#VALUE!</v>
      </c>
      <c r="CK182" s="600"/>
      <c r="CL182" s="2784" t="e">
        <f t="shared" si="534"/>
        <v>#VALUE!</v>
      </c>
      <c r="CM182" s="2784" t="e">
        <f t="shared" si="535"/>
        <v>#VALUE!</v>
      </c>
      <c r="CN182" s="2784" t="str">
        <f t="shared" si="536"/>
        <v xml:space="preserve"> * Los exámenes procesados Pueblos originarios no pueden ser mayor que el Total de exámenes procesados.</v>
      </c>
      <c r="CO182" s="2784" t="str">
        <f t="shared" si="537"/>
        <v xml:space="preserve"> * Los exámenes procesados de Migrantes no pueden ser mayor que el Total de exámenes procesados.</v>
      </c>
      <c r="CP182" s="2784" t="e">
        <f t="shared" si="538"/>
        <v>#VALUE!</v>
      </c>
      <c r="CQ182" s="2784" t="str">
        <f t="shared" si="539"/>
        <v xml:space="preserve"> * Los exámenes Confirmados positivos por ISP de Pueblos originarios no pueden ser mayor que el Total de exámenes Procesados por ISP.</v>
      </c>
      <c r="CR182" s="2784" t="str">
        <f t="shared" si="540"/>
        <v xml:space="preserve"> * Los exámenes Confirmados positivos por ISP de Migrantes no pueden ser mayor que el Total de exámenes Procesados por ISP.</v>
      </c>
      <c r="CS182" s="2630"/>
      <c r="CT182" s="2630"/>
      <c r="CU182" s="6114" t="e">
        <f t="shared" si="541"/>
        <v>#VALUE!</v>
      </c>
      <c r="CV182" s="6114" t="e">
        <f t="shared" si="542"/>
        <v>#VALUE!</v>
      </c>
      <c r="CW182" s="6114" t="e">
        <f t="shared" si="562"/>
        <v>#VALUE!</v>
      </c>
      <c r="CX182" s="6114" t="e">
        <f t="shared" si="563"/>
        <v>#VALUE!</v>
      </c>
      <c r="DF182" s="3146">
        <f t="shared" si="545"/>
        <v>1</v>
      </c>
      <c r="DG182" s="2784">
        <f t="shared" si="560"/>
        <v>1</v>
      </c>
      <c r="DH182" s="2784">
        <f t="shared" si="546"/>
        <v>1</v>
      </c>
      <c r="DI182" s="2630"/>
      <c r="DJ182" s="2630"/>
      <c r="DK182" s="2630"/>
      <c r="DL182" s="2630"/>
      <c r="DM182" s="2630"/>
      <c r="DN182" s="2784" t="e">
        <f t="shared" si="547"/>
        <v>#VALUE!</v>
      </c>
      <c r="DO182" s="600"/>
      <c r="DP182" s="2784" t="e">
        <f t="shared" si="548"/>
        <v>#VALUE!</v>
      </c>
      <c r="DQ182" s="2784" t="e">
        <f t="shared" si="548"/>
        <v>#VALUE!</v>
      </c>
      <c r="DR182" s="2784">
        <f t="shared" si="549"/>
        <v>1</v>
      </c>
      <c r="DS182" s="2784">
        <f t="shared" si="550"/>
        <v>1</v>
      </c>
      <c r="DT182" s="2784" t="e">
        <f t="shared" si="551"/>
        <v>#VALUE!</v>
      </c>
      <c r="DU182" s="2784">
        <f t="shared" si="552"/>
        <v>1</v>
      </c>
      <c r="DV182" s="2784">
        <f t="shared" si="553"/>
        <v>1</v>
      </c>
      <c r="DW182" s="2630"/>
      <c r="DX182" s="2630"/>
      <c r="DY182" s="6114" t="e">
        <f t="shared" si="554"/>
        <v>#VALUE!</v>
      </c>
      <c r="DZ182" s="6114" t="e">
        <f t="shared" si="555"/>
        <v>#VALUE!</v>
      </c>
      <c r="EA182" s="6114" t="e">
        <f t="shared" si="564"/>
        <v>#VALUE!</v>
      </c>
      <c r="EB182" s="6114" t="e">
        <f t="shared" si="565"/>
        <v>#VALUE!</v>
      </c>
    </row>
    <row r="183" spans="1:132" x14ac:dyDescent="0.3">
      <c r="A183" s="6234">
        <v>11055380</v>
      </c>
      <c r="B183" s="7582" t="s">
        <v>2714</v>
      </c>
      <c r="C183" s="7583"/>
      <c r="D183" s="3516" t="s">
        <v>5292</v>
      </c>
      <c r="E183" s="3523" t="s">
        <v>5293</v>
      </c>
      <c r="F183" s="3492" t="s">
        <v>5294</v>
      </c>
      <c r="G183" s="3491" t="s">
        <v>5295</v>
      </c>
      <c r="H183" s="3492" t="s">
        <v>5296</v>
      </c>
      <c r="I183" s="3491" t="s">
        <v>5297</v>
      </c>
      <c r="J183" s="3492" t="s">
        <v>5298</v>
      </c>
      <c r="K183" s="3491" t="s">
        <v>5299</v>
      </c>
      <c r="L183" s="3492" t="s">
        <v>5300</v>
      </c>
      <c r="M183" s="3491" t="s">
        <v>5301</v>
      </c>
      <c r="N183" s="3492" t="s">
        <v>5302</v>
      </c>
      <c r="O183" s="3493" t="s">
        <v>5303</v>
      </c>
      <c r="P183" s="3492" t="s">
        <v>5304</v>
      </c>
      <c r="Q183" s="3491" t="s">
        <v>5305</v>
      </c>
      <c r="R183" s="3492" t="s">
        <v>5306</v>
      </c>
      <c r="S183" s="3491" t="s">
        <v>5307</v>
      </c>
      <c r="T183" s="3492" t="s">
        <v>5308</v>
      </c>
      <c r="U183" s="3491" t="s">
        <v>5309</v>
      </c>
      <c r="V183" s="3492" t="s">
        <v>5310</v>
      </c>
      <c r="W183" s="3491" t="s">
        <v>5311</v>
      </c>
      <c r="X183" s="3492" t="s">
        <v>5312</v>
      </c>
      <c r="Y183" s="3491" t="s">
        <v>5313</v>
      </c>
      <c r="Z183" s="3492" t="s">
        <v>5314</v>
      </c>
      <c r="AA183" s="3491" t="s">
        <v>5315</v>
      </c>
      <c r="AB183" s="3492" t="s">
        <v>5316</v>
      </c>
      <c r="AC183" s="3491" t="s">
        <v>5317</v>
      </c>
      <c r="AD183" s="3492" t="s">
        <v>5318</v>
      </c>
      <c r="AE183" s="3533" t="s">
        <v>5319</v>
      </c>
      <c r="AF183" s="3492" t="s">
        <v>5320</v>
      </c>
      <c r="AG183" s="3533" t="s">
        <v>5321</v>
      </c>
      <c r="AH183" s="3492" t="s">
        <v>5322</v>
      </c>
      <c r="AI183" s="3493" t="s">
        <v>5323</v>
      </c>
      <c r="AJ183" s="3492" t="s">
        <v>5324</v>
      </c>
      <c r="AK183" s="3491" t="s">
        <v>5325</v>
      </c>
      <c r="AL183" s="3495" t="s">
        <v>5326</v>
      </c>
      <c r="AM183" s="290" t="s">
        <v>5327</v>
      </c>
      <c r="AN183" s="3492" t="s">
        <v>5328</v>
      </c>
      <c r="AO183" s="385" t="s">
        <v>5329</v>
      </c>
      <c r="AP183" s="3495" t="s">
        <v>5330</v>
      </c>
      <c r="AQ183" s="290" t="s">
        <v>5331</v>
      </c>
      <c r="AR183" s="288" t="s">
        <v>5332</v>
      </c>
      <c r="AS183" s="385" t="s">
        <v>5333</v>
      </c>
      <c r="AT183" s="3495" t="s">
        <v>5334</v>
      </c>
      <c r="AU183" s="385" t="s">
        <v>5335</v>
      </c>
      <c r="AV183" s="3495" t="s">
        <v>5336</v>
      </c>
      <c r="AW183" s="290" t="s">
        <v>5337</v>
      </c>
      <c r="AX183" s="3495" t="s">
        <v>5338</v>
      </c>
      <c r="AY183" s="290" t="s">
        <v>5339</v>
      </c>
      <c r="AZ183" s="1687" t="e">
        <f>$CB183&amp;CC183&amp;$CD183&amp;CE183&amp;CF183&amp;CG183&amp;CH183&amp;CI183&amp;CJ183&amp;CK183&amp;CL183&amp;CM183&amp;CN183&amp;CO183&amp;CP183&amp;CQ183&amp;CR183&amp;CS183&amp;CT183&amp;CU183&amp;CV183&amp;CW183&amp;CX183</f>
        <v>#VALUE!</v>
      </c>
      <c r="CB183" s="3146" t="str">
        <f t="shared" si="531"/>
        <v xml:space="preserve"> * El Total de Exámenes Confirmados Positivos por ISP NO DEBE SUPERAR los  Exámenes Procesados. </v>
      </c>
      <c r="CC183" s="2784" t="str">
        <f t="shared" si="559"/>
        <v xml:space="preserve"> * El número de Exámenes por Sexo Hombres Confirmados positivos por ISP NO PUEDE Superar al número de Procesados. </v>
      </c>
      <c r="CD183" s="2784" t="str">
        <f t="shared" si="532"/>
        <v xml:space="preserve"> * El número de Exámenes por Sexo Mujeres Confirmados positivos por ISP NO PUEDE Superar al número de Procesados. </v>
      </c>
      <c r="CE183" s="2630"/>
      <c r="CF183" s="2630"/>
      <c r="CG183" s="2630"/>
      <c r="CH183" s="2630"/>
      <c r="CI183" s="2630"/>
      <c r="CJ183" s="2784" t="e">
        <f t="shared" si="533"/>
        <v>#VALUE!</v>
      </c>
      <c r="CK183" s="600"/>
      <c r="CL183" s="2784" t="e">
        <f t="shared" si="534"/>
        <v>#VALUE!</v>
      </c>
      <c r="CM183" s="2784" t="e">
        <f t="shared" si="535"/>
        <v>#VALUE!</v>
      </c>
      <c r="CN183" s="2784" t="str">
        <f t="shared" si="536"/>
        <v xml:space="preserve"> * Los exámenes procesados Pueblos originarios no pueden ser mayor que el Total de exámenes procesados.</v>
      </c>
      <c r="CO183" s="2784" t="str">
        <f t="shared" si="537"/>
        <v xml:space="preserve"> * Los exámenes procesados de Migrantes no pueden ser mayor que el Total de exámenes procesados.</v>
      </c>
      <c r="CP183" s="2784" t="e">
        <f t="shared" si="538"/>
        <v>#VALUE!</v>
      </c>
      <c r="CQ183" s="2784" t="str">
        <f t="shared" si="539"/>
        <v xml:space="preserve"> * Los exámenes Confirmados positivos por ISP de Pueblos originarios no pueden ser mayor que el Total de exámenes Procesados por ISP.</v>
      </c>
      <c r="CR183" s="2784" t="str">
        <f t="shared" si="540"/>
        <v xml:space="preserve"> * Los exámenes Confirmados positivos por ISP de Migrantes no pueden ser mayor que el Total de exámenes Procesados por ISP.</v>
      </c>
      <c r="CS183" s="2630"/>
      <c r="CT183" s="2630"/>
      <c r="CU183" s="6114" t="e">
        <f t="shared" si="541"/>
        <v>#VALUE!</v>
      </c>
      <c r="CV183" s="6114" t="e">
        <f t="shared" si="542"/>
        <v>#VALUE!</v>
      </c>
      <c r="CW183" s="6114" t="e">
        <f t="shared" si="562"/>
        <v>#VALUE!</v>
      </c>
      <c r="CX183" s="6114" t="e">
        <f t="shared" si="563"/>
        <v>#VALUE!</v>
      </c>
      <c r="DF183" s="3146">
        <f t="shared" si="545"/>
        <v>1</v>
      </c>
      <c r="DG183" s="2784">
        <f t="shared" si="560"/>
        <v>1</v>
      </c>
      <c r="DH183" s="2784">
        <f t="shared" si="546"/>
        <v>1</v>
      </c>
      <c r="DI183" s="2630"/>
      <c r="DJ183" s="2630"/>
      <c r="DK183" s="2630"/>
      <c r="DL183" s="2630"/>
      <c r="DM183" s="2630"/>
      <c r="DN183" s="2784" t="e">
        <f t="shared" si="547"/>
        <v>#VALUE!</v>
      </c>
      <c r="DO183" s="600"/>
      <c r="DP183" s="2784" t="e">
        <f t="shared" si="548"/>
        <v>#VALUE!</v>
      </c>
      <c r="DQ183" s="2784" t="e">
        <f t="shared" si="548"/>
        <v>#VALUE!</v>
      </c>
      <c r="DR183" s="2784">
        <f t="shared" si="549"/>
        <v>1</v>
      </c>
      <c r="DS183" s="2784">
        <f t="shared" si="550"/>
        <v>1</v>
      </c>
      <c r="DT183" s="2784" t="e">
        <f t="shared" si="551"/>
        <v>#VALUE!</v>
      </c>
      <c r="DU183" s="2784">
        <f t="shared" si="552"/>
        <v>1</v>
      </c>
      <c r="DV183" s="2784">
        <f t="shared" si="553"/>
        <v>1</v>
      </c>
      <c r="DW183" s="2630"/>
      <c r="DX183" s="2630"/>
      <c r="DY183" s="6114" t="e">
        <f t="shared" si="554"/>
        <v>#VALUE!</v>
      </c>
      <c r="DZ183" s="6114" t="e">
        <f t="shared" si="555"/>
        <v>#VALUE!</v>
      </c>
      <c r="EA183" s="6114" t="e">
        <f t="shared" si="564"/>
        <v>#VALUE!</v>
      </c>
      <c r="EB183" s="6114" t="e">
        <f t="shared" si="565"/>
        <v>#VALUE!</v>
      </c>
    </row>
    <row r="184" spans="1:132" ht="18" customHeight="1" x14ac:dyDescent="0.3">
      <c r="A184" s="599"/>
      <c r="B184" s="7555" t="s">
        <v>2715</v>
      </c>
      <c r="C184" s="7555"/>
      <c r="D184" s="7555"/>
      <c r="E184" s="7555"/>
      <c r="F184" s="7555"/>
      <c r="G184" s="7555"/>
      <c r="H184" s="7555"/>
      <c r="I184" s="7555"/>
      <c r="J184" s="5207"/>
      <c r="K184" s="5207"/>
      <c r="L184" s="5207"/>
      <c r="M184" s="5207"/>
      <c r="N184" s="5207"/>
      <c r="O184" s="5207"/>
      <c r="P184" s="5207"/>
      <c r="Q184" s="5207"/>
      <c r="R184" s="5207"/>
      <c r="S184" s="5207"/>
      <c r="T184" s="5207"/>
      <c r="U184" s="5207"/>
      <c r="V184" s="5207"/>
      <c r="W184" s="5207"/>
      <c r="X184" s="5207"/>
      <c r="Y184" s="5207"/>
      <c r="Z184" s="5207"/>
      <c r="AA184" s="5207"/>
      <c r="AB184" s="5207"/>
      <c r="AC184" s="5207"/>
      <c r="AD184" s="5207"/>
      <c r="AE184" s="5207"/>
      <c r="AF184" s="5207"/>
      <c r="AG184" s="5207"/>
      <c r="AH184" s="5207"/>
      <c r="AI184" s="5207"/>
      <c r="AJ184" s="5207"/>
      <c r="AK184" s="5207"/>
      <c r="AL184" s="3534"/>
      <c r="AM184" s="3534"/>
      <c r="AN184" s="3534"/>
      <c r="AO184" s="3534"/>
      <c r="AP184" s="3534"/>
      <c r="AQ184" s="3534"/>
      <c r="AR184" s="3534"/>
      <c r="AS184" s="3534"/>
      <c r="AT184" s="3534"/>
      <c r="AU184" s="3534"/>
      <c r="AV184" s="3534"/>
      <c r="AW184" s="3534"/>
      <c r="AX184" s="3534"/>
      <c r="AY184" s="3534"/>
    </row>
    <row r="185" spans="1:132" x14ac:dyDescent="0.3">
      <c r="A185" s="599"/>
      <c r="B185" s="7544" t="s">
        <v>2683</v>
      </c>
      <c r="C185" s="7538"/>
      <c r="D185" s="7542" t="s">
        <v>24</v>
      </c>
      <c r="E185" s="7523"/>
      <c r="F185" s="7548" t="s">
        <v>12</v>
      </c>
      <c r="G185" s="7556"/>
      <c r="H185" s="7556"/>
      <c r="I185" s="7556"/>
      <c r="J185" s="7556"/>
      <c r="K185" s="7556"/>
      <c r="L185" s="7556"/>
      <c r="M185" s="7556"/>
      <c r="N185" s="7556"/>
      <c r="O185" s="7556"/>
      <c r="P185" s="7556"/>
      <c r="Q185" s="7556"/>
      <c r="R185" s="7556"/>
      <c r="S185" s="7556"/>
      <c r="T185" s="7556"/>
      <c r="U185" s="7556"/>
      <c r="V185" s="7556"/>
      <c r="W185" s="7556"/>
      <c r="X185" s="7556"/>
      <c r="Y185" s="7556"/>
      <c r="Z185" s="7556"/>
      <c r="AA185" s="7556"/>
      <c r="AB185" s="7556"/>
      <c r="AC185" s="7556"/>
      <c r="AD185" s="7556"/>
      <c r="AE185" s="7556"/>
      <c r="AF185" s="7556"/>
      <c r="AG185" s="7556"/>
      <c r="AH185" s="7556"/>
      <c r="AI185" s="7556"/>
      <c r="AJ185" s="7556"/>
      <c r="AK185" s="7561"/>
      <c r="AL185" s="7562" t="s">
        <v>2696</v>
      </c>
      <c r="AM185" s="7562"/>
      <c r="AN185" s="7562"/>
      <c r="AO185" s="7563"/>
      <c r="AP185" s="7564" t="s">
        <v>48</v>
      </c>
      <c r="AQ185" s="7562"/>
      <c r="AR185" s="7562"/>
      <c r="AS185" s="7563"/>
      <c r="AT185" s="7565" t="s">
        <v>546</v>
      </c>
      <c r="AU185" s="7530"/>
      <c r="AV185" s="7565" t="s">
        <v>3</v>
      </c>
      <c r="AW185" s="7530"/>
      <c r="AX185" s="6527" t="s">
        <v>2697</v>
      </c>
      <c r="AY185" s="7538"/>
    </row>
    <row r="186" spans="1:132" x14ac:dyDescent="0.3">
      <c r="A186" s="599"/>
      <c r="B186" s="6590"/>
      <c r="C186" s="6324"/>
      <c r="D186" s="7151"/>
      <c r="E186" s="7150"/>
      <c r="F186" s="7567" t="s">
        <v>3779</v>
      </c>
      <c r="G186" s="7568"/>
      <c r="H186" s="7567" t="s">
        <v>54</v>
      </c>
      <c r="I186" s="7568"/>
      <c r="J186" s="7567" t="s">
        <v>3705</v>
      </c>
      <c r="K186" s="7568"/>
      <c r="L186" s="7548" t="s">
        <v>37</v>
      </c>
      <c r="M186" s="7549"/>
      <c r="N186" s="7548" t="s">
        <v>38</v>
      </c>
      <c r="O186" s="7549"/>
      <c r="P186" s="7548" t="s">
        <v>4</v>
      </c>
      <c r="Q186" s="7549"/>
      <c r="R186" s="7548" t="s">
        <v>5</v>
      </c>
      <c r="S186" s="7549"/>
      <c r="T186" s="7548" t="s">
        <v>6</v>
      </c>
      <c r="U186" s="7549"/>
      <c r="V186" s="7548" t="s">
        <v>7</v>
      </c>
      <c r="W186" s="7549"/>
      <c r="X186" s="7548" t="s">
        <v>8</v>
      </c>
      <c r="Y186" s="7549"/>
      <c r="Z186" s="7548" t="s">
        <v>9</v>
      </c>
      <c r="AA186" s="7549"/>
      <c r="AB186" s="7548" t="s">
        <v>10</v>
      </c>
      <c r="AC186" s="7549"/>
      <c r="AD186" s="7548" t="s">
        <v>11</v>
      </c>
      <c r="AE186" s="7549"/>
      <c r="AF186" s="7548" t="s">
        <v>18</v>
      </c>
      <c r="AG186" s="7549"/>
      <c r="AH186" s="7548" t="s">
        <v>19</v>
      </c>
      <c r="AI186" s="7549"/>
      <c r="AJ186" s="7548" t="s">
        <v>2698</v>
      </c>
      <c r="AK186" s="7561"/>
      <c r="AL186" s="7571" t="s">
        <v>22</v>
      </c>
      <c r="AM186" s="7572"/>
      <c r="AN186" s="7569" t="s">
        <v>27</v>
      </c>
      <c r="AO186" s="7570"/>
      <c r="AP186" s="7571" t="s">
        <v>42</v>
      </c>
      <c r="AQ186" s="7572"/>
      <c r="AR186" s="7573" t="s">
        <v>41</v>
      </c>
      <c r="AS186" s="7570"/>
      <c r="AT186" s="7531"/>
      <c r="AU186" s="7532"/>
      <c r="AV186" s="7531"/>
      <c r="AW186" s="7532"/>
      <c r="AX186" s="7566"/>
      <c r="AY186" s="7146"/>
    </row>
    <row r="187" spans="1:132" ht="30.6" x14ac:dyDescent="0.3">
      <c r="A187" s="599"/>
      <c r="B187" s="7545"/>
      <c r="C187" s="7146"/>
      <c r="D187" s="5133" t="s">
        <v>2657</v>
      </c>
      <c r="E187" s="5134" t="s">
        <v>2699</v>
      </c>
      <c r="F187" s="5133" t="s">
        <v>2657</v>
      </c>
      <c r="G187" s="5134" t="s">
        <v>2699</v>
      </c>
      <c r="H187" s="5133" t="s">
        <v>2657</v>
      </c>
      <c r="I187" s="5134" t="s">
        <v>2699</v>
      </c>
      <c r="J187" s="5133" t="s">
        <v>2657</v>
      </c>
      <c r="K187" s="5134" t="s">
        <v>2699</v>
      </c>
      <c r="L187" s="5133" t="s">
        <v>2657</v>
      </c>
      <c r="M187" s="5134" t="s">
        <v>2699</v>
      </c>
      <c r="N187" s="5133" t="s">
        <v>2657</v>
      </c>
      <c r="O187" s="5134" t="s">
        <v>2699</v>
      </c>
      <c r="P187" s="5133" t="s">
        <v>2657</v>
      </c>
      <c r="Q187" s="5134" t="s">
        <v>2699</v>
      </c>
      <c r="R187" s="5133" t="s">
        <v>2657</v>
      </c>
      <c r="S187" s="5134" t="s">
        <v>2699</v>
      </c>
      <c r="T187" s="5133" t="s">
        <v>2657</v>
      </c>
      <c r="U187" s="5134" t="s">
        <v>2699</v>
      </c>
      <c r="V187" s="5133" t="s">
        <v>2657</v>
      </c>
      <c r="W187" s="5134" t="s">
        <v>2699</v>
      </c>
      <c r="X187" s="5133" t="s">
        <v>2657</v>
      </c>
      <c r="Y187" s="5134" t="s">
        <v>2699</v>
      </c>
      <c r="Z187" s="5133" t="s">
        <v>2657</v>
      </c>
      <c r="AA187" s="5134" t="s">
        <v>2699</v>
      </c>
      <c r="AB187" s="5133" t="s">
        <v>2657</v>
      </c>
      <c r="AC187" s="5134" t="s">
        <v>2699</v>
      </c>
      <c r="AD187" s="5133" t="s">
        <v>2657</v>
      </c>
      <c r="AE187" s="5134" t="s">
        <v>2699</v>
      </c>
      <c r="AF187" s="5133" t="s">
        <v>2657</v>
      </c>
      <c r="AG187" s="5134" t="s">
        <v>2699</v>
      </c>
      <c r="AH187" s="5133" t="s">
        <v>2657</v>
      </c>
      <c r="AI187" s="5134" t="s">
        <v>2699</v>
      </c>
      <c r="AJ187" s="5133" t="s">
        <v>2657</v>
      </c>
      <c r="AK187" s="5137" t="s">
        <v>2699</v>
      </c>
      <c r="AL187" s="5187" t="s">
        <v>2657</v>
      </c>
      <c r="AM187" s="5134" t="s">
        <v>2699</v>
      </c>
      <c r="AN187" s="5133" t="s">
        <v>2657</v>
      </c>
      <c r="AO187" s="5134" t="s">
        <v>2699</v>
      </c>
      <c r="AP187" s="5188" t="s">
        <v>2657</v>
      </c>
      <c r="AQ187" s="5134" t="s">
        <v>2699</v>
      </c>
      <c r="AR187" s="5133" t="s">
        <v>2657</v>
      </c>
      <c r="AS187" s="5134" t="s">
        <v>2699</v>
      </c>
      <c r="AT187" s="5188" t="s">
        <v>2657</v>
      </c>
      <c r="AU187" s="5134" t="s">
        <v>2699</v>
      </c>
      <c r="AV187" s="5188" t="s">
        <v>2657</v>
      </c>
      <c r="AW187" s="5135" t="s">
        <v>2699</v>
      </c>
      <c r="AX187" s="5188" t="s">
        <v>2657</v>
      </c>
      <c r="AY187" s="5135" t="s">
        <v>2699</v>
      </c>
    </row>
    <row r="188" spans="1:132" x14ac:dyDescent="0.3">
      <c r="A188" s="6234">
        <v>11055200</v>
      </c>
      <c r="B188" s="7574" t="s">
        <v>2700</v>
      </c>
      <c r="C188" s="7575"/>
      <c r="D188" s="5140" t="s">
        <v>5292</v>
      </c>
      <c r="E188" s="5189" t="s">
        <v>5293</v>
      </c>
      <c r="F188" s="5190" t="s">
        <v>5294</v>
      </c>
      <c r="G188" s="5191" t="s">
        <v>5295</v>
      </c>
      <c r="H188" s="5190" t="s">
        <v>5296</v>
      </c>
      <c r="I188" s="5191" t="s">
        <v>5297</v>
      </c>
      <c r="J188" s="5190" t="s">
        <v>5298</v>
      </c>
      <c r="K188" s="5191" t="s">
        <v>5299</v>
      </c>
      <c r="L188" s="5190" t="s">
        <v>5300</v>
      </c>
      <c r="M188" s="5191" t="s">
        <v>5301</v>
      </c>
      <c r="N188" s="5167" t="s">
        <v>5302</v>
      </c>
      <c r="O188" s="5168" t="s">
        <v>5303</v>
      </c>
      <c r="P188" s="5167" t="s">
        <v>5304</v>
      </c>
      <c r="Q188" s="5168" t="s">
        <v>5305</v>
      </c>
      <c r="R188" s="5167" t="s">
        <v>5306</v>
      </c>
      <c r="S188" s="5168" t="s">
        <v>5307</v>
      </c>
      <c r="T188" s="5167" t="s">
        <v>5308</v>
      </c>
      <c r="U188" s="5168" t="s">
        <v>5309</v>
      </c>
      <c r="V188" s="5167" t="s">
        <v>5310</v>
      </c>
      <c r="W188" s="5168" t="s">
        <v>5311</v>
      </c>
      <c r="X188" s="5167" t="s">
        <v>5312</v>
      </c>
      <c r="Y188" s="5168" t="s">
        <v>5313</v>
      </c>
      <c r="Z188" s="5167" t="s">
        <v>5314</v>
      </c>
      <c r="AA188" s="5168" t="s">
        <v>5315</v>
      </c>
      <c r="AB188" s="5167" t="s">
        <v>5316</v>
      </c>
      <c r="AC188" s="5168" t="s">
        <v>5317</v>
      </c>
      <c r="AD188" s="5167" t="s">
        <v>5318</v>
      </c>
      <c r="AE188" s="5168" t="s">
        <v>5319</v>
      </c>
      <c r="AF188" s="5167" t="s">
        <v>5320</v>
      </c>
      <c r="AG188" s="5168" t="s">
        <v>5321</v>
      </c>
      <c r="AH188" s="5190" t="s">
        <v>5322</v>
      </c>
      <c r="AI188" s="5192" t="s">
        <v>5323</v>
      </c>
      <c r="AJ188" s="5190" t="s">
        <v>5324</v>
      </c>
      <c r="AK188" s="5193" t="s">
        <v>5325</v>
      </c>
      <c r="AL188" s="3509" t="s">
        <v>5326</v>
      </c>
      <c r="AM188" s="5194" t="s">
        <v>5327</v>
      </c>
      <c r="AN188" s="276" t="s">
        <v>5328</v>
      </c>
      <c r="AO188" s="3510" t="s">
        <v>5329</v>
      </c>
      <c r="AP188" s="5146" t="s">
        <v>5330</v>
      </c>
      <c r="AQ188" s="3511" t="s">
        <v>5331</v>
      </c>
      <c r="AR188" s="3479" t="s">
        <v>5332</v>
      </c>
      <c r="AS188" s="3512" t="s">
        <v>5333</v>
      </c>
      <c r="AT188" s="5146" t="s">
        <v>5334</v>
      </c>
      <c r="AU188" s="3512" t="s">
        <v>5335</v>
      </c>
      <c r="AV188" s="5146" t="s">
        <v>5336</v>
      </c>
      <c r="AW188" s="3511" t="s">
        <v>5337</v>
      </c>
      <c r="AX188" s="5146" t="s">
        <v>5338</v>
      </c>
      <c r="AY188" s="3511" t="s">
        <v>5339</v>
      </c>
      <c r="AZ188" s="1687" t="e">
        <f>$CB188&amp;$CD188&amp;CE188&amp;CF188&amp;CG188&amp;CH188&amp;CI188&amp;CJ188&amp;CK188&amp;CL188&amp;CM188&amp;CN188&amp;CO188&amp;CP188&amp;CQ188&amp;CR188&amp;CS188&amp;CT188&amp;CU188&amp;CV188</f>
        <v>#VALUE!</v>
      </c>
      <c r="CB188" s="3146" t="str">
        <f>IF(E188&gt;D188," * El Total de Exámenes Confirmados Positivos por ISP NO DEBE SUPERAR los Exámenes Procesados. ","")</f>
        <v xml:space="preserve"> * El Total de Exámenes Confirmados Positivos por ISP NO DEBE SUPERAR los Exámenes Procesados. </v>
      </c>
      <c r="CC188" s="3513"/>
      <c r="CD188" s="2784" t="str">
        <f>IF(AO188&gt;AN188,"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8" s="2630"/>
      <c r="CF188" s="2630"/>
      <c r="CG188" s="2630"/>
      <c r="CH188" s="2630"/>
      <c r="CI188" s="2630"/>
      <c r="CJ188" s="2784" t="e">
        <f>IF(AND(D188&gt;0,AND(AP188="",AR188=""))," * No olvide digitar los exámenes procesados Trans (Masculino y femenino) Digite Cero si no tiene.",IF((AP188+AR188)&gt;D188," * Los exámenes procesados en Trans (Masculino y femenino) no pueden ser mayor que el Total de exámenes procesados.",""))</f>
        <v>#VALUE!</v>
      </c>
      <c r="CK188" s="600"/>
      <c r="CL188" s="2784" t="e">
        <f>IF((AN188+AL188)&lt;&gt;D188," * El N° de exámenes Procesados por SEXO (Hombres + Mujeres)no puede ser distinto al Total de exámenes procesados","")</f>
        <v>#VALUE!</v>
      </c>
      <c r="CM188" s="2784" t="e">
        <f>IF((AO188+AM188)&lt;&gt;E188," * El N° de exámenes Confirmados positivos por ISP por Sexo (Hombres+Mujeres) no puede ser distinto al N° Total de exámenes Confirmados positivos por ISP ","")</f>
        <v>#VALUE!</v>
      </c>
      <c r="CN188" s="2784" t="str">
        <f>IF(AND(D188&gt;0,AT188="")," * No olvide digitar los examanes Procesados de Pueblos Originarios. Digite Cero si no tiene.",IF(AT188&gt;D188,"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188" s="2784" t="str">
        <f>IF(AND(D188&gt;0,AV188="")," * No olvide digitar los examenes Procesados de Migrantes. Digite Cero si no tiene.",IF(AV188&gt;D188," * Los exámenes procesados de Migrantes no pueden ser mayor que el Total de exámenes procesados.",""))</f>
        <v xml:space="preserve"> * Los exámenes procesados de Migrantes no pueden ser mayor que el Total de exámenes procesados.</v>
      </c>
      <c r="CP188" s="2784" t="e">
        <f>IF(AND(E188&gt;0,OR(AQ188="",AS188=""))," * No olvide digitar los exámenes Confirmados positivos por ISP de Trans (Masculino y femenino) Digite Cero si no tiene.",IF((AQ188+AS188)&gt;E188," * Los exámenes confirmados positivos por ISP de Trans (Masculino y femenino) no pueden ser mayor que el Total de exámenes Confirmados positivos por ISP.",""))</f>
        <v>#VALUE!</v>
      </c>
      <c r="CQ188" s="2784" t="str">
        <f>IF(AND(E188&gt;0,AU188="")," * No olvide digitar los exámenes Confirmados positivos por ISP de Pueblos Originarios. Digite Cero si no tiene.",IF(AU188&gt;E188,"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88" s="2784" t="str">
        <f>IF(AND(E188&gt;0,AW188="")," * No olvide digitar los exámenes Confirmados positivos por ISP de Migrantes. Digite Cero si no tiene.",IF(AW188&gt;E188,"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88" s="2630"/>
      <c r="CT188" s="2630"/>
      <c r="CU188" s="2784" t="e">
        <f>IF(AND((N188+P188)&gt;0,AX188=""),"* No olvide digitar la variable 14-18 años Procesados. Si no tiene digite Cero.",IF(AX188&gt;(N188+P188),"* El Total de Procesados de 14-18 años NO DEBE ser mayor al Total de Procesados registrados en los grupos de edad 10 a 14 y 15 a 19 años. ",""))</f>
        <v>#VALUE!</v>
      </c>
      <c r="CV188" s="2784" t="e">
        <f>IF(AND((O188+Q188)&gt;0,AY188=""),"* No olvide digitar la variable 14-18 años Confirmados. Si no tiene digite Cero.",IF(AY188&gt;(O188+Q188),"* El Total de Confirmados de 14-18 años NO DEBE ser mayor al Total de Confirmados registrados en los grupos de edad 10 a 14 y 15 a 19 años. ",""))</f>
        <v>#VALUE!</v>
      </c>
      <c r="DF188" s="3146">
        <f>IF(E188&gt;D188,1,0)</f>
        <v>1</v>
      </c>
      <c r="DG188" s="3513"/>
      <c r="DH188" s="2784">
        <f>IF(AO188&gt;AN188,1,0)</f>
        <v>1</v>
      </c>
      <c r="DI188" s="2630"/>
      <c r="DJ188" s="2630"/>
      <c r="DK188" s="2630"/>
      <c r="DL188" s="2630"/>
      <c r="DM188" s="2630"/>
      <c r="DN188" s="2784" t="e">
        <f>IF(AND(D188&gt;0,AND(AP188="",AR188="")),1,IF((AP188+AR188)&gt;D188,1,0))</f>
        <v>#VALUE!</v>
      </c>
      <c r="DO188" s="600"/>
      <c r="DP188" s="2784" t="e">
        <f>IF((AN188+AL188)&lt;&gt;D188,1,0)</f>
        <v>#VALUE!</v>
      </c>
      <c r="DQ188" s="2784" t="e">
        <f>IF((AO188+AM188)&lt;&gt;E188,1,0)</f>
        <v>#VALUE!</v>
      </c>
      <c r="DR188" s="2784">
        <f>IF(AND(D188&gt;0,AT188=""),1,IF(AT188&gt;D188,1,0))</f>
        <v>1</v>
      </c>
      <c r="DS188" s="2784">
        <f>IF(AND(D188&gt;0,AV188=""),1,IF(AV188&gt;D188,1,0))</f>
        <v>1</v>
      </c>
      <c r="DT188" s="2784" t="e">
        <f>IF(AND(E188&gt;0,OR(AQ188="",AS188="")),1,IF((AQ188+AS188)&gt;E188,1,0))</f>
        <v>#VALUE!</v>
      </c>
      <c r="DU188" s="2784">
        <f>IF(AND(E188&gt;0,AU188=""),1,IF(AU188&gt;E188,1,0))</f>
        <v>1</v>
      </c>
      <c r="DV188" s="2784">
        <f>IF(AND(E188&gt;0,AW188=""),1,IF(AW188&gt;E188,1,0))</f>
        <v>1</v>
      </c>
      <c r="DW188" s="2630"/>
      <c r="DX188" s="2630"/>
      <c r="DY188" s="2784" t="e">
        <f>IF(AND((N188+P188)&gt;0,AX188=""),1,IF(AX188&gt;(N188+P188),1,0))</f>
        <v>#VALUE!</v>
      </c>
      <c r="DZ188" s="2784" t="e">
        <f>IF(AND((O188+Q188)&gt;0,AY188=""),1,IF(AY188&gt;(O188+Q188),1,0))</f>
        <v>#VALUE!</v>
      </c>
    </row>
    <row r="189" spans="1:132" x14ac:dyDescent="0.3">
      <c r="A189" s="6234">
        <v>11055210</v>
      </c>
      <c r="B189" s="7576" t="s">
        <v>2701</v>
      </c>
      <c r="C189" s="7577"/>
      <c r="D189" s="1928" t="s">
        <v>5292</v>
      </c>
      <c r="E189" s="5031" t="s">
        <v>5293</v>
      </c>
      <c r="F189" s="5148" t="s">
        <v>5294</v>
      </c>
      <c r="G189" s="5149" t="s">
        <v>5295</v>
      </c>
      <c r="H189" s="5148" t="s">
        <v>5296</v>
      </c>
      <c r="I189" s="5149" t="s">
        <v>5297</v>
      </c>
      <c r="J189" s="5148" t="s">
        <v>5298</v>
      </c>
      <c r="K189" s="5149" t="s">
        <v>5299</v>
      </c>
      <c r="L189" s="5148" t="s">
        <v>5300</v>
      </c>
      <c r="M189" s="5149" t="s">
        <v>5301</v>
      </c>
      <c r="N189" s="276" t="s">
        <v>5302</v>
      </c>
      <c r="O189" s="5143" t="s">
        <v>5303</v>
      </c>
      <c r="P189" s="276" t="s">
        <v>5304</v>
      </c>
      <c r="Q189" s="5143" t="s">
        <v>5305</v>
      </c>
      <c r="R189" s="276" t="s">
        <v>5306</v>
      </c>
      <c r="S189" s="5143" t="s">
        <v>5307</v>
      </c>
      <c r="T189" s="276" t="s">
        <v>5308</v>
      </c>
      <c r="U189" s="5143" t="s">
        <v>5309</v>
      </c>
      <c r="V189" s="276" t="s">
        <v>5310</v>
      </c>
      <c r="W189" s="5143" t="s">
        <v>5311</v>
      </c>
      <c r="X189" s="276" t="s">
        <v>5312</v>
      </c>
      <c r="Y189" s="5143" t="s">
        <v>5313</v>
      </c>
      <c r="Z189" s="276" t="s">
        <v>5314</v>
      </c>
      <c r="AA189" s="5143" t="s">
        <v>5315</v>
      </c>
      <c r="AB189" s="276" t="s">
        <v>5316</v>
      </c>
      <c r="AC189" s="5143" t="s">
        <v>5317</v>
      </c>
      <c r="AD189" s="276" t="s">
        <v>5318</v>
      </c>
      <c r="AE189" s="5143" t="s">
        <v>5319</v>
      </c>
      <c r="AF189" s="276" t="s">
        <v>5320</v>
      </c>
      <c r="AG189" s="5143" t="s">
        <v>5321</v>
      </c>
      <c r="AH189" s="5148" t="s">
        <v>5322</v>
      </c>
      <c r="AI189" s="5150" t="s">
        <v>5323</v>
      </c>
      <c r="AJ189" s="5148" t="s">
        <v>5324</v>
      </c>
      <c r="AK189" s="5156" t="s">
        <v>5325</v>
      </c>
      <c r="AL189" s="3483" t="s">
        <v>5326</v>
      </c>
      <c r="AM189" s="3514" t="s">
        <v>5327</v>
      </c>
      <c r="AN189" s="5038" t="s">
        <v>5328</v>
      </c>
      <c r="AO189" s="3512" t="s">
        <v>5329</v>
      </c>
      <c r="AP189" s="5146" t="s">
        <v>5330</v>
      </c>
      <c r="AQ189" s="3511" t="s">
        <v>5331</v>
      </c>
      <c r="AR189" s="3479" t="s">
        <v>5332</v>
      </c>
      <c r="AS189" s="3512" t="s">
        <v>5333</v>
      </c>
      <c r="AT189" s="5146" t="s">
        <v>5334</v>
      </c>
      <c r="AU189" s="3512" t="s">
        <v>5335</v>
      </c>
      <c r="AV189" s="5146" t="s">
        <v>5336</v>
      </c>
      <c r="AW189" s="3511" t="s">
        <v>5337</v>
      </c>
      <c r="AX189" s="5146" t="s">
        <v>5338</v>
      </c>
      <c r="AY189" s="3511" t="s">
        <v>5339</v>
      </c>
      <c r="AZ189" s="1687" t="e">
        <f>$CB189&amp;$CD189&amp;CE189&amp;CF189&amp;CG189&amp;CH189&amp;CI189&amp;CJ189&amp;CK189&amp;CL189&amp;CM189&amp;CN189&amp;CO189&amp;CP189&amp;CQ189&amp;CR189&amp;CS189&amp;CT189&amp;CU189</f>
        <v>#VALUE!</v>
      </c>
      <c r="CB189" s="3146" t="str">
        <f t="shared" ref="CB189:CB210" si="566">IF(E189&gt;D189," * El Total de Exámenes Confirmados Positivos por ISP NO DEBE SUPERAR los Exámenes Procesados. ","")</f>
        <v xml:space="preserve"> * El Total de Exámenes Confirmados Positivos por ISP NO DEBE SUPERAR los Exámenes Procesados. </v>
      </c>
      <c r="CC189" s="3513"/>
      <c r="CD189" s="2784" t="str">
        <f t="shared" ref="CD189:CD210" si="567">IF(AO189&gt;AN189,"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9" s="2630"/>
      <c r="CF189" s="2630"/>
      <c r="CG189" s="2630"/>
      <c r="CH189" s="2630"/>
      <c r="CI189" s="2630"/>
      <c r="CJ189" s="2784" t="e">
        <f t="shared" ref="CJ189:CJ210" si="568">IF(AND(D189&gt;0,AND(AP189="",AR189=""))," * No olvide digitar los exámenes procesados Trans (Masculino y femenino) Digite Cero si no tiene.",IF((AP189+AR189)&gt;D189," * Los exámenes procesados en Trans (Masculino y femenino) no pueden ser mayor que el Total de exámenes procesados.",""))</f>
        <v>#VALUE!</v>
      </c>
      <c r="CK189" s="600"/>
      <c r="CL189" s="2784" t="e">
        <f t="shared" ref="CL189:CL210" si="569">IF((AN189+AL189)&lt;&gt;D189," * El N° de exámenes Procesados por SEXO (Hombres + Mujeres)no puede ser distinto al Total de exámenes procesados","")</f>
        <v>#VALUE!</v>
      </c>
      <c r="CM189" s="2784" t="e">
        <f t="shared" ref="CM189:CM210" si="570">IF((AO189+AM189)&lt;&gt;E189," * El N° de exámenes Confirmados positivos por ISP por Sexo (Hombres+Mujeres) no puede ser distinto al N° Total de exámenes Confirmados positivos por ISP ","")</f>
        <v>#VALUE!</v>
      </c>
      <c r="CN189" s="2784" t="str">
        <f t="shared" ref="CN189:CN210" si="571">IF(AND(D189&gt;0,AT189="")," * No olvide digitar los examanes Procesados de Pueblos Originarios. Digite Cero si no tiene.",IF(AT189&gt;D189,"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189" s="2784" t="str">
        <f t="shared" ref="CO189:CO210" si="572">IF(AND(D189&gt;0,AV189="")," * No olvide digitar los examenes Procesados de Migrantes. Digite Cero si no tiene.",IF(AV189&gt;D189," * Los exámenes procesados de Migrantes no pueden ser mayor que el Total de exámenes procesados.",""))</f>
        <v xml:space="preserve"> * Los exámenes procesados de Migrantes no pueden ser mayor que el Total de exámenes procesados.</v>
      </c>
      <c r="CP189" s="2784" t="e">
        <f t="shared" ref="CP189:CP210" si="573">IF(AND(E189&gt;0,OR(AQ189="",AS189=""))," * No olvide digitar los exámenes Confirmados positivos por ISP de Trans (Masculino y femenino) Digite Cero si no tiene.",IF((AQ189+AS189)&gt;E189," * Los exámenes confirmados positivos por ISP de Trans (Masculino y femenino) no pueden ser mayor que el Total de exámenes Confirmados positivos por ISP.",""))</f>
        <v>#VALUE!</v>
      </c>
      <c r="CQ189" s="2784" t="str">
        <f t="shared" ref="CQ189:CQ210" si="574">IF(AND(E189&gt;0,AU189="")," * No olvide digitar los exámenes Confirmados positivos por ISP de Pueblos Originarios. Digite Cero si no tiene.",IF(AU189&gt;E189,"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89" s="2784" t="str">
        <f t="shared" ref="CR189:CR210" si="575">IF(AND(E189&gt;0,AW189="")," * No olvide digitar los exámenes Confirmados positivos por ISP de Migrantes. Digite Cero si no tiene.",IF(AW189&gt;E189,"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89" s="2630"/>
      <c r="CT189" s="2630"/>
      <c r="CU189" s="2784" t="e">
        <f t="shared" ref="CU189:CU196" si="576">IF(AND((N189+P189)&gt;0,AX189=""),"* No olvide digitar la variable 14-18 años Procesados. Si no tiene digite Cero.",IF(AX189&gt;(N189+P189),"* El Total de Procesados de 14-18 años NO DEBE ser mayor al Total de Procesados registrados en los grupos de edad 10 a 14 y 15 a 19 años. ",""))</f>
        <v>#VALUE!</v>
      </c>
      <c r="CV189" s="2784" t="e">
        <f t="shared" ref="CV189:CV196" si="577">IF(AND((O189+Q189)&gt;0,AY189=""),"* No olvide digitar la variable 14-18 años Confirmados. Si no tiene digite Cero.",IF(AY189&gt;(O189+Q189),"* El Total de Confirmados de 14-18 años NO DEBE ser mayor al Total de Confirmados registrados en los grupos de edad 10 a 14 y 15 a 19 años. ",""))</f>
        <v>#VALUE!</v>
      </c>
      <c r="DF189" s="3146">
        <f t="shared" ref="DF189:DF210" si="578">IF(E189&gt;D189,1,0)</f>
        <v>1</v>
      </c>
      <c r="DG189" s="3513"/>
      <c r="DH189" s="2784">
        <f t="shared" ref="DH189:DH210" si="579">IF(AO189&gt;AN189,1,0)</f>
        <v>1</v>
      </c>
      <c r="DI189" s="2630"/>
      <c r="DJ189" s="2630"/>
      <c r="DK189" s="2630"/>
      <c r="DL189" s="2630"/>
      <c r="DM189" s="2630"/>
      <c r="DN189" s="2784" t="e">
        <f t="shared" ref="DN189:DN210" si="580">IF(AND(D189&gt;0,AND(AP189="",AR189="")),1,IF((AP189+AR189)&gt;D189,1,0))</f>
        <v>#VALUE!</v>
      </c>
      <c r="DO189" s="600"/>
      <c r="DP189" s="2784" t="e">
        <f t="shared" ref="DP189:DP210" si="581">IF((AN189+AL189)&lt;&gt;D189,1,0)</f>
        <v>#VALUE!</v>
      </c>
      <c r="DQ189" s="2784" t="e">
        <f t="shared" ref="DQ189:DQ210" si="582">IF((AO189+AM189)&lt;&gt;E189,1,0)</f>
        <v>#VALUE!</v>
      </c>
      <c r="DR189" s="2784">
        <f t="shared" ref="DR189:DR210" si="583">IF(AND(D189&gt;0,AT189=""),1,IF(AT189&gt;D189,1,0))</f>
        <v>1</v>
      </c>
      <c r="DS189" s="2784">
        <f t="shared" ref="DS189:DS210" si="584">IF(AND(D189&gt;0,AV189=""),1,IF(AV189&gt;D189,1,0))</f>
        <v>1</v>
      </c>
      <c r="DT189" s="2784" t="e">
        <f t="shared" ref="DT189:DT210" si="585">IF(AND(E189&gt;0,OR(AQ189="",AS189="")),1,IF((AQ189+AS189)&gt;E189,1,0))</f>
        <v>#VALUE!</v>
      </c>
      <c r="DU189" s="2784">
        <f t="shared" ref="DU189:DU210" si="586">IF(AND(E189&gt;0,AU189=""),1,IF(AU189&gt;E189,1,0))</f>
        <v>1</v>
      </c>
      <c r="DV189" s="2784">
        <f t="shared" ref="DV189:DV210" si="587">IF(AND(E189&gt;0,AW189=""),1,IF(AW189&gt;E189,1,0))</f>
        <v>1</v>
      </c>
      <c r="DW189" s="2630"/>
      <c r="DX189" s="2630"/>
      <c r="DY189" s="2784" t="e">
        <f t="shared" ref="DY189:DY196" si="588">IF(AND((N189+P189)&gt;0,AX189=""),1,IF(AX189&gt;(N189+P189),1,0))</f>
        <v>#VALUE!</v>
      </c>
      <c r="DZ189" s="2784" t="e">
        <f t="shared" ref="DZ189:DZ196" si="589">IF(AND((O189+Q189)&gt;0,AY189=""),1,IF(AY189&gt;(O189+Q189),1,0))</f>
        <v>#VALUE!</v>
      </c>
    </row>
    <row r="190" spans="1:132" x14ac:dyDescent="0.3">
      <c r="A190" s="6234">
        <v>11055220</v>
      </c>
      <c r="B190" s="7576" t="s">
        <v>2702</v>
      </c>
      <c r="C190" s="7577"/>
      <c r="D190" s="1928" t="s">
        <v>5292</v>
      </c>
      <c r="E190" s="5031" t="s">
        <v>5293</v>
      </c>
      <c r="F190" s="5148" t="s">
        <v>5294</v>
      </c>
      <c r="G190" s="5149" t="s">
        <v>5295</v>
      </c>
      <c r="H190" s="5148" t="s">
        <v>5296</v>
      </c>
      <c r="I190" s="5149" t="s">
        <v>5297</v>
      </c>
      <c r="J190" s="5148" t="s">
        <v>5298</v>
      </c>
      <c r="K190" s="5149" t="s">
        <v>5299</v>
      </c>
      <c r="L190" s="5148" t="s">
        <v>5300</v>
      </c>
      <c r="M190" s="5149" t="s">
        <v>5301</v>
      </c>
      <c r="N190" s="5038" t="s">
        <v>5302</v>
      </c>
      <c r="O190" s="5151" t="s">
        <v>5303</v>
      </c>
      <c r="P190" s="5038" t="s">
        <v>5304</v>
      </c>
      <c r="Q190" s="5151" t="s">
        <v>5305</v>
      </c>
      <c r="R190" s="5038" t="s">
        <v>5306</v>
      </c>
      <c r="S190" s="5151" t="s">
        <v>5307</v>
      </c>
      <c r="T190" s="5038" t="s">
        <v>5308</v>
      </c>
      <c r="U190" s="5151" t="s">
        <v>5309</v>
      </c>
      <c r="V190" s="5038" t="s">
        <v>5310</v>
      </c>
      <c r="W190" s="5151" t="s">
        <v>5311</v>
      </c>
      <c r="X190" s="5038" t="s">
        <v>5312</v>
      </c>
      <c r="Y190" s="5151" t="s">
        <v>5313</v>
      </c>
      <c r="Z190" s="5038" t="s">
        <v>5314</v>
      </c>
      <c r="AA190" s="5151" t="s">
        <v>5315</v>
      </c>
      <c r="AB190" s="5038" t="s">
        <v>5316</v>
      </c>
      <c r="AC190" s="5151" t="s">
        <v>5317</v>
      </c>
      <c r="AD190" s="5038" t="s">
        <v>5318</v>
      </c>
      <c r="AE190" s="5151" t="s">
        <v>5319</v>
      </c>
      <c r="AF190" s="5038" t="s">
        <v>5320</v>
      </c>
      <c r="AG190" s="5151" t="s">
        <v>5321</v>
      </c>
      <c r="AH190" s="5148" t="s">
        <v>5322</v>
      </c>
      <c r="AI190" s="5150" t="s">
        <v>5323</v>
      </c>
      <c r="AJ190" s="5148" t="s">
        <v>5324</v>
      </c>
      <c r="AK190" s="5156" t="s">
        <v>5325</v>
      </c>
      <c r="AL190" s="3483" t="s">
        <v>5326</v>
      </c>
      <c r="AM190" s="3514" t="s">
        <v>5327</v>
      </c>
      <c r="AN190" s="5038" t="s">
        <v>5328</v>
      </c>
      <c r="AO190" s="3512" t="s">
        <v>5329</v>
      </c>
      <c r="AP190" s="5146" t="s">
        <v>5330</v>
      </c>
      <c r="AQ190" s="3511" t="s">
        <v>5331</v>
      </c>
      <c r="AR190" s="3479" t="s">
        <v>5332</v>
      </c>
      <c r="AS190" s="3512" t="s">
        <v>5333</v>
      </c>
      <c r="AT190" s="5146" t="s">
        <v>5334</v>
      </c>
      <c r="AU190" s="3512" t="s">
        <v>5335</v>
      </c>
      <c r="AV190" s="5146" t="s">
        <v>5336</v>
      </c>
      <c r="AW190" s="3511" t="s">
        <v>5337</v>
      </c>
      <c r="AX190" s="5146" t="s">
        <v>5338</v>
      </c>
      <c r="AY190" s="3511" t="s">
        <v>5339</v>
      </c>
      <c r="AZ190" s="1687" t="e">
        <f t="shared" ref="AZ190" si="590">$CB190&amp;$CD190&amp;CE190&amp;CF190&amp;CG190&amp;CH190&amp;CI190&amp;CJ190&amp;CK190&amp;CL190&amp;CM190&amp;CN190&amp;CO190&amp;CP190&amp;CQ190&amp;CR190&amp;CS190&amp;CT190&amp;CU190</f>
        <v>#VALUE!</v>
      </c>
      <c r="CB190" s="3146" t="str">
        <f t="shared" si="566"/>
        <v xml:space="preserve"> * El Total de Exámenes Confirmados Positivos por ISP NO DEBE SUPERAR los Exámenes Procesados. </v>
      </c>
      <c r="CC190" s="3513"/>
      <c r="CD190" s="2784" t="str">
        <f t="shared" si="567"/>
        <v xml:space="preserve"> * El número de Exámenes por Sexo Mujeres Confirmados positivos por ISP NO PUEDE Superar al número de Procesados. </v>
      </c>
      <c r="CE190" s="2630"/>
      <c r="CF190" s="2630"/>
      <c r="CG190" s="2630"/>
      <c r="CH190" s="2630"/>
      <c r="CI190" s="2630"/>
      <c r="CJ190" s="2784" t="e">
        <f t="shared" si="568"/>
        <v>#VALUE!</v>
      </c>
      <c r="CK190" s="600"/>
      <c r="CL190" s="2784" t="e">
        <f t="shared" si="569"/>
        <v>#VALUE!</v>
      </c>
      <c r="CM190" s="2784" t="e">
        <f t="shared" si="570"/>
        <v>#VALUE!</v>
      </c>
      <c r="CN190" s="2784" t="str">
        <f t="shared" si="571"/>
        <v xml:space="preserve"> * Los exámenes procesados Pueblos originarios no pueden ser mayor que el Total de exámenes procesados.</v>
      </c>
      <c r="CO190" s="2784" t="str">
        <f t="shared" si="572"/>
        <v xml:space="preserve"> * Los exámenes procesados de Migrantes no pueden ser mayor que el Total de exámenes procesados.</v>
      </c>
      <c r="CP190" s="2784" t="e">
        <f t="shared" si="573"/>
        <v>#VALUE!</v>
      </c>
      <c r="CQ190" s="2784" t="str">
        <f t="shared" si="574"/>
        <v xml:space="preserve"> * Los exámenes Confirmados positivos por ISP de Pueblos originarios no pueden ser mayor que el Total de exámenes Procesados por ISP.</v>
      </c>
      <c r="CR190" s="2784" t="str">
        <f t="shared" si="575"/>
        <v xml:space="preserve"> * Los exámenes Confirmados positivos por ISP de Migrantes no pueden ser mayor que el Total de exámenes Procesados por ISP.</v>
      </c>
      <c r="CS190" s="2630"/>
      <c r="CT190" s="2630"/>
      <c r="CU190" s="2784" t="e">
        <f t="shared" si="576"/>
        <v>#VALUE!</v>
      </c>
      <c r="CV190" s="2784" t="e">
        <f t="shared" si="577"/>
        <v>#VALUE!</v>
      </c>
      <c r="DF190" s="3146">
        <f t="shared" si="578"/>
        <v>1</v>
      </c>
      <c r="DG190" s="3513"/>
      <c r="DH190" s="2784">
        <f t="shared" si="579"/>
        <v>1</v>
      </c>
      <c r="DI190" s="2630"/>
      <c r="DJ190" s="2630"/>
      <c r="DK190" s="2630"/>
      <c r="DL190" s="2630"/>
      <c r="DM190" s="2630"/>
      <c r="DN190" s="2784" t="e">
        <f t="shared" si="580"/>
        <v>#VALUE!</v>
      </c>
      <c r="DO190" s="600"/>
      <c r="DP190" s="2784" t="e">
        <f t="shared" si="581"/>
        <v>#VALUE!</v>
      </c>
      <c r="DQ190" s="2784" t="e">
        <f t="shared" si="582"/>
        <v>#VALUE!</v>
      </c>
      <c r="DR190" s="2784">
        <f t="shared" si="583"/>
        <v>1</v>
      </c>
      <c r="DS190" s="2784">
        <f t="shared" si="584"/>
        <v>1</v>
      </c>
      <c r="DT190" s="2784" t="e">
        <f t="shared" si="585"/>
        <v>#VALUE!</v>
      </c>
      <c r="DU190" s="2784">
        <f t="shared" si="586"/>
        <v>1</v>
      </c>
      <c r="DV190" s="2784">
        <f t="shared" si="587"/>
        <v>1</v>
      </c>
      <c r="DW190" s="2630"/>
      <c r="DX190" s="2630"/>
      <c r="DY190" s="2784" t="e">
        <f t="shared" si="588"/>
        <v>#VALUE!</v>
      </c>
      <c r="DZ190" s="2784" t="e">
        <f t="shared" si="589"/>
        <v>#VALUE!</v>
      </c>
    </row>
    <row r="191" spans="1:132" x14ac:dyDescent="0.3">
      <c r="A191" s="6234">
        <v>11055230</v>
      </c>
      <c r="B191" s="7576" t="s">
        <v>2669</v>
      </c>
      <c r="C191" s="7577"/>
      <c r="D191" s="1928" t="s">
        <v>5292</v>
      </c>
      <c r="E191" s="1926" t="s">
        <v>5293</v>
      </c>
      <c r="F191" s="5148" t="s">
        <v>5294</v>
      </c>
      <c r="G191" s="5149" t="s">
        <v>5295</v>
      </c>
      <c r="H191" s="5148" t="s">
        <v>5296</v>
      </c>
      <c r="I191" s="5149" t="s">
        <v>5297</v>
      </c>
      <c r="J191" s="5148" t="s">
        <v>5298</v>
      </c>
      <c r="K191" s="5149" t="s">
        <v>5299</v>
      </c>
      <c r="L191" s="5148" t="s">
        <v>5300</v>
      </c>
      <c r="M191" s="5149" t="s">
        <v>5301</v>
      </c>
      <c r="N191" s="5148" t="s">
        <v>5302</v>
      </c>
      <c r="O191" s="5149" t="s">
        <v>5303</v>
      </c>
      <c r="P191" s="5038" t="s">
        <v>5304</v>
      </c>
      <c r="Q191" s="5151" t="s">
        <v>5305</v>
      </c>
      <c r="R191" s="5038" t="s">
        <v>5306</v>
      </c>
      <c r="S191" s="5151" t="s">
        <v>5307</v>
      </c>
      <c r="T191" s="5038" t="s">
        <v>5308</v>
      </c>
      <c r="U191" s="5151" t="s">
        <v>5309</v>
      </c>
      <c r="V191" s="5038" t="s">
        <v>5310</v>
      </c>
      <c r="W191" s="5151" t="s">
        <v>5311</v>
      </c>
      <c r="X191" s="5038" t="s">
        <v>5312</v>
      </c>
      <c r="Y191" s="5151" t="s">
        <v>5313</v>
      </c>
      <c r="Z191" s="5038" t="s">
        <v>5314</v>
      </c>
      <c r="AA191" s="5151" t="s">
        <v>5315</v>
      </c>
      <c r="AB191" s="5038" t="s">
        <v>5316</v>
      </c>
      <c r="AC191" s="5151" t="s">
        <v>5317</v>
      </c>
      <c r="AD191" s="5038" t="s">
        <v>5318</v>
      </c>
      <c r="AE191" s="5151" t="s">
        <v>5319</v>
      </c>
      <c r="AF191" s="5038" t="s">
        <v>5320</v>
      </c>
      <c r="AG191" s="5151" t="s">
        <v>5321</v>
      </c>
      <c r="AH191" s="5038" t="s">
        <v>5322</v>
      </c>
      <c r="AI191" s="5151" t="s">
        <v>5323</v>
      </c>
      <c r="AJ191" s="5038" t="s">
        <v>5324</v>
      </c>
      <c r="AK191" s="5151" t="s">
        <v>5325</v>
      </c>
      <c r="AL191" s="5146" t="s">
        <v>5326</v>
      </c>
      <c r="AM191" s="3511" t="s">
        <v>5327</v>
      </c>
      <c r="AN191" s="5038" t="s">
        <v>5328</v>
      </c>
      <c r="AO191" s="3512" t="s">
        <v>5329</v>
      </c>
      <c r="AP191" s="5146" t="s">
        <v>5330</v>
      </c>
      <c r="AQ191" s="3511" t="s">
        <v>5331</v>
      </c>
      <c r="AR191" s="3479" t="s">
        <v>5332</v>
      </c>
      <c r="AS191" s="3512" t="s">
        <v>5333</v>
      </c>
      <c r="AT191" s="5146" t="s">
        <v>5334</v>
      </c>
      <c r="AU191" s="3512" t="s">
        <v>5335</v>
      </c>
      <c r="AV191" s="5146" t="s">
        <v>5336</v>
      </c>
      <c r="AW191" s="3511" t="s">
        <v>5337</v>
      </c>
      <c r="AX191" s="5146" t="s">
        <v>5338</v>
      </c>
      <c r="AY191" s="3511" t="s">
        <v>5339</v>
      </c>
      <c r="AZ191" s="1687" t="e">
        <f>$CB191&amp;CC191&amp;$CD191&amp;CE191&amp;CF191&amp;CG191&amp;CH191&amp;CI191&amp;CJ191&amp;CK191&amp;CL191&amp;CM191&amp;CN191&amp;CO191&amp;CP191&amp;CQ191&amp;CR191&amp;CS191&amp;CT191&amp;CU191&amp;CV191</f>
        <v>#VALUE!</v>
      </c>
      <c r="CB191" s="3146" t="str">
        <f t="shared" si="566"/>
        <v xml:space="preserve"> * El Total de Exámenes Confirmados Positivos por ISP NO DEBE SUPERAR los Exámenes Procesados. </v>
      </c>
      <c r="CC191" s="2784" t="str">
        <f>IF(AM191&gt;AL191,"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1" s="2784" t="str">
        <f t="shared" si="567"/>
        <v xml:space="preserve"> * El número de Exámenes por Sexo Mujeres Confirmados positivos por ISP NO PUEDE Superar al número de Procesados. </v>
      </c>
      <c r="CE191" s="2630"/>
      <c r="CF191" s="2630"/>
      <c r="CG191" s="2630"/>
      <c r="CH191" s="2630"/>
      <c r="CI191" s="2630"/>
      <c r="CJ191" s="2784" t="e">
        <f t="shared" si="568"/>
        <v>#VALUE!</v>
      </c>
      <c r="CK191" s="600"/>
      <c r="CL191" s="2784" t="e">
        <f t="shared" si="569"/>
        <v>#VALUE!</v>
      </c>
      <c r="CM191" s="2784" t="e">
        <f t="shared" si="570"/>
        <v>#VALUE!</v>
      </c>
      <c r="CN191" s="2784" t="str">
        <f t="shared" si="571"/>
        <v xml:space="preserve"> * Los exámenes procesados Pueblos originarios no pueden ser mayor que el Total de exámenes procesados.</v>
      </c>
      <c r="CO191" s="2784" t="str">
        <f t="shared" si="572"/>
        <v xml:space="preserve"> * Los exámenes procesados de Migrantes no pueden ser mayor que el Total de exámenes procesados.</v>
      </c>
      <c r="CP191" s="2784" t="e">
        <f t="shared" si="573"/>
        <v>#VALUE!</v>
      </c>
      <c r="CQ191" s="2784" t="str">
        <f t="shared" si="574"/>
        <v xml:space="preserve"> * Los exámenes Confirmados positivos por ISP de Pueblos originarios no pueden ser mayor que el Total de exámenes Procesados por ISP.</v>
      </c>
      <c r="CR191" s="2784" t="str">
        <f t="shared" si="575"/>
        <v xml:space="preserve"> * Los exámenes Confirmados positivos por ISP de Migrantes no pueden ser mayor que el Total de exámenes Procesados por ISP.</v>
      </c>
      <c r="CS191" s="2630"/>
      <c r="CT191" s="2630"/>
      <c r="CU191" s="2784" t="e">
        <f t="shared" si="576"/>
        <v>#VALUE!</v>
      </c>
      <c r="CV191" s="2784" t="e">
        <f t="shared" si="577"/>
        <v>#VALUE!</v>
      </c>
      <c r="DF191" s="3146">
        <f t="shared" si="578"/>
        <v>1</v>
      </c>
      <c r="DG191" s="2784">
        <f>IF(AM191&gt;AL191,1,0)</f>
        <v>1</v>
      </c>
      <c r="DH191" s="2784">
        <f t="shared" si="579"/>
        <v>1</v>
      </c>
      <c r="DI191" s="2630"/>
      <c r="DJ191" s="2630"/>
      <c r="DK191" s="2630"/>
      <c r="DL191" s="2630"/>
      <c r="DM191" s="2630"/>
      <c r="DN191" s="2784" t="e">
        <f t="shared" si="580"/>
        <v>#VALUE!</v>
      </c>
      <c r="DO191" s="600"/>
      <c r="DP191" s="2784" t="e">
        <f t="shared" si="581"/>
        <v>#VALUE!</v>
      </c>
      <c r="DQ191" s="2784" t="e">
        <f t="shared" si="582"/>
        <v>#VALUE!</v>
      </c>
      <c r="DR191" s="2784">
        <f t="shared" si="583"/>
        <v>1</v>
      </c>
      <c r="DS191" s="2784">
        <f t="shared" si="584"/>
        <v>1</v>
      </c>
      <c r="DT191" s="2784" t="e">
        <f t="shared" si="585"/>
        <v>#VALUE!</v>
      </c>
      <c r="DU191" s="2784">
        <f t="shared" si="586"/>
        <v>1</v>
      </c>
      <c r="DV191" s="2784">
        <f t="shared" si="587"/>
        <v>1</v>
      </c>
      <c r="DW191" s="2630"/>
      <c r="DX191" s="2630"/>
      <c r="DY191" s="2784" t="e">
        <f t="shared" si="588"/>
        <v>#VALUE!</v>
      </c>
      <c r="DZ191" s="2784" t="e">
        <f t="shared" si="589"/>
        <v>#VALUE!</v>
      </c>
    </row>
    <row r="192" spans="1:132" x14ac:dyDescent="0.3">
      <c r="A192" s="6234">
        <v>11055240</v>
      </c>
      <c r="B192" s="7576" t="s">
        <v>2675</v>
      </c>
      <c r="C192" s="7577"/>
      <c r="D192" s="1928" t="s">
        <v>5292</v>
      </c>
      <c r="E192" s="1926" t="s">
        <v>5293</v>
      </c>
      <c r="F192" s="5038" t="s">
        <v>5294</v>
      </c>
      <c r="G192" s="5151" t="s">
        <v>5295</v>
      </c>
      <c r="H192" s="5038" t="s">
        <v>5296</v>
      </c>
      <c r="I192" s="5151" t="s">
        <v>5297</v>
      </c>
      <c r="J192" s="5038" t="s">
        <v>5298</v>
      </c>
      <c r="K192" s="5151" t="s">
        <v>5299</v>
      </c>
      <c r="L192" s="5038" t="s">
        <v>5300</v>
      </c>
      <c r="M192" s="5151" t="s">
        <v>5301</v>
      </c>
      <c r="N192" s="5038" t="s">
        <v>5302</v>
      </c>
      <c r="O192" s="5151" t="s">
        <v>5303</v>
      </c>
      <c r="P192" s="5038" t="s">
        <v>5304</v>
      </c>
      <c r="Q192" s="5151" t="s">
        <v>5305</v>
      </c>
      <c r="R192" s="5038" t="s">
        <v>5306</v>
      </c>
      <c r="S192" s="5151" t="s">
        <v>5307</v>
      </c>
      <c r="T192" s="5038" t="s">
        <v>5308</v>
      </c>
      <c r="U192" s="5151" t="s">
        <v>5309</v>
      </c>
      <c r="V192" s="5038" t="s">
        <v>5310</v>
      </c>
      <c r="W192" s="5151" t="s">
        <v>5311</v>
      </c>
      <c r="X192" s="5038" t="s">
        <v>5312</v>
      </c>
      <c r="Y192" s="5151" t="s">
        <v>5313</v>
      </c>
      <c r="Z192" s="5038" t="s">
        <v>5314</v>
      </c>
      <c r="AA192" s="5151" t="s">
        <v>5315</v>
      </c>
      <c r="AB192" s="5038" t="s">
        <v>5316</v>
      </c>
      <c r="AC192" s="5151" t="s">
        <v>5317</v>
      </c>
      <c r="AD192" s="5038" t="s">
        <v>5318</v>
      </c>
      <c r="AE192" s="5151" t="s">
        <v>5319</v>
      </c>
      <c r="AF192" s="5038" t="s">
        <v>5320</v>
      </c>
      <c r="AG192" s="5151" t="s">
        <v>5321</v>
      </c>
      <c r="AH192" s="5038" t="s">
        <v>5322</v>
      </c>
      <c r="AI192" s="5151" t="s">
        <v>5323</v>
      </c>
      <c r="AJ192" s="5038" t="s">
        <v>5324</v>
      </c>
      <c r="AK192" s="5151" t="s">
        <v>5325</v>
      </c>
      <c r="AL192" s="5195" t="s">
        <v>5326</v>
      </c>
      <c r="AM192" s="3515" t="s">
        <v>5327</v>
      </c>
      <c r="AN192" s="5196" t="s">
        <v>5328</v>
      </c>
      <c r="AO192" s="3512" t="s">
        <v>5329</v>
      </c>
      <c r="AP192" s="5146" t="s">
        <v>5330</v>
      </c>
      <c r="AQ192" s="3511" t="s">
        <v>5331</v>
      </c>
      <c r="AR192" s="3479" t="s">
        <v>5332</v>
      </c>
      <c r="AS192" s="3512" t="s">
        <v>5333</v>
      </c>
      <c r="AT192" s="5146" t="s">
        <v>5334</v>
      </c>
      <c r="AU192" s="3512" t="s">
        <v>5335</v>
      </c>
      <c r="AV192" s="5146" t="s">
        <v>5336</v>
      </c>
      <c r="AW192" s="3511" t="s">
        <v>5337</v>
      </c>
      <c r="AX192" s="5146" t="s">
        <v>5338</v>
      </c>
      <c r="AY192" s="3511" t="s">
        <v>5339</v>
      </c>
      <c r="AZ192" s="1687" t="e">
        <f t="shared" ref="AZ192:AZ210" si="591">$CB192&amp;CC192&amp;$CD192&amp;CE192&amp;CF192&amp;CG192&amp;CH192&amp;CI192&amp;CJ192&amp;CK192&amp;CL192&amp;CM192&amp;CN192&amp;CO192&amp;CP192&amp;CQ192&amp;CR192&amp;CS192&amp;CT192&amp;CU192&amp;CV192</f>
        <v>#VALUE!</v>
      </c>
      <c r="CB192" s="3146" t="str">
        <f t="shared" si="566"/>
        <v xml:space="preserve"> * El Total de Exámenes Confirmados Positivos por ISP NO DEBE SUPERAR los Exámenes Procesados. </v>
      </c>
      <c r="CC192" s="2784" t="str">
        <f t="shared" ref="CC192:CC210" si="592">IF(AM192&gt;AL192,"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2" s="2784" t="str">
        <f t="shared" si="567"/>
        <v xml:space="preserve"> * El número de Exámenes por Sexo Mujeres Confirmados positivos por ISP NO PUEDE Superar al número de Procesados. </v>
      </c>
      <c r="CE192" s="2630"/>
      <c r="CF192" s="2630"/>
      <c r="CG192" s="2630"/>
      <c r="CH192" s="2630"/>
      <c r="CI192" s="2630"/>
      <c r="CJ192" s="2784" t="e">
        <f t="shared" si="568"/>
        <v>#VALUE!</v>
      </c>
      <c r="CK192" s="600"/>
      <c r="CL192" s="2784" t="e">
        <f t="shared" si="569"/>
        <v>#VALUE!</v>
      </c>
      <c r="CM192" s="2784" t="e">
        <f t="shared" si="570"/>
        <v>#VALUE!</v>
      </c>
      <c r="CN192" s="2784" t="str">
        <f t="shared" si="571"/>
        <v xml:space="preserve"> * Los exámenes procesados Pueblos originarios no pueden ser mayor que el Total de exámenes procesados.</v>
      </c>
      <c r="CO192" s="2784" t="str">
        <f t="shared" si="572"/>
        <v xml:space="preserve"> * Los exámenes procesados de Migrantes no pueden ser mayor que el Total de exámenes procesados.</v>
      </c>
      <c r="CP192" s="2784" t="e">
        <f t="shared" si="573"/>
        <v>#VALUE!</v>
      </c>
      <c r="CQ192" s="2784" t="str">
        <f t="shared" si="574"/>
        <v xml:space="preserve"> * Los exámenes Confirmados positivos por ISP de Pueblos originarios no pueden ser mayor que el Total de exámenes Procesados por ISP.</v>
      </c>
      <c r="CR192" s="2784" t="str">
        <f t="shared" si="575"/>
        <v xml:space="preserve"> * Los exámenes Confirmados positivos por ISP de Migrantes no pueden ser mayor que el Total de exámenes Procesados por ISP.</v>
      </c>
      <c r="CS192" s="2630"/>
      <c r="CT192" s="2630"/>
      <c r="CU192" s="2784" t="e">
        <f t="shared" si="576"/>
        <v>#VALUE!</v>
      </c>
      <c r="CV192" s="2784" t="e">
        <f t="shared" si="577"/>
        <v>#VALUE!</v>
      </c>
      <c r="DF192" s="3146">
        <f t="shared" si="578"/>
        <v>1</v>
      </c>
      <c r="DG192" s="2784">
        <f t="shared" ref="DG192:DG210" si="593">IF(AM192&gt;AL192,1,0)</f>
        <v>1</v>
      </c>
      <c r="DH192" s="2784">
        <f t="shared" si="579"/>
        <v>1</v>
      </c>
      <c r="DI192" s="2630"/>
      <c r="DJ192" s="2630"/>
      <c r="DK192" s="2630"/>
      <c r="DL192" s="2630"/>
      <c r="DM192" s="2630"/>
      <c r="DN192" s="2784" t="e">
        <f t="shared" si="580"/>
        <v>#VALUE!</v>
      </c>
      <c r="DO192" s="600"/>
      <c r="DP192" s="2784" t="e">
        <f t="shared" si="581"/>
        <v>#VALUE!</v>
      </c>
      <c r="DQ192" s="2784" t="e">
        <f t="shared" si="582"/>
        <v>#VALUE!</v>
      </c>
      <c r="DR192" s="2784">
        <f t="shared" si="583"/>
        <v>1</v>
      </c>
      <c r="DS192" s="2784">
        <f t="shared" si="584"/>
        <v>1</v>
      </c>
      <c r="DT192" s="2784" t="e">
        <f t="shared" si="585"/>
        <v>#VALUE!</v>
      </c>
      <c r="DU192" s="2784">
        <f t="shared" si="586"/>
        <v>1</v>
      </c>
      <c r="DV192" s="2784">
        <f t="shared" si="587"/>
        <v>1</v>
      </c>
      <c r="DW192" s="2630"/>
      <c r="DX192" s="2630"/>
      <c r="DY192" s="2784" t="e">
        <f t="shared" si="588"/>
        <v>#VALUE!</v>
      </c>
      <c r="DZ192" s="2784" t="e">
        <f t="shared" si="589"/>
        <v>#VALUE!</v>
      </c>
    </row>
    <row r="193" spans="1:130" x14ac:dyDescent="0.3">
      <c r="A193" s="6234">
        <v>11055250</v>
      </c>
      <c r="B193" s="7576" t="s">
        <v>2703</v>
      </c>
      <c r="C193" s="7577"/>
      <c r="D193" s="1928" t="s">
        <v>5292</v>
      </c>
      <c r="E193" s="5031" t="s">
        <v>5293</v>
      </c>
      <c r="F193" s="5038" t="s">
        <v>5294</v>
      </c>
      <c r="G193" s="5151" t="s">
        <v>5295</v>
      </c>
      <c r="H193" s="5038" t="s">
        <v>5296</v>
      </c>
      <c r="I193" s="5151" t="s">
        <v>5297</v>
      </c>
      <c r="J193" s="5038" t="s">
        <v>5298</v>
      </c>
      <c r="K193" s="5151" t="s">
        <v>5299</v>
      </c>
      <c r="L193" s="5038" t="s">
        <v>5300</v>
      </c>
      <c r="M193" s="5151" t="s">
        <v>5301</v>
      </c>
      <c r="N193" s="5038" t="s">
        <v>5302</v>
      </c>
      <c r="O193" s="5151" t="s">
        <v>5303</v>
      </c>
      <c r="P193" s="5038" t="s">
        <v>5304</v>
      </c>
      <c r="Q193" s="5151" t="s">
        <v>5305</v>
      </c>
      <c r="R193" s="5038" t="s">
        <v>5306</v>
      </c>
      <c r="S193" s="5151" t="s">
        <v>5307</v>
      </c>
      <c r="T193" s="5038" t="s">
        <v>5308</v>
      </c>
      <c r="U193" s="5151" t="s">
        <v>5309</v>
      </c>
      <c r="V193" s="5038" t="s">
        <v>5310</v>
      </c>
      <c r="W193" s="5151" t="s">
        <v>5311</v>
      </c>
      <c r="X193" s="5038" t="s">
        <v>5312</v>
      </c>
      <c r="Y193" s="5151" t="s">
        <v>5313</v>
      </c>
      <c r="Z193" s="5038" t="s">
        <v>5314</v>
      </c>
      <c r="AA193" s="5151" t="s">
        <v>5315</v>
      </c>
      <c r="AB193" s="5038" t="s">
        <v>5316</v>
      </c>
      <c r="AC193" s="5151" t="s">
        <v>5317</v>
      </c>
      <c r="AD193" s="5038" t="s">
        <v>5318</v>
      </c>
      <c r="AE193" s="5151" t="s">
        <v>5319</v>
      </c>
      <c r="AF193" s="5038" t="s">
        <v>5320</v>
      </c>
      <c r="AG193" s="5151" t="s">
        <v>5321</v>
      </c>
      <c r="AH193" s="5038" t="s">
        <v>5322</v>
      </c>
      <c r="AI193" s="5151" t="s">
        <v>5323</v>
      </c>
      <c r="AJ193" s="5038" t="s">
        <v>5324</v>
      </c>
      <c r="AK193" s="5151" t="s">
        <v>5325</v>
      </c>
      <c r="AL193" s="5146" t="s">
        <v>5326</v>
      </c>
      <c r="AM193" s="3511" t="s">
        <v>5327</v>
      </c>
      <c r="AN193" s="5038" t="s">
        <v>5328</v>
      </c>
      <c r="AO193" s="3512" t="s">
        <v>5329</v>
      </c>
      <c r="AP193" s="5146" t="s">
        <v>5330</v>
      </c>
      <c r="AQ193" s="3511" t="s">
        <v>5331</v>
      </c>
      <c r="AR193" s="3479" t="s">
        <v>5332</v>
      </c>
      <c r="AS193" s="3512" t="s">
        <v>5333</v>
      </c>
      <c r="AT193" s="5146" t="s">
        <v>5334</v>
      </c>
      <c r="AU193" s="3512" t="s">
        <v>5335</v>
      </c>
      <c r="AV193" s="5146" t="s">
        <v>5336</v>
      </c>
      <c r="AW193" s="3511" t="s">
        <v>5337</v>
      </c>
      <c r="AX193" s="5146" t="s">
        <v>5338</v>
      </c>
      <c r="AY193" s="3511" t="s">
        <v>5339</v>
      </c>
      <c r="AZ193" s="1687" t="e">
        <f t="shared" si="591"/>
        <v>#VALUE!</v>
      </c>
      <c r="CB193" s="3146" t="str">
        <f t="shared" si="566"/>
        <v xml:space="preserve"> * El Total de Exámenes Confirmados Positivos por ISP NO DEBE SUPERAR los Exámenes Procesados. </v>
      </c>
      <c r="CC193" s="2784" t="str">
        <f t="shared" si="592"/>
        <v xml:space="preserve"> * El número de Exámenes por Sexo Hombres Confirmados positivos por ISP NO PUEDE Superar al número de Procesados. </v>
      </c>
      <c r="CD193" s="2784" t="str">
        <f t="shared" si="567"/>
        <v xml:space="preserve"> * El número de Exámenes por Sexo Mujeres Confirmados positivos por ISP NO PUEDE Superar al número de Procesados. </v>
      </c>
      <c r="CE193" s="2630"/>
      <c r="CF193" s="2630"/>
      <c r="CG193" s="2630"/>
      <c r="CH193" s="2630"/>
      <c r="CI193" s="2630"/>
      <c r="CJ193" s="2784" t="e">
        <f t="shared" si="568"/>
        <v>#VALUE!</v>
      </c>
      <c r="CK193" s="600"/>
      <c r="CL193" s="2784" t="e">
        <f t="shared" si="569"/>
        <v>#VALUE!</v>
      </c>
      <c r="CM193" s="2784" t="e">
        <f t="shared" si="570"/>
        <v>#VALUE!</v>
      </c>
      <c r="CN193" s="2784" t="str">
        <f t="shared" si="571"/>
        <v xml:space="preserve"> * Los exámenes procesados Pueblos originarios no pueden ser mayor que el Total de exámenes procesados.</v>
      </c>
      <c r="CO193" s="2784" t="str">
        <f t="shared" si="572"/>
        <v xml:space="preserve"> * Los exámenes procesados de Migrantes no pueden ser mayor que el Total de exámenes procesados.</v>
      </c>
      <c r="CP193" s="2784" t="e">
        <f t="shared" si="573"/>
        <v>#VALUE!</v>
      </c>
      <c r="CQ193" s="2784" t="str">
        <f t="shared" si="574"/>
        <v xml:space="preserve"> * Los exámenes Confirmados positivos por ISP de Pueblos originarios no pueden ser mayor que el Total de exámenes Procesados por ISP.</v>
      </c>
      <c r="CR193" s="2784" t="str">
        <f t="shared" si="575"/>
        <v xml:space="preserve"> * Los exámenes Confirmados positivos por ISP de Migrantes no pueden ser mayor que el Total de exámenes Procesados por ISP.</v>
      </c>
      <c r="CS193" s="2630"/>
      <c r="CT193" s="2630"/>
      <c r="CU193" s="2784" t="e">
        <f t="shared" si="576"/>
        <v>#VALUE!</v>
      </c>
      <c r="CV193" s="2784" t="e">
        <f t="shared" si="577"/>
        <v>#VALUE!</v>
      </c>
      <c r="DF193" s="3146">
        <f t="shared" si="578"/>
        <v>1</v>
      </c>
      <c r="DG193" s="2784">
        <f t="shared" si="593"/>
        <v>1</v>
      </c>
      <c r="DH193" s="2784">
        <f t="shared" si="579"/>
        <v>1</v>
      </c>
      <c r="DI193" s="2630"/>
      <c r="DJ193" s="2630"/>
      <c r="DK193" s="2630"/>
      <c r="DL193" s="2630"/>
      <c r="DM193" s="2630"/>
      <c r="DN193" s="2784" t="e">
        <f t="shared" si="580"/>
        <v>#VALUE!</v>
      </c>
      <c r="DO193" s="600"/>
      <c r="DP193" s="2784" t="e">
        <f t="shared" si="581"/>
        <v>#VALUE!</v>
      </c>
      <c r="DQ193" s="2784" t="e">
        <f t="shared" si="582"/>
        <v>#VALUE!</v>
      </c>
      <c r="DR193" s="2784">
        <f t="shared" si="583"/>
        <v>1</v>
      </c>
      <c r="DS193" s="2784">
        <f t="shared" si="584"/>
        <v>1</v>
      </c>
      <c r="DT193" s="2784" t="e">
        <f t="shared" si="585"/>
        <v>#VALUE!</v>
      </c>
      <c r="DU193" s="2784">
        <f t="shared" si="586"/>
        <v>1</v>
      </c>
      <c r="DV193" s="2784">
        <f t="shared" si="587"/>
        <v>1</v>
      </c>
      <c r="DW193" s="2630"/>
      <c r="DX193" s="2630"/>
      <c r="DY193" s="2784" t="e">
        <f t="shared" si="588"/>
        <v>#VALUE!</v>
      </c>
      <c r="DZ193" s="2784" t="e">
        <f t="shared" si="589"/>
        <v>#VALUE!</v>
      </c>
    </row>
    <row r="194" spans="1:130" x14ac:dyDescent="0.3">
      <c r="A194" s="6234">
        <v>11055260</v>
      </c>
      <c r="B194" s="7576" t="s">
        <v>2704</v>
      </c>
      <c r="C194" s="7577"/>
      <c r="D194" s="1928" t="s">
        <v>5292</v>
      </c>
      <c r="E194" s="5031" t="s">
        <v>5293</v>
      </c>
      <c r="F194" s="5148" t="s">
        <v>5294</v>
      </c>
      <c r="G194" s="5149" t="s">
        <v>5295</v>
      </c>
      <c r="H194" s="5148" t="s">
        <v>5296</v>
      </c>
      <c r="I194" s="5149" t="s">
        <v>5297</v>
      </c>
      <c r="J194" s="5148" t="s">
        <v>5298</v>
      </c>
      <c r="K194" s="5149" t="s">
        <v>5299</v>
      </c>
      <c r="L194" s="5148" t="s">
        <v>5300</v>
      </c>
      <c r="M194" s="5149" t="s">
        <v>5301</v>
      </c>
      <c r="N194" s="5148" t="s">
        <v>5302</v>
      </c>
      <c r="O194" s="5149" t="s">
        <v>5303</v>
      </c>
      <c r="P194" s="5038" t="s">
        <v>5304</v>
      </c>
      <c r="Q194" s="5151" t="s">
        <v>5305</v>
      </c>
      <c r="R194" s="5038" t="s">
        <v>5306</v>
      </c>
      <c r="S194" s="5151" t="s">
        <v>5307</v>
      </c>
      <c r="T194" s="5038" t="s">
        <v>5308</v>
      </c>
      <c r="U194" s="5151" t="s">
        <v>5309</v>
      </c>
      <c r="V194" s="5038" t="s">
        <v>5310</v>
      </c>
      <c r="W194" s="5151" t="s">
        <v>5311</v>
      </c>
      <c r="X194" s="5038" t="s">
        <v>5312</v>
      </c>
      <c r="Y194" s="5151" t="s">
        <v>5313</v>
      </c>
      <c r="Z194" s="5038" t="s">
        <v>5314</v>
      </c>
      <c r="AA194" s="5151" t="s">
        <v>5315</v>
      </c>
      <c r="AB194" s="5038" t="s">
        <v>5316</v>
      </c>
      <c r="AC194" s="5151" t="s">
        <v>5317</v>
      </c>
      <c r="AD194" s="5038" t="s">
        <v>5318</v>
      </c>
      <c r="AE194" s="5151" t="s">
        <v>5319</v>
      </c>
      <c r="AF194" s="5038" t="s">
        <v>5320</v>
      </c>
      <c r="AG194" s="5151" t="s">
        <v>5321</v>
      </c>
      <c r="AH194" s="5038" t="s">
        <v>5322</v>
      </c>
      <c r="AI194" s="5151" t="s">
        <v>5323</v>
      </c>
      <c r="AJ194" s="5038" t="s">
        <v>5324</v>
      </c>
      <c r="AK194" s="5151" t="s">
        <v>5325</v>
      </c>
      <c r="AL194" s="5146" t="s">
        <v>5326</v>
      </c>
      <c r="AM194" s="3511" t="s">
        <v>5327</v>
      </c>
      <c r="AN194" s="5038" t="s">
        <v>5328</v>
      </c>
      <c r="AO194" s="3512" t="s">
        <v>5329</v>
      </c>
      <c r="AP194" s="5146" t="s">
        <v>5330</v>
      </c>
      <c r="AQ194" s="3511" t="s">
        <v>5331</v>
      </c>
      <c r="AR194" s="3479" t="s">
        <v>5332</v>
      </c>
      <c r="AS194" s="3512" t="s">
        <v>5333</v>
      </c>
      <c r="AT194" s="5146" t="s">
        <v>5334</v>
      </c>
      <c r="AU194" s="3512" t="s">
        <v>5335</v>
      </c>
      <c r="AV194" s="5146" t="s">
        <v>5336</v>
      </c>
      <c r="AW194" s="3511" t="s">
        <v>5337</v>
      </c>
      <c r="AX194" s="5146" t="s">
        <v>5338</v>
      </c>
      <c r="AY194" s="3511" t="s">
        <v>5339</v>
      </c>
      <c r="AZ194" s="1687" t="e">
        <f t="shared" si="591"/>
        <v>#VALUE!</v>
      </c>
      <c r="CB194" s="3146" t="str">
        <f t="shared" si="566"/>
        <v xml:space="preserve"> * El Total de Exámenes Confirmados Positivos por ISP NO DEBE SUPERAR los Exámenes Procesados. </v>
      </c>
      <c r="CC194" s="2784" t="str">
        <f t="shared" si="592"/>
        <v xml:space="preserve"> * El número de Exámenes por Sexo Hombres Confirmados positivos por ISP NO PUEDE Superar al número de Procesados. </v>
      </c>
      <c r="CD194" s="2784" t="str">
        <f t="shared" si="567"/>
        <v xml:space="preserve"> * El número de Exámenes por Sexo Mujeres Confirmados positivos por ISP NO PUEDE Superar al número de Procesados. </v>
      </c>
      <c r="CE194" s="2630"/>
      <c r="CF194" s="2630"/>
      <c r="CG194" s="2630"/>
      <c r="CH194" s="2630"/>
      <c r="CI194" s="2630"/>
      <c r="CJ194" s="2784" t="e">
        <f t="shared" si="568"/>
        <v>#VALUE!</v>
      </c>
      <c r="CK194" s="600"/>
      <c r="CL194" s="2784" t="e">
        <f t="shared" si="569"/>
        <v>#VALUE!</v>
      </c>
      <c r="CM194" s="2784" t="e">
        <f t="shared" si="570"/>
        <v>#VALUE!</v>
      </c>
      <c r="CN194" s="2784" t="str">
        <f t="shared" si="571"/>
        <v xml:space="preserve"> * Los exámenes procesados Pueblos originarios no pueden ser mayor que el Total de exámenes procesados.</v>
      </c>
      <c r="CO194" s="2784" t="str">
        <f t="shared" si="572"/>
        <v xml:space="preserve"> * Los exámenes procesados de Migrantes no pueden ser mayor que el Total de exámenes procesados.</v>
      </c>
      <c r="CP194" s="2784" t="e">
        <f t="shared" si="573"/>
        <v>#VALUE!</v>
      </c>
      <c r="CQ194" s="2784" t="str">
        <f t="shared" si="574"/>
        <v xml:space="preserve"> * Los exámenes Confirmados positivos por ISP de Pueblos originarios no pueden ser mayor que el Total de exámenes Procesados por ISP.</v>
      </c>
      <c r="CR194" s="2784" t="str">
        <f t="shared" si="575"/>
        <v xml:space="preserve"> * Los exámenes Confirmados positivos por ISP de Migrantes no pueden ser mayor que el Total de exámenes Procesados por ISP.</v>
      </c>
      <c r="CS194" s="2630"/>
      <c r="CT194" s="2630"/>
      <c r="CU194" s="2784" t="e">
        <f t="shared" si="576"/>
        <v>#VALUE!</v>
      </c>
      <c r="CV194" s="2784" t="e">
        <f t="shared" si="577"/>
        <v>#VALUE!</v>
      </c>
      <c r="DF194" s="3146">
        <f t="shared" si="578"/>
        <v>1</v>
      </c>
      <c r="DG194" s="2784">
        <f t="shared" si="593"/>
        <v>1</v>
      </c>
      <c r="DH194" s="2784">
        <f t="shared" si="579"/>
        <v>1</v>
      </c>
      <c r="DI194" s="2630"/>
      <c r="DJ194" s="2630"/>
      <c r="DK194" s="2630"/>
      <c r="DL194" s="2630"/>
      <c r="DM194" s="2630"/>
      <c r="DN194" s="2784" t="e">
        <f t="shared" si="580"/>
        <v>#VALUE!</v>
      </c>
      <c r="DO194" s="600"/>
      <c r="DP194" s="2784" t="e">
        <f t="shared" si="581"/>
        <v>#VALUE!</v>
      </c>
      <c r="DQ194" s="2784" t="e">
        <f t="shared" si="582"/>
        <v>#VALUE!</v>
      </c>
      <c r="DR194" s="2784">
        <f t="shared" si="583"/>
        <v>1</v>
      </c>
      <c r="DS194" s="2784">
        <f t="shared" si="584"/>
        <v>1</v>
      </c>
      <c r="DT194" s="2784" t="e">
        <f t="shared" si="585"/>
        <v>#VALUE!</v>
      </c>
      <c r="DU194" s="2784">
        <f t="shared" si="586"/>
        <v>1</v>
      </c>
      <c r="DV194" s="2784">
        <f t="shared" si="587"/>
        <v>1</v>
      </c>
      <c r="DW194" s="2630"/>
      <c r="DX194" s="2630"/>
      <c r="DY194" s="2784" t="e">
        <f t="shared" si="588"/>
        <v>#VALUE!</v>
      </c>
      <c r="DZ194" s="2784" t="e">
        <f t="shared" si="589"/>
        <v>#VALUE!</v>
      </c>
    </row>
    <row r="195" spans="1:130" x14ac:dyDescent="0.3">
      <c r="A195" s="6234">
        <v>11055270</v>
      </c>
      <c r="B195" s="7576" t="s">
        <v>2672</v>
      </c>
      <c r="C195" s="7577"/>
      <c r="D195" s="1928" t="s">
        <v>5292</v>
      </c>
      <c r="E195" s="5031" t="s">
        <v>5293</v>
      </c>
      <c r="F195" s="5148" t="s">
        <v>5294</v>
      </c>
      <c r="G195" s="5149" t="s">
        <v>5295</v>
      </c>
      <c r="H195" s="5148" t="s">
        <v>5296</v>
      </c>
      <c r="I195" s="5149" t="s">
        <v>5297</v>
      </c>
      <c r="J195" s="5148" t="s">
        <v>5298</v>
      </c>
      <c r="K195" s="5149" t="s">
        <v>5299</v>
      </c>
      <c r="L195" s="5148" t="s">
        <v>5300</v>
      </c>
      <c r="M195" s="5149" t="s">
        <v>5301</v>
      </c>
      <c r="N195" s="5148" t="s">
        <v>5302</v>
      </c>
      <c r="O195" s="5149" t="s">
        <v>5303</v>
      </c>
      <c r="P195" s="5038" t="s">
        <v>5304</v>
      </c>
      <c r="Q195" s="5151" t="s">
        <v>5305</v>
      </c>
      <c r="R195" s="5038" t="s">
        <v>5306</v>
      </c>
      <c r="S195" s="5151" t="s">
        <v>5307</v>
      </c>
      <c r="T195" s="5038" t="s">
        <v>5308</v>
      </c>
      <c r="U195" s="5151" t="s">
        <v>5309</v>
      </c>
      <c r="V195" s="5038" t="s">
        <v>5310</v>
      </c>
      <c r="W195" s="5151" t="s">
        <v>5311</v>
      </c>
      <c r="X195" s="5038" t="s">
        <v>5312</v>
      </c>
      <c r="Y195" s="5151" t="s">
        <v>5313</v>
      </c>
      <c r="Z195" s="5038" t="s">
        <v>5314</v>
      </c>
      <c r="AA195" s="5151" t="s">
        <v>5315</v>
      </c>
      <c r="AB195" s="5038" t="s">
        <v>5316</v>
      </c>
      <c r="AC195" s="5151" t="s">
        <v>5317</v>
      </c>
      <c r="AD195" s="5038" t="s">
        <v>5318</v>
      </c>
      <c r="AE195" s="5151" t="s">
        <v>5319</v>
      </c>
      <c r="AF195" s="5038" t="s">
        <v>5320</v>
      </c>
      <c r="AG195" s="5151" t="s">
        <v>5321</v>
      </c>
      <c r="AH195" s="5038" t="s">
        <v>5322</v>
      </c>
      <c r="AI195" s="5151" t="s">
        <v>5323</v>
      </c>
      <c r="AJ195" s="5038" t="s">
        <v>5324</v>
      </c>
      <c r="AK195" s="5151" t="s">
        <v>5325</v>
      </c>
      <c r="AL195" s="5146" t="s">
        <v>5326</v>
      </c>
      <c r="AM195" s="3511" t="s">
        <v>5327</v>
      </c>
      <c r="AN195" s="5038" t="s">
        <v>5328</v>
      </c>
      <c r="AO195" s="3512" t="s">
        <v>5329</v>
      </c>
      <c r="AP195" s="5146" t="s">
        <v>5330</v>
      </c>
      <c r="AQ195" s="3511" t="s">
        <v>5331</v>
      </c>
      <c r="AR195" s="3479" t="s">
        <v>5332</v>
      </c>
      <c r="AS195" s="3512" t="s">
        <v>5333</v>
      </c>
      <c r="AT195" s="5146" t="s">
        <v>5334</v>
      </c>
      <c r="AU195" s="3512" t="s">
        <v>5335</v>
      </c>
      <c r="AV195" s="5146" t="s">
        <v>5336</v>
      </c>
      <c r="AW195" s="3511" t="s">
        <v>5337</v>
      </c>
      <c r="AX195" s="5146" t="s">
        <v>5338</v>
      </c>
      <c r="AY195" s="3511" t="s">
        <v>5339</v>
      </c>
      <c r="AZ195" s="1687" t="e">
        <f t="shared" si="591"/>
        <v>#VALUE!</v>
      </c>
      <c r="CB195" s="3146" t="str">
        <f t="shared" si="566"/>
        <v xml:space="preserve"> * El Total de Exámenes Confirmados Positivos por ISP NO DEBE SUPERAR los Exámenes Procesados. </v>
      </c>
      <c r="CC195" s="2784" t="str">
        <f t="shared" si="592"/>
        <v xml:space="preserve"> * El número de Exámenes por Sexo Hombres Confirmados positivos por ISP NO PUEDE Superar al número de Procesados. </v>
      </c>
      <c r="CD195" s="2784" t="str">
        <f t="shared" si="567"/>
        <v xml:space="preserve"> * El número de Exámenes por Sexo Mujeres Confirmados positivos por ISP NO PUEDE Superar al número de Procesados. </v>
      </c>
      <c r="CE195" s="2630"/>
      <c r="CF195" s="2630"/>
      <c r="CG195" s="2630"/>
      <c r="CH195" s="2630"/>
      <c r="CI195" s="2630"/>
      <c r="CJ195" s="2784" t="e">
        <f t="shared" si="568"/>
        <v>#VALUE!</v>
      </c>
      <c r="CK195" s="600"/>
      <c r="CL195" s="2784" t="e">
        <f t="shared" si="569"/>
        <v>#VALUE!</v>
      </c>
      <c r="CM195" s="2784" t="e">
        <f t="shared" si="570"/>
        <v>#VALUE!</v>
      </c>
      <c r="CN195" s="2784" t="str">
        <f t="shared" si="571"/>
        <v xml:space="preserve"> * Los exámenes procesados Pueblos originarios no pueden ser mayor que el Total de exámenes procesados.</v>
      </c>
      <c r="CO195" s="2784" t="str">
        <f t="shared" si="572"/>
        <v xml:space="preserve"> * Los exámenes procesados de Migrantes no pueden ser mayor que el Total de exámenes procesados.</v>
      </c>
      <c r="CP195" s="2784" t="e">
        <f t="shared" si="573"/>
        <v>#VALUE!</v>
      </c>
      <c r="CQ195" s="2784" t="str">
        <f t="shared" si="574"/>
        <v xml:space="preserve"> * Los exámenes Confirmados positivos por ISP de Pueblos originarios no pueden ser mayor que el Total de exámenes Procesados por ISP.</v>
      </c>
      <c r="CR195" s="2784" t="str">
        <f t="shared" si="575"/>
        <v xml:space="preserve"> * Los exámenes Confirmados positivos por ISP de Migrantes no pueden ser mayor que el Total de exámenes Procesados por ISP.</v>
      </c>
      <c r="CS195" s="2630"/>
      <c r="CT195" s="2630"/>
      <c r="CU195" s="2784" t="e">
        <f t="shared" si="576"/>
        <v>#VALUE!</v>
      </c>
      <c r="CV195" s="2784" t="e">
        <f t="shared" si="577"/>
        <v>#VALUE!</v>
      </c>
      <c r="DF195" s="3146">
        <f t="shared" si="578"/>
        <v>1</v>
      </c>
      <c r="DG195" s="2784">
        <f t="shared" si="593"/>
        <v>1</v>
      </c>
      <c r="DH195" s="2784">
        <f t="shared" si="579"/>
        <v>1</v>
      </c>
      <c r="DI195" s="2630"/>
      <c r="DJ195" s="2630"/>
      <c r="DK195" s="2630"/>
      <c r="DL195" s="2630"/>
      <c r="DM195" s="2630"/>
      <c r="DN195" s="2784" t="e">
        <f t="shared" si="580"/>
        <v>#VALUE!</v>
      </c>
      <c r="DO195" s="600"/>
      <c r="DP195" s="2784" t="e">
        <f t="shared" si="581"/>
        <v>#VALUE!</v>
      </c>
      <c r="DQ195" s="2784" t="e">
        <f t="shared" si="582"/>
        <v>#VALUE!</v>
      </c>
      <c r="DR195" s="2784">
        <f t="shared" si="583"/>
        <v>1</v>
      </c>
      <c r="DS195" s="2784">
        <f t="shared" si="584"/>
        <v>1</v>
      </c>
      <c r="DT195" s="2784" t="e">
        <f t="shared" si="585"/>
        <v>#VALUE!</v>
      </c>
      <c r="DU195" s="2784">
        <f t="shared" si="586"/>
        <v>1</v>
      </c>
      <c r="DV195" s="2784">
        <f t="shared" si="587"/>
        <v>1</v>
      </c>
      <c r="DW195" s="2630"/>
      <c r="DX195" s="2630"/>
      <c r="DY195" s="2784" t="e">
        <f t="shared" si="588"/>
        <v>#VALUE!</v>
      </c>
      <c r="DZ195" s="2784" t="e">
        <f t="shared" si="589"/>
        <v>#VALUE!</v>
      </c>
    </row>
    <row r="196" spans="1:130" x14ac:dyDescent="0.3">
      <c r="A196" s="6234">
        <v>11055280</v>
      </c>
      <c r="B196" s="7578" t="s">
        <v>2705</v>
      </c>
      <c r="C196" s="7579"/>
      <c r="D196" s="3516" t="s">
        <v>5292</v>
      </c>
      <c r="E196" s="3517" t="s">
        <v>5293</v>
      </c>
      <c r="F196" s="410" t="s">
        <v>5294</v>
      </c>
      <c r="G196" s="3518" t="s">
        <v>5295</v>
      </c>
      <c r="H196" s="410" t="s">
        <v>5296</v>
      </c>
      <c r="I196" s="3518" t="s">
        <v>5297</v>
      </c>
      <c r="J196" s="410" t="s">
        <v>5298</v>
      </c>
      <c r="K196" s="3518" t="s">
        <v>5299</v>
      </c>
      <c r="L196" s="410" t="s">
        <v>5300</v>
      </c>
      <c r="M196" s="3518" t="s">
        <v>5301</v>
      </c>
      <c r="N196" s="410" t="s">
        <v>5302</v>
      </c>
      <c r="O196" s="3518" t="s">
        <v>5303</v>
      </c>
      <c r="P196" s="410" t="s">
        <v>5304</v>
      </c>
      <c r="Q196" s="3518" t="s">
        <v>5305</v>
      </c>
      <c r="R196" s="410" t="s">
        <v>5306</v>
      </c>
      <c r="S196" s="3518" t="s">
        <v>5307</v>
      </c>
      <c r="T196" s="410" t="s">
        <v>5308</v>
      </c>
      <c r="U196" s="3518" t="s">
        <v>5309</v>
      </c>
      <c r="V196" s="410" t="s">
        <v>5310</v>
      </c>
      <c r="W196" s="3518" t="s">
        <v>5311</v>
      </c>
      <c r="X196" s="410" t="s">
        <v>5312</v>
      </c>
      <c r="Y196" s="3518" t="s">
        <v>5313</v>
      </c>
      <c r="Z196" s="410" t="s">
        <v>5314</v>
      </c>
      <c r="AA196" s="3518" t="s">
        <v>5315</v>
      </c>
      <c r="AB196" s="410" t="s">
        <v>5316</v>
      </c>
      <c r="AC196" s="3518" t="s">
        <v>5317</v>
      </c>
      <c r="AD196" s="410" t="s">
        <v>5318</v>
      </c>
      <c r="AE196" s="3518" t="s">
        <v>5319</v>
      </c>
      <c r="AF196" s="410" t="s">
        <v>5320</v>
      </c>
      <c r="AG196" s="3518" t="s">
        <v>5321</v>
      </c>
      <c r="AH196" s="410" t="s">
        <v>5322</v>
      </c>
      <c r="AI196" s="3518" t="s">
        <v>5323</v>
      </c>
      <c r="AJ196" s="410" t="s">
        <v>5324</v>
      </c>
      <c r="AK196" s="3518" t="s">
        <v>5325</v>
      </c>
      <c r="AL196" s="3519" t="s">
        <v>5326</v>
      </c>
      <c r="AM196" s="411" t="s">
        <v>5327</v>
      </c>
      <c r="AN196" s="410" t="s">
        <v>5328</v>
      </c>
      <c r="AO196" s="413" t="s">
        <v>5329</v>
      </c>
      <c r="AP196" s="3519" t="s">
        <v>5330</v>
      </c>
      <c r="AQ196" s="411" t="s">
        <v>5331</v>
      </c>
      <c r="AR196" s="414" t="s">
        <v>5332</v>
      </c>
      <c r="AS196" s="413" t="s">
        <v>5333</v>
      </c>
      <c r="AT196" s="3495" t="s">
        <v>5334</v>
      </c>
      <c r="AU196" s="385" t="s">
        <v>5335</v>
      </c>
      <c r="AV196" s="3519" t="s">
        <v>5336</v>
      </c>
      <c r="AW196" s="411" t="s">
        <v>5337</v>
      </c>
      <c r="AX196" s="3519" t="s">
        <v>5338</v>
      </c>
      <c r="AY196" s="411" t="s">
        <v>5339</v>
      </c>
      <c r="AZ196" s="1687" t="e">
        <f t="shared" si="591"/>
        <v>#VALUE!</v>
      </c>
      <c r="CB196" s="3146" t="str">
        <f t="shared" si="566"/>
        <v xml:space="preserve"> * El Total de Exámenes Confirmados Positivos por ISP NO DEBE SUPERAR los Exámenes Procesados. </v>
      </c>
      <c r="CC196" s="2784" t="str">
        <f t="shared" si="592"/>
        <v xml:space="preserve"> * El número de Exámenes por Sexo Hombres Confirmados positivos por ISP NO PUEDE Superar al número de Procesados. </v>
      </c>
      <c r="CD196" s="2784" t="str">
        <f t="shared" si="567"/>
        <v xml:space="preserve"> * El número de Exámenes por Sexo Mujeres Confirmados positivos por ISP NO PUEDE Superar al número de Procesados. </v>
      </c>
      <c r="CE196" s="2630"/>
      <c r="CF196" s="2630"/>
      <c r="CG196" s="2630"/>
      <c r="CH196" s="2630"/>
      <c r="CI196" s="2630"/>
      <c r="CJ196" s="2784" t="e">
        <f t="shared" si="568"/>
        <v>#VALUE!</v>
      </c>
      <c r="CK196" s="600"/>
      <c r="CL196" s="2784" t="e">
        <f t="shared" si="569"/>
        <v>#VALUE!</v>
      </c>
      <c r="CM196" s="2784" t="e">
        <f t="shared" si="570"/>
        <v>#VALUE!</v>
      </c>
      <c r="CN196" s="2784" t="str">
        <f t="shared" si="571"/>
        <v xml:space="preserve"> * Los exámenes procesados Pueblos originarios no pueden ser mayor que el Total de exámenes procesados.</v>
      </c>
      <c r="CO196" s="2784" t="str">
        <f t="shared" si="572"/>
        <v xml:space="preserve"> * Los exámenes procesados de Migrantes no pueden ser mayor que el Total de exámenes procesados.</v>
      </c>
      <c r="CP196" s="2784" t="e">
        <f t="shared" si="573"/>
        <v>#VALUE!</v>
      </c>
      <c r="CQ196" s="2784" t="str">
        <f t="shared" si="574"/>
        <v xml:space="preserve"> * Los exámenes Confirmados positivos por ISP de Pueblos originarios no pueden ser mayor que el Total de exámenes Procesados por ISP.</v>
      </c>
      <c r="CR196" s="2784" t="str">
        <f t="shared" si="575"/>
        <v xml:space="preserve"> * Los exámenes Confirmados positivos por ISP de Migrantes no pueden ser mayor que el Total de exámenes Procesados por ISP.</v>
      </c>
      <c r="CS196" s="2630"/>
      <c r="CT196" s="2630"/>
      <c r="CU196" s="2784" t="e">
        <f t="shared" si="576"/>
        <v>#VALUE!</v>
      </c>
      <c r="CV196" s="2784" t="e">
        <f t="shared" si="577"/>
        <v>#VALUE!</v>
      </c>
      <c r="DF196" s="3146">
        <f t="shared" si="578"/>
        <v>1</v>
      </c>
      <c r="DG196" s="2784">
        <f t="shared" si="593"/>
        <v>1</v>
      </c>
      <c r="DH196" s="2784">
        <f t="shared" si="579"/>
        <v>1</v>
      </c>
      <c r="DI196" s="2630"/>
      <c r="DJ196" s="2630"/>
      <c r="DK196" s="2630"/>
      <c r="DL196" s="2630"/>
      <c r="DM196" s="2630"/>
      <c r="DN196" s="2784" t="e">
        <f t="shared" si="580"/>
        <v>#VALUE!</v>
      </c>
      <c r="DO196" s="600"/>
      <c r="DP196" s="2784" t="e">
        <f t="shared" si="581"/>
        <v>#VALUE!</v>
      </c>
      <c r="DQ196" s="2784" t="e">
        <f t="shared" si="582"/>
        <v>#VALUE!</v>
      </c>
      <c r="DR196" s="2784">
        <f t="shared" si="583"/>
        <v>1</v>
      </c>
      <c r="DS196" s="2784">
        <f t="shared" si="584"/>
        <v>1</v>
      </c>
      <c r="DT196" s="2784" t="e">
        <f t="shared" si="585"/>
        <v>#VALUE!</v>
      </c>
      <c r="DU196" s="2784">
        <f t="shared" si="586"/>
        <v>1</v>
      </c>
      <c r="DV196" s="2784">
        <f t="shared" si="587"/>
        <v>1</v>
      </c>
      <c r="DW196" s="2630"/>
      <c r="DX196" s="2630"/>
      <c r="DY196" s="2784" t="e">
        <f t="shared" si="588"/>
        <v>#VALUE!</v>
      </c>
      <c r="DZ196" s="2784" t="e">
        <f t="shared" si="589"/>
        <v>#VALUE!</v>
      </c>
    </row>
    <row r="197" spans="1:130" x14ac:dyDescent="0.3">
      <c r="A197" s="6234">
        <v>11055290</v>
      </c>
      <c r="B197" s="7552" t="s">
        <v>545</v>
      </c>
      <c r="C197" s="5180" t="s">
        <v>2690</v>
      </c>
      <c r="D197" s="2004" t="s">
        <v>5292</v>
      </c>
      <c r="E197" s="5189" t="s">
        <v>5293</v>
      </c>
      <c r="F197" s="5190" t="s">
        <v>5294</v>
      </c>
      <c r="G197" s="5191" t="s">
        <v>5295</v>
      </c>
      <c r="H197" s="5190" t="s">
        <v>5296</v>
      </c>
      <c r="I197" s="5191" t="s">
        <v>5297</v>
      </c>
      <c r="J197" s="5190" t="s">
        <v>5298</v>
      </c>
      <c r="K197" s="5191" t="s">
        <v>5299</v>
      </c>
      <c r="L197" s="5190" t="s">
        <v>5300</v>
      </c>
      <c r="M197" s="5191" t="s">
        <v>5301</v>
      </c>
      <c r="N197" s="5190" t="s">
        <v>5302</v>
      </c>
      <c r="O197" s="5191" t="s">
        <v>5303</v>
      </c>
      <c r="P197" s="5167" t="s">
        <v>5304</v>
      </c>
      <c r="Q197" s="5168" t="s">
        <v>5305</v>
      </c>
      <c r="R197" s="5167" t="s">
        <v>5306</v>
      </c>
      <c r="S197" s="5168" t="s">
        <v>5307</v>
      </c>
      <c r="T197" s="5167" t="s">
        <v>5308</v>
      </c>
      <c r="U197" s="5168" t="s">
        <v>5309</v>
      </c>
      <c r="V197" s="5167" t="s">
        <v>5310</v>
      </c>
      <c r="W197" s="5168" t="s">
        <v>5311</v>
      </c>
      <c r="X197" s="5167" t="s">
        <v>5312</v>
      </c>
      <c r="Y197" s="5168" t="s">
        <v>5313</v>
      </c>
      <c r="Z197" s="5167" t="s">
        <v>5314</v>
      </c>
      <c r="AA197" s="5168" t="s">
        <v>5315</v>
      </c>
      <c r="AB197" s="5167" t="s">
        <v>5316</v>
      </c>
      <c r="AC197" s="5168" t="s">
        <v>5317</v>
      </c>
      <c r="AD197" s="5167" t="s">
        <v>5318</v>
      </c>
      <c r="AE197" s="5168" t="s">
        <v>5319</v>
      </c>
      <c r="AF197" s="5167" t="s">
        <v>5320</v>
      </c>
      <c r="AG197" s="5168" t="s">
        <v>5321</v>
      </c>
      <c r="AH197" s="5167" t="s">
        <v>5322</v>
      </c>
      <c r="AI197" s="5168" t="s">
        <v>5323</v>
      </c>
      <c r="AJ197" s="5197" t="s">
        <v>5324</v>
      </c>
      <c r="AK197" s="5198" t="s">
        <v>5325</v>
      </c>
      <c r="AL197" s="5199" t="s">
        <v>5326</v>
      </c>
      <c r="AM197" s="5169" t="s">
        <v>5327</v>
      </c>
      <c r="AN197" s="5167" t="s">
        <v>5328</v>
      </c>
      <c r="AO197" s="5200" t="s">
        <v>5329</v>
      </c>
      <c r="AP197" s="5199" t="s">
        <v>5330</v>
      </c>
      <c r="AQ197" s="5169" t="s">
        <v>5331</v>
      </c>
      <c r="AR197" s="5201" t="s">
        <v>5332</v>
      </c>
      <c r="AS197" s="5200" t="s">
        <v>5333</v>
      </c>
      <c r="AT197" s="5202" t="s">
        <v>5334</v>
      </c>
      <c r="AU197" s="3510" t="s">
        <v>5335</v>
      </c>
      <c r="AV197" s="5201" t="s">
        <v>5336</v>
      </c>
      <c r="AW197" s="5200" t="s">
        <v>5337</v>
      </c>
      <c r="AX197" s="5203" t="s">
        <v>5338</v>
      </c>
      <c r="AY197" s="5204" t="s">
        <v>5339</v>
      </c>
      <c r="AZ197" s="1687" t="e">
        <f>$CB197&amp;CC197&amp;$CD197&amp;CE197&amp;CF197&amp;CG197&amp;CH197&amp;CI197&amp;CJ197&amp;CK197&amp;CL197&amp;CM197&amp;CN197&amp;CO197&amp;CP197&amp;CQ197&amp;CR197&amp;CS197&amp;CT197</f>
        <v>#VALUE!</v>
      </c>
      <c r="CB197" s="3146" t="str">
        <f t="shared" si="566"/>
        <v xml:space="preserve"> * El Total de Exámenes Confirmados Positivos por ISP NO DEBE SUPERAR los Exámenes Procesados. </v>
      </c>
      <c r="CC197" s="2784" t="str">
        <f t="shared" si="592"/>
        <v xml:space="preserve"> * El número de Exámenes por Sexo Hombres Confirmados positivos por ISP NO PUEDE Superar al número de Procesados. </v>
      </c>
      <c r="CD197" s="2784" t="str">
        <f t="shared" si="567"/>
        <v xml:space="preserve"> * El número de Exámenes por Sexo Mujeres Confirmados positivos por ISP NO PUEDE Superar al número de Procesados. </v>
      </c>
      <c r="CE197" s="2630"/>
      <c r="CF197" s="2630"/>
      <c r="CG197" s="2630"/>
      <c r="CH197" s="2630"/>
      <c r="CI197" s="2630"/>
      <c r="CJ197" s="2784" t="e">
        <f t="shared" si="568"/>
        <v>#VALUE!</v>
      </c>
      <c r="CK197" s="600"/>
      <c r="CL197" s="2784" t="e">
        <f t="shared" si="569"/>
        <v>#VALUE!</v>
      </c>
      <c r="CM197" s="2784" t="e">
        <f t="shared" si="570"/>
        <v>#VALUE!</v>
      </c>
      <c r="CN197" s="2784" t="str">
        <f t="shared" si="571"/>
        <v xml:space="preserve"> * Los exámenes procesados Pueblos originarios no pueden ser mayor que el Total de exámenes procesados.</v>
      </c>
      <c r="CO197" s="2784" t="str">
        <f t="shared" si="572"/>
        <v xml:space="preserve"> * Los exámenes procesados de Migrantes no pueden ser mayor que el Total de exámenes procesados.</v>
      </c>
      <c r="CP197" s="2784" t="e">
        <f t="shared" si="573"/>
        <v>#VALUE!</v>
      </c>
      <c r="CQ197" s="2784" t="str">
        <f t="shared" si="574"/>
        <v xml:space="preserve"> * Los exámenes Confirmados positivos por ISP de Pueblos originarios no pueden ser mayor que el Total de exámenes Procesados por ISP.</v>
      </c>
      <c r="CR197" s="2784" t="str">
        <f t="shared" si="575"/>
        <v xml:space="preserve"> * Los exámenes Confirmados positivos por ISP de Migrantes no pueden ser mayor que el Total de exámenes Procesados por ISP.</v>
      </c>
      <c r="CS197" s="2630"/>
      <c r="CT197" s="2630"/>
      <c r="CU197" s="2783"/>
      <c r="CV197" s="2783"/>
      <c r="DF197" s="3146">
        <f t="shared" si="578"/>
        <v>1</v>
      </c>
      <c r="DG197" s="2784">
        <f t="shared" si="593"/>
        <v>1</v>
      </c>
      <c r="DH197" s="2784">
        <f t="shared" si="579"/>
        <v>1</v>
      </c>
      <c r="DI197" s="2630"/>
      <c r="DJ197" s="2630"/>
      <c r="DK197" s="2630"/>
      <c r="DL197" s="2630"/>
      <c r="DM197" s="2630"/>
      <c r="DN197" s="2784" t="e">
        <f t="shared" si="580"/>
        <v>#VALUE!</v>
      </c>
      <c r="DO197" s="600"/>
      <c r="DP197" s="2784" t="e">
        <f t="shared" si="581"/>
        <v>#VALUE!</v>
      </c>
      <c r="DQ197" s="2784" t="e">
        <f t="shared" si="582"/>
        <v>#VALUE!</v>
      </c>
      <c r="DR197" s="2784">
        <f t="shared" si="583"/>
        <v>1</v>
      </c>
      <c r="DS197" s="2784">
        <f t="shared" si="584"/>
        <v>1</v>
      </c>
      <c r="DT197" s="2784" t="e">
        <f t="shared" si="585"/>
        <v>#VALUE!</v>
      </c>
      <c r="DU197" s="2784">
        <f t="shared" si="586"/>
        <v>1</v>
      </c>
      <c r="DV197" s="2784">
        <f t="shared" si="587"/>
        <v>1</v>
      </c>
      <c r="DW197" s="2630"/>
      <c r="DX197" s="2630"/>
      <c r="DY197" s="1725"/>
      <c r="DZ197" s="1725"/>
    </row>
    <row r="198" spans="1:130" x14ac:dyDescent="0.3">
      <c r="A198" s="6234">
        <v>11055300</v>
      </c>
      <c r="B198" s="6355"/>
      <c r="C198" s="3508" t="s">
        <v>2691</v>
      </c>
      <c r="D198" s="1928" t="s">
        <v>5292</v>
      </c>
      <c r="E198" s="5031" t="s">
        <v>5293</v>
      </c>
      <c r="F198" s="5148" t="s">
        <v>5294</v>
      </c>
      <c r="G198" s="5149" t="s">
        <v>5295</v>
      </c>
      <c r="H198" s="5148" t="s">
        <v>5296</v>
      </c>
      <c r="I198" s="5149" t="s">
        <v>5297</v>
      </c>
      <c r="J198" s="5148" t="s">
        <v>5298</v>
      </c>
      <c r="K198" s="5149" t="s">
        <v>5299</v>
      </c>
      <c r="L198" s="5148" t="s">
        <v>5300</v>
      </c>
      <c r="M198" s="5149" t="s">
        <v>5301</v>
      </c>
      <c r="N198" s="5148" t="s">
        <v>5302</v>
      </c>
      <c r="O198" s="5149" t="s">
        <v>5303</v>
      </c>
      <c r="P198" s="5038" t="s">
        <v>5304</v>
      </c>
      <c r="Q198" s="5151" t="s">
        <v>5305</v>
      </c>
      <c r="R198" s="5038" t="s">
        <v>5306</v>
      </c>
      <c r="S198" s="5151" t="s">
        <v>5307</v>
      </c>
      <c r="T198" s="5038" t="s">
        <v>5308</v>
      </c>
      <c r="U198" s="5151" t="s">
        <v>5309</v>
      </c>
      <c r="V198" s="5038" t="s">
        <v>5310</v>
      </c>
      <c r="W198" s="5151" t="s">
        <v>5311</v>
      </c>
      <c r="X198" s="5038" t="s">
        <v>5312</v>
      </c>
      <c r="Y198" s="5151" t="s">
        <v>5313</v>
      </c>
      <c r="Z198" s="5038" t="s">
        <v>5314</v>
      </c>
      <c r="AA198" s="5151" t="s">
        <v>5315</v>
      </c>
      <c r="AB198" s="5038" t="s">
        <v>5316</v>
      </c>
      <c r="AC198" s="5151" t="s">
        <v>5317</v>
      </c>
      <c r="AD198" s="5038" t="s">
        <v>5318</v>
      </c>
      <c r="AE198" s="5151" t="s">
        <v>5319</v>
      </c>
      <c r="AF198" s="5038" t="s">
        <v>5320</v>
      </c>
      <c r="AG198" s="5151" t="s">
        <v>5321</v>
      </c>
      <c r="AH198" s="5038" t="s">
        <v>5322</v>
      </c>
      <c r="AI198" s="5151" t="s">
        <v>5323</v>
      </c>
      <c r="AJ198" s="5148" t="s">
        <v>5324</v>
      </c>
      <c r="AK198" s="5150" t="s">
        <v>5325</v>
      </c>
      <c r="AL198" s="5146" t="s">
        <v>5326</v>
      </c>
      <c r="AM198" s="3511" t="s">
        <v>5327</v>
      </c>
      <c r="AN198" s="5038" t="s">
        <v>5328</v>
      </c>
      <c r="AO198" s="3512" t="s">
        <v>5329</v>
      </c>
      <c r="AP198" s="5146" t="s">
        <v>5330</v>
      </c>
      <c r="AQ198" s="3511" t="s">
        <v>5331</v>
      </c>
      <c r="AR198" s="3479" t="s">
        <v>5332</v>
      </c>
      <c r="AS198" s="3512" t="s">
        <v>5333</v>
      </c>
      <c r="AT198" s="5146" t="s">
        <v>5334</v>
      </c>
      <c r="AU198" s="3512" t="s">
        <v>5335</v>
      </c>
      <c r="AV198" s="3479" t="s">
        <v>5336</v>
      </c>
      <c r="AW198" s="3512" t="s">
        <v>5337</v>
      </c>
      <c r="AX198" s="5205" t="s">
        <v>5338</v>
      </c>
      <c r="AY198" s="3514" t="s">
        <v>5339</v>
      </c>
      <c r="AZ198" s="1687" t="e">
        <f>$CB198&amp;CC198&amp;$CD198&amp;CE198&amp;CF198&amp;CG198&amp;CH198&amp;CI198&amp;CJ198&amp;CK198&amp;CL198&amp;CM198&amp;CN198&amp;CO198&amp;CP198&amp;CQ198&amp;CR198&amp;CS198&amp;CT198</f>
        <v>#VALUE!</v>
      </c>
      <c r="CB198" s="3146" t="str">
        <f t="shared" si="566"/>
        <v xml:space="preserve"> * El Total de Exámenes Confirmados Positivos por ISP NO DEBE SUPERAR los Exámenes Procesados. </v>
      </c>
      <c r="CC198" s="2784" t="str">
        <f t="shared" si="592"/>
        <v xml:space="preserve"> * El número de Exámenes por Sexo Hombres Confirmados positivos por ISP NO PUEDE Superar al número de Procesados. </v>
      </c>
      <c r="CD198" s="2784" t="str">
        <f t="shared" si="567"/>
        <v xml:space="preserve"> * El número de Exámenes por Sexo Mujeres Confirmados positivos por ISP NO PUEDE Superar al número de Procesados. </v>
      </c>
      <c r="CE198" s="2630"/>
      <c r="CF198" s="2630"/>
      <c r="CG198" s="2630"/>
      <c r="CH198" s="2630"/>
      <c r="CI198" s="2630"/>
      <c r="CJ198" s="2784" t="e">
        <f t="shared" si="568"/>
        <v>#VALUE!</v>
      </c>
      <c r="CK198" s="600"/>
      <c r="CL198" s="2784" t="e">
        <f t="shared" si="569"/>
        <v>#VALUE!</v>
      </c>
      <c r="CM198" s="2784" t="e">
        <f t="shared" si="570"/>
        <v>#VALUE!</v>
      </c>
      <c r="CN198" s="2784" t="str">
        <f t="shared" si="571"/>
        <v xml:space="preserve"> * Los exámenes procesados Pueblos originarios no pueden ser mayor que el Total de exámenes procesados.</v>
      </c>
      <c r="CO198" s="2784" t="str">
        <f t="shared" si="572"/>
        <v xml:space="preserve"> * Los exámenes procesados de Migrantes no pueden ser mayor que el Total de exámenes procesados.</v>
      </c>
      <c r="CP198" s="2784" t="e">
        <f t="shared" si="573"/>
        <v>#VALUE!</v>
      </c>
      <c r="CQ198" s="2784" t="str">
        <f t="shared" si="574"/>
        <v xml:space="preserve"> * Los exámenes Confirmados positivos por ISP de Pueblos originarios no pueden ser mayor que el Total de exámenes Procesados por ISP.</v>
      </c>
      <c r="CR198" s="2784" t="str">
        <f t="shared" si="575"/>
        <v xml:space="preserve"> * Los exámenes Confirmados positivos por ISP de Migrantes no pueden ser mayor que el Total de exámenes Procesados por ISP.</v>
      </c>
      <c r="CS198" s="2630"/>
      <c r="CT198" s="2630"/>
      <c r="CU198" s="2783"/>
      <c r="CV198" s="2783"/>
      <c r="DF198" s="3146">
        <f t="shared" si="578"/>
        <v>1</v>
      </c>
      <c r="DG198" s="2784">
        <f t="shared" si="593"/>
        <v>1</v>
      </c>
      <c r="DH198" s="2784">
        <f t="shared" si="579"/>
        <v>1</v>
      </c>
      <c r="DI198" s="2630"/>
      <c r="DJ198" s="2630"/>
      <c r="DK198" s="2630"/>
      <c r="DL198" s="2630"/>
      <c r="DM198" s="2630"/>
      <c r="DN198" s="2784" t="e">
        <f t="shared" si="580"/>
        <v>#VALUE!</v>
      </c>
      <c r="DO198" s="600"/>
      <c r="DP198" s="2784" t="e">
        <f t="shared" si="581"/>
        <v>#VALUE!</v>
      </c>
      <c r="DQ198" s="2784" t="e">
        <f t="shared" si="582"/>
        <v>#VALUE!</v>
      </c>
      <c r="DR198" s="2784">
        <f t="shared" si="583"/>
        <v>1</v>
      </c>
      <c r="DS198" s="2784">
        <f t="shared" si="584"/>
        <v>1</v>
      </c>
      <c r="DT198" s="2784" t="e">
        <f t="shared" si="585"/>
        <v>#VALUE!</v>
      </c>
      <c r="DU198" s="2784">
        <f t="shared" si="586"/>
        <v>1</v>
      </c>
      <c r="DV198" s="2784">
        <f t="shared" si="587"/>
        <v>1</v>
      </c>
      <c r="DW198" s="2630"/>
      <c r="DX198" s="2630"/>
      <c r="DY198" s="1725"/>
      <c r="DZ198" s="1725"/>
    </row>
    <row r="199" spans="1:130" x14ac:dyDescent="0.3">
      <c r="A199" s="6234">
        <v>11055310</v>
      </c>
      <c r="B199" s="6610"/>
      <c r="C199" s="610" t="s">
        <v>2692</v>
      </c>
      <c r="D199" s="3516" t="s">
        <v>5292</v>
      </c>
      <c r="E199" s="3523" t="s">
        <v>5293</v>
      </c>
      <c r="F199" s="3524" t="s">
        <v>5294</v>
      </c>
      <c r="G199" s="3525" t="s">
        <v>5295</v>
      </c>
      <c r="H199" s="3524" t="s">
        <v>5296</v>
      </c>
      <c r="I199" s="3525" t="s">
        <v>5297</v>
      </c>
      <c r="J199" s="3524" t="s">
        <v>5298</v>
      </c>
      <c r="K199" s="3525" t="s">
        <v>5299</v>
      </c>
      <c r="L199" s="3524" t="s">
        <v>5300</v>
      </c>
      <c r="M199" s="3525" t="s">
        <v>5301</v>
      </c>
      <c r="N199" s="3524" t="s">
        <v>5302</v>
      </c>
      <c r="O199" s="3525" t="s">
        <v>5303</v>
      </c>
      <c r="P199" s="3492" t="s">
        <v>5304</v>
      </c>
      <c r="Q199" s="3491" t="s">
        <v>5305</v>
      </c>
      <c r="R199" s="3492" t="s">
        <v>5306</v>
      </c>
      <c r="S199" s="3491" t="s">
        <v>5307</v>
      </c>
      <c r="T199" s="3492" t="s">
        <v>5308</v>
      </c>
      <c r="U199" s="3491" t="s">
        <v>5309</v>
      </c>
      <c r="V199" s="3492" t="s">
        <v>5310</v>
      </c>
      <c r="W199" s="3491" t="s">
        <v>5311</v>
      </c>
      <c r="X199" s="3492" t="s">
        <v>5312</v>
      </c>
      <c r="Y199" s="3491" t="s">
        <v>5313</v>
      </c>
      <c r="Z199" s="3492" t="s">
        <v>5314</v>
      </c>
      <c r="AA199" s="3491" t="s">
        <v>5315</v>
      </c>
      <c r="AB199" s="3492" t="s">
        <v>5316</v>
      </c>
      <c r="AC199" s="3491" t="s">
        <v>5317</v>
      </c>
      <c r="AD199" s="3492" t="s">
        <v>5318</v>
      </c>
      <c r="AE199" s="3491" t="s">
        <v>5319</v>
      </c>
      <c r="AF199" s="3492" t="s">
        <v>5320</v>
      </c>
      <c r="AG199" s="3491" t="s">
        <v>5321</v>
      </c>
      <c r="AH199" s="3492" t="s">
        <v>5322</v>
      </c>
      <c r="AI199" s="3491" t="s">
        <v>5323</v>
      </c>
      <c r="AJ199" s="3524" t="s">
        <v>5324</v>
      </c>
      <c r="AK199" s="3526" t="s">
        <v>5325</v>
      </c>
      <c r="AL199" s="3495" t="s">
        <v>5326</v>
      </c>
      <c r="AM199" s="290" t="s">
        <v>5327</v>
      </c>
      <c r="AN199" s="3492" t="s">
        <v>5328</v>
      </c>
      <c r="AO199" s="385" t="s">
        <v>5329</v>
      </c>
      <c r="AP199" s="3495" t="s">
        <v>5330</v>
      </c>
      <c r="AQ199" s="290" t="s">
        <v>5331</v>
      </c>
      <c r="AR199" s="288" t="s">
        <v>5332</v>
      </c>
      <c r="AS199" s="385" t="s">
        <v>5333</v>
      </c>
      <c r="AT199" s="3495" t="s">
        <v>5334</v>
      </c>
      <c r="AU199" s="385" t="s">
        <v>5335</v>
      </c>
      <c r="AV199" s="288" t="s">
        <v>5336</v>
      </c>
      <c r="AW199" s="385" t="s">
        <v>5337</v>
      </c>
      <c r="AX199" s="3527" t="s">
        <v>5338</v>
      </c>
      <c r="AY199" s="611" t="s">
        <v>5339</v>
      </c>
      <c r="AZ199" s="1687" t="e">
        <f t="shared" ref="AZ199" si="594">$CB199&amp;CC199&amp;$CD199&amp;CE199&amp;CF199&amp;CG199&amp;CH199&amp;CI199&amp;CJ199&amp;CK199&amp;CL199&amp;CM199&amp;CN199&amp;CO199&amp;CP199&amp;CQ199&amp;CR199&amp;CS199&amp;CT199</f>
        <v>#VALUE!</v>
      </c>
      <c r="CB199" s="3146" t="str">
        <f t="shared" si="566"/>
        <v xml:space="preserve"> * El Total de Exámenes Confirmados Positivos por ISP NO DEBE SUPERAR los Exámenes Procesados. </v>
      </c>
      <c r="CC199" s="2784" t="str">
        <f t="shared" si="592"/>
        <v xml:space="preserve"> * El número de Exámenes por Sexo Hombres Confirmados positivos por ISP NO PUEDE Superar al número de Procesados. </v>
      </c>
      <c r="CD199" s="2784" t="str">
        <f t="shared" si="567"/>
        <v xml:space="preserve"> * El número de Exámenes por Sexo Mujeres Confirmados positivos por ISP NO PUEDE Superar al número de Procesados. </v>
      </c>
      <c r="CE199" s="2630"/>
      <c r="CF199" s="2630"/>
      <c r="CG199" s="2630"/>
      <c r="CH199" s="2630"/>
      <c r="CI199" s="2630"/>
      <c r="CJ199" s="2784" t="e">
        <f t="shared" si="568"/>
        <v>#VALUE!</v>
      </c>
      <c r="CK199" s="600"/>
      <c r="CL199" s="2784" t="e">
        <f t="shared" si="569"/>
        <v>#VALUE!</v>
      </c>
      <c r="CM199" s="2784" t="e">
        <f t="shared" si="570"/>
        <v>#VALUE!</v>
      </c>
      <c r="CN199" s="2784" t="str">
        <f t="shared" si="571"/>
        <v xml:space="preserve"> * Los exámenes procesados Pueblos originarios no pueden ser mayor que el Total de exámenes procesados.</v>
      </c>
      <c r="CO199" s="2784" t="str">
        <f t="shared" si="572"/>
        <v xml:space="preserve"> * Los exámenes procesados de Migrantes no pueden ser mayor que el Total de exámenes procesados.</v>
      </c>
      <c r="CP199" s="2784" t="e">
        <f t="shared" si="573"/>
        <v>#VALUE!</v>
      </c>
      <c r="CQ199" s="2784" t="str">
        <f t="shared" si="574"/>
        <v xml:space="preserve"> * Los exámenes Confirmados positivos por ISP de Pueblos originarios no pueden ser mayor que el Total de exámenes Procesados por ISP.</v>
      </c>
      <c r="CR199" s="2784" t="str">
        <f t="shared" si="575"/>
        <v xml:space="preserve"> * Los exámenes Confirmados positivos por ISP de Migrantes no pueden ser mayor que el Total de exámenes Procesados por ISP.</v>
      </c>
      <c r="CS199" s="2630"/>
      <c r="CT199" s="2630"/>
      <c r="CU199" s="2783"/>
      <c r="CV199" s="2783"/>
      <c r="DF199" s="3146">
        <f t="shared" si="578"/>
        <v>1</v>
      </c>
      <c r="DG199" s="2784">
        <f t="shared" si="593"/>
        <v>1</v>
      </c>
      <c r="DH199" s="2784">
        <f t="shared" si="579"/>
        <v>1</v>
      </c>
      <c r="DI199" s="2630"/>
      <c r="DJ199" s="2630"/>
      <c r="DK199" s="2630"/>
      <c r="DL199" s="2630"/>
      <c r="DM199" s="2630"/>
      <c r="DN199" s="2784" t="e">
        <f t="shared" si="580"/>
        <v>#VALUE!</v>
      </c>
      <c r="DO199" s="600"/>
      <c r="DP199" s="2784" t="e">
        <f t="shared" si="581"/>
        <v>#VALUE!</v>
      </c>
      <c r="DQ199" s="2784" t="e">
        <f t="shared" si="582"/>
        <v>#VALUE!</v>
      </c>
      <c r="DR199" s="2784">
        <f t="shared" si="583"/>
        <v>1</v>
      </c>
      <c r="DS199" s="2784">
        <f t="shared" si="584"/>
        <v>1</v>
      </c>
      <c r="DT199" s="2784" t="e">
        <f t="shared" si="585"/>
        <v>#VALUE!</v>
      </c>
      <c r="DU199" s="2784">
        <f t="shared" si="586"/>
        <v>1</v>
      </c>
      <c r="DV199" s="2784">
        <f t="shared" si="587"/>
        <v>1</v>
      </c>
      <c r="DW199" s="2630"/>
      <c r="DX199" s="2630"/>
      <c r="DY199" s="1725"/>
      <c r="DZ199" s="1725"/>
    </row>
    <row r="200" spans="1:130" x14ac:dyDescent="0.3">
      <c r="A200" s="6234">
        <v>11055320</v>
      </c>
      <c r="B200" s="7580" t="s">
        <v>2674</v>
      </c>
      <c r="C200" s="7581"/>
      <c r="D200" s="2004" t="s">
        <v>5292</v>
      </c>
      <c r="E200" s="5031" t="s">
        <v>5293</v>
      </c>
      <c r="F200" s="276" t="s">
        <v>5294</v>
      </c>
      <c r="G200" s="5143" t="s">
        <v>5295</v>
      </c>
      <c r="H200" s="276" t="s">
        <v>5296</v>
      </c>
      <c r="I200" s="5143" t="s">
        <v>5297</v>
      </c>
      <c r="J200" s="276" t="s">
        <v>5298</v>
      </c>
      <c r="K200" s="5143" t="s">
        <v>5299</v>
      </c>
      <c r="L200" s="276" t="s">
        <v>5300</v>
      </c>
      <c r="M200" s="5143" t="s">
        <v>5301</v>
      </c>
      <c r="N200" s="5206" t="s">
        <v>5302</v>
      </c>
      <c r="O200" s="3529" t="s">
        <v>5303</v>
      </c>
      <c r="P200" s="5206" t="s">
        <v>5304</v>
      </c>
      <c r="Q200" s="3529" t="s">
        <v>5305</v>
      </c>
      <c r="R200" s="5206" t="s">
        <v>5306</v>
      </c>
      <c r="S200" s="3529" t="s">
        <v>5307</v>
      </c>
      <c r="T200" s="5206" t="s">
        <v>5308</v>
      </c>
      <c r="U200" s="3529" t="s">
        <v>5309</v>
      </c>
      <c r="V200" s="5206" t="s">
        <v>5310</v>
      </c>
      <c r="W200" s="3529" t="s">
        <v>5311</v>
      </c>
      <c r="X200" s="5206" t="s">
        <v>5312</v>
      </c>
      <c r="Y200" s="3529" t="s">
        <v>5313</v>
      </c>
      <c r="Z200" s="5206" t="s">
        <v>5314</v>
      </c>
      <c r="AA200" s="3529" t="s">
        <v>5315</v>
      </c>
      <c r="AB200" s="5206" t="s">
        <v>5316</v>
      </c>
      <c r="AC200" s="3529" t="s">
        <v>5317</v>
      </c>
      <c r="AD200" s="5206" t="s">
        <v>5318</v>
      </c>
      <c r="AE200" s="3530" t="s">
        <v>5319</v>
      </c>
      <c r="AF200" s="5206" t="s">
        <v>5320</v>
      </c>
      <c r="AG200" s="3530" t="s">
        <v>5321</v>
      </c>
      <c r="AH200" s="5163" t="s">
        <v>5322</v>
      </c>
      <c r="AI200" s="5165" t="s">
        <v>5323</v>
      </c>
      <c r="AJ200" s="5206" t="s">
        <v>5324</v>
      </c>
      <c r="AK200" s="3529" t="s">
        <v>5325</v>
      </c>
      <c r="AL200" s="5202" t="s">
        <v>5326</v>
      </c>
      <c r="AM200" s="4522" t="s">
        <v>5327</v>
      </c>
      <c r="AN200" s="276" t="s">
        <v>5328</v>
      </c>
      <c r="AO200" s="3510" t="s">
        <v>5329</v>
      </c>
      <c r="AP200" s="5202" t="s">
        <v>5330</v>
      </c>
      <c r="AQ200" s="4522" t="s">
        <v>5331</v>
      </c>
      <c r="AR200" s="612" t="s">
        <v>5332</v>
      </c>
      <c r="AS200" s="3510" t="s">
        <v>5333</v>
      </c>
      <c r="AT200" s="5202" t="s">
        <v>5334</v>
      </c>
      <c r="AU200" s="3510" t="s">
        <v>5335</v>
      </c>
      <c r="AV200" s="5202" t="s">
        <v>5336</v>
      </c>
      <c r="AW200" s="4522" t="s">
        <v>5337</v>
      </c>
      <c r="AX200" s="5202" t="s">
        <v>5338</v>
      </c>
      <c r="AY200" s="4522" t="s">
        <v>5339</v>
      </c>
      <c r="AZ200" s="1687" t="e">
        <f t="shared" si="591"/>
        <v>#VALUE!</v>
      </c>
      <c r="CB200" s="3146" t="str">
        <f t="shared" si="566"/>
        <v xml:space="preserve"> * El Total de Exámenes Confirmados Positivos por ISP NO DEBE SUPERAR los Exámenes Procesados. </v>
      </c>
      <c r="CC200" s="2784" t="str">
        <f t="shared" si="592"/>
        <v xml:space="preserve"> * El número de Exámenes por Sexo Hombres Confirmados positivos por ISP NO PUEDE Superar al número de Procesados. </v>
      </c>
      <c r="CD200" s="2784" t="str">
        <f t="shared" si="567"/>
        <v xml:space="preserve"> * El número de Exámenes por Sexo Mujeres Confirmados positivos por ISP NO PUEDE Superar al número de Procesados. </v>
      </c>
      <c r="CE200" s="2630"/>
      <c r="CF200" s="2630"/>
      <c r="CG200" s="2630"/>
      <c r="CH200" s="2630"/>
      <c r="CI200" s="2630"/>
      <c r="CJ200" s="2784" t="e">
        <f t="shared" si="568"/>
        <v>#VALUE!</v>
      </c>
      <c r="CK200" s="600"/>
      <c r="CL200" s="2784" t="e">
        <f t="shared" si="569"/>
        <v>#VALUE!</v>
      </c>
      <c r="CM200" s="2784" t="e">
        <f t="shared" si="570"/>
        <v>#VALUE!</v>
      </c>
      <c r="CN200" s="2784" t="str">
        <f t="shared" si="571"/>
        <v xml:space="preserve"> * Los exámenes procesados Pueblos originarios no pueden ser mayor que el Total de exámenes procesados.</v>
      </c>
      <c r="CO200" s="2784" t="str">
        <f t="shared" si="572"/>
        <v xml:space="preserve"> * Los exámenes procesados de Migrantes no pueden ser mayor que el Total de exámenes procesados.</v>
      </c>
      <c r="CP200" s="2784" t="e">
        <f t="shared" si="573"/>
        <v>#VALUE!</v>
      </c>
      <c r="CQ200" s="2784" t="str">
        <f t="shared" si="574"/>
        <v xml:space="preserve"> * Los exámenes Confirmados positivos por ISP de Pueblos originarios no pueden ser mayor que el Total de exámenes Procesados por ISP.</v>
      </c>
      <c r="CR200" s="2784" t="str">
        <f t="shared" si="575"/>
        <v xml:space="preserve"> * Los exámenes Confirmados positivos por ISP de Migrantes no pueden ser mayor que el Total de exámenes Procesados por ISP.</v>
      </c>
      <c r="CS200" s="2630"/>
      <c r="CT200" s="2630"/>
      <c r="CU200" s="2784" t="e">
        <f t="shared" ref="CU200:CU210" si="595">IF(AND((N200+P200)&gt;0,AX200=""),"* No olvide digitar la variable 14-18 años Procesados. Si no tiene digite Cero.",IF(AX200&gt;(N200+P200),"* El Total de Procesados de 14-18 años NO DEBE ser mayor al Total de Procesados registrados en los grupos de edad 10 a 14 y 15 a 19 años. ",""))</f>
        <v>#VALUE!</v>
      </c>
      <c r="CV200" s="2784" t="e">
        <f t="shared" ref="CV200:CV210" si="596">IF(AND((O200+Q200)&gt;0,AY200=""),"* No olvide digitar la variable 14-18 años Confirmados. Si no tiene digite Cero.",IF(AY200&gt;(O200+Q200),"* El Total de Confirmados de 14-18 años NO DEBE ser mayor al Total de Confirmados registrados en los grupos de edad 10 a 14 y 15 a 19 años. ",""))</f>
        <v>#VALUE!</v>
      </c>
      <c r="DF200" s="3146">
        <f t="shared" si="578"/>
        <v>1</v>
      </c>
      <c r="DG200" s="2784">
        <f t="shared" si="593"/>
        <v>1</v>
      </c>
      <c r="DH200" s="2784">
        <f t="shared" si="579"/>
        <v>1</v>
      </c>
      <c r="DI200" s="2630"/>
      <c r="DJ200" s="2630"/>
      <c r="DK200" s="2630"/>
      <c r="DL200" s="2630"/>
      <c r="DM200" s="2630"/>
      <c r="DN200" s="2784" t="e">
        <f t="shared" si="580"/>
        <v>#VALUE!</v>
      </c>
      <c r="DO200" s="600"/>
      <c r="DP200" s="2784" t="e">
        <f t="shared" si="581"/>
        <v>#VALUE!</v>
      </c>
      <c r="DQ200" s="2784" t="e">
        <f t="shared" si="582"/>
        <v>#VALUE!</v>
      </c>
      <c r="DR200" s="2784">
        <f t="shared" si="583"/>
        <v>1</v>
      </c>
      <c r="DS200" s="2784">
        <f t="shared" si="584"/>
        <v>1</v>
      </c>
      <c r="DT200" s="2784" t="e">
        <f t="shared" si="585"/>
        <v>#VALUE!</v>
      </c>
      <c r="DU200" s="2784">
        <f t="shared" si="586"/>
        <v>1</v>
      </c>
      <c r="DV200" s="2784">
        <f t="shared" si="587"/>
        <v>1</v>
      </c>
      <c r="DW200" s="2630"/>
      <c r="DX200" s="2630"/>
      <c r="DY200" s="2784" t="e">
        <f t="shared" ref="DY200:DZ210" si="597">IF(AND((N200+P200)&gt;0,AX200=""),1,IF(AX200&gt;(N200+P200),1,0))</f>
        <v>#VALUE!</v>
      </c>
      <c r="DZ200" s="2784" t="e">
        <f t="shared" si="597"/>
        <v>#VALUE!</v>
      </c>
    </row>
    <row r="201" spans="1:130" x14ac:dyDescent="0.3">
      <c r="A201" s="6234">
        <v>11055330</v>
      </c>
      <c r="B201" s="7576" t="s">
        <v>2706</v>
      </c>
      <c r="C201" s="7577"/>
      <c r="D201" s="1928" t="s">
        <v>5292</v>
      </c>
      <c r="E201" s="1926" t="s">
        <v>5293</v>
      </c>
      <c r="F201" s="5038" t="s">
        <v>5294</v>
      </c>
      <c r="G201" s="5151" t="s">
        <v>5295</v>
      </c>
      <c r="H201" s="5038" t="s">
        <v>5296</v>
      </c>
      <c r="I201" s="5151" t="s">
        <v>5297</v>
      </c>
      <c r="J201" s="5038" t="s">
        <v>5298</v>
      </c>
      <c r="K201" s="5151" t="s">
        <v>5299</v>
      </c>
      <c r="L201" s="5038" t="s">
        <v>5300</v>
      </c>
      <c r="M201" s="5151" t="s">
        <v>5301</v>
      </c>
      <c r="N201" s="5038" t="s">
        <v>5302</v>
      </c>
      <c r="O201" s="5151" t="s">
        <v>5303</v>
      </c>
      <c r="P201" s="410" t="s">
        <v>5304</v>
      </c>
      <c r="Q201" s="3518" t="s">
        <v>5305</v>
      </c>
      <c r="R201" s="410" t="s">
        <v>5306</v>
      </c>
      <c r="S201" s="3518" t="s">
        <v>5307</v>
      </c>
      <c r="T201" s="410" t="s">
        <v>5308</v>
      </c>
      <c r="U201" s="3518" t="s">
        <v>5309</v>
      </c>
      <c r="V201" s="410" t="s">
        <v>5310</v>
      </c>
      <c r="W201" s="3518" t="s">
        <v>5311</v>
      </c>
      <c r="X201" s="410" t="s">
        <v>5312</v>
      </c>
      <c r="Y201" s="3518" t="s">
        <v>5313</v>
      </c>
      <c r="Z201" s="410" t="s">
        <v>5314</v>
      </c>
      <c r="AA201" s="3518" t="s">
        <v>5315</v>
      </c>
      <c r="AB201" s="410" t="s">
        <v>5316</v>
      </c>
      <c r="AC201" s="3518" t="s">
        <v>5317</v>
      </c>
      <c r="AD201" s="410" t="s">
        <v>5318</v>
      </c>
      <c r="AE201" s="3531" t="s">
        <v>5319</v>
      </c>
      <c r="AF201" s="410" t="s">
        <v>5320</v>
      </c>
      <c r="AG201" s="3531" t="s">
        <v>5321</v>
      </c>
      <c r="AH201" s="410" t="s">
        <v>5322</v>
      </c>
      <c r="AI201" s="412" t="s">
        <v>5323</v>
      </c>
      <c r="AJ201" s="410" t="s">
        <v>5324</v>
      </c>
      <c r="AK201" s="3518" t="s">
        <v>5325</v>
      </c>
      <c r="AL201" s="3519" t="s">
        <v>5326</v>
      </c>
      <c r="AM201" s="411" t="s">
        <v>5327</v>
      </c>
      <c r="AN201" s="410" t="s">
        <v>5328</v>
      </c>
      <c r="AO201" s="413" t="s">
        <v>5329</v>
      </c>
      <c r="AP201" s="3519" t="s">
        <v>5330</v>
      </c>
      <c r="AQ201" s="411" t="s">
        <v>5331</v>
      </c>
      <c r="AR201" s="414" t="s">
        <v>5332</v>
      </c>
      <c r="AS201" s="413" t="s">
        <v>5333</v>
      </c>
      <c r="AT201" s="3519" t="s">
        <v>5334</v>
      </c>
      <c r="AU201" s="413" t="s">
        <v>5335</v>
      </c>
      <c r="AV201" s="3519" t="s">
        <v>5336</v>
      </c>
      <c r="AW201" s="411" t="s">
        <v>5337</v>
      </c>
      <c r="AX201" s="3519" t="s">
        <v>5338</v>
      </c>
      <c r="AY201" s="411" t="s">
        <v>5339</v>
      </c>
      <c r="AZ201" s="1687" t="e">
        <f>$CB201&amp;CC201&amp;$CD201&amp;CE201&amp;CF201&amp;CG201&amp;CH201&amp;CI201&amp;CJ201&amp;CK201&amp;CL201&amp;CM201&amp;CN201&amp;CO201&amp;CP201&amp;CQ201&amp;CR201&amp;CS201&amp;CT201&amp;CU201&amp;CV201</f>
        <v>#VALUE!</v>
      </c>
      <c r="CB201" s="3146" t="str">
        <f t="shared" si="566"/>
        <v xml:space="preserve"> * El Total de Exámenes Confirmados Positivos por ISP NO DEBE SUPERAR los Exámenes Procesados. </v>
      </c>
      <c r="CC201" s="2784" t="str">
        <f t="shared" si="592"/>
        <v xml:space="preserve"> * El número de Exámenes por Sexo Hombres Confirmados positivos por ISP NO PUEDE Superar al número de Procesados. </v>
      </c>
      <c r="CD201" s="2784" t="str">
        <f t="shared" si="567"/>
        <v xml:space="preserve"> * El número de Exámenes por Sexo Mujeres Confirmados positivos por ISP NO PUEDE Superar al número de Procesados. </v>
      </c>
      <c r="CE201" s="2630"/>
      <c r="CF201" s="2630"/>
      <c r="CG201" s="2630"/>
      <c r="CH201" s="2630"/>
      <c r="CI201" s="2630"/>
      <c r="CJ201" s="2784" t="e">
        <f t="shared" si="568"/>
        <v>#VALUE!</v>
      </c>
      <c r="CK201" s="600"/>
      <c r="CL201" s="2784" t="e">
        <f t="shared" si="569"/>
        <v>#VALUE!</v>
      </c>
      <c r="CM201" s="2784" t="e">
        <f t="shared" si="570"/>
        <v>#VALUE!</v>
      </c>
      <c r="CN201" s="2784" t="str">
        <f t="shared" si="571"/>
        <v xml:space="preserve"> * Los exámenes procesados Pueblos originarios no pueden ser mayor que el Total de exámenes procesados.</v>
      </c>
      <c r="CO201" s="2784" t="str">
        <f t="shared" si="572"/>
        <v xml:space="preserve"> * Los exámenes procesados de Migrantes no pueden ser mayor que el Total de exámenes procesados.</v>
      </c>
      <c r="CP201" s="2784" t="e">
        <f t="shared" si="573"/>
        <v>#VALUE!</v>
      </c>
      <c r="CQ201" s="2784" t="str">
        <f t="shared" si="574"/>
        <v xml:space="preserve"> * Los exámenes Confirmados positivos por ISP de Pueblos originarios no pueden ser mayor que el Total de exámenes Procesados por ISP.</v>
      </c>
      <c r="CR201" s="2784" t="str">
        <f t="shared" si="575"/>
        <v xml:space="preserve"> * Los exámenes Confirmados positivos por ISP de Migrantes no pueden ser mayor que el Total de exámenes Procesados por ISP.</v>
      </c>
      <c r="CS201" s="2630"/>
      <c r="CT201" s="2630"/>
      <c r="CU201" s="2784" t="e">
        <f t="shared" si="595"/>
        <v>#VALUE!</v>
      </c>
      <c r="CV201" s="2784" t="e">
        <f t="shared" si="596"/>
        <v>#VALUE!</v>
      </c>
      <c r="DF201" s="3146">
        <f t="shared" si="578"/>
        <v>1</v>
      </c>
      <c r="DG201" s="2784">
        <f t="shared" si="593"/>
        <v>1</v>
      </c>
      <c r="DH201" s="2784">
        <f t="shared" si="579"/>
        <v>1</v>
      </c>
      <c r="DI201" s="2630"/>
      <c r="DJ201" s="2630"/>
      <c r="DK201" s="2630"/>
      <c r="DL201" s="2630"/>
      <c r="DM201" s="2630"/>
      <c r="DN201" s="2784" t="e">
        <f t="shared" si="580"/>
        <v>#VALUE!</v>
      </c>
      <c r="DO201" s="600"/>
      <c r="DP201" s="2784" t="e">
        <f t="shared" si="581"/>
        <v>#VALUE!</v>
      </c>
      <c r="DQ201" s="2784" t="e">
        <f t="shared" si="582"/>
        <v>#VALUE!</v>
      </c>
      <c r="DR201" s="2784">
        <f t="shared" si="583"/>
        <v>1</v>
      </c>
      <c r="DS201" s="2784">
        <f t="shared" si="584"/>
        <v>1</v>
      </c>
      <c r="DT201" s="2784" t="e">
        <f t="shared" si="585"/>
        <v>#VALUE!</v>
      </c>
      <c r="DU201" s="2784">
        <f t="shared" si="586"/>
        <v>1</v>
      </c>
      <c r="DV201" s="2784">
        <f t="shared" si="587"/>
        <v>1</v>
      </c>
      <c r="DW201" s="2630"/>
      <c r="DX201" s="2630"/>
      <c r="DY201" s="2784" t="e">
        <f t="shared" si="597"/>
        <v>#VALUE!</v>
      </c>
      <c r="DZ201" s="2784" t="e">
        <f t="shared" si="597"/>
        <v>#VALUE!</v>
      </c>
    </row>
    <row r="202" spans="1:130" x14ac:dyDescent="0.3">
      <c r="A202" s="6234">
        <v>11055340</v>
      </c>
      <c r="B202" s="7576" t="s">
        <v>2676</v>
      </c>
      <c r="C202" s="7577"/>
      <c r="D202" s="1928" t="s">
        <v>5292</v>
      </c>
      <c r="E202" s="1926" t="s">
        <v>5293</v>
      </c>
      <c r="F202" s="5038" t="s">
        <v>5294</v>
      </c>
      <c r="G202" s="5151" t="s">
        <v>5295</v>
      </c>
      <c r="H202" s="5038" t="s">
        <v>5296</v>
      </c>
      <c r="I202" s="5151" t="s">
        <v>5297</v>
      </c>
      <c r="J202" s="5038" t="s">
        <v>5298</v>
      </c>
      <c r="K202" s="5151" t="s">
        <v>5299</v>
      </c>
      <c r="L202" s="5038" t="s">
        <v>5300</v>
      </c>
      <c r="M202" s="5151" t="s">
        <v>5301</v>
      </c>
      <c r="N202" s="5038" t="s">
        <v>5302</v>
      </c>
      <c r="O202" s="5151" t="s">
        <v>5303</v>
      </c>
      <c r="P202" s="410" t="s">
        <v>5304</v>
      </c>
      <c r="Q202" s="3518" t="s">
        <v>5305</v>
      </c>
      <c r="R202" s="410" t="s">
        <v>5306</v>
      </c>
      <c r="S202" s="3518" t="s">
        <v>5307</v>
      </c>
      <c r="T202" s="410" t="s">
        <v>5308</v>
      </c>
      <c r="U202" s="3518" t="s">
        <v>5309</v>
      </c>
      <c r="V202" s="410" t="s">
        <v>5310</v>
      </c>
      <c r="W202" s="3518" t="s">
        <v>5311</v>
      </c>
      <c r="X202" s="410" t="s">
        <v>5312</v>
      </c>
      <c r="Y202" s="3518" t="s">
        <v>5313</v>
      </c>
      <c r="Z202" s="410" t="s">
        <v>5314</v>
      </c>
      <c r="AA202" s="3518" t="s">
        <v>5315</v>
      </c>
      <c r="AB202" s="410" t="s">
        <v>5316</v>
      </c>
      <c r="AC202" s="3518" t="s">
        <v>5317</v>
      </c>
      <c r="AD202" s="410" t="s">
        <v>5318</v>
      </c>
      <c r="AE202" s="3531" t="s">
        <v>5319</v>
      </c>
      <c r="AF202" s="410" t="s">
        <v>5320</v>
      </c>
      <c r="AG202" s="3531" t="s">
        <v>5321</v>
      </c>
      <c r="AH202" s="410" t="s">
        <v>5322</v>
      </c>
      <c r="AI202" s="412" t="s">
        <v>5323</v>
      </c>
      <c r="AJ202" s="410" t="s">
        <v>5324</v>
      </c>
      <c r="AK202" s="3518" t="s">
        <v>5325</v>
      </c>
      <c r="AL202" s="3519" t="s">
        <v>5326</v>
      </c>
      <c r="AM202" s="411" t="s">
        <v>5327</v>
      </c>
      <c r="AN202" s="410" t="s">
        <v>5328</v>
      </c>
      <c r="AO202" s="413" t="s">
        <v>5329</v>
      </c>
      <c r="AP202" s="3519" t="s">
        <v>5330</v>
      </c>
      <c r="AQ202" s="411" t="s">
        <v>5331</v>
      </c>
      <c r="AR202" s="414" t="s">
        <v>5332</v>
      </c>
      <c r="AS202" s="413" t="s">
        <v>5333</v>
      </c>
      <c r="AT202" s="3519" t="s">
        <v>5334</v>
      </c>
      <c r="AU202" s="413" t="s">
        <v>5335</v>
      </c>
      <c r="AV202" s="3519" t="s">
        <v>5336</v>
      </c>
      <c r="AW202" s="411" t="s">
        <v>5337</v>
      </c>
      <c r="AX202" s="3519" t="s">
        <v>5338</v>
      </c>
      <c r="AY202" s="411" t="s">
        <v>5339</v>
      </c>
      <c r="AZ202" s="1687" t="e">
        <f t="shared" si="591"/>
        <v>#VALUE!</v>
      </c>
      <c r="CB202" s="3146" t="str">
        <f t="shared" si="566"/>
        <v xml:space="preserve"> * El Total de Exámenes Confirmados Positivos por ISP NO DEBE SUPERAR los Exámenes Procesados. </v>
      </c>
      <c r="CC202" s="2784" t="str">
        <f t="shared" si="592"/>
        <v xml:space="preserve"> * El número de Exámenes por Sexo Hombres Confirmados positivos por ISP NO PUEDE Superar al número de Procesados. </v>
      </c>
      <c r="CD202" s="2784" t="str">
        <f t="shared" si="567"/>
        <v xml:space="preserve"> * El número de Exámenes por Sexo Mujeres Confirmados positivos por ISP NO PUEDE Superar al número de Procesados. </v>
      </c>
      <c r="CE202" s="2630"/>
      <c r="CF202" s="2630"/>
      <c r="CG202" s="2630"/>
      <c r="CH202" s="2630"/>
      <c r="CI202" s="2630"/>
      <c r="CJ202" s="2784" t="e">
        <f t="shared" si="568"/>
        <v>#VALUE!</v>
      </c>
      <c r="CK202" s="600"/>
      <c r="CL202" s="2784" t="e">
        <f t="shared" si="569"/>
        <v>#VALUE!</v>
      </c>
      <c r="CM202" s="2784" t="e">
        <f t="shared" si="570"/>
        <v>#VALUE!</v>
      </c>
      <c r="CN202" s="2784" t="str">
        <f t="shared" si="571"/>
        <v xml:space="preserve"> * Los exámenes procesados Pueblos originarios no pueden ser mayor que el Total de exámenes procesados.</v>
      </c>
      <c r="CO202" s="2784" t="str">
        <f t="shared" si="572"/>
        <v xml:space="preserve"> * Los exámenes procesados de Migrantes no pueden ser mayor que el Total de exámenes procesados.</v>
      </c>
      <c r="CP202" s="2784" t="e">
        <f t="shared" si="573"/>
        <v>#VALUE!</v>
      </c>
      <c r="CQ202" s="2784" t="str">
        <f t="shared" si="574"/>
        <v xml:space="preserve"> * Los exámenes Confirmados positivos por ISP de Pueblos originarios no pueden ser mayor que el Total de exámenes Procesados por ISP.</v>
      </c>
      <c r="CR202" s="2784" t="str">
        <f t="shared" si="575"/>
        <v xml:space="preserve"> * Los exámenes Confirmados positivos por ISP de Migrantes no pueden ser mayor que el Total de exámenes Procesados por ISP.</v>
      </c>
      <c r="CS202" s="2630"/>
      <c r="CT202" s="2630"/>
      <c r="CU202" s="2784" t="e">
        <f t="shared" si="595"/>
        <v>#VALUE!</v>
      </c>
      <c r="CV202" s="2784" t="e">
        <f t="shared" si="596"/>
        <v>#VALUE!</v>
      </c>
      <c r="DF202" s="3146">
        <f t="shared" si="578"/>
        <v>1</v>
      </c>
      <c r="DG202" s="2784">
        <f t="shared" si="593"/>
        <v>1</v>
      </c>
      <c r="DH202" s="2784">
        <f t="shared" si="579"/>
        <v>1</v>
      </c>
      <c r="DI202" s="2630"/>
      <c r="DJ202" s="2630"/>
      <c r="DK202" s="2630"/>
      <c r="DL202" s="2630"/>
      <c r="DM202" s="2630"/>
      <c r="DN202" s="2784" t="e">
        <f t="shared" si="580"/>
        <v>#VALUE!</v>
      </c>
      <c r="DO202" s="600"/>
      <c r="DP202" s="2784" t="e">
        <f t="shared" si="581"/>
        <v>#VALUE!</v>
      </c>
      <c r="DQ202" s="2784" t="e">
        <f t="shared" si="582"/>
        <v>#VALUE!</v>
      </c>
      <c r="DR202" s="2784">
        <f t="shared" si="583"/>
        <v>1</v>
      </c>
      <c r="DS202" s="2784">
        <f t="shared" si="584"/>
        <v>1</v>
      </c>
      <c r="DT202" s="2784" t="e">
        <f t="shared" si="585"/>
        <v>#VALUE!</v>
      </c>
      <c r="DU202" s="2784">
        <f t="shared" si="586"/>
        <v>1</v>
      </c>
      <c r="DV202" s="2784">
        <f t="shared" si="587"/>
        <v>1</v>
      </c>
      <c r="DW202" s="2630"/>
      <c r="DX202" s="2630"/>
      <c r="DY202" s="2784" t="e">
        <f t="shared" si="597"/>
        <v>#VALUE!</v>
      </c>
      <c r="DZ202" s="2784" t="e">
        <f t="shared" si="597"/>
        <v>#VALUE!</v>
      </c>
    </row>
    <row r="203" spans="1:130" x14ac:dyDescent="0.3">
      <c r="A203" s="6234">
        <v>11055341</v>
      </c>
      <c r="B203" s="7576" t="s">
        <v>2707</v>
      </c>
      <c r="C203" s="7577"/>
      <c r="D203" s="1928" t="s">
        <v>5292</v>
      </c>
      <c r="E203" s="3532" t="s">
        <v>5293</v>
      </c>
      <c r="F203" s="5148" t="s">
        <v>5294</v>
      </c>
      <c r="G203" s="5149" t="s">
        <v>5295</v>
      </c>
      <c r="H203" s="5148" t="s">
        <v>5296</v>
      </c>
      <c r="I203" s="5149" t="s">
        <v>5297</v>
      </c>
      <c r="J203" s="5148" t="s">
        <v>5298</v>
      </c>
      <c r="K203" s="5149" t="s">
        <v>5299</v>
      </c>
      <c r="L203" s="5148" t="s">
        <v>5300</v>
      </c>
      <c r="M203" s="5149" t="s">
        <v>5301</v>
      </c>
      <c r="N203" s="5148" t="s">
        <v>5302</v>
      </c>
      <c r="O203" s="5149" t="s">
        <v>5303</v>
      </c>
      <c r="P203" s="410" t="s">
        <v>5304</v>
      </c>
      <c r="Q203" s="3518" t="s">
        <v>5305</v>
      </c>
      <c r="R203" s="410" t="s">
        <v>5306</v>
      </c>
      <c r="S203" s="3518" t="s">
        <v>5307</v>
      </c>
      <c r="T203" s="410" t="s">
        <v>5308</v>
      </c>
      <c r="U203" s="3518" t="s">
        <v>5309</v>
      </c>
      <c r="V203" s="410" t="s">
        <v>5310</v>
      </c>
      <c r="W203" s="3518" t="s">
        <v>5311</v>
      </c>
      <c r="X203" s="410" t="s">
        <v>5312</v>
      </c>
      <c r="Y203" s="3518" t="s">
        <v>5313</v>
      </c>
      <c r="Z203" s="410" t="s">
        <v>5314</v>
      </c>
      <c r="AA203" s="3518" t="s">
        <v>5315</v>
      </c>
      <c r="AB203" s="410" t="s">
        <v>5316</v>
      </c>
      <c r="AC203" s="3518" t="s">
        <v>5317</v>
      </c>
      <c r="AD203" s="410" t="s">
        <v>5318</v>
      </c>
      <c r="AE203" s="3531" t="s">
        <v>5319</v>
      </c>
      <c r="AF203" s="410" t="s">
        <v>5320</v>
      </c>
      <c r="AG203" s="3531" t="s">
        <v>5321</v>
      </c>
      <c r="AH203" s="410" t="s">
        <v>5322</v>
      </c>
      <c r="AI203" s="412" t="s">
        <v>5323</v>
      </c>
      <c r="AJ203" s="410" t="s">
        <v>5324</v>
      </c>
      <c r="AK203" s="3518" t="s">
        <v>5325</v>
      </c>
      <c r="AL203" s="3519" t="s">
        <v>5326</v>
      </c>
      <c r="AM203" s="411" t="s">
        <v>5327</v>
      </c>
      <c r="AN203" s="410" t="s">
        <v>5328</v>
      </c>
      <c r="AO203" s="413" t="s">
        <v>5329</v>
      </c>
      <c r="AP203" s="3519" t="s">
        <v>5330</v>
      </c>
      <c r="AQ203" s="411" t="s">
        <v>5331</v>
      </c>
      <c r="AR203" s="414" t="s">
        <v>5332</v>
      </c>
      <c r="AS203" s="413" t="s">
        <v>5333</v>
      </c>
      <c r="AT203" s="3519" t="s">
        <v>5334</v>
      </c>
      <c r="AU203" s="413" t="s">
        <v>5335</v>
      </c>
      <c r="AV203" s="3519" t="s">
        <v>5336</v>
      </c>
      <c r="AW203" s="411" t="s">
        <v>5337</v>
      </c>
      <c r="AX203" s="3519" t="s">
        <v>5338</v>
      </c>
      <c r="AY203" s="411" t="s">
        <v>5339</v>
      </c>
      <c r="AZ203" s="1687" t="e">
        <f t="shared" si="591"/>
        <v>#VALUE!</v>
      </c>
      <c r="CB203" s="3146" t="str">
        <f t="shared" si="566"/>
        <v xml:space="preserve"> * El Total de Exámenes Confirmados Positivos por ISP NO DEBE SUPERAR los Exámenes Procesados. </v>
      </c>
      <c r="CC203" s="2784" t="str">
        <f t="shared" si="592"/>
        <v xml:space="preserve"> * El número de Exámenes por Sexo Hombres Confirmados positivos por ISP NO PUEDE Superar al número de Procesados. </v>
      </c>
      <c r="CD203" s="2784" t="str">
        <f t="shared" si="567"/>
        <v xml:space="preserve"> * El número de Exámenes por Sexo Mujeres Confirmados positivos por ISP NO PUEDE Superar al número de Procesados. </v>
      </c>
      <c r="CE203" s="2630"/>
      <c r="CF203" s="2630"/>
      <c r="CG203" s="2630"/>
      <c r="CH203" s="2630"/>
      <c r="CI203" s="2630"/>
      <c r="CJ203" s="2784" t="e">
        <f t="shared" si="568"/>
        <v>#VALUE!</v>
      </c>
      <c r="CK203" s="600"/>
      <c r="CL203" s="2784" t="e">
        <f t="shared" si="569"/>
        <v>#VALUE!</v>
      </c>
      <c r="CM203" s="2784" t="e">
        <f t="shared" si="570"/>
        <v>#VALUE!</v>
      </c>
      <c r="CN203" s="2784" t="str">
        <f t="shared" si="571"/>
        <v xml:space="preserve"> * Los exámenes procesados Pueblos originarios no pueden ser mayor que el Total de exámenes procesados.</v>
      </c>
      <c r="CO203" s="2784" t="str">
        <f t="shared" si="572"/>
        <v xml:space="preserve"> * Los exámenes procesados de Migrantes no pueden ser mayor que el Total de exámenes procesados.</v>
      </c>
      <c r="CP203" s="2784" t="e">
        <f t="shared" si="573"/>
        <v>#VALUE!</v>
      </c>
      <c r="CQ203" s="2784" t="str">
        <f t="shared" si="574"/>
        <v xml:space="preserve"> * Los exámenes Confirmados positivos por ISP de Pueblos originarios no pueden ser mayor que el Total de exámenes Procesados por ISP.</v>
      </c>
      <c r="CR203" s="2784" t="str">
        <f t="shared" si="575"/>
        <v xml:space="preserve"> * Los exámenes Confirmados positivos por ISP de Migrantes no pueden ser mayor que el Total de exámenes Procesados por ISP.</v>
      </c>
      <c r="CS203" s="2630"/>
      <c r="CT203" s="2630"/>
      <c r="CU203" s="2784" t="e">
        <f t="shared" si="595"/>
        <v>#VALUE!</v>
      </c>
      <c r="CV203" s="2784" t="e">
        <f t="shared" si="596"/>
        <v>#VALUE!</v>
      </c>
      <c r="DF203" s="3146">
        <f t="shared" si="578"/>
        <v>1</v>
      </c>
      <c r="DG203" s="2784">
        <f t="shared" si="593"/>
        <v>1</v>
      </c>
      <c r="DH203" s="2784">
        <f t="shared" si="579"/>
        <v>1</v>
      </c>
      <c r="DI203" s="2630"/>
      <c r="DJ203" s="2630"/>
      <c r="DK203" s="2630"/>
      <c r="DL203" s="2630"/>
      <c r="DM203" s="2630"/>
      <c r="DN203" s="2784" t="e">
        <f t="shared" si="580"/>
        <v>#VALUE!</v>
      </c>
      <c r="DO203" s="600"/>
      <c r="DP203" s="2784" t="e">
        <f t="shared" si="581"/>
        <v>#VALUE!</v>
      </c>
      <c r="DQ203" s="2784" t="e">
        <f t="shared" si="582"/>
        <v>#VALUE!</v>
      </c>
      <c r="DR203" s="2784">
        <f t="shared" si="583"/>
        <v>1</v>
      </c>
      <c r="DS203" s="2784">
        <f t="shared" si="584"/>
        <v>1</v>
      </c>
      <c r="DT203" s="2784" t="e">
        <f t="shared" si="585"/>
        <v>#VALUE!</v>
      </c>
      <c r="DU203" s="2784">
        <f t="shared" si="586"/>
        <v>1</v>
      </c>
      <c r="DV203" s="2784">
        <f t="shared" si="587"/>
        <v>1</v>
      </c>
      <c r="DW203" s="2630"/>
      <c r="DX203" s="2630"/>
      <c r="DY203" s="2784" t="e">
        <f t="shared" si="597"/>
        <v>#VALUE!</v>
      </c>
      <c r="DZ203" s="2784" t="e">
        <f t="shared" si="597"/>
        <v>#VALUE!</v>
      </c>
    </row>
    <row r="204" spans="1:130" x14ac:dyDescent="0.3">
      <c r="A204" s="6234">
        <v>11055342</v>
      </c>
      <c r="B204" s="7576" t="s">
        <v>2708</v>
      </c>
      <c r="C204" s="7577"/>
      <c r="D204" s="1928" t="s">
        <v>5292</v>
      </c>
      <c r="E204" s="3532" t="s">
        <v>5293</v>
      </c>
      <c r="F204" s="5148" t="s">
        <v>5294</v>
      </c>
      <c r="G204" s="5149" t="s">
        <v>5295</v>
      </c>
      <c r="H204" s="5148" t="s">
        <v>5296</v>
      </c>
      <c r="I204" s="5149" t="s">
        <v>5297</v>
      </c>
      <c r="J204" s="5148" t="s">
        <v>5298</v>
      </c>
      <c r="K204" s="5149" t="s">
        <v>5299</v>
      </c>
      <c r="L204" s="5148" t="s">
        <v>5300</v>
      </c>
      <c r="M204" s="5149" t="s">
        <v>5301</v>
      </c>
      <c r="N204" s="5148" t="s">
        <v>5302</v>
      </c>
      <c r="O204" s="5149" t="s">
        <v>5303</v>
      </c>
      <c r="P204" s="410" t="s">
        <v>5304</v>
      </c>
      <c r="Q204" s="3518" t="s">
        <v>5305</v>
      </c>
      <c r="R204" s="410" t="s">
        <v>5306</v>
      </c>
      <c r="S204" s="3518" t="s">
        <v>5307</v>
      </c>
      <c r="T204" s="410" t="s">
        <v>5308</v>
      </c>
      <c r="U204" s="3518" t="s">
        <v>5309</v>
      </c>
      <c r="V204" s="410" t="s">
        <v>5310</v>
      </c>
      <c r="W204" s="3518" t="s">
        <v>5311</v>
      </c>
      <c r="X204" s="410" t="s">
        <v>5312</v>
      </c>
      <c r="Y204" s="3518" t="s">
        <v>5313</v>
      </c>
      <c r="Z204" s="410" t="s">
        <v>5314</v>
      </c>
      <c r="AA204" s="3518" t="s">
        <v>5315</v>
      </c>
      <c r="AB204" s="410" t="s">
        <v>5316</v>
      </c>
      <c r="AC204" s="3518" t="s">
        <v>5317</v>
      </c>
      <c r="AD204" s="410" t="s">
        <v>5318</v>
      </c>
      <c r="AE204" s="3531" t="s">
        <v>5319</v>
      </c>
      <c r="AF204" s="410" t="s">
        <v>5320</v>
      </c>
      <c r="AG204" s="3531" t="s">
        <v>5321</v>
      </c>
      <c r="AH204" s="5038" t="s">
        <v>5322</v>
      </c>
      <c r="AI204" s="411" t="s">
        <v>5323</v>
      </c>
      <c r="AJ204" s="5038" t="s">
        <v>5324</v>
      </c>
      <c r="AK204" s="414" t="s">
        <v>5325</v>
      </c>
      <c r="AL204" s="3519" t="s">
        <v>5326</v>
      </c>
      <c r="AM204" s="411" t="s">
        <v>5327</v>
      </c>
      <c r="AN204" s="410" t="s">
        <v>5328</v>
      </c>
      <c r="AO204" s="413" t="s">
        <v>5329</v>
      </c>
      <c r="AP204" s="3519" t="s">
        <v>5330</v>
      </c>
      <c r="AQ204" s="411" t="s">
        <v>5331</v>
      </c>
      <c r="AR204" s="414" t="s">
        <v>5332</v>
      </c>
      <c r="AS204" s="413" t="s">
        <v>5333</v>
      </c>
      <c r="AT204" s="3519" t="s">
        <v>5334</v>
      </c>
      <c r="AU204" s="413" t="s">
        <v>5335</v>
      </c>
      <c r="AV204" s="3519" t="s">
        <v>5336</v>
      </c>
      <c r="AW204" s="411" t="s">
        <v>5337</v>
      </c>
      <c r="AX204" s="3519" t="s">
        <v>5338</v>
      </c>
      <c r="AY204" s="411" t="s">
        <v>5339</v>
      </c>
      <c r="AZ204" s="1687" t="e">
        <f t="shared" si="591"/>
        <v>#VALUE!</v>
      </c>
      <c r="CB204" s="3146" t="str">
        <f t="shared" si="566"/>
        <v xml:space="preserve"> * El Total de Exámenes Confirmados Positivos por ISP NO DEBE SUPERAR los Exámenes Procesados. </v>
      </c>
      <c r="CC204" s="2784" t="str">
        <f t="shared" si="592"/>
        <v xml:space="preserve"> * El número de Exámenes por Sexo Hombres Confirmados positivos por ISP NO PUEDE Superar al número de Procesados. </v>
      </c>
      <c r="CD204" s="2784" t="str">
        <f t="shared" si="567"/>
        <v xml:space="preserve"> * El número de Exámenes por Sexo Mujeres Confirmados positivos por ISP NO PUEDE Superar al número de Procesados. </v>
      </c>
      <c r="CE204" s="2630"/>
      <c r="CF204" s="2630"/>
      <c r="CG204" s="2630"/>
      <c r="CH204" s="2630"/>
      <c r="CI204" s="2630"/>
      <c r="CJ204" s="2784" t="e">
        <f t="shared" si="568"/>
        <v>#VALUE!</v>
      </c>
      <c r="CK204" s="600"/>
      <c r="CL204" s="2784" t="e">
        <f t="shared" si="569"/>
        <v>#VALUE!</v>
      </c>
      <c r="CM204" s="2784" t="e">
        <f t="shared" si="570"/>
        <v>#VALUE!</v>
      </c>
      <c r="CN204" s="2784" t="str">
        <f t="shared" si="571"/>
        <v xml:space="preserve"> * Los exámenes procesados Pueblos originarios no pueden ser mayor que el Total de exámenes procesados.</v>
      </c>
      <c r="CO204" s="2784" t="str">
        <f t="shared" si="572"/>
        <v xml:space="preserve"> * Los exámenes procesados de Migrantes no pueden ser mayor que el Total de exámenes procesados.</v>
      </c>
      <c r="CP204" s="2784" t="e">
        <f t="shared" si="573"/>
        <v>#VALUE!</v>
      </c>
      <c r="CQ204" s="2784" t="str">
        <f t="shared" si="574"/>
        <v xml:space="preserve"> * Los exámenes Confirmados positivos por ISP de Pueblos originarios no pueden ser mayor que el Total de exámenes Procesados por ISP.</v>
      </c>
      <c r="CR204" s="2784" t="str">
        <f t="shared" si="575"/>
        <v xml:space="preserve"> * Los exámenes Confirmados positivos por ISP de Migrantes no pueden ser mayor que el Total de exámenes Procesados por ISP.</v>
      </c>
      <c r="CS204" s="2630"/>
      <c r="CT204" s="2630"/>
      <c r="CU204" s="2784" t="e">
        <f t="shared" si="595"/>
        <v>#VALUE!</v>
      </c>
      <c r="CV204" s="2784" t="e">
        <f t="shared" si="596"/>
        <v>#VALUE!</v>
      </c>
      <c r="DF204" s="3146">
        <f t="shared" si="578"/>
        <v>1</v>
      </c>
      <c r="DG204" s="2784">
        <f t="shared" si="593"/>
        <v>1</v>
      </c>
      <c r="DH204" s="2784">
        <f t="shared" si="579"/>
        <v>1</v>
      </c>
      <c r="DI204" s="2630"/>
      <c r="DJ204" s="2630"/>
      <c r="DK204" s="2630"/>
      <c r="DL204" s="2630"/>
      <c r="DM204" s="2630"/>
      <c r="DN204" s="2784" t="e">
        <f t="shared" si="580"/>
        <v>#VALUE!</v>
      </c>
      <c r="DO204" s="600"/>
      <c r="DP204" s="2784" t="e">
        <f t="shared" si="581"/>
        <v>#VALUE!</v>
      </c>
      <c r="DQ204" s="2784" t="e">
        <f t="shared" si="582"/>
        <v>#VALUE!</v>
      </c>
      <c r="DR204" s="2784">
        <f t="shared" si="583"/>
        <v>1</v>
      </c>
      <c r="DS204" s="2784">
        <f t="shared" si="584"/>
        <v>1</v>
      </c>
      <c r="DT204" s="2784" t="e">
        <f t="shared" si="585"/>
        <v>#VALUE!</v>
      </c>
      <c r="DU204" s="2784">
        <f t="shared" si="586"/>
        <v>1</v>
      </c>
      <c r="DV204" s="2784">
        <f t="shared" si="587"/>
        <v>1</v>
      </c>
      <c r="DW204" s="2630"/>
      <c r="DX204" s="2630"/>
      <c r="DY204" s="2784" t="e">
        <f t="shared" si="597"/>
        <v>#VALUE!</v>
      </c>
      <c r="DZ204" s="2784" t="e">
        <f t="shared" si="597"/>
        <v>#VALUE!</v>
      </c>
    </row>
    <row r="205" spans="1:130" x14ac:dyDescent="0.3">
      <c r="A205" s="6234">
        <v>11055350</v>
      </c>
      <c r="B205" s="7576" t="s">
        <v>2709</v>
      </c>
      <c r="C205" s="7577"/>
      <c r="D205" s="1928" t="s">
        <v>5292</v>
      </c>
      <c r="E205" s="3532" t="s">
        <v>5293</v>
      </c>
      <c r="F205" s="5148" t="s">
        <v>5294</v>
      </c>
      <c r="G205" s="5149" t="s">
        <v>5295</v>
      </c>
      <c r="H205" s="5148" t="s">
        <v>5296</v>
      </c>
      <c r="I205" s="5149" t="s">
        <v>5297</v>
      </c>
      <c r="J205" s="5148" t="s">
        <v>5298</v>
      </c>
      <c r="K205" s="5149" t="s">
        <v>5299</v>
      </c>
      <c r="L205" s="5148" t="s">
        <v>5300</v>
      </c>
      <c r="M205" s="5149" t="s">
        <v>5301</v>
      </c>
      <c r="N205" s="5148" t="s">
        <v>5302</v>
      </c>
      <c r="O205" s="5149" t="s">
        <v>5303</v>
      </c>
      <c r="P205" s="410" t="s">
        <v>5304</v>
      </c>
      <c r="Q205" s="3518" t="s">
        <v>5305</v>
      </c>
      <c r="R205" s="410" t="s">
        <v>5306</v>
      </c>
      <c r="S205" s="3518" t="s">
        <v>5307</v>
      </c>
      <c r="T205" s="410" t="s">
        <v>5308</v>
      </c>
      <c r="U205" s="3518" t="s">
        <v>5309</v>
      </c>
      <c r="V205" s="410" t="s">
        <v>5310</v>
      </c>
      <c r="W205" s="3518" t="s">
        <v>5311</v>
      </c>
      <c r="X205" s="410" t="s">
        <v>5312</v>
      </c>
      <c r="Y205" s="3518" t="s">
        <v>5313</v>
      </c>
      <c r="Z205" s="410" t="s">
        <v>5314</v>
      </c>
      <c r="AA205" s="3518" t="s">
        <v>5315</v>
      </c>
      <c r="AB205" s="410" t="s">
        <v>5316</v>
      </c>
      <c r="AC205" s="3518" t="s">
        <v>5317</v>
      </c>
      <c r="AD205" s="410" t="s">
        <v>5318</v>
      </c>
      <c r="AE205" s="3531" t="s">
        <v>5319</v>
      </c>
      <c r="AF205" s="410" t="s">
        <v>5320</v>
      </c>
      <c r="AG205" s="3531" t="s">
        <v>5321</v>
      </c>
      <c r="AH205" s="410" t="s">
        <v>5322</v>
      </c>
      <c r="AI205" s="412" t="s">
        <v>5323</v>
      </c>
      <c r="AJ205" s="410" t="s">
        <v>5324</v>
      </c>
      <c r="AK205" s="3518" t="s">
        <v>5325</v>
      </c>
      <c r="AL205" s="3519" t="s">
        <v>5326</v>
      </c>
      <c r="AM205" s="411" t="s">
        <v>5327</v>
      </c>
      <c r="AN205" s="410" t="s">
        <v>5328</v>
      </c>
      <c r="AO205" s="413" t="s">
        <v>5329</v>
      </c>
      <c r="AP205" s="3519" t="s">
        <v>5330</v>
      </c>
      <c r="AQ205" s="411" t="s">
        <v>5331</v>
      </c>
      <c r="AR205" s="414" t="s">
        <v>5332</v>
      </c>
      <c r="AS205" s="413" t="s">
        <v>5333</v>
      </c>
      <c r="AT205" s="3519" t="s">
        <v>5334</v>
      </c>
      <c r="AU205" s="413" t="s">
        <v>5335</v>
      </c>
      <c r="AV205" s="3519" t="s">
        <v>5336</v>
      </c>
      <c r="AW205" s="411" t="s">
        <v>5337</v>
      </c>
      <c r="AX205" s="3519" t="s">
        <v>5338</v>
      </c>
      <c r="AY205" s="411" t="s">
        <v>5339</v>
      </c>
      <c r="AZ205" s="1687" t="e">
        <f t="shared" si="591"/>
        <v>#VALUE!</v>
      </c>
      <c r="CB205" s="3146" t="str">
        <f t="shared" si="566"/>
        <v xml:space="preserve"> * El Total de Exámenes Confirmados Positivos por ISP NO DEBE SUPERAR los Exámenes Procesados. </v>
      </c>
      <c r="CC205" s="2784" t="str">
        <f t="shared" si="592"/>
        <v xml:space="preserve"> * El número de Exámenes por Sexo Hombres Confirmados positivos por ISP NO PUEDE Superar al número de Procesados. </v>
      </c>
      <c r="CD205" s="2784" t="str">
        <f t="shared" si="567"/>
        <v xml:space="preserve"> * El número de Exámenes por Sexo Mujeres Confirmados positivos por ISP NO PUEDE Superar al número de Procesados. </v>
      </c>
      <c r="CE205" s="2630"/>
      <c r="CF205" s="2630"/>
      <c r="CG205" s="2630"/>
      <c r="CH205" s="2630"/>
      <c r="CI205" s="2630"/>
      <c r="CJ205" s="2784" t="e">
        <f t="shared" si="568"/>
        <v>#VALUE!</v>
      </c>
      <c r="CK205" s="600"/>
      <c r="CL205" s="2784" t="e">
        <f t="shared" si="569"/>
        <v>#VALUE!</v>
      </c>
      <c r="CM205" s="2784" t="e">
        <f t="shared" si="570"/>
        <v>#VALUE!</v>
      </c>
      <c r="CN205" s="2784" t="str">
        <f t="shared" si="571"/>
        <v xml:space="preserve"> * Los exámenes procesados Pueblos originarios no pueden ser mayor que el Total de exámenes procesados.</v>
      </c>
      <c r="CO205" s="2784" t="str">
        <f t="shared" si="572"/>
        <v xml:space="preserve"> * Los exámenes procesados de Migrantes no pueden ser mayor que el Total de exámenes procesados.</v>
      </c>
      <c r="CP205" s="2784" t="e">
        <f t="shared" si="573"/>
        <v>#VALUE!</v>
      </c>
      <c r="CQ205" s="2784" t="str">
        <f t="shared" si="574"/>
        <v xml:space="preserve"> * Los exámenes Confirmados positivos por ISP de Pueblos originarios no pueden ser mayor que el Total de exámenes Procesados por ISP.</v>
      </c>
      <c r="CR205" s="2784" t="str">
        <f t="shared" si="575"/>
        <v xml:space="preserve"> * Los exámenes Confirmados positivos por ISP de Migrantes no pueden ser mayor que el Total de exámenes Procesados por ISP.</v>
      </c>
      <c r="CS205" s="2630"/>
      <c r="CT205" s="2630"/>
      <c r="CU205" s="2784" t="e">
        <f t="shared" si="595"/>
        <v>#VALUE!</v>
      </c>
      <c r="CV205" s="2784" t="e">
        <f t="shared" si="596"/>
        <v>#VALUE!</v>
      </c>
      <c r="DF205" s="3146">
        <f t="shared" si="578"/>
        <v>1</v>
      </c>
      <c r="DG205" s="2784">
        <f t="shared" si="593"/>
        <v>1</v>
      </c>
      <c r="DH205" s="2784">
        <f t="shared" si="579"/>
        <v>1</v>
      </c>
      <c r="DI205" s="2630"/>
      <c r="DJ205" s="2630"/>
      <c r="DK205" s="2630"/>
      <c r="DL205" s="2630"/>
      <c r="DM205" s="2630"/>
      <c r="DN205" s="2784" t="e">
        <f t="shared" si="580"/>
        <v>#VALUE!</v>
      </c>
      <c r="DO205" s="600"/>
      <c r="DP205" s="2784" t="e">
        <f t="shared" si="581"/>
        <v>#VALUE!</v>
      </c>
      <c r="DQ205" s="2784" t="e">
        <f t="shared" si="582"/>
        <v>#VALUE!</v>
      </c>
      <c r="DR205" s="2784">
        <f t="shared" si="583"/>
        <v>1</v>
      </c>
      <c r="DS205" s="2784">
        <f t="shared" si="584"/>
        <v>1</v>
      </c>
      <c r="DT205" s="2784" t="e">
        <f t="shared" si="585"/>
        <v>#VALUE!</v>
      </c>
      <c r="DU205" s="2784">
        <f t="shared" si="586"/>
        <v>1</v>
      </c>
      <c r="DV205" s="2784">
        <f t="shared" si="587"/>
        <v>1</v>
      </c>
      <c r="DW205" s="2630"/>
      <c r="DX205" s="2630"/>
      <c r="DY205" s="2784" t="e">
        <f t="shared" si="597"/>
        <v>#VALUE!</v>
      </c>
      <c r="DZ205" s="2784" t="e">
        <f t="shared" si="597"/>
        <v>#VALUE!</v>
      </c>
    </row>
    <row r="206" spans="1:130" x14ac:dyDescent="0.3">
      <c r="A206" s="6234">
        <v>11055351</v>
      </c>
      <c r="B206" s="7576" t="s">
        <v>2710</v>
      </c>
      <c r="C206" s="7577"/>
      <c r="D206" s="1928" t="s">
        <v>5292</v>
      </c>
      <c r="E206" s="3532" t="s">
        <v>5293</v>
      </c>
      <c r="F206" s="410" t="s">
        <v>5294</v>
      </c>
      <c r="G206" s="3518" t="s">
        <v>5295</v>
      </c>
      <c r="H206" s="410" t="s">
        <v>5296</v>
      </c>
      <c r="I206" s="3518" t="s">
        <v>5297</v>
      </c>
      <c r="J206" s="410" t="s">
        <v>5298</v>
      </c>
      <c r="K206" s="3518" t="s">
        <v>5299</v>
      </c>
      <c r="L206" s="410" t="s">
        <v>5300</v>
      </c>
      <c r="M206" s="3518" t="s">
        <v>5301</v>
      </c>
      <c r="N206" s="410" t="s">
        <v>5302</v>
      </c>
      <c r="O206" s="3518" t="s">
        <v>5303</v>
      </c>
      <c r="P206" s="410" t="s">
        <v>5304</v>
      </c>
      <c r="Q206" s="3518" t="s">
        <v>5305</v>
      </c>
      <c r="R206" s="410" t="s">
        <v>5306</v>
      </c>
      <c r="S206" s="3518" t="s">
        <v>5307</v>
      </c>
      <c r="T206" s="410" t="s">
        <v>5308</v>
      </c>
      <c r="U206" s="3518" t="s">
        <v>5309</v>
      </c>
      <c r="V206" s="410" t="s">
        <v>5310</v>
      </c>
      <c r="W206" s="3518" t="s">
        <v>5311</v>
      </c>
      <c r="X206" s="410" t="s">
        <v>5312</v>
      </c>
      <c r="Y206" s="3518" t="s">
        <v>5313</v>
      </c>
      <c r="Z206" s="410" t="s">
        <v>5314</v>
      </c>
      <c r="AA206" s="3518" t="s">
        <v>5315</v>
      </c>
      <c r="AB206" s="410" t="s">
        <v>5316</v>
      </c>
      <c r="AC206" s="3518" t="s">
        <v>5317</v>
      </c>
      <c r="AD206" s="410" t="s">
        <v>5318</v>
      </c>
      <c r="AE206" s="3531" t="s">
        <v>5319</v>
      </c>
      <c r="AF206" s="410" t="s">
        <v>5320</v>
      </c>
      <c r="AG206" s="3531" t="s">
        <v>5321</v>
      </c>
      <c r="AH206" s="410" t="s">
        <v>5322</v>
      </c>
      <c r="AI206" s="412" t="s">
        <v>5323</v>
      </c>
      <c r="AJ206" s="410" t="s">
        <v>5324</v>
      </c>
      <c r="AK206" s="3518" t="s">
        <v>5325</v>
      </c>
      <c r="AL206" s="3519" t="s">
        <v>5326</v>
      </c>
      <c r="AM206" s="411" t="s">
        <v>5327</v>
      </c>
      <c r="AN206" s="410" t="s">
        <v>5328</v>
      </c>
      <c r="AO206" s="413" t="s">
        <v>5329</v>
      </c>
      <c r="AP206" s="3519" t="s">
        <v>5330</v>
      </c>
      <c r="AQ206" s="411" t="s">
        <v>5331</v>
      </c>
      <c r="AR206" s="414" t="s">
        <v>5332</v>
      </c>
      <c r="AS206" s="413" t="s">
        <v>5333</v>
      </c>
      <c r="AT206" s="3519" t="s">
        <v>5334</v>
      </c>
      <c r="AU206" s="413" t="s">
        <v>5335</v>
      </c>
      <c r="AV206" s="3519" t="s">
        <v>5336</v>
      </c>
      <c r="AW206" s="411" t="s">
        <v>5337</v>
      </c>
      <c r="AX206" s="3519" t="s">
        <v>5338</v>
      </c>
      <c r="AY206" s="411" t="s">
        <v>5339</v>
      </c>
      <c r="AZ206" s="1687" t="e">
        <f t="shared" si="591"/>
        <v>#VALUE!</v>
      </c>
      <c r="CB206" s="3146" t="str">
        <f t="shared" si="566"/>
        <v xml:space="preserve"> * El Total de Exámenes Confirmados Positivos por ISP NO DEBE SUPERAR los Exámenes Procesados. </v>
      </c>
      <c r="CC206" s="2784" t="str">
        <f t="shared" si="592"/>
        <v xml:space="preserve"> * El número de Exámenes por Sexo Hombres Confirmados positivos por ISP NO PUEDE Superar al número de Procesados. </v>
      </c>
      <c r="CD206" s="2784" t="str">
        <f t="shared" si="567"/>
        <v xml:space="preserve"> * El número de Exámenes por Sexo Mujeres Confirmados positivos por ISP NO PUEDE Superar al número de Procesados. </v>
      </c>
      <c r="CE206" s="2630"/>
      <c r="CF206" s="2630"/>
      <c r="CG206" s="2630"/>
      <c r="CH206" s="2630"/>
      <c r="CI206" s="2630"/>
      <c r="CJ206" s="2784" t="e">
        <f t="shared" si="568"/>
        <v>#VALUE!</v>
      </c>
      <c r="CK206" s="600"/>
      <c r="CL206" s="2784" t="e">
        <f t="shared" si="569"/>
        <v>#VALUE!</v>
      </c>
      <c r="CM206" s="2784" t="e">
        <f t="shared" si="570"/>
        <v>#VALUE!</v>
      </c>
      <c r="CN206" s="2784" t="str">
        <f t="shared" si="571"/>
        <v xml:space="preserve"> * Los exámenes procesados Pueblos originarios no pueden ser mayor que el Total de exámenes procesados.</v>
      </c>
      <c r="CO206" s="2784" t="str">
        <f t="shared" si="572"/>
        <v xml:space="preserve"> * Los exámenes procesados de Migrantes no pueden ser mayor que el Total de exámenes procesados.</v>
      </c>
      <c r="CP206" s="2784" t="e">
        <f t="shared" si="573"/>
        <v>#VALUE!</v>
      </c>
      <c r="CQ206" s="2784" t="str">
        <f t="shared" si="574"/>
        <v xml:space="preserve"> * Los exámenes Confirmados positivos por ISP de Pueblos originarios no pueden ser mayor que el Total de exámenes Procesados por ISP.</v>
      </c>
      <c r="CR206" s="2784" t="str">
        <f t="shared" si="575"/>
        <v xml:space="preserve"> * Los exámenes Confirmados positivos por ISP de Migrantes no pueden ser mayor que el Total de exámenes Procesados por ISP.</v>
      </c>
      <c r="CS206" s="2630"/>
      <c r="CT206" s="2630"/>
      <c r="CU206" s="2784" t="e">
        <f t="shared" si="595"/>
        <v>#VALUE!</v>
      </c>
      <c r="CV206" s="2784" t="e">
        <f t="shared" si="596"/>
        <v>#VALUE!</v>
      </c>
      <c r="DF206" s="3146">
        <f t="shared" si="578"/>
        <v>1</v>
      </c>
      <c r="DG206" s="2784">
        <f t="shared" si="593"/>
        <v>1</v>
      </c>
      <c r="DH206" s="2784">
        <f t="shared" si="579"/>
        <v>1</v>
      </c>
      <c r="DI206" s="2630"/>
      <c r="DJ206" s="2630"/>
      <c r="DK206" s="2630"/>
      <c r="DL206" s="2630"/>
      <c r="DM206" s="2630"/>
      <c r="DN206" s="2784" t="e">
        <f t="shared" si="580"/>
        <v>#VALUE!</v>
      </c>
      <c r="DO206" s="600"/>
      <c r="DP206" s="2784" t="e">
        <f t="shared" si="581"/>
        <v>#VALUE!</v>
      </c>
      <c r="DQ206" s="2784" t="e">
        <f t="shared" si="582"/>
        <v>#VALUE!</v>
      </c>
      <c r="DR206" s="2784">
        <f t="shared" si="583"/>
        <v>1</v>
      </c>
      <c r="DS206" s="2784">
        <f t="shared" si="584"/>
        <v>1</v>
      </c>
      <c r="DT206" s="2784" t="e">
        <f t="shared" si="585"/>
        <v>#VALUE!</v>
      </c>
      <c r="DU206" s="2784">
        <f t="shared" si="586"/>
        <v>1</v>
      </c>
      <c r="DV206" s="2784">
        <f t="shared" si="587"/>
        <v>1</v>
      </c>
      <c r="DW206" s="2630"/>
      <c r="DX206" s="2630"/>
      <c r="DY206" s="2784" t="e">
        <f t="shared" si="597"/>
        <v>#VALUE!</v>
      </c>
      <c r="DZ206" s="2784" t="e">
        <f t="shared" si="597"/>
        <v>#VALUE!</v>
      </c>
    </row>
    <row r="207" spans="1:130" x14ac:dyDescent="0.3">
      <c r="A207" s="6234">
        <v>11055352</v>
      </c>
      <c r="B207" s="7576" t="s">
        <v>2711</v>
      </c>
      <c r="C207" s="7577"/>
      <c r="D207" s="1928" t="s">
        <v>5292</v>
      </c>
      <c r="E207" s="3532" t="s">
        <v>5293</v>
      </c>
      <c r="F207" s="410" t="s">
        <v>5294</v>
      </c>
      <c r="G207" s="3518" t="s">
        <v>5295</v>
      </c>
      <c r="H207" s="410" t="s">
        <v>5296</v>
      </c>
      <c r="I207" s="3518" t="s">
        <v>5297</v>
      </c>
      <c r="J207" s="410" t="s">
        <v>5298</v>
      </c>
      <c r="K207" s="3518" t="s">
        <v>5299</v>
      </c>
      <c r="L207" s="410" t="s">
        <v>5300</v>
      </c>
      <c r="M207" s="3518" t="s">
        <v>5301</v>
      </c>
      <c r="N207" s="410" t="s">
        <v>5302</v>
      </c>
      <c r="O207" s="3518" t="s">
        <v>5303</v>
      </c>
      <c r="P207" s="410" t="s">
        <v>5304</v>
      </c>
      <c r="Q207" s="3518" t="s">
        <v>5305</v>
      </c>
      <c r="R207" s="410" t="s">
        <v>5306</v>
      </c>
      <c r="S207" s="3518" t="s">
        <v>5307</v>
      </c>
      <c r="T207" s="410" t="s">
        <v>5308</v>
      </c>
      <c r="U207" s="3518" t="s">
        <v>5309</v>
      </c>
      <c r="V207" s="410" t="s">
        <v>5310</v>
      </c>
      <c r="W207" s="3518" t="s">
        <v>5311</v>
      </c>
      <c r="X207" s="410" t="s">
        <v>5312</v>
      </c>
      <c r="Y207" s="3518" t="s">
        <v>5313</v>
      </c>
      <c r="Z207" s="410" t="s">
        <v>5314</v>
      </c>
      <c r="AA207" s="3518" t="s">
        <v>5315</v>
      </c>
      <c r="AB207" s="410" t="s">
        <v>5316</v>
      </c>
      <c r="AC207" s="3518" t="s">
        <v>5317</v>
      </c>
      <c r="AD207" s="410" t="s">
        <v>5318</v>
      </c>
      <c r="AE207" s="3531" t="s">
        <v>5319</v>
      </c>
      <c r="AF207" s="410" t="s">
        <v>5320</v>
      </c>
      <c r="AG207" s="3531" t="s">
        <v>5321</v>
      </c>
      <c r="AH207" s="410" t="s">
        <v>5322</v>
      </c>
      <c r="AI207" s="412" t="s">
        <v>5323</v>
      </c>
      <c r="AJ207" s="410" t="s">
        <v>5324</v>
      </c>
      <c r="AK207" s="3518" t="s">
        <v>5325</v>
      </c>
      <c r="AL207" s="3519" t="s">
        <v>5326</v>
      </c>
      <c r="AM207" s="411" t="s">
        <v>5327</v>
      </c>
      <c r="AN207" s="410" t="s">
        <v>5328</v>
      </c>
      <c r="AO207" s="413" t="s">
        <v>5329</v>
      </c>
      <c r="AP207" s="3519" t="s">
        <v>5330</v>
      </c>
      <c r="AQ207" s="411" t="s">
        <v>5331</v>
      </c>
      <c r="AR207" s="414" t="s">
        <v>5332</v>
      </c>
      <c r="AS207" s="413" t="s">
        <v>5333</v>
      </c>
      <c r="AT207" s="3519" t="s">
        <v>5334</v>
      </c>
      <c r="AU207" s="413" t="s">
        <v>5335</v>
      </c>
      <c r="AV207" s="3519" t="s">
        <v>5336</v>
      </c>
      <c r="AW207" s="411" t="s">
        <v>5337</v>
      </c>
      <c r="AX207" s="3519" t="s">
        <v>5338</v>
      </c>
      <c r="AY207" s="411" t="s">
        <v>5339</v>
      </c>
      <c r="AZ207" s="1687" t="e">
        <f t="shared" si="591"/>
        <v>#VALUE!</v>
      </c>
      <c r="CB207" s="3146" t="str">
        <f t="shared" si="566"/>
        <v xml:space="preserve"> * El Total de Exámenes Confirmados Positivos por ISP NO DEBE SUPERAR los Exámenes Procesados. </v>
      </c>
      <c r="CC207" s="2784" t="str">
        <f t="shared" si="592"/>
        <v xml:space="preserve"> * El número de Exámenes por Sexo Hombres Confirmados positivos por ISP NO PUEDE Superar al número de Procesados. </v>
      </c>
      <c r="CD207" s="2784" t="str">
        <f t="shared" si="567"/>
        <v xml:space="preserve"> * El número de Exámenes por Sexo Mujeres Confirmados positivos por ISP NO PUEDE Superar al número de Procesados. </v>
      </c>
      <c r="CE207" s="2630"/>
      <c r="CF207" s="2630"/>
      <c r="CG207" s="2630"/>
      <c r="CH207" s="2630"/>
      <c r="CI207" s="2630"/>
      <c r="CJ207" s="2784" t="e">
        <f t="shared" si="568"/>
        <v>#VALUE!</v>
      </c>
      <c r="CK207" s="600"/>
      <c r="CL207" s="2784" t="e">
        <f t="shared" si="569"/>
        <v>#VALUE!</v>
      </c>
      <c r="CM207" s="2784" t="e">
        <f t="shared" si="570"/>
        <v>#VALUE!</v>
      </c>
      <c r="CN207" s="2784" t="str">
        <f t="shared" si="571"/>
        <v xml:space="preserve"> * Los exámenes procesados Pueblos originarios no pueden ser mayor que el Total de exámenes procesados.</v>
      </c>
      <c r="CO207" s="2784" t="str">
        <f t="shared" si="572"/>
        <v xml:space="preserve"> * Los exámenes procesados de Migrantes no pueden ser mayor que el Total de exámenes procesados.</v>
      </c>
      <c r="CP207" s="2784" t="e">
        <f t="shared" si="573"/>
        <v>#VALUE!</v>
      </c>
      <c r="CQ207" s="2784" t="str">
        <f t="shared" si="574"/>
        <v xml:space="preserve"> * Los exámenes Confirmados positivos por ISP de Pueblos originarios no pueden ser mayor que el Total de exámenes Procesados por ISP.</v>
      </c>
      <c r="CR207" s="2784" t="str">
        <f t="shared" si="575"/>
        <v xml:space="preserve"> * Los exámenes Confirmados positivos por ISP de Migrantes no pueden ser mayor que el Total de exámenes Procesados por ISP.</v>
      </c>
      <c r="CS207" s="2630"/>
      <c r="CT207" s="2630"/>
      <c r="CU207" s="2784" t="e">
        <f t="shared" si="595"/>
        <v>#VALUE!</v>
      </c>
      <c r="CV207" s="2784" t="e">
        <f t="shared" si="596"/>
        <v>#VALUE!</v>
      </c>
      <c r="DF207" s="3146">
        <f t="shared" si="578"/>
        <v>1</v>
      </c>
      <c r="DG207" s="2784">
        <f t="shared" si="593"/>
        <v>1</v>
      </c>
      <c r="DH207" s="2784">
        <f t="shared" si="579"/>
        <v>1</v>
      </c>
      <c r="DI207" s="2630"/>
      <c r="DJ207" s="2630"/>
      <c r="DK207" s="2630"/>
      <c r="DL207" s="2630"/>
      <c r="DM207" s="2630"/>
      <c r="DN207" s="2784" t="e">
        <f t="shared" si="580"/>
        <v>#VALUE!</v>
      </c>
      <c r="DO207" s="600"/>
      <c r="DP207" s="2784" t="e">
        <f t="shared" si="581"/>
        <v>#VALUE!</v>
      </c>
      <c r="DQ207" s="2784" t="e">
        <f t="shared" si="582"/>
        <v>#VALUE!</v>
      </c>
      <c r="DR207" s="2784">
        <f t="shared" si="583"/>
        <v>1</v>
      </c>
      <c r="DS207" s="2784">
        <f t="shared" si="584"/>
        <v>1</v>
      </c>
      <c r="DT207" s="2784" t="e">
        <f t="shared" si="585"/>
        <v>#VALUE!</v>
      </c>
      <c r="DU207" s="2784">
        <f t="shared" si="586"/>
        <v>1</v>
      </c>
      <c r="DV207" s="2784">
        <f t="shared" si="587"/>
        <v>1</v>
      </c>
      <c r="DW207" s="2630"/>
      <c r="DX207" s="2630"/>
      <c r="DY207" s="2784" t="e">
        <f t="shared" si="597"/>
        <v>#VALUE!</v>
      </c>
      <c r="DZ207" s="2784" t="e">
        <f t="shared" si="597"/>
        <v>#VALUE!</v>
      </c>
    </row>
    <row r="208" spans="1:130" x14ac:dyDescent="0.3">
      <c r="A208" s="6234">
        <v>11055353</v>
      </c>
      <c r="B208" s="7576" t="s">
        <v>2712</v>
      </c>
      <c r="C208" s="7577"/>
      <c r="D208" s="1928" t="s">
        <v>5292</v>
      </c>
      <c r="E208" s="3532" t="s">
        <v>5293</v>
      </c>
      <c r="F208" s="410" t="s">
        <v>5294</v>
      </c>
      <c r="G208" s="3518" t="s">
        <v>5295</v>
      </c>
      <c r="H208" s="410" t="s">
        <v>5296</v>
      </c>
      <c r="I208" s="3518" t="s">
        <v>5297</v>
      </c>
      <c r="J208" s="410" t="s">
        <v>5298</v>
      </c>
      <c r="K208" s="3518" t="s">
        <v>5299</v>
      </c>
      <c r="L208" s="410" t="s">
        <v>5300</v>
      </c>
      <c r="M208" s="3518" t="s">
        <v>5301</v>
      </c>
      <c r="N208" s="410" t="s">
        <v>5302</v>
      </c>
      <c r="O208" s="3518" t="s">
        <v>5303</v>
      </c>
      <c r="P208" s="410" t="s">
        <v>5304</v>
      </c>
      <c r="Q208" s="3518" t="s">
        <v>5305</v>
      </c>
      <c r="R208" s="410" t="s">
        <v>5306</v>
      </c>
      <c r="S208" s="3518" t="s">
        <v>5307</v>
      </c>
      <c r="T208" s="410" t="s">
        <v>5308</v>
      </c>
      <c r="U208" s="3518" t="s">
        <v>5309</v>
      </c>
      <c r="V208" s="410" t="s">
        <v>5310</v>
      </c>
      <c r="W208" s="3518" t="s">
        <v>5311</v>
      </c>
      <c r="X208" s="410" t="s">
        <v>5312</v>
      </c>
      <c r="Y208" s="3518" t="s">
        <v>5313</v>
      </c>
      <c r="Z208" s="410" t="s">
        <v>5314</v>
      </c>
      <c r="AA208" s="3518" t="s">
        <v>5315</v>
      </c>
      <c r="AB208" s="410" t="s">
        <v>5316</v>
      </c>
      <c r="AC208" s="3518" t="s">
        <v>5317</v>
      </c>
      <c r="AD208" s="410" t="s">
        <v>5318</v>
      </c>
      <c r="AE208" s="3531" t="s">
        <v>5319</v>
      </c>
      <c r="AF208" s="410" t="s">
        <v>5320</v>
      </c>
      <c r="AG208" s="3531" t="s">
        <v>5321</v>
      </c>
      <c r="AH208" s="410" t="s">
        <v>5322</v>
      </c>
      <c r="AI208" s="412" t="s">
        <v>5323</v>
      </c>
      <c r="AJ208" s="410" t="s">
        <v>5324</v>
      </c>
      <c r="AK208" s="3518" t="s">
        <v>5325</v>
      </c>
      <c r="AL208" s="3519" t="s">
        <v>5326</v>
      </c>
      <c r="AM208" s="411" t="s">
        <v>5327</v>
      </c>
      <c r="AN208" s="410" t="s">
        <v>5328</v>
      </c>
      <c r="AO208" s="413" t="s">
        <v>5329</v>
      </c>
      <c r="AP208" s="3519" t="s">
        <v>5330</v>
      </c>
      <c r="AQ208" s="411" t="s">
        <v>5331</v>
      </c>
      <c r="AR208" s="414" t="s">
        <v>5332</v>
      </c>
      <c r="AS208" s="413" t="s">
        <v>5333</v>
      </c>
      <c r="AT208" s="3519" t="s">
        <v>5334</v>
      </c>
      <c r="AU208" s="413" t="s">
        <v>5335</v>
      </c>
      <c r="AV208" s="3519" t="s">
        <v>5336</v>
      </c>
      <c r="AW208" s="411" t="s">
        <v>5337</v>
      </c>
      <c r="AX208" s="3519" t="s">
        <v>5338</v>
      </c>
      <c r="AY208" s="411" t="s">
        <v>5339</v>
      </c>
      <c r="AZ208" s="1687" t="e">
        <f t="shared" si="591"/>
        <v>#VALUE!</v>
      </c>
      <c r="CB208" s="3146" t="str">
        <f t="shared" si="566"/>
        <v xml:space="preserve"> * El Total de Exámenes Confirmados Positivos por ISP NO DEBE SUPERAR los Exámenes Procesados. </v>
      </c>
      <c r="CC208" s="2784" t="str">
        <f t="shared" si="592"/>
        <v xml:space="preserve"> * El número de Exámenes por Sexo Hombres Confirmados positivos por ISP NO PUEDE Superar al número de Procesados. </v>
      </c>
      <c r="CD208" s="2784" t="str">
        <f t="shared" si="567"/>
        <v xml:space="preserve"> * El número de Exámenes por Sexo Mujeres Confirmados positivos por ISP NO PUEDE Superar al número de Procesados. </v>
      </c>
      <c r="CE208" s="2630"/>
      <c r="CF208" s="2630"/>
      <c r="CG208" s="2630"/>
      <c r="CH208" s="2630"/>
      <c r="CI208" s="2630"/>
      <c r="CJ208" s="2784" t="e">
        <f t="shared" si="568"/>
        <v>#VALUE!</v>
      </c>
      <c r="CK208" s="600"/>
      <c r="CL208" s="2784" t="e">
        <f t="shared" si="569"/>
        <v>#VALUE!</v>
      </c>
      <c r="CM208" s="2784" t="e">
        <f t="shared" si="570"/>
        <v>#VALUE!</v>
      </c>
      <c r="CN208" s="2784" t="str">
        <f t="shared" si="571"/>
        <v xml:space="preserve"> * Los exámenes procesados Pueblos originarios no pueden ser mayor que el Total de exámenes procesados.</v>
      </c>
      <c r="CO208" s="2784" t="str">
        <f t="shared" si="572"/>
        <v xml:space="preserve"> * Los exámenes procesados de Migrantes no pueden ser mayor que el Total de exámenes procesados.</v>
      </c>
      <c r="CP208" s="2784" t="e">
        <f t="shared" si="573"/>
        <v>#VALUE!</v>
      </c>
      <c r="CQ208" s="2784" t="str">
        <f t="shared" si="574"/>
        <v xml:space="preserve"> * Los exámenes Confirmados positivos por ISP de Pueblos originarios no pueden ser mayor que el Total de exámenes Procesados por ISP.</v>
      </c>
      <c r="CR208" s="2784" t="str">
        <f t="shared" si="575"/>
        <v xml:space="preserve"> * Los exámenes Confirmados positivos por ISP de Migrantes no pueden ser mayor que el Total de exámenes Procesados por ISP.</v>
      </c>
      <c r="CS208" s="2630"/>
      <c r="CT208" s="2630"/>
      <c r="CU208" s="2784" t="e">
        <f t="shared" si="595"/>
        <v>#VALUE!</v>
      </c>
      <c r="CV208" s="2784" t="e">
        <f t="shared" si="596"/>
        <v>#VALUE!</v>
      </c>
      <c r="DF208" s="3146">
        <f t="shared" si="578"/>
        <v>1</v>
      </c>
      <c r="DG208" s="2784">
        <f t="shared" si="593"/>
        <v>1</v>
      </c>
      <c r="DH208" s="2784">
        <f t="shared" si="579"/>
        <v>1</v>
      </c>
      <c r="DI208" s="2630"/>
      <c r="DJ208" s="2630"/>
      <c r="DK208" s="2630"/>
      <c r="DL208" s="2630"/>
      <c r="DM208" s="2630"/>
      <c r="DN208" s="2784" t="e">
        <f t="shared" si="580"/>
        <v>#VALUE!</v>
      </c>
      <c r="DO208" s="600"/>
      <c r="DP208" s="2784" t="e">
        <f t="shared" si="581"/>
        <v>#VALUE!</v>
      </c>
      <c r="DQ208" s="2784" t="e">
        <f t="shared" si="582"/>
        <v>#VALUE!</v>
      </c>
      <c r="DR208" s="2784">
        <f t="shared" si="583"/>
        <v>1</v>
      </c>
      <c r="DS208" s="2784">
        <f t="shared" si="584"/>
        <v>1</v>
      </c>
      <c r="DT208" s="2784" t="e">
        <f t="shared" si="585"/>
        <v>#VALUE!</v>
      </c>
      <c r="DU208" s="2784">
        <f t="shared" si="586"/>
        <v>1</v>
      </c>
      <c r="DV208" s="2784">
        <f t="shared" si="587"/>
        <v>1</v>
      </c>
      <c r="DW208" s="2630"/>
      <c r="DX208" s="2630"/>
      <c r="DY208" s="2784" t="e">
        <f t="shared" si="597"/>
        <v>#VALUE!</v>
      </c>
      <c r="DZ208" s="2784" t="e">
        <f t="shared" si="597"/>
        <v>#VALUE!</v>
      </c>
    </row>
    <row r="209" spans="1:130" x14ac:dyDescent="0.3">
      <c r="A209" s="6234">
        <v>11055360</v>
      </c>
      <c r="B209" s="7576" t="s">
        <v>2713</v>
      </c>
      <c r="C209" s="7577"/>
      <c r="D209" s="1928" t="s">
        <v>5292</v>
      </c>
      <c r="E209" s="3532" t="s">
        <v>5293</v>
      </c>
      <c r="F209" s="410" t="s">
        <v>5294</v>
      </c>
      <c r="G209" s="3518" t="s">
        <v>5295</v>
      </c>
      <c r="H209" s="410" t="s">
        <v>5296</v>
      </c>
      <c r="I209" s="3518" t="s">
        <v>5297</v>
      </c>
      <c r="J209" s="410" t="s">
        <v>5298</v>
      </c>
      <c r="K209" s="3518" t="s">
        <v>5299</v>
      </c>
      <c r="L209" s="410" t="s">
        <v>5300</v>
      </c>
      <c r="M209" s="3518" t="s">
        <v>5301</v>
      </c>
      <c r="N209" s="410" t="s">
        <v>5302</v>
      </c>
      <c r="O209" s="3518" t="s">
        <v>5303</v>
      </c>
      <c r="P209" s="410" t="s">
        <v>5304</v>
      </c>
      <c r="Q209" s="3518" t="s">
        <v>5305</v>
      </c>
      <c r="R209" s="410" t="s">
        <v>5306</v>
      </c>
      <c r="S209" s="3518" t="s">
        <v>5307</v>
      </c>
      <c r="T209" s="410" t="s">
        <v>5308</v>
      </c>
      <c r="U209" s="3518" t="s">
        <v>5309</v>
      </c>
      <c r="V209" s="410" t="s">
        <v>5310</v>
      </c>
      <c r="W209" s="3518" t="s">
        <v>5311</v>
      </c>
      <c r="X209" s="410" t="s">
        <v>5312</v>
      </c>
      <c r="Y209" s="3518" t="s">
        <v>5313</v>
      </c>
      <c r="Z209" s="410" t="s">
        <v>5314</v>
      </c>
      <c r="AA209" s="3518" t="s">
        <v>5315</v>
      </c>
      <c r="AB209" s="410" t="s">
        <v>5316</v>
      </c>
      <c r="AC209" s="3518" t="s">
        <v>5317</v>
      </c>
      <c r="AD209" s="410" t="s">
        <v>5318</v>
      </c>
      <c r="AE209" s="3531" t="s">
        <v>5319</v>
      </c>
      <c r="AF209" s="410" t="s">
        <v>5320</v>
      </c>
      <c r="AG209" s="3531" t="s">
        <v>5321</v>
      </c>
      <c r="AH209" s="410" t="s">
        <v>5322</v>
      </c>
      <c r="AI209" s="412" t="s">
        <v>5323</v>
      </c>
      <c r="AJ209" s="410" t="s">
        <v>5324</v>
      </c>
      <c r="AK209" s="3518" t="s">
        <v>5325</v>
      </c>
      <c r="AL209" s="3519" t="s">
        <v>5326</v>
      </c>
      <c r="AM209" s="411" t="s">
        <v>5327</v>
      </c>
      <c r="AN209" s="410" t="s">
        <v>5328</v>
      </c>
      <c r="AO209" s="413" t="s">
        <v>5329</v>
      </c>
      <c r="AP209" s="3519" t="s">
        <v>5330</v>
      </c>
      <c r="AQ209" s="411" t="s">
        <v>5331</v>
      </c>
      <c r="AR209" s="414" t="s">
        <v>5332</v>
      </c>
      <c r="AS209" s="413" t="s">
        <v>5333</v>
      </c>
      <c r="AT209" s="3519" t="s">
        <v>5334</v>
      </c>
      <c r="AU209" s="413" t="s">
        <v>5335</v>
      </c>
      <c r="AV209" s="3519" t="s">
        <v>5336</v>
      </c>
      <c r="AW209" s="411" t="s">
        <v>5337</v>
      </c>
      <c r="AX209" s="3519" t="s">
        <v>5338</v>
      </c>
      <c r="AY209" s="411" t="s">
        <v>5339</v>
      </c>
      <c r="AZ209" s="1687" t="e">
        <f t="shared" si="591"/>
        <v>#VALUE!</v>
      </c>
      <c r="CB209" s="3146" t="str">
        <f t="shared" si="566"/>
        <v xml:space="preserve"> * El Total de Exámenes Confirmados Positivos por ISP NO DEBE SUPERAR los Exámenes Procesados. </v>
      </c>
      <c r="CC209" s="2784" t="str">
        <f t="shared" si="592"/>
        <v xml:space="preserve"> * El número de Exámenes por Sexo Hombres Confirmados positivos por ISP NO PUEDE Superar al número de Procesados. </v>
      </c>
      <c r="CD209" s="2784" t="str">
        <f t="shared" si="567"/>
        <v xml:space="preserve"> * El número de Exámenes por Sexo Mujeres Confirmados positivos por ISP NO PUEDE Superar al número de Procesados. </v>
      </c>
      <c r="CE209" s="2630"/>
      <c r="CF209" s="2630"/>
      <c r="CG209" s="2630"/>
      <c r="CH209" s="2630"/>
      <c r="CI209" s="2630"/>
      <c r="CJ209" s="2784" t="e">
        <f t="shared" si="568"/>
        <v>#VALUE!</v>
      </c>
      <c r="CK209" s="600"/>
      <c r="CL209" s="2784" t="e">
        <f t="shared" si="569"/>
        <v>#VALUE!</v>
      </c>
      <c r="CM209" s="2784" t="e">
        <f t="shared" si="570"/>
        <v>#VALUE!</v>
      </c>
      <c r="CN209" s="2784" t="str">
        <f t="shared" si="571"/>
        <v xml:space="preserve"> * Los exámenes procesados Pueblos originarios no pueden ser mayor que el Total de exámenes procesados.</v>
      </c>
      <c r="CO209" s="2784" t="str">
        <f t="shared" si="572"/>
        <v xml:space="preserve"> * Los exámenes procesados de Migrantes no pueden ser mayor que el Total de exámenes procesados.</v>
      </c>
      <c r="CP209" s="2784" t="e">
        <f t="shared" si="573"/>
        <v>#VALUE!</v>
      </c>
      <c r="CQ209" s="2784" t="str">
        <f t="shared" si="574"/>
        <v xml:space="preserve"> * Los exámenes Confirmados positivos por ISP de Pueblos originarios no pueden ser mayor que el Total de exámenes Procesados por ISP.</v>
      </c>
      <c r="CR209" s="2784" t="str">
        <f t="shared" si="575"/>
        <v xml:space="preserve"> * Los exámenes Confirmados positivos por ISP de Migrantes no pueden ser mayor que el Total de exámenes Procesados por ISP.</v>
      </c>
      <c r="CS209" s="2630"/>
      <c r="CT209" s="2630"/>
      <c r="CU209" s="2784" t="e">
        <f t="shared" si="595"/>
        <v>#VALUE!</v>
      </c>
      <c r="CV209" s="2784" t="e">
        <f t="shared" si="596"/>
        <v>#VALUE!</v>
      </c>
      <c r="DF209" s="3146">
        <f t="shared" si="578"/>
        <v>1</v>
      </c>
      <c r="DG209" s="2784">
        <f t="shared" si="593"/>
        <v>1</v>
      </c>
      <c r="DH209" s="2784">
        <f t="shared" si="579"/>
        <v>1</v>
      </c>
      <c r="DI209" s="2630"/>
      <c r="DJ209" s="2630"/>
      <c r="DK209" s="2630"/>
      <c r="DL209" s="2630"/>
      <c r="DM209" s="2630"/>
      <c r="DN209" s="2784" t="e">
        <f t="shared" si="580"/>
        <v>#VALUE!</v>
      </c>
      <c r="DO209" s="600"/>
      <c r="DP209" s="2784" t="e">
        <f t="shared" si="581"/>
        <v>#VALUE!</v>
      </c>
      <c r="DQ209" s="2784" t="e">
        <f t="shared" si="582"/>
        <v>#VALUE!</v>
      </c>
      <c r="DR209" s="2784">
        <f t="shared" si="583"/>
        <v>1</v>
      </c>
      <c r="DS209" s="2784">
        <f t="shared" si="584"/>
        <v>1</v>
      </c>
      <c r="DT209" s="2784" t="e">
        <f t="shared" si="585"/>
        <v>#VALUE!</v>
      </c>
      <c r="DU209" s="2784">
        <f t="shared" si="586"/>
        <v>1</v>
      </c>
      <c r="DV209" s="2784">
        <f t="shared" si="587"/>
        <v>1</v>
      </c>
      <c r="DW209" s="2630"/>
      <c r="DX209" s="2630"/>
      <c r="DY209" s="2784" t="e">
        <f t="shared" si="597"/>
        <v>#VALUE!</v>
      </c>
      <c r="DZ209" s="2784" t="e">
        <f t="shared" si="597"/>
        <v>#VALUE!</v>
      </c>
    </row>
    <row r="210" spans="1:130" x14ac:dyDescent="0.3">
      <c r="A210" s="6234">
        <v>11055370</v>
      </c>
      <c r="B210" s="7582" t="s">
        <v>2714</v>
      </c>
      <c r="C210" s="7583"/>
      <c r="D210" s="3516" t="s">
        <v>5292</v>
      </c>
      <c r="E210" s="3523" t="s">
        <v>5293</v>
      </c>
      <c r="F210" s="3492" t="s">
        <v>5294</v>
      </c>
      <c r="G210" s="3491" t="s">
        <v>5295</v>
      </c>
      <c r="H210" s="3492" t="s">
        <v>5296</v>
      </c>
      <c r="I210" s="3491" t="s">
        <v>5297</v>
      </c>
      <c r="J210" s="3492" t="s">
        <v>5298</v>
      </c>
      <c r="K210" s="3491" t="s">
        <v>5299</v>
      </c>
      <c r="L210" s="3492" t="s">
        <v>5300</v>
      </c>
      <c r="M210" s="3491" t="s">
        <v>5301</v>
      </c>
      <c r="N210" s="3492" t="s">
        <v>5302</v>
      </c>
      <c r="O210" s="3493" t="s">
        <v>5303</v>
      </c>
      <c r="P210" s="3492" t="s">
        <v>5304</v>
      </c>
      <c r="Q210" s="3491" t="s">
        <v>5305</v>
      </c>
      <c r="R210" s="3492" t="s">
        <v>5306</v>
      </c>
      <c r="S210" s="3491" t="s">
        <v>5307</v>
      </c>
      <c r="T210" s="3492" t="s">
        <v>5308</v>
      </c>
      <c r="U210" s="3491" t="s">
        <v>5309</v>
      </c>
      <c r="V210" s="3492" t="s">
        <v>5310</v>
      </c>
      <c r="W210" s="3491" t="s">
        <v>5311</v>
      </c>
      <c r="X210" s="3492" t="s">
        <v>5312</v>
      </c>
      <c r="Y210" s="3491" t="s">
        <v>5313</v>
      </c>
      <c r="Z210" s="3492" t="s">
        <v>5314</v>
      </c>
      <c r="AA210" s="3491" t="s">
        <v>5315</v>
      </c>
      <c r="AB210" s="3492" t="s">
        <v>5316</v>
      </c>
      <c r="AC210" s="3491" t="s">
        <v>5317</v>
      </c>
      <c r="AD210" s="3492" t="s">
        <v>5318</v>
      </c>
      <c r="AE210" s="3533" t="s">
        <v>5319</v>
      </c>
      <c r="AF210" s="3492" t="s">
        <v>5320</v>
      </c>
      <c r="AG210" s="3533" t="s">
        <v>5321</v>
      </c>
      <c r="AH210" s="3492" t="s">
        <v>5322</v>
      </c>
      <c r="AI210" s="3493" t="s">
        <v>5323</v>
      </c>
      <c r="AJ210" s="3492" t="s">
        <v>5324</v>
      </c>
      <c r="AK210" s="3491" t="s">
        <v>5325</v>
      </c>
      <c r="AL210" s="3495" t="s">
        <v>5326</v>
      </c>
      <c r="AM210" s="290" t="s">
        <v>5327</v>
      </c>
      <c r="AN210" s="3492" t="s">
        <v>5328</v>
      </c>
      <c r="AO210" s="385" t="s">
        <v>5329</v>
      </c>
      <c r="AP210" s="3495" t="s">
        <v>5330</v>
      </c>
      <c r="AQ210" s="290" t="s">
        <v>5331</v>
      </c>
      <c r="AR210" s="288" t="s">
        <v>5332</v>
      </c>
      <c r="AS210" s="385" t="s">
        <v>5333</v>
      </c>
      <c r="AT210" s="3495" t="s">
        <v>5334</v>
      </c>
      <c r="AU210" s="385" t="s">
        <v>5335</v>
      </c>
      <c r="AV210" s="3495" t="s">
        <v>5336</v>
      </c>
      <c r="AW210" s="290" t="s">
        <v>5337</v>
      </c>
      <c r="AX210" s="3495" t="s">
        <v>5338</v>
      </c>
      <c r="AY210" s="290" t="s">
        <v>5339</v>
      </c>
      <c r="AZ210" s="1687" t="e">
        <f t="shared" si="591"/>
        <v>#VALUE!</v>
      </c>
      <c r="CB210" s="3146" t="str">
        <f t="shared" si="566"/>
        <v xml:space="preserve"> * El Total de Exámenes Confirmados Positivos por ISP NO DEBE SUPERAR los Exámenes Procesados. </v>
      </c>
      <c r="CC210" s="2784" t="str">
        <f t="shared" si="592"/>
        <v xml:space="preserve"> * El número de Exámenes por Sexo Hombres Confirmados positivos por ISP NO PUEDE Superar al número de Procesados. </v>
      </c>
      <c r="CD210" s="2784" t="str">
        <f t="shared" si="567"/>
        <v xml:space="preserve"> * El número de Exámenes por Sexo Mujeres Confirmados positivos por ISP NO PUEDE Superar al número de Procesados. </v>
      </c>
      <c r="CE210" s="2630"/>
      <c r="CF210" s="2630"/>
      <c r="CG210" s="2630"/>
      <c r="CH210" s="2630"/>
      <c r="CI210" s="2630"/>
      <c r="CJ210" s="2784" t="e">
        <f t="shared" si="568"/>
        <v>#VALUE!</v>
      </c>
      <c r="CK210" s="600"/>
      <c r="CL210" s="2784" t="e">
        <f t="shared" si="569"/>
        <v>#VALUE!</v>
      </c>
      <c r="CM210" s="2784" t="e">
        <f t="shared" si="570"/>
        <v>#VALUE!</v>
      </c>
      <c r="CN210" s="2784" t="str">
        <f t="shared" si="571"/>
        <v xml:space="preserve"> * Los exámenes procesados Pueblos originarios no pueden ser mayor que el Total de exámenes procesados.</v>
      </c>
      <c r="CO210" s="2784" t="str">
        <f t="shared" si="572"/>
        <v xml:space="preserve"> * Los exámenes procesados de Migrantes no pueden ser mayor que el Total de exámenes procesados.</v>
      </c>
      <c r="CP210" s="2784" t="e">
        <f t="shared" si="573"/>
        <v>#VALUE!</v>
      </c>
      <c r="CQ210" s="2784" t="str">
        <f t="shared" si="574"/>
        <v xml:space="preserve"> * Los exámenes Confirmados positivos por ISP de Pueblos originarios no pueden ser mayor que el Total de exámenes Procesados por ISP.</v>
      </c>
      <c r="CR210" s="2784" t="str">
        <f t="shared" si="575"/>
        <v xml:space="preserve"> * Los exámenes Confirmados positivos por ISP de Migrantes no pueden ser mayor que el Total de exámenes Procesados por ISP.</v>
      </c>
      <c r="CS210" s="2630"/>
      <c r="CT210" s="2630"/>
      <c r="CU210" s="2784" t="e">
        <f t="shared" si="595"/>
        <v>#VALUE!</v>
      </c>
      <c r="CV210" s="2784" t="e">
        <f t="shared" si="596"/>
        <v>#VALUE!</v>
      </c>
      <c r="DF210" s="3146">
        <f t="shared" si="578"/>
        <v>1</v>
      </c>
      <c r="DG210" s="2784">
        <f t="shared" si="593"/>
        <v>1</v>
      </c>
      <c r="DH210" s="2784">
        <f t="shared" si="579"/>
        <v>1</v>
      </c>
      <c r="DI210" s="2630"/>
      <c r="DJ210" s="2630"/>
      <c r="DK210" s="2630"/>
      <c r="DL210" s="2630"/>
      <c r="DM210" s="2630"/>
      <c r="DN210" s="2784" t="e">
        <f t="shared" si="580"/>
        <v>#VALUE!</v>
      </c>
      <c r="DO210" s="600"/>
      <c r="DP210" s="2784" t="e">
        <f t="shared" si="581"/>
        <v>#VALUE!</v>
      </c>
      <c r="DQ210" s="2784" t="e">
        <f t="shared" si="582"/>
        <v>#VALUE!</v>
      </c>
      <c r="DR210" s="2784">
        <f t="shared" si="583"/>
        <v>1</v>
      </c>
      <c r="DS210" s="2784">
        <f t="shared" si="584"/>
        <v>1</v>
      </c>
      <c r="DT210" s="2784" t="e">
        <f t="shared" si="585"/>
        <v>#VALUE!</v>
      </c>
      <c r="DU210" s="2784">
        <f t="shared" si="586"/>
        <v>1</v>
      </c>
      <c r="DV210" s="2784">
        <f t="shared" si="587"/>
        <v>1</v>
      </c>
      <c r="DW210" s="2630"/>
      <c r="DX210" s="2630"/>
      <c r="DY210" s="2784" t="e">
        <f t="shared" si="597"/>
        <v>#VALUE!</v>
      </c>
      <c r="DZ210" s="2784" t="e">
        <f t="shared" si="597"/>
        <v>#VALUE!</v>
      </c>
    </row>
    <row r="211" spans="1:130" ht="18" customHeight="1" x14ac:dyDescent="0.3">
      <c r="A211" s="599"/>
      <c r="B211" s="5208" t="s">
        <v>2716</v>
      </c>
      <c r="C211" s="5208"/>
      <c r="D211" s="5208"/>
      <c r="E211" s="5208"/>
      <c r="F211" s="5208"/>
      <c r="G211" s="5208"/>
      <c r="H211" s="5208"/>
      <c r="I211" s="5208"/>
      <c r="J211" s="5208"/>
      <c r="K211" s="5208"/>
      <c r="L211" s="5208"/>
      <c r="M211" s="5208"/>
      <c r="N211" s="5208"/>
      <c r="O211" s="5208"/>
      <c r="P211" s="5208"/>
      <c r="Q211" s="5208"/>
      <c r="R211" s="5208"/>
      <c r="S211" s="5208"/>
      <c r="T211" s="5208"/>
      <c r="U211" s="5208"/>
      <c r="V211" s="5208"/>
      <c r="W211" s="5208"/>
      <c r="X211" s="5208"/>
      <c r="Y211" s="5208"/>
      <c r="Z211" s="5208"/>
      <c r="AA211" s="5208"/>
      <c r="AB211" s="5208"/>
      <c r="AC211" s="5208"/>
      <c r="AD211" s="5208"/>
      <c r="AE211" s="5208"/>
      <c r="AF211" s="5208"/>
      <c r="AG211" s="5208"/>
      <c r="AH211" s="5208"/>
      <c r="AI211" s="5208"/>
      <c r="AJ211" s="5208"/>
      <c r="AK211" s="5208"/>
      <c r="AL211" s="5208"/>
      <c r="AM211" s="600"/>
      <c r="AN211" s="600"/>
      <c r="AO211" s="600"/>
      <c r="AP211" s="600"/>
      <c r="AQ211" s="600"/>
      <c r="AR211" s="600"/>
    </row>
    <row r="212" spans="1:130" ht="26.25" customHeight="1" x14ac:dyDescent="0.3">
      <c r="A212" s="599"/>
      <c r="B212" s="7584" t="s">
        <v>2683</v>
      </c>
      <c r="C212" s="7587" t="s">
        <v>24</v>
      </c>
      <c r="D212" s="7587"/>
      <c r="E212" s="7587" t="s">
        <v>12</v>
      </c>
      <c r="F212" s="7587"/>
      <c r="G212" s="7587"/>
      <c r="H212" s="7587"/>
      <c r="I212" s="7587"/>
      <c r="J212" s="7587"/>
      <c r="K212" s="7587"/>
      <c r="L212" s="7587"/>
      <c r="M212" s="7587"/>
      <c r="N212" s="7587"/>
      <c r="O212" s="7587"/>
      <c r="P212" s="7587"/>
      <c r="Q212" s="7587"/>
      <c r="R212" s="7587"/>
      <c r="S212" s="7587"/>
      <c r="T212" s="7587"/>
      <c r="U212" s="7587"/>
      <c r="V212" s="7587"/>
      <c r="W212" s="7587"/>
      <c r="X212" s="7587"/>
      <c r="Y212" s="7587"/>
      <c r="Z212" s="7587"/>
      <c r="AA212" s="7587"/>
      <c r="AB212" s="7587"/>
      <c r="AC212" s="7587"/>
      <c r="AD212" s="7587"/>
      <c r="AE212" s="7587"/>
      <c r="AF212" s="7587"/>
      <c r="AG212" s="7587"/>
      <c r="AH212" s="7587"/>
      <c r="AI212" s="7587"/>
      <c r="AJ212" s="7587"/>
      <c r="AK212" s="7587"/>
      <c r="AL212" s="7588"/>
      <c r="AM212" s="7572" t="s">
        <v>2717</v>
      </c>
      <c r="AN212" s="7589"/>
      <c r="AO212" s="7590" t="s">
        <v>48</v>
      </c>
      <c r="AP212" s="7591"/>
      <c r="AQ212" s="7572" t="s">
        <v>2</v>
      </c>
      <c r="AR212" s="7592" t="s">
        <v>3</v>
      </c>
    </row>
    <row r="213" spans="1:130" x14ac:dyDescent="0.3">
      <c r="A213" s="599"/>
      <c r="B213" s="7585"/>
      <c r="C213" s="7587"/>
      <c r="D213" s="7587"/>
      <c r="E213" s="7587" t="s">
        <v>36</v>
      </c>
      <c r="F213" s="7587"/>
      <c r="G213" s="7587" t="s">
        <v>37</v>
      </c>
      <c r="H213" s="7587"/>
      <c r="I213" s="7587" t="s">
        <v>38</v>
      </c>
      <c r="J213" s="7587"/>
      <c r="K213" s="7587" t="s">
        <v>4</v>
      </c>
      <c r="L213" s="7587"/>
      <c r="M213" s="7587" t="s">
        <v>5</v>
      </c>
      <c r="N213" s="7587"/>
      <c r="O213" s="7587" t="s">
        <v>6</v>
      </c>
      <c r="P213" s="7587"/>
      <c r="Q213" s="7587" t="s">
        <v>7</v>
      </c>
      <c r="R213" s="7587"/>
      <c r="S213" s="7587" t="s">
        <v>8</v>
      </c>
      <c r="T213" s="7587"/>
      <c r="U213" s="7587" t="s">
        <v>9</v>
      </c>
      <c r="V213" s="7587"/>
      <c r="W213" s="7587" t="s">
        <v>10</v>
      </c>
      <c r="X213" s="7587"/>
      <c r="Y213" s="7587" t="s">
        <v>11</v>
      </c>
      <c r="Z213" s="7587"/>
      <c r="AA213" s="7587" t="s">
        <v>18</v>
      </c>
      <c r="AB213" s="7587"/>
      <c r="AC213" s="7587" t="s">
        <v>19</v>
      </c>
      <c r="AD213" s="7587"/>
      <c r="AE213" s="7587" t="s">
        <v>20</v>
      </c>
      <c r="AF213" s="7587"/>
      <c r="AG213" s="7587" t="s">
        <v>70</v>
      </c>
      <c r="AH213" s="7587"/>
      <c r="AI213" s="7587" t="s">
        <v>71</v>
      </c>
      <c r="AJ213" s="7587"/>
      <c r="AK213" s="7587" t="s">
        <v>32</v>
      </c>
      <c r="AL213" s="7588"/>
      <c r="AM213" s="7593" t="s">
        <v>22</v>
      </c>
      <c r="AN213" s="7570" t="s">
        <v>27</v>
      </c>
      <c r="AO213" s="6669" t="s">
        <v>41</v>
      </c>
      <c r="AP213" s="7594" t="s">
        <v>42</v>
      </c>
      <c r="AQ213" s="7572"/>
      <c r="AR213" s="7592"/>
    </row>
    <row r="214" spans="1:130" x14ac:dyDescent="0.3">
      <c r="A214" s="599"/>
      <c r="B214" s="7586"/>
      <c r="C214" s="5210" t="s">
        <v>2657</v>
      </c>
      <c r="D214" s="5211" t="s">
        <v>2658</v>
      </c>
      <c r="E214" s="5212" t="s">
        <v>2657</v>
      </c>
      <c r="F214" s="5185" t="s">
        <v>2658</v>
      </c>
      <c r="G214" s="5212" t="s">
        <v>2657</v>
      </c>
      <c r="H214" s="5185" t="s">
        <v>2658</v>
      </c>
      <c r="I214" s="5212" t="s">
        <v>2657</v>
      </c>
      <c r="J214" s="5185" t="s">
        <v>2658</v>
      </c>
      <c r="K214" s="5212" t="s">
        <v>2657</v>
      </c>
      <c r="L214" s="5185" t="s">
        <v>2658</v>
      </c>
      <c r="M214" s="5212" t="s">
        <v>2657</v>
      </c>
      <c r="N214" s="5185" t="s">
        <v>2658</v>
      </c>
      <c r="O214" s="5212" t="s">
        <v>2657</v>
      </c>
      <c r="P214" s="5185" t="s">
        <v>2658</v>
      </c>
      <c r="Q214" s="5212" t="s">
        <v>2657</v>
      </c>
      <c r="R214" s="5185" t="s">
        <v>2658</v>
      </c>
      <c r="S214" s="5212" t="s">
        <v>2657</v>
      </c>
      <c r="T214" s="5185" t="s">
        <v>2658</v>
      </c>
      <c r="U214" s="5212" t="s">
        <v>2657</v>
      </c>
      <c r="V214" s="5185" t="s">
        <v>2658</v>
      </c>
      <c r="W214" s="5212" t="s">
        <v>2657</v>
      </c>
      <c r="X214" s="5185" t="s">
        <v>2658</v>
      </c>
      <c r="Y214" s="5212" t="s">
        <v>2657</v>
      </c>
      <c r="Z214" s="5185" t="s">
        <v>2658</v>
      </c>
      <c r="AA214" s="5212" t="s">
        <v>2657</v>
      </c>
      <c r="AB214" s="5185" t="s">
        <v>2658</v>
      </c>
      <c r="AC214" s="5212" t="s">
        <v>2657</v>
      </c>
      <c r="AD214" s="5185" t="s">
        <v>2658</v>
      </c>
      <c r="AE214" s="5212" t="s">
        <v>2657</v>
      </c>
      <c r="AF214" s="5185" t="s">
        <v>2658</v>
      </c>
      <c r="AG214" s="5212" t="s">
        <v>2657</v>
      </c>
      <c r="AH214" s="5185" t="s">
        <v>2658</v>
      </c>
      <c r="AI214" s="5212" t="s">
        <v>2657</v>
      </c>
      <c r="AJ214" s="5185" t="s">
        <v>2658</v>
      </c>
      <c r="AK214" s="5212" t="s">
        <v>2657</v>
      </c>
      <c r="AL214" s="5186" t="s">
        <v>2658</v>
      </c>
      <c r="AM214" s="7593"/>
      <c r="AN214" s="7570"/>
      <c r="AO214" s="6650"/>
      <c r="AP214" s="7595"/>
      <c r="AQ214" s="7572"/>
      <c r="AR214" s="7592"/>
      <c r="DF214" s="600"/>
    </row>
    <row r="215" spans="1:130" x14ac:dyDescent="0.3">
      <c r="A215" s="6234">
        <v>11056472</v>
      </c>
      <c r="B215" s="3536" t="s">
        <v>39</v>
      </c>
      <c r="C215" s="5140" t="s">
        <v>5292</v>
      </c>
      <c r="D215" s="5141" t="s">
        <v>5293</v>
      </c>
      <c r="E215" s="3483" t="s">
        <v>5294</v>
      </c>
      <c r="F215" s="5153" t="s">
        <v>5295</v>
      </c>
      <c r="G215" s="5152" t="s">
        <v>5296</v>
      </c>
      <c r="H215" s="5153" t="s">
        <v>5297</v>
      </c>
      <c r="I215" s="5038" t="s">
        <v>5298</v>
      </c>
      <c r="J215" s="5151" t="s">
        <v>5299</v>
      </c>
      <c r="K215" s="5038" t="s">
        <v>5300</v>
      </c>
      <c r="L215" s="5151" t="s">
        <v>5301</v>
      </c>
      <c r="M215" s="5038" t="s">
        <v>5302</v>
      </c>
      <c r="N215" s="5151" t="s">
        <v>5303</v>
      </c>
      <c r="O215" s="5038" t="s">
        <v>5304</v>
      </c>
      <c r="P215" s="5151" t="s">
        <v>5305</v>
      </c>
      <c r="Q215" s="5038" t="s">
        <v>5306</v>
      </c>
      <c r="R215" s="5151" t="s">
        <v>5307</v>
      </c>
      <c r="S215" s="5038" t="s">
        <v>5308</v>
      </c>
      <c r="T215" s="5151" t="s">
        <v>5309</v>
      </c>
      <c r="U215" s="5038" t="s">
        <v>5310</v>
      </c>
      <c r="V215" s="5151" t="s">
        <v>5311</v>
      </c>
      <c r="W215" s="5038" t="s">
        <v>5312</v>
      </c>
      <c r="X215" s="5151" t="s">
        <v>5313</v>
      </c>
      <c r="Y215" s="5038" t="s">
        <v>5314</v>
      </c>
      <c r="Z215" s="5151" t="s">
        <v>5315</v>
      </c>
      <c r="AA215" s="5152" t="s">
        <v>5316</v>
      </c>
      <c r="AB215" s="5153" t="s">
        <v>5317</v>
      </c>
      <c r="AC215" s="5152" t="s">
        <v>5318</v>
      </c>
      <c r="AD215" s="5153" t="s">
        <v>5319</v>
      </c>
      <c r="AE215" s="5152" t="s">
        <v>5320</v>
      </c>
      <c r="AF215" s="5153" t="s">
        <v>5321</v>
      </c>
      <c r="AG215" s="5152" t="s">
        <v>5322</v>
      </c>
      <c r="AH215" s="5153" t="s">
        <v>5323</v>
      </c>
      <c r="AI215" s="5152" t="s">
        <v>5324</v>
      </c>
      <c r="AJ215" s="5153" t="s">
        <v>5325</v>
      </c>
      <c r="AK215" s="5152" t="s">
        <v>5326</v>
      </c>
      <c r="AL215" s="5154" t="s">
        <v>5327</v>
      </c>
      <c r="AM215" s="3483" t="s">
        <v>5328</v>
      </c>
      <c r="AN215" s="5213" t="s">
        <v>5329</v>
      </c>
      <c r="AO215" s="5199" t="s">
        <v>5330</v>
      </c>
      <c r="AP215" s="3512" t="s">
        <v>5331</v>
      </c>
      <c r="AQ215" s="3479" t="s">
        <v>5332</v>
      </c>
      <c r="AR215" s="3538" t="s">
        <v>5333</v>
      </c>
      <c r="AS215" s="1687" t="e">
        <f>$CB215&amp;CC215&amp;CD215&amp;CE215&amp;CF215&amp;CH215&amp;CG215&amp;CI215&amp;CJ215</f>
        <v>#VALUE!</v>
      </c>
      <c r="CB215" s="3146" t="str">
        <f>IF(D215&gt;C215," * El Total de Exámenes reactivos NO DEBE SUPERAR los  Exámenes Procesados. ","")</f>
        <v xml:space="preserve"> * El Total de Exámenes reactivos NO DEBE SUPERAR los  Exámenes Procesados. </v>
      </c>
      <c r="CC215" s="2784" t="str">
        <f>IF(DG215=1," * El número de Exámenes por Sexo (Procesados) No puede ser distinto al Total de Procesados. ","")</f>
        <v xml:space="preserve"> * El número de Exámenes por Sexo (Procesados) No puede ser distinto al Total de Procesados. </v>
      </c>
      <c r="CD215" s="2630"/>
      <c r="CE215" s="2630"/>
      <c r="CF215" s="2630"/>
      <c r="CG215" s="2784" t="str">
        <f t="shared" ref="CG215:CG221" si="598">IF(DK215=1," * El número de Migrantes Confirmados positivos por ISP NO PUEDE Superar al número de Migrantes Procesados. ","")</f>
        <v/>
      </c>
      <c r="CH215" s="3146" t="e">
        <f>IF(AND(C215&gt;0,AND(AO215="",AP215=""))," * No olvide digitar Trans Masculino o Femenino. Digite Cero si no tiene.",IF((AO215+AP215)&gt;C215," * El N° de exámenes a Trans no puede ser mayor al Total de procesados.",""))</f>
        <v>#VALUE!</v>
      </c>
      <c r="CI215" s="3146" t="str">
        <f>IF(AND(C215&gt;0,AQ215="")," * No olvide digitar la variable pueblos originarios. Digite Cero si no tiene.",IF(AQ215&gt;C215," * La variable Pueblos originarios no puede ser mayor al Total de procesados.",""))</f>
        <v xml:space="preserve"> * La variable Pueblos originarios no puede ser mayor al Total de procesados.</v>
      </c>
      <c r="CJ215" s="3146" t="str">
        <f>IF(AND(C215&gt;0,AR215="")," * No olvide digitar la variable Migrantes. Digite Cero si no tiene.",IF(AR215&gt;C215," * La variable Migrantes no puede ser mayor al Total de procesados.",""))</f>
        <v xml:space="preserve"> * La variable Migrantes no puede ser mayor al Total de procesados.</v>
      </c>
      <c r="CK215" s="600"/>
      <c r="DF215" s="3146">
        <f>IF(D215&gt;C215,1,0)</f>
        <v>1</v>
      </c>
      <c r="DG215" s="2920">
        <f>IF(AN215&lt;&gt;C215,1,0)</f>
        <v>1</v>
      </c>
      <c r="DH215" s="2630"/>
      <c r="DI215" s="2630"/>
      <c r="DJ215" s="2630"/>
      <c r="DK215" s="2920">
        <f t="shared" ref="DK215:DK221" si="599">IF(AW215&gt;AV215,1,0)</f>
        <v>0</v>
      </c>
      <c r="DL215" s="2920"/>
      <c r="DM215" s="2920" t="e">
        <f>IF(AND(C215&gt;0,AND(AO215="",AP215="")),1,IF((AO215+AP215)&gt;C215,1,0))</f>
        <v>#VALUE!</v>
      </c>
      <c r="DN215" s="2920">
        <f>IF(AND(C215&gt;0,AQ215=""),1,IF(AQ215&gt;C215,1,0))</f>
        <v>1</v>
      </c>
      <c r="DO215" s="2920">
        <f>IF(AND(C215&gt;0,AR215=""),1,IF(AR215&gt;C215,1,0))</f>
        <v>1</v>
      </c>
    </row>
    <row r="216" spans="1:130" x14ac:dyDescent="0.3">
      <c r="A216" s="6234">
        <v>11056473</v>
      </c>
      <c r="B216" s="3536" t="s">
        <v>2718</v>
      </c>
      <c r="C216" s="1928" t="s">
        <v>5292</v>
      </c>
      <c r="D216" s="3242" t="s">
        <v>5293</v>
      </c>
      <c r="E216" s="3483" t="s">
        <v>5294</v>
      </c>
      <c r="F216" s="5153" t="s">
        <v>5295</v>
      </c>
      <c r="G216" s="5152" t="s">
        <v>5296</v>
      </c>
      <c r="H216" s="5153" t="s">
        <v>5297</v>
      </c>
      <c r="I216" s="5152" t="s">
        <v>5298</v>
      </c>
      <c r="J216" s="5153" t="s">
        <v>5299</v>
      </c>
      <c r="K216" s="5038" t="s">
        <v>5300</v>
      </c>
      <c r="L216" s="5151" t="s">
        <v>5301</v>
      </c>
      <c r="M216" s="5038" t="s">
        <v>5302</v>
      </c>
      <c r="N216" s="5151" t="s">
        <v>5303</v>
      </c>
      <c r="O216" s="5038" t="s">
        <v>5304</v>
      </c>
      <c r="P216" s="5151" t="s">
        <v>5305</v>
      </c>
      <c r="Q216" s="5038" t="s">
        <v>5306</v>
      </c>
      <c r="R216" s="5151" t="s">
        <v>5307</v>
      </c>
      <c r="S216" s="5038" t="s">
        <v>5308</v>
      </c>
      <c r="T216" s="5151" t="s">
        <v>5309</v>
      </c>
      <c r="U216" s="5038" t="s">
        <v>5310</v>
      </c>
      <c r="V216" s="5151" t="s">
        <v>5311</v>
      </c>
      <c r="W216" s="5038" t="s">
        <v>5312</v>
      </c>
      <c r="X216" s="5151" t="s">
        <v>5313</v>
      </c>
      <c r="Y216" s="5038" t="s">
        <v>5314</v>
      </c>
      <c r="Z216" s="5151" t="s">
        <v>5315</v>
      </c>
      <c r="AA216" s="5038" t="s">
        <v>5316</v>
      </c>
      <c r="AB216" s="5151" t="s">
        <v>5317</v>
      </c>
      <c r="AC216" s="5038" t="s">
        <v>5318</v>
      </c>
      <c r="AD216" s="5151" t="s">
        <v>5319</v>
      </c>
      <c r="AE216" s="5038" t="s">
        <v>5320</v>
      </c>
      <c r="AF216" s="5151" t="s">
        <v>5321</v>
      </c>
      <c r="AG216" s="5038" t="s">
        <v>5322</v>
      </c>
      <c r="AH216" s="5151" t="s">
        <v>5323</v>
      </c>
      <c r="AI216" s="5038" t="s">
        <v>5324</v>
      </c>
      <c r="AJ216" s="5151" t="s">
        <v>5325</v>
      </c>
      <c r="AK216" s="5038" t="s">
        <v>5326</v>
      </c>
      <c r="AL216" s="5145" t="s">
        <v>5327</v>
      </c>
      <c r="AM216" s="3479" t="s">
        <v>5328</v>
      </c>
      <c r="AN216" s="5145" t="s">
        <v>5329</v>
      </c>
      <c r="AO216" s="5146" t="s">
        <v>5330</v>
      </c>
      <c r="AP216" s="3512" t="s">
        <v>5331</v>
      </c>
      <c r="AQ216" s="3479" t="s">
        <v>5332</v>
      </c>
      <c r="AR216" s="3538" t="s">
        <v>5333</v>
      </c>
      <c r="AS216" s="1687" t="e">
        <f t="shared" ref="AS216:AS221" si="600">$CB216&amp;CC216&amp;CD216&amp;CE216&amp;CF216&amp;CH216&amp;CG216&amp;CI216&amp;CJ216</f>
        <v>#VALUE!</v>
      </c>
      <c r="CB216" s="3146" t="str">
        <f t="shared" ref="CB216:CB221" si="601">IF(D216&gt;C216," * El Total de Exámenes reactivos NO DEBE SUPERAR los  Exámenes Procesados. ","")</f>
        <v xml:space="preserve"> * El Total de Exámenes reactivos NO DEBE SUPERAR los  Exámenes Procesados. </v>
      </c>
      <c r="CC216" s="2784" t="e">
        <f t="shared" ref="CC216:CC221" si="602">IF(DG216=1," * El número de Exámenes por Sexo (Procesados) No puede ser distinto al Total de Procesados. ","")</f>
        <v>#VALUE!</v>
      </c>
      <c r="CD216" s="2630"/>
      <c r="CE216" s="2630"/>
      <c r="CF216" s="2630"/>
      <c r="CG216" s="2784" t="str">
        <f t="shared" si="598"/>
        <v/>
      </c>
      <c r="CH216" s="3146" t="e">
        <f t="shared" ref="CH216:CH221" si="603">IF(AND(C216&gt;0,AND(AO216="",AP216=""))," * No olvide digitar Trans Masculino o Femenino. Digite Cero si no tiene.",IF((AO216+AP216)&gt;C216," * El N° de exámenes a Trans no puede ser mayor al Total de procesados.",""))</f>
        <v>#VALUE!</v>
      </c>
      <c r="CI216" s="3146" t="str">
        <f t="shared" ref="CI216:CI221" si="604">IF(AND(C216&gt;0,AQ216="")," * No olvide digitar la variable pueblos originarios. Digite Cero si no tiene.",IF(AQ216&gt;C216," * La variable Pueblos originarios no puede ser mayor al Total de procesados.",""))</f>
        <v xml:space="preserve"> * La variable Pueblos originarios no puede ser mayor al Total de procesados.</v>
      </c>
      <c r="CJ216" s="3146" t="str">
        <f t="shared" ref="CJ216:CJ221" si="605">IF(AND(C216&gt;0,AR216="")," * No olvide digitar la variable Migrantes. Digite Cero si no tiene.",IF(AR216&gt;C216," * La variable Migrantes no puede ser mayor al Total de procesados.",""))</f>
        <v xml:space="preserve"> * La variable Migrantes no puede ser mayor al Total de procesados.</v>
      </c>
      <c r="DF216" s="3146">
        <f t="shared" ref="DF216:DF221" si="606">IF(D216&gt;C216,1,0)</f>
        <v>1</v>
      </c>
      <c r="DG216" s="2920" t="e">
        <f>IF((AM216+AN216)&lt;&gt;C216,1,0)</f>
        <v>#VALUE!</v>
      </c>
      <c r="DH216" s="2630"/>
      <c r="DI216" s="2630"/>
      <c r="DJ216" s="2630"/>
      <c r="DK216" s="2920">
        <f t="shared" si="599"/>
        <v>0</v>
      </c>
      <c r="DL216" s="2920"/>
      <c r="DM216" s="2920" t="e">
        <f t="shared" ref="DM216:DM221" si="607">IF(AND(C216&gt;0,AND(AO216="",AP216="")),1,IF((AO216+AP216)&gt;C216,1,0))</f>
        <v>#VALUE!</v>
      </c>
      <c r="DN216" s="2920">
        <f t="shared" ref="DN216:DN221" si="608">IF(AND(C216&gt;0,AQ216=""),1,IF(AQ216&gt;C216,1,0))</f>
        <v>1</v>
      </c>
      <c r="DO216" s="2920">
        <f t="shared" ref="DO216:DO221" si="609">IF(AND(C216&gt;0,AR216=""),1,IF(AR216&gt;C216,1,0))</f>
        <v>1</v>
      </c>
    </row>
    <row r="217" spans="1:130" x14ac:dyDescent="0.3">
      <c r="A217" s="6234">
        <v>11056474</v>
      </c>
      <c r="B217" s="3536" t="s">
        <v>2719</v>
      </c>
      <c r="C217" s="1928" t="s">
        <v>5292</v>
      </c>
      <c r="D217" s="3242" t="s">
        <v>5293</v>
      </c>
      <c r="E217" s="3479" t="s">
        <v>5294</v>
      </c>
      <c r="F217" s="5151" t="s">
        <v>5295</v>
      </c>
      <c r="G217" s="5038" t="s">
        <v>5296</v>
      </c>
      <c r="H217" s="5151" t="s">
        <v>5297</v>
      </c>
      <c r="I217" s="5038" t="s">
        <v>5298</v>
      </c>
      <c r="J217" s="5151" t="s">
        <v>5299</v>
      </c>
      <c r="K217" s="5038" t="s">
        <v>5300</v>
      </c>
      <c r="L217" s="5151" t="s">
        <v>5301</v>
      </c>
      <c r="M217" s="5038" t="s">
        <v>5302</v>
      </c>
      <c r="N217" s="5151" t="s">
        <v>5303</v>
      </c>
      <c r="O217" s="5038" t="s">
        <v>5304</v>
      </c>
      <c r="P217" s="5151" t="s">
        <v>5305</v>
      </c>
      <c r="Q217" s="5038" t="s">
        <v>5306</v>
      </c>
      <c r="R217" s="5151" t="s">
        <v>5307</v>
      </c>
      <c r="S217" s="5038" t="s">
        <v>5308</v>
      </c>
      <c r="T217" s="5151" t="s">
        <v>5309</v>
      </c>
      <c r="U217" s="5038" t="s">
        <v>5310</v>
      </c>
      <c r="V217" s="5151" t="s">
        <v>5311</v>
      </c>
      <c r="W217" s="5038" t="s">
        <v>5312</v>
      </c>
      <c r="X217" s="5151" t="s">
        <v>5313</v>
      </c>
      <c r="Y217" s="5038" t="s">
        <v>5314</v>
      </c>
      <c r="Z217" s="5151" t="s">
        <v>5315</v>
      </c>
      <c r="AA217" s="5038" t="s">
        <v>5316</v>
      </c>
      <c r="AB217" s="5151" t="s">
        <v>5317</v>
      </c>
      <c r="AC217" s="5038" t="s">
        <v>5318</v>
      </c>
      <c r="AD217" s="5151" t="s">
        <v>5319</v>
      </c>
      <c r="AE217" s="5038" t="s">
        <v>5320</v>
      </c>
      <c r="AF217" s="5151" t="s">
        <v>5321</v>
      </c>
      <c r="AG217" s="5038" t="s">
        <v>5322</v>
      </c>
      <c r="AH217" s="5151" t="s">
        <v>5323</v>
      </c>
      <c r="AI217" s="5038" t="s">
        <v>5324</v>
      </c>
      <c r="AJ217" s="5151" t="s">
        <v>5325</v>
      </c>
      <c r="AK217" s="5038" t="s">
        <v>5326</v>
      </c>
      <c r="AL217" s="5145" t="s">
        <v>5327</v>
      </c>
      <c r="AM217" s="3479" t="s">
        <v>5328</v>
      </c>
      <c r="AN217" s="5145" t="s">
        <v>5329</v>
      </c>
      <c r="AO217" s="5146" t="s">
        <v>5330</v>
      </c>
      <c r="AP217" s="3512" t="s">
        <v>5331</v>
      </c>
      <c r="AQ217" s="3479" t="s">
        <v>5332</v>
      </c>
      <c r="AR217" s="3538" t="s">
        <v>5333</v>
      </c>
      <c r="AS217" s="1687" t="e">
        <f t="shared" si="600"/>
        <v>#VALUE!</v>
      </c>
      <c r="CB217" s="3146" t="str">
        <f t="shared" si="601"/>
        <v xml:space="preserve"> * El Total de Exámenes reactivos NO DEBE SUPERAR los  Exámenes Procesados. </v>
      </c>
      <c r="CC217" s="2784" t="e">
        <f t="shared" si="602"/>
        <v>#VALUE!</v>
      </c>
      <c r="CD217" s="2630"/>
      <c r="CE217" s="2630"/>
      <c r="CF217" s="2630"/>
      <c r="CG217" s="2784" t="str">
        <f t="shared" si="598"/>
        <v/>
      </c>
      <c r="CH217" s="3146" t="e">
        <f t="shared" si="603"/>
        <v>#VALUE!</v>
      </c>
      <c r="CI217" s="3146" t="str">
        <f t="shared" si="604"/>
        <v xml:space="preserve"> * La variable Pueblos originarios no puede ser mayor al Total de procesados.</v>
      </c>
      <c r="CJ217" s="3146" t="str">
        <f t="shared" si="605"/>
        <v xml:space="preserve"> * La variable Migrantes no puede ser mayor al Total de procesados.</v>
      </c>
      <c r="DF217" s="3146">
        <f t="shared" si="606"/>
        <v>1</v>
      </c>
      <c r="DG217" s="2920" t="e">
        <f t="shared" ref="DG217:DG221" si="610">IF((AM217+AN217)&lt;&gt;C217,1,0)</f>
        <v>#VALUE!</v>
      </c>
      <c r="DH217" s="2630"/>
      <c r="DI217" s="2630"/>
      <c r="DJ217" s="2630"/>
      <c r="DK217" s="2920">
        <f t="shared" si="599"/>
        <v>0</v>
      </c>
      <c r="DL217" s="2920"/>
      <c r="DM217" s="2920" t="e">
        <f t="shared" si="607"/>
        <v>#VALUE!</v>
      </c>
      <c r="DN217" s="2920">
        <f t="shared" si="608"/>
        <v>1</v>
      </c>
      <c r="DO217" s="2920">
        <f t="shared" si="609"/>
        <v>1</v>
      </c>
    </row>
    <row r="218" spans="1:130" x14ac:dyDescent="0.3">
      <c r="A218" s="6234">
        <v>11056475</v>
      </c>
      <c r="B218" s="3536" t="s">
        <v>3775</v>
      </c>
      <c r="C218" s="1928" t="s">
        <v>5292</v>
      </c>
      <c r="D218" s="3242" t="s">
        <v>5293</v>
      </c>
      <c r="E218" s="3479" t="s">
        <v>5294</v>
      </c>
      <c r="F218" s="5151" t="s">
        <v>5295</v>
      </c>
      <c r="G218" s="5038" t="s">
        <v>5296</v>
      </c>
      <c r="H218" s="5151" t="s">
        <v>5297</v>
      </c>
      <c r="I218" s="5038" t="s">
        <v>5298</v>
      </c>
      <c r="J218" s="5151" t="s">
        <v>5299</v>
      </c>
      <c r="K218" s="5038" t="s">
        <v>5300</v>
      </c>
      <c r="L218" s="5151" t="s">
        <v>5301</v>
      </c>
      <c r="M218" s="5038" t="s">
        <v>5302</v>
      </c>
      <c r="N218" s="5151" t="s">
        <v>5303</v>
      </c>
      <c r="O218" s="5038" t="s">
        <v>5304</v>
      </c>
      <c r="P218" s="5151" t="s">
        <v>5305</v>
      </c>
      <c r="Q218" s="5038" t="s">
        <v>5306</v>
      </c>
      <c r="R218" s="5151" t="s">
        <v>5307</v>
      </c>
      <c r="S218" s="5038" t="s">
        <v>5308</v>
      </c>
      <c r="T218" s="5151" t="s">
        <v>5309</v>
      </c>
      <c r="U218" s="5038" t="s">
        <v>5310</v>
      </c>
      <c r="V218" s="5151" t="s">
        <v>5311</v>
      </c>
      <c r="W218" s="5038" t="s">
        <v>5312</v>
      </c>
      <c r="X218" s="5151" t="s">
        <v>5313</v>
      </c>
      <c r="Y218" s="5038" t="s">
        <v>5314</v>
      </c>
      <c r="Z218" s="5151" t="s">
        <v>5315</v>
      </c>
      <c r="AA218" s="5038" t="s">
        <v>5316</v>
      </c>
      <c r="AB218" s="5151" t="s">
        <v>5317</v>
      </c>
      <c r="AC218" s="5038" t="s">
        <v>5318</v>
      </c>
      <c r="AD218" s="5151" t="s">
        <v>5319</v>
      </c>
      <c r="AE218" s="5038" t="s">
        <v>5320</v>
      </c>
      <c r="AF218" s="5151" t="s">
        <v>5321</v>
      </c>
      <c r="AG218" s="5038" t="s">
        <v>5322</v>
      </c>
      <c r="AH218" s="5151" t="s">
        <v>5323</v>
      </c>
      <c r="AI218" s="5038" t="s">
        <v>5324</v>
      </c>
      <c r="AJ218" s="5151" t="s">
        <v>5325</v>
      </c>
      <c r="AK218" s="5038" t="s">
        <v>5326</v>
      </c>
      <c r="AL218" s="5145" t="s">
        <v>5327</v>
      </c>
      <c r="AM218" s="3479" t="s">
        <v>5328</v>
      </c>
      <c r="AN218" s="5145" t="s">
        <v>5329</v>
      </c>
      <c r="AO218" s="5146" t="s">
        <v>5330</v>
      </c>
      <c r="AP218" s="3512" t="s">
        <v>5331</v>
      </c>
      <c r="AQ218" s="3479" t="s">
        <v>5332</v>
      </c>
      <c r="AR218" s="3538" t="s">
        <v>5333</v>
      </c>
      <c r="AS218" s="1687" t="e">
        <f t="shared" si="600"/>
        <v>#VALUE!</v>
      </c>
      <c r="CB218" s="3146" t="str">
        <f t="shared" si="601"/>
        <v xml:space="preserve"> * El Total de Exámenes reactivos NO DEBE SUPERAR los  Exámenes Procesados. </v>
      </c>
      <c r="CC218" s="2784" t="e">
        <f t="shared" si="602"/>
        <v>#VALUE!</v>
      </c>
      <c r="CD218" s="2630"/>
      <c r="CE218" s="2630"/>
      <c r="CF218" s="2630"/>
      <c r="CG218" s="2784" t="str">
        <f t="shared" si="598"/>
        <v/>
      </c>
      <c r="CH218" s="3146" t="e">
        <f t="shared" si="603"/>
        <v>#VALUE!</v>
      </c>
      <c r="CI218" s="3146" t="str">
        <f t="shared" si="604"/>
        <v xml:space="preserve"> * La variable Pueblos originarios no puede ser mayor al Total de procesados.</v>
      </c>
      <c r="CJ218" s="3146" t="str">
        <f t="shared" si="605"/>
        <v xml:space="preserve"> * La variable Migrantes no puede ser mayor al Total de procesados.</v>
      </c>
      <c r="DF218" s="3146">
        <f t="shared" si="606"/>
        <v>1</v>
      </c>
      <c r="DG218" s="2920" t="e">
        <f t="shared" si="610"/>
        <v>#VALUE!</v>
      </c>
      <c r="DH218" s="2630"/>
      <c r="DI218" s="2630"/>
      <c r="DJ218" s="2630"/>
      <c r="DK218" s="2920">
        <f t="shared" si="599"/>
        <v>0</v>
      </c>
      <c r="DL218" s="2920"/>
      <c r="DM218" s="2920" t="e">
        <f t="shared" si="607"/>
        <v>#VALUE!</v>
      </c>
      <c r="DN218" s="2920">
        <f t="shared" si="608"/>
        <v>1</v>
      </c>
      <c r="DO218" s="2920">
        <f t="shared" si="609"/>
        <v>1</v>
      </c>
    </row>
    <row r="219" spans="1:130" x14ac:dyDescent="0.3">
      <c r="A219" s="6234">
        <v>11056476</v>
      </c>
      <c r="B219" s="3539" t="s">
        <v>3777</v>
      </c>
      <c r="C219" s="1928" t="s">
        <v>5292</v>
      </c>
      <c r="D219" s="3242" t="s">
        <v>5293</v>
      </c>
      <c r="E219" s="3479" t="s">
        <v>5294</v>
      </c>
      <c r="F219" s="5151" t="s">
        <v>5295</v>
      </c>
      <c r="G219" s="5038" t="s">
        <v>5296</v>
      </c>
      <c r="H219" s="5151" t="s">
        <v>5297</v>
      </c>
      <c r="I219" s="5038" t="s">
        <v>5298</v>
      </c>
      <c r="J219" s="5151" t="s">
        <v>5299</v>
      </c>
      <c r="K219" s="5038" t="s">
        <v>5300</v>
      </c>
      <c r="L219" s="5151" t="s">
        <v>5301</v>
      </c>
      <c r="M219" s="5038" t="s">
        <v>5302</v>
      </c>
      <c r="N219" s="5151" t="s">
        <v>5303</v>
      </c>
      <c r="O219" s="5038" t="s">
        <v>5304</v>
      </c>
      <c r="P219" s="5151" t="s">
        <v>5305</v>
      </c>
      <c r="Q219" s="5038" t="s">
        <v>5306</v>
      </c>
      <c r="R219" s="5151" t="s">
        <v>5307</v>
      </c>
      <c r="S219" s="5038" t="s">
        <v>5308</v>
      </c>
      <c r="T219" s="5151" t="s">
        <v>5309</v>
      </c>
      <c r="U219" s="5038" t="s">
        <v>5310</v>
      </c>
      <c r="V219" s="5151" t="s">
        <v>5311</v>
      </c>
      <c r="W219" s="5038" t="s">
        <v>5312</v>
      </c>
      <c r="X219" s="5151" t="s">
        <v>5313</v>
      </c>
      <c r="Y219" s="5038" t="s">
        <v>5314</v>
      </c>
      <c r="Z219" s="5151" t="s">
        <v>5315</v>
      </c>
      <c r="AA219" s="5038" t="s">
        <v>5316</v>
      </c>
      <c r="AB219" s="5151" t="s">
        <v>5317</v>
      </c>
      <c r="AC219" s="5038" t="s">
        <v>5318</v>
      </c>
      <c r="AD219" s="5151" t="s">
        <v>5319</v>
      </c>
      <c r="AE219" s="5038" t="s">
        <v>5320</v>
      </c>
      <c r="AF219" s="5151" t="s">
        <v>5321</v>
      </c>
      <c r="AG219" s="5038" t="s">
        <v>5322</v>
      </c>
      <c r="AH219" s="5151" t="s">
        <v>5323</v>
      </c>
      <c r="AI219" s="5038" t="s">
        <v>5324</v>
      </c>
      <c r="AJ219" s="5151" t="s">
        <v>5325</v>
      </c>
      <c r="AK219" s="5038" t="s">
        <v>5326</v>
      </c>
      <c r="AL219" s="5145" t="s">
        <v>5327</v>
      </c>
      <c r="AM219" s="3479" t="s">
        <v>5328</v>
      </c>
      <c r="AN219" s="5145" t="s">
        <v>5329</v>
      </c>
      <c r="AO219" s="5146" t="s">
        <v>5330</v>
      </c>
      <c r="AP219" s="3512" t="s">
        <v>5331</v>
      </c>
      <c r="AQ219" s="3479" t="s">
        <v>5332</v>
      </c>
      <c r="AR219" s="3538" t="s">
        <v>5333</v>
      </c>
      <c r="AS219" s="1687" t="e">
        <f t="shared" si="600"/>
        <v>#VALUE!</v>
      </c>
      <c r="CB219" s="3146" t="str">
        <f t="shared" si="601"/>
        <v xml:space="preserve"> * El Total de Exámenes reactivos NO DEBE SUPERAR los  Exámenes Procesados. </v>
      </c>
      <c r="CC219" s="2784" t="e">
        <f t="shared" si="602"/>
        <v>#VALUE!</v>
      </c>
      <c r="CD219" s="2630"/>
      <c r="CE219" s="2630"/>
      <c r="CF219" s="2630"/>
      <c r="CG219" s="2784" t="str">
        <f t="shared" si="598"/>
        <v/>
      </c>
      <c r="CH219" s="3146" t="e">
        <f t="shared" si="603"/>
        <v>#VALUE!</v>
      </c>
      <c r="CI219" s="3146" t="str">
        <f t="shared" si="604"/>
        <v xml:space="preserve"> * La variable Pueblos originarios no puede ser mayor al Total de procesados.</v>
      </c>
      <c r="CJ219" s="3146" t="str">
        <f t="shared" si="605"/>
        <v xml:space="preserve"> * La variable Migrantes no puede ser mayor al Total de procesados.</v>
      </c>
      <c r="DF219" s="3146">
        <f t="shared" si="606"/>
        <v>1</v>
      </c>
      <c r="DG219" s="2920" t="e">
        <f t="shared" si="610"/>
        <v>#VALUE!</v>
      </c>
      <c r="DH219" s="2630"/>
      <c r="DI219" s="2630"/>
      <c r="DJ219" s="2630"/>
      <c r="DK219" s="2920">
        <f t="shared" si="599"/>
        <v>0</v>
      </c>
      <c r="DL219" s="2920"/>
      <c r="DM219" s="2920" t="e">
        <f t="shared" si="607"/>
        <v>#VALUE!</v>
      </c>
      <c r="DN219" s="2920">
        <f t="shared" si="608"/>
        <v>1</v>
      </c>
      <c r="DO219" s="2920">
        <f t="shared" si="609"/>
        <v>1</v>
      </c>
    </row>
    <row r="220" spans="1:130" x14ac:dyDescent="0.3">
      <c r="A220" s="6234">
        <v>11056477</v>
      </c>
      <c r="B220" s="3536" t="s">
        <v>2676</v>
      </c>
      <c r="C220" s="1928" t="s">
        <v>5292</v>
      </c>
      <c r="D220" s="3242" t="s">
        <v>5293</v>
      </c>
      <c r="E220" s="3479" t="s">
        <v>5294</v>
      </c>
      <c r="F220" s="5151" t="s">
        <v>5295</v>
      </c>
      <c r="G220" s="5038" t="s">
        <v>5296</v>
      </c>
      <c r="H220" s="5151" t="s">
        <v>5297</v>
      </c>
      <c r="I220" s="5038" t="s">
        <v>5298</v>
      </c>
      <c r="J220" s="5151" t="s">
        <v>5299</v>
      </c>
      <c r="K220" s="5038" t="s">
        <v>5300</v>
      </c>
      <c r="L220" s="5151" t="s">
        <v>5301</v>
      </c>
      <c r="M220" s="5038" t="s">
        <v>5302</v>
      </c>
      <c r="N220" s="5151" t="s">
        <v>5303</v>
      </c>
      <c r="O220" s="5038" t="s">
        <v>5304</v>
      </c>
      <c r="P220" s="5151" t="s">
        <v>5305</v>
      </c>
      <c r="Q220" s="5038" t="s">
        <v>5306</v>
      </c>
      <c r="R220" s="5151" t="s">
        <v>5307</v>
      </c>
      <c r="S220" s="5038" t="s">
        <v>5308</v>
      </c>
      <c r="T220" s="5151" t="s">
        <v>5309</v>
      </c>
      <c r="U220" s="5038" t="s">
        <v>5310</v>
      </c>
      <c r="V220" s="5151" t="s">
        <v>5311</v>
      </c>
      <c r="W220" s="5038" t="s">
        <v>5312</v>
      </c>
      <c r="X220" s="5151" t="s">
        <v>5313</v>
      </c>
      <c r="Y220" s="5038" t="s">
        <v>5314</v>
      </c>
      <c r="Z220" s="5151" t="s">
        <v>5315</v>
      </c>
      <c r="AA220" s="5038" t="s">
        <v>5316</v>
      </c>
      <c r="AB220" s="5151" t="s">
        <v>5317</v>
      </c>
      <c r="AC220" s="5038" t="s">
        <v>5318</v>
      </c>
      <c r="AD220" s="5151" t="s">
        <v>5319</v>
      </c>
      <c r="AE220" s="5038" t="s">
        <v>5320</v>
      </c>
      <c r="AF220" s="5151" t="s">
        <v>5321</v>
      </c>
      <c r="AG220" s="5038" t="s">
        <v>5322</v>
      </c>
      <c r="AH220" s="5151" t="s">
        <v>5323</v>
      </c>
      <c r="AI220" s="5038" t="s">
        <v>5324</v>
      </c>
      <c r="AJ220" s="5151" t="s">
        <v>5325</v>
      </c>
      <c r="AK220" s="5038" t="s">
        <v>5326</v>
      </c>
      <c r="AL220" s="5145" t="s">
        <v>5327</v>
      </c>
      <c r="AM220" s="3479" t="s">
        <v>5328</v>
      </c>
      <c r="AN220" s="5145" t="s">
        <v>5329</v>
      </c>
      <c r="AO220" s="5146" t="s">
        <v>5330</v>
      </c>
      <c r="AP220" s="3512" t="s">
        <v>5331</v>
      </c>
      <c r="AQ220" s="3479" t="s">
        <v>5332</v>
      </c>
      <c r="AR220" s="3538" t="s">
        <v>5333</v>
      </c>
      <c r="AS220" s="1687" t="e">
        <f t="shared" si="600"/>
        <v>#VALUE!</v>
      </c>
      <c r="CB220" s="3146" t="str">
        <f t="shared" si="601"/>
        <v xml:space="preserve"> * El Total de Exámenes reactivos NO DEBE SUPERAR los  Exámenes Procesados. </v>
      </c>
      <c r="CC220" s="2784" t="e">
        <f t="shared" si="602"/>
        <v>#VALUE!</v>
      </c>
      <c r="CD220" s="2630"/>
      <c r="CE220" s="2630"/>
      <c r="CF220" s="2630"/>
      <c r="CG220" s="2784" t="str">
        <f t="shared" si="598"/>
        <v/>
      </c>
      <c r="CH220" s="3146" t="e">
        <f t="shared" si="603"/>
        <v>#VALUE!</v>
      </c>
      <c r="CI220" s="3146" t="str">
        <f t="shared" si="604"/>
        <v xml:space="preserve"> * La variable Pueblos originarios no puede ser mayor al Total de procesados.</v>
      </c>
      <c r="CJ220" s="3146" t="str">
        <f t="shared" si="605"/>
        <v xml:space="preserve"> * La variable Migrantes no puede ser mayor al Total de procesados.</v>
      </c>
      <c r="DF220" s="3146">
        <f t="shared" si="606"/>
        <v>1</v>
      </c>
      <c r="DG220" s="2920" t="e">
        <f t="shared" si="610"/>
        <v>#VALUE!</v>
      </c>
      <c r="DH220" s="2630"/>
      <c r="DI220" s="2630"/>
      <c r="DJ220" s="2630"/>
      <c r="DK220" s="2920">
        <f t="shared" si="599"/>
        <v>0</v>
      </c>
      <c r="DL220" s="2920"/>
      <c r="DM220" s="2920" t="e">
        <f t="shared" si="607"/>
        <v>#VALUE!</v>
      </c>
      <c r="DN220" s="2920">
        <f t="shared" si="608"/>
        <v>1</v>
      </c>
      <c r="DO220" s="2920">
        <f t="shared" si="609"/>
        <v>1</v>
      </c>
    </row>
    <row r="221" spans="1:130" x14ac:dyDescent="0.3">
      <c r="A221" s="6234">
        <v>11056478</v>
      </c>
      <c r="B221" s="2995" t="s">
        <v>28</v>
      </c>
      <c r="C221" s="5107" t="s">
        <v>5292</v>
      </c>
      <c r="D221" s="5108" t="s">
        <v>5293</v>
      </c>
      <c r="E221" s="288" t="s">
        <v>5294</v>
      </c>
      <c r="F221" s="3491" t="s">
        <v>5295</v>
      </c>
      <c r="G221" s="3492" t="s">
        <v>5296</v>
      </c>
      <c r="H221" s="3491" t="s">
        <v>5297</v>
      </c>
      <c r="I221" s="3492" t="s">
        <v>5298</v>
      </c>
      <c r="J221" s="3491" t="s">
        <v>5299</v>
      </c>
      <c r="K221" s="3492" t="s">
        <v>5300</v>
      </c>
      <c r="L221" s="3491" t="s">
        <v>5301</v>
      </c>
      <c r="M221" s="3492" t="s">
        <v>5302</v>
      </c>
      <c r="N221" s="3491" t="s">
        <v>5303</v>
      </c>
      <c r="O221" s="3492" t="s">
        <v>5304</v>
      </c>
      <c r="P221" s="3491" t="s">
        <v>5305</v>
      </c>
      <c r="Q221" s="3492" t="s">
        <v>5306</v>
      </c>
      <c r="R221" s="3491" t="s">
        <v>5307</v>
      </c>
      <c r="S221" s="3492" t="s">
        <v>5308</v>
      </c>
      <c r="T221" s="3491" t="s">
        <v>5309</v>
      </c>
      <c r="U221" s="3492" t="s">
        <v>5310</v>
      </c>
      <c r="V221" s="3491" t="s">
        <v>5311</v>
      </c>
      <c r="W221" s="3492" t="s">
        <v>5312</v>
      </c>
      <c r="X221" s="3491" t="s">
        <v>5313</v>
      </c>
      <c r="Y221" s="3492" t="s">
        <v>5314</v>
      </c>
      <c r="Z221" s="3491" t="s">
        <v>5315</v>
      </c>
      <c r="AA221" s="3492" t="s">
        <v>5316</v>
      </c>
      <c r="AB221" s="3491" t="s">
        <v>5317</v>
      </c>
      <c r="AC221" s="3492" t="s">
        <v>5318</v>
      </c>
      <c r="AD221" s="3491" t="s">
        <v>5319</v>
      </c>
      <c r="AE221" s="3492" t="s">
        <v>5320</v>
      </c>
      <c r="AF221" s="3491" t="s">
        <v>5321</v>
      </c>
      <c r="AG221" s="3492" t="s">
        <v>5322</v>
      </c>
      <c r="AH221" s="3491" t="s">
        <v>5323</v>
      </c>
      <c r="AI221" s="3492" t="s">
        <v>5324</v>
      </c>
      <c r="AJ221" s="3491" t="s">
        <v>5325</v>
      </c>
      <c r="AK221" s="3492" t="s">
        <v>5326</v>
      </c>
      <c r="AL221" s="3494" t="s">
        <v>5327</v>
      </c>
      <c r="AM221" s="288" t="s">
        <v>5328</v>
      </c>
      <c r="AN221" s="3494" t="s">
        <v>5329</v>
      </c>
      <c r="AO221" s="3495" t="s">
        <v>5330</v>
      </c>
      <c r="AP221" s="385" t="s">
        <v>5331</v>
      </c>
      <c r="AQ221" s="288" t="s">
        <v>5332</v>
      </c>
      <c r="AR221" s="384" t="s">
        <v>5333</v>
      </c>
      <c r="AS221" s="1687" t="e">
        <f t="shared" si="600"/>
        <v>#VALUE!</v>
      </c>
      <c r="CB221" s="3146" t="str">
        <f t="shared" si="601"/>
        <v xml:space="preserve"> * El Total de Exámenes reactivos NO DEBE SUPERAR los  Exámenes Procesados. </v>
      </c>
      <c r="CC221" s="2784" t="e">
        <f t="shared" si="602"/>
        <v>#VALUE!</v>
      </c>
      <c r="CD221" s="2630"/>
      <c r="CE221" s="2630"/>
      <c r="CF221" s="2630"/>
      <c r="CG221" s="2784" t="str">
        <f t="shared" si="598"/>
        <v/>
      </c>
      <c r="CH221" s="3146" t="e">
        <f t="shared" si="603"/>
        <v>#VALUE!</v>
      </c>
      <c r="CI221" s="3146" t="str">
        <f t="shared" si="604"/>
        <v xml:space="preserve"> * La variable Pueblos originarios no puede ser mayor al Total de procesados.</v>
      </c>
      <c r="CJ221" s="3146" t="str">
        <f t="shared" si="605"/>
        <v xml:space="preserve"> * La variable Migrantes no puede ser mayor al Total de procesados.</v>
      </c>
      <c r="DF221" s="3146">
        <f t="shared" si="606"/>
        <v>1</v>
      </c>
      <c r="DG221" s="2920" t="e">
        <f t="shared" si="610"/>
        <v>#VALUE!</v>
      </c>
      <c r="DH221" s="2630"/>
      <c r="DI221" s="2630"/>
      <c r="DJ221" s="2630"/>
      <c r="DK221" s="2920">
        <f t="shared" si="599"/>
        <v>0</v>
      </c>
      <c r="DL221" s="2920"/>
      <c r="DM221" s="2920" t="e">
        <f t="shared" si="607"/>
        <v>#VALUE!</v>
      </c>
      <c r="DN221" s="2920">
        <f t="shared" si="608"/>
        <v>1</v>
      </c>
      <c r="DO221" s="2920">
        <f t="shared" si="609"/>
        <v>1</v>
      </c>
    </row>
    <row r="222" spans="1:130" s="17" customFormat="1" ht="18" customHeight="1" x14ac:dyDescent="0.3">
      <c r="A222" s="599"/>
      <c r="B222" s="5214" t="s">
        <v>2720</v>
      </c>
      <c r="C222" s="5214"/>
      <c r="D222" s="5214"/>
      <c r="E222" s="5214"/>
      <c r="F222" s="5214"/>
      <c r="G222" s="5214"/>
      <c r="H222" s="5214"/>
      <c r="I222" s="5214"/>
      <c r="J222" s="5214"/>
      <c r="K222" s="5214"/>
      <c r="L222" s="5214"/>
      <c r="M222" s="5214"/>
      <c r="N222" s="5214"/>
      <c r="O222" s="5214"/>
      <c r="P222" s="5214"/>
      <c r="Q222" s="5214"/>
      <c r="R222" s="5214"/>
      <c r="S222" s="5214"/>
      <c r="T222" s="5214"/>
      <c r="U222" s="5214"/>
      <c r="V222" s="5214"/>
      <c r="W222" s="5214"/>
      <c r="X222" s="5214"/>
      <c r="Y222" s="5214"/>
      <c r="Z222" s="5214"/>
      <c r="AA222" s="5214"/>
      <c r="AB222" s="5214"/>
      <c r="AC222" s="5214"/>
      <c r="AD222" s="5214"/>
      <c r="AE222" s="5214"/>
      <c r="AF222" s="5214"/>
      <c r="AG222" s="5214"/>
      <c r="AH222" s="5214"/>
      <c r="AI222" s="5214"/>
      <c r="AJ222" s="5214"/>
      <c r="AK222" s="5214"/>
      <c r="AL222" s="5214"/>
      <c r="AM222" s="5214"/>
      <c r="AN222" s="5214"/>
      <c r="AO222" s="3238"/>
      <c r="AP222" s="3238"/>
      <c r="AQ222" s="3238"/>
      <c r="AR222" s="3238"/>
    </row>
    <row r="223" spans="1:130" x14ac:dyDescent="0.3">
      <c r="A223" s="599"/>
      <c r="B223" s="7584" t="s">
        <v>2683</v>
      </c>
      <c r="C223" s="7587" t="s">
        <v>24</v>
      </c>
      <c r="D223" s="7587"/>
      <c r="E223" s="7587" t="s">
        <v>12</v>
      </c>
      <c r="F223" s="7587"/>
      <c r="G223" s="7587"/>
      <c r="H223" s="7587"/>
      <c r="I223" s="7587"/>
      <c r="J223" s="7587"/>
      <c r="K223" s="7587"/>
      <c r="L223" s="7587"/>
      <c r="M223" s="7587"/>
      <c r="N223" s="7587"/>
      <c r="O223" s="7587"/>
      <c r="P223" s="7587"/>
      <c r="Q223" s="7587"/>
      <c r="R223" s="7587"/>
      <c r="S223" s="7587"/>
      <c r="T223" s="7587"/>
      <c r="U223" s="7587"/>
      <c r="V223" s="7587"/>
      <c r="W223" s="7587"/>
      <c r="X223" s="7587"/>
      <c r="Y223" s="7587"/>
      <c r="Z223" s="7587"/>
      <c r="AA223" s="7587"/>
      <c r="AB223" s="7587"/>
      <c r="AC223" s="7587"/>
      <c r="AD223" s="7587"/>
      <c r="AE223" s="7587"/>
      <c r="AF223" s="7587"/>
      <c r="AG223" s="7587"/>
      <c r="AH223" s="7587"/>
      <c r="AI223" s="7587"/>
      <c r="AJ223" s="7587"/>
      <c r="AK223" s="7587"/>
      <c r="AL223" s="7588"/>
      <c r="AM223" s="7572" t="s">
        <v>2656</v>
      </c>
      <c r="AN223" s="7589"/>
      <c r="AO223" s="7590" t="s">
        <v>48</v>
      </c>
      <c r="AP223" s="7591"/>
      <c r="AQ223" s="7572" t="s">
        <v>2</v>
      </c>
      <c r="AR223" s="7592" t="s">
        <v>3</v>
      </c>
    </row>
    <row r="224" spans="1:130" x14ac:dyDescent="0.3">
      <c r="A224" s="599"/>
      <c r="B224" s="7585"/>
      <c r="C224" s="7587"/>
      <c r="D224" s="7587"/>
      <c r="E224" s="7587" t="s">
        <v>36</v>
      </c>
      <c r="F224" s="7587"/>
      <c r="G224" s="7587" t="s">
        <v>37</v>
      </c>
      <c r="H224" s="7587"/>
      <c r="I224" s="7587" t="s">
        <v>38</v>
      </c>
      <c r="J224" s="7587"/>
      <c r="K224" s="7587" t="s">
        <v>4</v>
      </c>
      <c r="L224" s="7587"/>
      <c r="M224" s="7587" t="s">
        <v>5</v>
      </c>
      <c r="N224" s="7587"/>
      <c r="O224" s="7587" t="s">
        <v>6</v>
      </c>
      <c r="P224" s="7587"/>
      <c r="Q224" s="7587" t="s">
        <v>7</v>
      </c>
      <c r="R224" s="7587"/>
      <c r="S224" s="7587" t="s">
        <v>8</v>
      </c>
      <c r="T224" s="7587"/>
      <c r="U224" s="7587" t="s">
        <v>9</v>
      </c>
      <c r="V224" s="7587"/>
      <c r="W224" s="7587" t="s">
        <v>10</v>
      </c>
      <c r="X224" s="7587"/>
      <c r="Y224" s="7587" t="s">
        <v>11</v>
      </c>
      <c r="Z224" s="7587"/>
      <c r="AA224" s="7587" t="s">
        <v>18</v>
      </c>
      <c r="AB224" s="7587"/>
      <c r="AC224" s="7587" t="s">
        <v>19</v>
      </c>
      <c r="AD224" s="7587"/>
      <c r="AE224" s="7587" t="s">
        <v>20</v>
      </c>
      <c r="AF224" s="7587"/>
      <c r="AG224" s="7587" t="s">
        <v>70</v>
      </c>
      <c r="AH224" s="7587"/>
      <c r="AI224" s="7587" t="s">
        <v>71</v>
      </c>
      <c r="AJ224" s="7587"/>
      <c r="AK224" s="7587" t="s">
        <v>32</v>
      </c>
      <c r="AL224" s="7588"/>
      <c r="AM224" s="7593" t="s">
        <v>22</v>
      </c>
      <c r="AN224" s="7570" t="s">
        <v>27</v>
      </c>
      <c r="AO224" s="6669" t="s">
        <v>41</v>
      </c>
      <c r="AP224" s="7594" t="s">
        <v>42</v>
      </c>
      <c r="AQ224" s="7572"/>
      <c r="AR224" s="7592"/>
    </row>
    <row r="225" spans="1:132" x14ac:dyDescent="0.3">
      <c r="A225" s="599"/>
      <c r="B225" s="7586"/>
      <c r="C225" s="5210" t="s">
        <v>2657</v>
      </c>
      <c r="D225" s="5211" t="s">
        <v>2658</v>
      </c>
      <c r="E225" s="5212" t="s">
        <v>2657</v>
      </c>
      <c r="F225" s="5185" t="s">
        <v>2658</v>
      </c>
      <c r="G225" s="5212" t="s">
        <v>2657</v>
      </c>
      <c r="H225" s="5185" t="s">
        <v>2658</v>
      </c>
      <c r="I225" s="5212" t="s">
        <v>2657</v>
      </c>
      <c r="J225" s="5185" t="s">
        <v>2658</v>
      </c>
      <c r="K225" s="5212" t="s">
        <v>2657</v>
      </c>
      <c r="L225" s="5185" t="s">
        <v>2658</v>
      </c>
      <c r="M225" s="5212" t="s">
        <v>2657</v>
      </c>
      <c r="N225" s="5185" t="s">
        <v>2658</v>
      </c>
      <c r="O225" s="5212" t="s">
        <v>2657</v>
      </c>
      <c r="P225" s="5185" t="s">
        <v>2658</v>
      </c>
      <c r="Q225" s="5212" t="s">
        <v>2657</v>
      </c>
      <c r="R225" s="5185" t="s">
        <v>2658</v>
      </c>
      <c r="S225" s="5212" t="s">
        <v>2657</v>
      </c>
      <c r="T225" s="5185" t="s">
        <v>2658</v>
      </c>
      <c r="U225" s="5212" t="s">
        <v>2657</v>
      </c>
      <c r="V225" s="5185" t="s">
        <v>2658</v>
      </c>
      <c r="W225" s="5212" t="s">
        <v>2657</v>
      </c>
      <c r="X225" s="5185" t="s">
        <v>2658</v>
      </c>
      <c r="Y225" s="5212" t="s">
        <v>2657</v>
      </c>
      <c r="Z225" s="5185" t="s">
        <v>2658</v>
      </c>
      <c r="AA225" s="5212" t="s">
        <v>2657</v>
      </c>
      <c r="AB225" s="5185" t="s">
        <v>2658</v>
      </c>
      <c r="AC225" s="5212" t="s">
        <v>2657</v>
      </c>
      <c r="AD225" s="5185" t="s">
        <v>2658</v>
      </c>
      <c r="AE225" s="5212" t="s">
        <v>2657</v>
      </c>
      <c r="AF225" s="5185" t="s">
        <v>2658</v>
      </c>
      <c r="AG225" s="5212" t="s">
        <v>2657</v>
      </c>
      <c r="AH225" s="5185" t="s">
        <v>2658</v>
      </c>
      <c r="AI225" s="5212" t="s">
        <v>2657</v>
      </c>
      <c r="AJ225" s="5185" t="s">
        <v>2658</v>
      </c>
      <c r="AK225" s="5212" t="s">
        <v>2657</v>
      </c>
      <c r="AL225" s="5186" t="s">
        <v>2658</v>
      </c>
      <c r="AM225" s="7593"/>
      <c r="AN225" s="7570"/>
      <c r="AO225" s="6650"/>
      <c r="AP225" s="7595"/>
      <c r="AQ225" s="7572"/>
      <c r="AR225" s="7592"/>
    </row>
    <row r="226" spans="1:132" x14ac:dyDescent="0.3">
      <c r="A226" s="6234">
        <v>11056479</v>
      </c>
      <c r="B226" s="3536" t="s">
        <v>39</v>
      </c>
      <c r="C226" s="5140" t="s">
        <v>5292</v>
      </c>
      <c r="D226" s="5141" t="s">
        <v>5293</v>
      </c>
      <c r="E226" s="3483" t="s">
        <v>5294</v>
      </c>
      <c r="F226" s="5153" t="s">
        <v>5295</v>
      </c>
      <c r="G226" s="5152" t="s">
        <v>5296</v>
      </c>
      <c r="H226" s="5153" t="s">
        <v>5297</v>
      </c>
      <c r="I226" s="5038" t="s">
        <v>5298</v>
      </c>
      <c r="J226" s="5151" t="s">
        <v>5299</v>
      </c>
      <c r="K226" s="5038" t="s">
        <v>5300</v>
      </c>
      <c r="L226" s="5151" t="s">
        <v>5301</v>
      </c>
      <c r="M226" s="5038" t="s">
        <v>5302</v>
      </c>
      <c r="N226" s="5151" t="s">
        <v>5303</v>
      </c>
      <c r="O226" s="5038" t="s">
        <v>5304</v>
      </c>
      <c r="P226" s="5151" t="s">
        <v>5305</v>
      </c>
      <c r="Q226" s="5038" t="s">
        <v>5306</v>
      </c>
      <c r="R226" s="5151" t="s">
        <v>5307</v>
      </c>
      <c r="S226" s="5038" t="s">
        <v>5308</v>
      </c>
      <c r="T226" s="5151" t="s">
        <v>5309</v>
      </c>
      <c r="U226" s="5038" t="s">
        <v>5310</v>
      </c>
      <c r="V226" s="5151" t="s">
        <v>5311</v>
      </c>
      <c r="W226" s="5038" t="s">
        <v>5312</v>
      </c>
      <c r="X226" s="5151" t="s">
        <v>5313</v>
      </c>
      <c r="Y226" s="5038" t="s">
        <v>5314</v>
      </c>
      <c r="Z226" s="5151" t="s">
        <v>5315</v>
      </c>
      <c r="AA226" s="5152" t="s">
        <v>5316</v>
      </c>
      <c r="AB226" s="5153" t="s">
        <v>5317</v>
      </c>
      <c r="AC226" s="5152" t="s">
        <v>5318</v>
      </c>
      <c r="AD226" s="5153" t="s">
        <v>5319</v>
      </c>
      <c r="AE226" s="5152" t="s">
        <v>5320</v>
      </c>
      <c r="AF226" s="5153" t="s">
        <v>5321</v>
      </c>
      <c r="AG226" s="5152" t="s">
        <v>5322</v>
      </c>
      <c r="AH226" s="5153" t="s">
        <v>5323</v>
      </c>
      <c r="AI226" s="5152" t="s">
        <v>5324</v>
      </c>
      <c r="AJ226" s="5153" t="s">
        <v>5325</v>
      </c>
      <c r="AK226" s="5152" t="s">
        <v>5326</v>
      </c>
      <c r="AL226" s="5154" t="s">
        <v>5327</v>
      </c>
      <c r="AM226" s="3483" t="s">
        <v>5328</v>
      </c>
      <c r="AN226" s="5213" t="s">
        <v>5329</v>
      </c>
      <c r="AO226" s="5199" t="s">
        <v>5330</v>
      </c>
      <c r="AP226" s="3512" t="s">
        <v>5331</v>
      </c>
      <c r="AQ226" s="3479" t="s">
        <v>5332</v>
      </c>
      <c r="AR226" s="3538" t="s">
        <v>5333</v>
      </c>
      <c r="AS226" s="1687" t="e">
        <f>$CB226&amp;CC226&amp;CD226&amp;CE226&amp;CF226&amp;CH226&amp;CG226</f>
        <v>#VALUE!</v>
      </c>
      <c r="CB226" s="3146" t="str">
        <f>IF(D226&gt;C226," * El Total de Exámenes reactivos NO DEBE SUPERAR los  Exámenes Procesados. ","")</f>
        <v xml:space="preserve"> * El Total de Exámenes reactivos NO DEBE SUPERAR los  Exámenes Procesados. </v>
      </c>
      <c r="CC226" s="2784" t="e">
        <f t="shared" ref="CC226:CC232" si="611">IF(C226&lt;&gt;(AM226+AN226)," * La suma de las columnas POR SEXO (Procesados) debe ser igual al N° de exámenes procesados de CHLAMYIDIA TRACHOMATIS.","")</f>
        <v>#VALUE!</v>
      </c>
      <c r="CD226" s="2784" t="e">
        <f>IF(AND(C226&gt;0,AND(AO226="",AP226=""))," * No olvide digitar la variable Trans (femenino o masculino). Digite cero si no tiene.",IF((AO226+AP226)&gt;C226," *  La suma de exámenes a Trans no puede ser mayor que el Total de exámenes procesados de CHLAMYIDIA TRACHOMATIS.",""))</f>
        <v>#VALUE!</v>
      </c>
      <c r="CE226" s="2784" t="str">
        <f>IF(AND(C226&gt;0,AQ226="")," * No olvide digitar la variable Pueblos originarios. Digite cero si no tiene.",IF(AQ226&gt;C226," * La variable Pueblos originarios no puede ser mayor que el total de procesados.",""))</f>
        <v xml:space="preserve"> * La variable Pueblos originarios no puede ser mayor que el total de procesados.</v>
      </c>
      <c r="CF226" s="2784" t="str">
        <f>IF(AND(C226&gt;0,AR226="")," * No olvide digitar la variable Migrantes. Digite cero si no tiene.",IF(AR226&gt;C226," * La variable migrantes no puede ser mayor que el total de procesados.",""))</f>
        <v xml:space="preserve"> * La variable migrantes no puede ser mayor que el total de procesados.</v>
      </c>
      <c r="CG226" s="2784"/>
      <c r="CH226" s="3146"/>
      <c r="CI226" s="600"/>
      <c r="CJ226" s="600"/>
      <c r="CK226" s="600"/>
      <c r="DF226" s="2920">
        <f>IF(D226&gt;C226,1,0)</f>
        <v>1</v>
      </c>
      <c r="DG226" s="2920" t="e">
        <f>IF(C226&lt;&gt;(AM226+AN226),1,0)</f>
        <v>#VALUE!</v>
      </c>
      <c r="DH226" s="2920" t="e">
        <f>IF(AND(C226&gt;0,AND(AO226="",AP226="")),1,IF((AO226+AP226)&gt;C226,1,0))</f>
        <v>#VALUE!</v>
      </c>
      <c r="DI226" s="2920">
        <f>IF(AND(C226&gt;0,AQ226=""),1,IF(AQ226&gt;C226,1,0))</f>
        <v>1</v>
      </c>
      <c r="DJ226" s="2920">
        <f>IF(AND(C226&gt;0,AR226=""),1,IF(AR226&gt;C226,1,0))</f>
        <v>1</v>
      </c>
      <c r="DK226" s="2630"/>
    </row>
    <row r="227" spans="1:132" x14ac:dyDescent="0.3">
      <c r="A227" s="6234">
        <v>11056480</v>
      </c>
      <c r="B227" s="3536" t="s">
        <v>2718</v>
      </c>
      <c r="C227" s="1928" t="s">
        <v>5292</v>
      </c>
      <c r="D227" s="3242" t="s">
        <v>5293</v>
      </c>
      <c r="E227" s="3483" t="s">
        <v>5294</v>
      </c>
      <c r="F227" s="5153" t="s">
        <v>5295</v>
      </c>
      <c r="G227" s="5152" t="s">
        <v>5296</v>
      </c>
      <c r="H227" s="5153" t="s">
        <v>5297</v>
      </c>
      <c r="I227" s="5152" t="s">
        <v>5298</v>
      </c>
      <c r="J227" s="5153" t="s">
        <v>5299</v>
      </c>
      <c r="K227" s="5038" t="s">
        <v>5300</v>
      </c>
      <c r="L227" s="5151" t="s">
        <v>5301</v>
      </c>
      <c r="M227" s="5038" t="s">
        <v>5302</v>
      </c>
      <c r="N227" s="5151" t="s">
        <v>5303</v>
      </c>
      <c r="O227" s="5038" t="s">
        <v>5304</v>
      </c>
      <c r="P227" s="5151" t="s">
        <v>5305</v>
      </c>
      <c r="Q227" s="5038" t="s">
        <v>5306</v>
      </c>
      <c r="R227" s="5151" t="s">
        <v>5307</v>
      </c>
      <c r="S227" s="5038" t="s">
        <v>5308</v>
      </c>
      <c r="T227" s="5151" t="s">
        <v>5309</v>
      </c>
      <c r="U227" s="5038" t="s">
        <v>5310</v>
      </c>
      <c r="V227" s="5151" t="s">
        <v>5311</v>
      </c>
      <c r="W227" s="5038" t="s">
        <v>5312</v>
      </c>
      <c r="X227" s="5151" t="s">
        <v>5313</v>
      </c>
      <c r="Y227" s="5038" t="s">
        <v>5314</v>
      </c>
      <c r="Z227" s="5151" t="s">
        <v>5315</v>
      </c>
      <c r="AA227" s="5038" t="s">
        <v>5316</v>
      </c>
      <c r="AB227" s="5151" t="s">
        <v>5317</v>
      </c>
      <c r="AC227" s="5038" t="s">
        <v>5318</v>
      </c>
      <c r="AD227" s="5151" t="s">
        <v>5319</v>
      </c>
      <c r="AE227" s="5038" t="s">
        <v>5320</v>
      </c>
      <c r="AF227" s="5151" t="s">
        <v>5321</v>
      </c>
      <c r="AG227" s="5038" t="s">
        <v>5322</v>
      </c>
      <c r="AH227" s="5151" t="s">
        <v>5323</v>
      </c>
      <c r="AI227" s="5038" t="s">
        <v>5324</v>
      </c>
      <c r="AJ227" s="5151" t="s">
        <v>5325</v>
      </c>
      <c r="AK227" s="5038" t="s">
        <v>5326</v>
      </c>
      <c r="AL227" s="5145" t="s">
        <v>5327</v>
      </c>
      <c r="AM227" s="3479" t="s">
        <v>5328</v>
      </c>
      <c r="AN227" s="5145" t="s">
        <v>5329</v>
      </c>
      <c r="AO227" s="5146" t="s">
        <v>5330</v>
      </c>
      <c r="AP227" s="3512" t="s">
        <v>5331</v>
      </c>
      <c r="AQ227" s="3479" t="s">
        <v>5332</v>
      </c>
      <c r="AR227" s="3538" t="s">
        <v>5333</v>
      </c>
      <c r="AS227" s="1687" t="e">
        <f t="shared" ref="AS227:AS232" si="612">$CB227&amp;CC227&amp;CD227&amp;CE227&amp;CF227&amp;CH227&amp;CG227</f>
        <v>#VALUE!</v>
      </c>
      <c r="CB227" s="3146" t="str">
        <f t="shared" ref="CB227:CB232" si="613">IF(D227&gt;C227," * El Total de Exámenes reactivos NO DEBE SUPERAR los  Exámenes Procesados. ","")</f>
        <v xml:space="preserve"> * El Total de Exámenes reactivos NO DEBE SUPERAR los  Exámenes Procesados. </v>
      </c>
      <c r="CC227" s="2784" t="e">
        <f t="shared" si="611"/>
        <v>#VALUE!</v>
      </c>
      <c r="CD227" s="2784" t="e">
        <f t="shared" ref="CD227:CD232" si="614">IF(AND(C227&gt;0,AND(AO227="",AP227=""))," * No olvide digitar la variable Trans (femenino o masculino). Digite cero si no tiene.",IF((AO227+AP227)&gt;C227," *  La suma de exámenes a Trans no puede ser mayor que el Total de exámenes procesados de CHLAMYIDIA TRACHOMATIS.",""))</f>
        <v>#VALUE!</v>
      </c>
      <c r="CE227" s="2784" t="str">
        <f t="shared" ref="CE227:CE232" si="615">IF(AND(C227&gt;0,AQ227="")," * No olvide digitar la variable Pueblos originarios. Digite cero si no tiene.",IF(AQ227&gt;C227," * La variable Pueblos originarios no puede ser mayor que el total de procesados.",""))</f>
        <v xml:space="preserve"> * La variable Pueblos originarios no puede ser mayor que el total de procesados.</v>
      </c>
      <c r="CF227" s="2784" t="str">
        <f t="shared" ref="CF227:CF232" si="616">IF(AND(C227&gt;0,AR227="")," * No olvide digitar la variable Migrantes. Digite cero si no tiene.",IF(AR227&gt;C227," * La variable migrantes no puede ser mayor que el total de procesados.",""))</f>
        <v xml:space="preserve"> * La variable migrantes no puede ser mayor que el total de procesados.</v>
      </c>
      <c r="CG227" s="2784"/>
      <c r="CH227" s="3146"/>
      <c r="DF227" s="2920">
        <f t="shared" ref="DF227:DF232" si="617">IF(D227&gt;C227,1,0)</f>
        <v>1</v>
      </c>
      <c r="DG227" s="2920" t="e">
        <f t="shared" ref="DG227:DG232" si="618">IF(C227&lt;&gt;(AM227+AN227),1,0)</f>
        <v>#VALUE!</v>
      </c>
      <c r="DH227" s="2920" t="e">
        <f t="shared" ref="DH227:DH232" si="619">IF(AND(C227&gt;0,AND(AO227="",AP227="")),1,IF((AO227+AP227)&gt;C227,1,0))</f>
        <v>#VALUE!</v>
      </c>
      <c r="DI227" s="2920">
        <f t="shared" ref="DI227:DI232" si="620">IF(AND(C227&gt;0,AQ227=""),1,IF(AQ227&gt;C227,1,0))</f>
        <v>1</v>
      </c>
      <c r="DJ227" s="2920">
        <f t="shared" ref="DJ227:DJ232" si="621">IF(AND(C227&gt;0,AR227=""),1,IF(AR227&gt;C227,1,0))</f>
        <v>1</v>
      </c>
      <c r="DK227" s="2630"/>
    </row>
    <row r="228" spans="1:132" x14ac:dyDescent="0.3">
      <c r="A228" s="6234">
        <v>11056481</v>
      </c>
      <c r="B228" s="3536" t="s">
        <v>2719</v>
      </c>
      <c r="C228" s="1928" t="s">
        <v>5292</v>
      </c>
      <c r="D228" s="3242" t="s">
        <v>5293</v>
      </c>
      <c r="E228" s="3479" t="s">
        <v>5294</v>
      </c>
      <c r="F228" s="5151" t="s">
        <v>5295</v>
      </c>
      <c r="G228" s="5038" t="s">
        <v>5296</v>
      </c>
      <c r="H228" s="5151" t="s">
        <v>5297</v>
      </c>
      <c r="I228" s="5038" t="s">
        <v>5298</v>
      </c>
      <c r="J228" s="5151" t="s">
        <v>5299</v>
      </c>
      <c r="K228" s="5038" t="s">
        <v>5300</v>
      </c>
      <c r="L228" s="5151" t="s">
        <v>5301</v>
      </c>
      <c r="M228" s="5038" t="s">
        <v>5302</v>
      </c>
      <c r="N228" s="5151" t="s">
        <v>5303</v>
      </c>
      <c r="O228" s="5038" t="s">
        <v>5304</v>
      </c>
      <c r="P228" s="5151" t="s">
        <v>5305</v>
      </c>
      <c r="Q228" s="5038" t="s">
        <v>5306</v>
      </c>
      <c r="R228" s="5151" t="s">
        <v>5307</v>
      </c>
      <c r="S228" s="5038" t="s">
        <v>5308</v>
      </c>
      <c r="T228" s="5151" t="s">
        <v>5309</v>
      </c>
      <c r="U228" s="5038" t="s">
        <v>5310</v>
      </c>
      <c r="V228" s="5151" t="s">
        <v>5311</v>
      </c>
      <c r="W228" s="5038" t="s">
        <v>5312</v>
      </c>
      <c r="X228" s="5151" t="s">
        <v>5313</v>
      </c>
      <c r="Y228" s="5038" t="s">
        <v>5314</v>
      </c>
      <c r="Z228" s="5151" t="s">
        <v>5315</v>
      </c>
      <c r="AA228" s="5038" t="s">
        <v>5316</v>
      </c>
      <c r="AB228" s="5151" t="s">
        <v>5317</v>
      </c>
      <c r="AC228" s="5038" t="s">
        <v>5318</v>
      </c>
      <c r="AD228" s="5151" t="s">
        <v>5319</v>
      </c>
      <c r="AE228" s="5038" t="s">
        <v>5320</v>
      </c>
      <c r="AF228" s="5151" t="s">
        <v>5321</v>
      </c>
      <c r="AG228" s="5038" t="s">
        <v>5322</v>
      </c>
      <c r="AH228" s="5151" t="s">
        <v>5323</v>
      </c>
      <c r="AI228" s="5038" t="s">
        <v>5324</v>
      </c>
      <c r="AJ228" s="5151" t="s">
        <v>5325</v>
      </c>
      <c r="AK228" s="5038" t="s">
        <v>5326</v>
      </c>
      <c r="AL228" s="5145" t="s">
        <v>5327</v>
      </c>
      <c r="AM228" s="3479" t="s">
        <v>5328</v>
      </c>
      <c r="AN228" s="5145" t="s">
        <v>5329</v>
      </c>
      <c r="AO228" s="5146" t="s">
        <v>5330</v>
      </c>
      <c r="AP228" s="3512" t="s">
        <v>5331</v>
      </c>
      <c r="AQ228" s="3479" t="s">
        <v>5332</v>
      </c>
      <c r="AR228" s="3538" t="s">
        <v>5333</v>
      </c>
      <c r="AS228" s="1687" t="e">
        <f t="shared" si="612"/>
        <v>#VALUE!</v>
      </c>
      <c r="CB228" s="3146" t="str">
        <f t="shared" si="613"/>
        <v xml:space="preserve"> * El Total de Exámenes reactivos NO DEBE SUPERAR los  Exámenes Procesados. </v>
      </c>
      <c r="CC228" s="2784" t="e">
        <f t="shared" si="611"/>
        <v>#VALUE!</v>
      </c>
      <c r="CD228" s="2784" t="e">
        <f t="shared" si="614"/>
        <v>#VALUE!</v>
      </c>
      <c r="CE228" s="2784" t="str">
        <f t="shared" si="615"/>
        <v xml:space="preserve"> * La variable Pueblos originarios no puede ser mayor que el total de procesados.</v>
      </c>
      <c r="CF228" s="2784" t="str">
        <f t="shared" si="616"/>
        <v xml:space="preserve"> * La variable migrantes no puede ser mayor que el total de procesados.</v>
      </c>
      <c r="CG228" s="2784"/>
      <c r="CH228" s="3146"/>
      <c r="DF228" s="2920">
        <f t="shared" si="617"/>
        <v>1</v>
      </c>
      <c r="DG228" s="2920" t="e">
        <f t="shared" si="618"/>
        <v>#VALUE!</v>
      </c>
      <c r="DH228" s="2920" t="e">
        <f t="shared" si="619"/>
        <v>#VALUE!</v>
      </c>
      <c r="DI228" s="2920">
        <f t="shared" si="620"/>
        <v>1</v>
      </c>
      <c r="DJ228" s="2920">
        <f t="shared" si="621"/>
        <v>1</v>
      </c>
      <c r="DK228" s="2630"/>
    </row>
    <row r="229" spans="1:132" x14ac:dyDescent="0.3">
      <c r="A229" s="6234">
        <v>11056482</v>
      </c>
      <c r="B229" s="3536" t="s">
        <v>3775</v>
      </c>
      <c r="C229" s="1928" t="s">
        <v>5292</v>
      </c>
      <c r="D229" s="3242" t="s">
        <v>5293</v>
      </c>
      <c r="E229" s="3479" t="s">
        <v>5294</v>
      </c>
      <c r="F229" s="5151" t="s">
        <v>5295</v>
      </c>
      <c r="G229" s="5038" t="s">
        <v>5296</v>
      </c>
      <c r="H229" s="5151" t="s">
        <v>5297</v>
      </c>
      <c r="I229" s="5038" t="s">
        <v>5298</v>
      </c>
      <c r="J229" s="5151" t="s">
        <v>5299</v>
      </c>
      <c r="K229" s="5038" t="s">
        <v>5300</v>
      </c>
      <c r="L229" s="5151" t="s">
        <v>5301</v>
      </c>
      <c r="M229" s="5038" t="s">
        <v>5302</v>
      </c>
      <c r="N229" s="5151" t="s">
        <v>5303</v>
      </c>
      <c r="O229" s="5038" t="s">
        <v>5304</v>
      </c>
      <c r="P229" s="5151" t="s">
        <v>5305</v>
      </c>
      <c r="Q229" s="5038" t="s">
        <v>5306</v>
      </c>
      <c r="R229" s="5151" t="s">
        <v>5307</v>
      </c>
      <c r="S229" s="5038" t="s">
        <v>5308</v>
      </c>
      <c r="T229" s="5151" t="s">
        <v>5309</v>
      </c>
      <c r="U229" s="5038" t="s">
        <v>5310</v>
      </c>
      <c r="V229" s="5151" t="s">
        <v>5311</v>
      </c>
      <c r="W229" s="5038" t="s">
        <v>5312</v>
      </c>
      <c r="X229" s="5151" t="s">
        <v>5313</v>
      </c>
      <c r="Y229" s="5038" t="s">
        <v>5314</v>
      </c>
      <c r="Z229" s="5151" t="s">
        <v>5315</v>
      </c>
      <c r="AA229" s="5038" t="s">
        <v>5316</v>
      </c>
      <c r="AB229" s="5151" t="s">
        <v>5317</v>
      </c>
      <c r="AC229" s="5038" t="s">
        <v>5318</v>
      </c>
      <c r="AD229" s="5151" t="s">
        <v>5319</v>
      </c>
      <c r="AE229" s="5038" t="s">
        <v>5320</v>
      </c>
      <c r="AF229" s="5151" t="s">
        <v>5321</v>
      </c>
      <c r="AG229" s="5038" t="s">
        <v>5322</v>
      </c>
      <c r="AH229" s="5151" t="s">
        <v>5323</v>
      </c>
      <c r="AI229" s="5038" t="s">
        <v>5324</v>
      </c>
      <c r="AJ229" s="5151" t="s">
        <v>5325</v>
      </c>
      <c r="AK229" s="5038" t="s">
        <v>5326</v>
      </c>
      <c r="AL229" s="5145" t="s">
        <v>5327</v>
      </c>
      <c r="AM229" s="3479" t="s">
        <v>5328</v>
      </c>
      <c r="AN229" s="5145" t="s">
        <v>5329</v>
      </c>
      <c r="AO229" s="5146" t="s">
        <v>5330</v>
      </c>
      <c r="AP229" s="3512" t="s">
        <v>5331</v>
      </c>
      <c r="AQ229" s="3479" t="s">
        <v>5332</v>
      </c>
      <c r="AR229" s="3538" t="s">
        <v>5333</v>
      </c>
      <c r="AS229" s="1687" t="e">
        <f t="shared" si="612"/>
        <v>#VALUE!</v>
      </c>
      <c r="CB229" s="3146" t="str">
        <f t="shared" si="613"/>
        <v xml:space="preserve"> * El Total de Exámenes reactivos NO DEBE SUPERAR los  Exámenes Procesados. </v>
      </c>
      <c r="CC229" s="2784" t="e">
        <f t="shared" si="611"/>
        <v>#VALUE!</v>
      </c>
      <c r="CD229" s="2784" t="e">
        <f t="shared" si="614"/>
        <v>#VALUE!</v>
      </c>
      <c r="CE229" s="2784" t="str">
        <f t="shared" si="615"/>
        <v xml:space="preserve"> * La variable Pueblos originarios no puede ser mayor que el total de procesados.</v>
      </c>
      <c r="CF229" s="2784" t="str">
        <f t="shared" si="616"/>
        <v xml:space="preserve"> * La variable migrantes no puede ser mayor que el total de procesados.</v>
      </c>
      <c r="CG229" s="2784"/>
      <c r="CH229" s="3146"/>
      <c r="DF229" s="2920">
        <f t="shared" si="617"/>
        <v>1</v>
      </c>
      <c r="DG229" s="2920" t="e">
        <f t="shared" si="618"/>
        <v>#VALUE!</v>
      </c>
      <c r="DH229" s="2920" t="e">
        <f t="shared" si="619"/>
        <v>#VALUE!</v>
      </c>
      <c r="DI229" s="2920">
        <f t="shared" si="620"/>
        <v>1</v>
      </c>
      <c r="DJ229" s="2920">
        <f t="shared" si="621"/>
        <v>1</v>
      </c>
      <c r="DK229" s="2630"/>
    </row>
    <row r="230" spans="1:132" x14ac:dyDescent="0.3">
      <c r="A230" s="6234">
        <v>11056483</v>
      </c>
      <c r="B230" s="3539" t="s">
        <v>3776</v>
      </c>
      <c r="C230" s="1928" t="s">
        <v>5292</v>
      </c>
      <c r="D230" s="3242" t="s">
        <v>5293</v>
      </c>
      <c r="E230" s="3479" t="s">
        <v>5294</v>
      </c>
      <c r="F230" s="5151" t="s">
        <v>5295</v>
      </c>
      <c r="G230" s="5038" t="s">
        <v>5296</v>
      </c>
      <c r="H230" s="5151" t="s">
        <v>5297</v>
      </c>
      <c r="I230" s="5038" t="s">
        <v>5298</v>
      </c>
      <c r="J230" s="5151" t="s">
        <v>5299</v>
      </c>
      <c r="K230" s="5038" t="s">
        <v>5300</v>
      </c>
      <c r="L230" s="5151" t="s">
        <v>5301</v>
      </c>
      <c r="M230" s="5038" t="s">
        <v>5302</v>
      </c>
      <c r="N230" s="5151" t="s">
        <v>5303</v>
      </c>
      <c r="O230" s="5038" t="s">
        <v>5304</v>
      </c>
      <c r="P230" s="5151" t="s">
        <v>5305</v>
      </c>
      <c r="Q230" s="5038" t="s">
        <v>5306</v>
      </c>
      <c r="R230" s="5151" t="s">
        <v>5307</v>
      </c>
      <c r="S230" s="5038" t="s">
        <v>5308</v>
      </c>
      <c r="T230" s="5151" t="s">
        <v>5309</v>
      </c>
      <c r="U230" s="5038" t="s">
        <v>5310</v>
      </c>
      <c r="V230" s="5151" t="s">
        <v>5311</v>
      </c>
      <c r="W230" s="5038" t="s">
        <v>5312</v>
      </c>
      <c r="X230" s="5151" t="s">
        <v>5313</v>
      </c>
      <c r="Y230" s="5038" t="s">
        <v>5314</v>
      </c>
      <c r="Z230" s="5151" t="s">
        <v>5315</v>
      </c>
      <c r="AA230" s="5038" t="s">
        <v>5316</v>
      </c>
      <c r="AB230" s="5151" t="s">
        <v>5317</v>
      </c>
      <c r="AC230" s="5038" t="s">
        <v>5318</v>
      </c>
      <c r="AD230" s="5151" t="s">
        <v>5319</v>
      </c>
      <c r="AE230" s="5038" t="s">
        <v>5320</v>
      </c>
      <c r="AF230" s="5151" t="s">
        <v>5321</v>
      </c>
      <c r="AG230" s="5038" t="s">
        <v>5322</v>
      </c>
      <c r="AH230" s="5151" t="s">
        <v>5323</v>
      </c>
      <c r="AI230" s="5038" t="s">
        <v>5324</v>
      </c>
      <c r="AJ230" s="5151" t="s">
        <v>5325</v>
      </c>
      <c r="AK230" s="5038" t="s">
        <v>5326</v>
      </c>
      <c r="AL230" s="5145" t="s">
        <v>5327</v>
      </c>
      <c r="AM230" s="3479" t="s">
        <v>5328</v>
      </c>
      <c r="AN230" s="5145" t="s">
        <v>5329</v>
      </c>
      <c r="AO230" s="5146" t="s">
        <v>5330</v>
      </c>
      <c r="AP230" s="3512" t="s">
        <v>5331</v>
      </c>
      <c r="AQ230" s="3479" t="s">
        <v>5332</v>
      </c>
      <c r="AR230" s="3538" t="s">
        <v>5333</v>
      </c>
      <c r="AS230" s="1687" t="e">
        <f t="shared" si="612"/>
        <v>#VALUE!</v>
      </c>
      <c r="CB230" s="3146" t="str">
        <f t="shared" si="613"/>
        <v xml:space="preserve"> * El Total de Exámenes reactivos NO DEBE SUPERAR los  Exámenes Procesados. </v>
      </c>
      <c r="CC230" s="2784" t="e">
        <f t="shared" si="611"/>
        <v>#VALUE!</v>
      </c>
      <c r="CD230" s="2784" t="e">
        <f t="shared" si="614"/>
        <v>#VALUE!</v>
      </c>
      <c r="CE230" s="2784" t="str">
        <f t="shared" si="615"/>
        <v xml:space="preserve"> * La variable Pueblos originarios no puede ser mayor que el total de procesados.</v>
      </c>
      <c r="CF230" s="2784" t="str">
        <f t="shared" si="616"/>
        <v xml:space="preserve"> * La variable migrantes no puede ser mayor que el total de procesados.</v>
      </c>
      <c r="CG230" s="2784"/>
      <c r="CH230" s="3146"/>
      <c r="DF230" s="2920">
        <f t="shared" si="617"/>
        <v>1</v>
      </c>
      <c r="DG230" s="2920" t="e">
        <f t="shared" si="618"/>
        <v>#VALUE!</v>
      </c>
      <c r="DH230" s="2920" t="e">
        <f t="shared" si="619"/>
        <v>#VALUE!</v>
      </c>
      <c r="DI230" s="2920">
        <f t="shared" si="620"/>
        <v>1</v>
      </c>
      <c r="DJ230" s="2920">
        <f t="shared" si="621"/>
        <v>1</v>
      </c>
      <c r="DK230" s="2630"/>
    </row>
    <row r="231" spans="1:132" x14ac:dyDescent="0.3">
      <c r="A231" s="6234">
        <v>11056484</v>
      </c>
      <c r="B231" s="3536" t="s">
        <v>2676</v>
      </c>
      <c r="C231" s="1928" t="s">
        <v>5292</v>
      </c>
      <c r="D231" s="3242" t="s">
        <v>5293</v>
      </c>
      <c r="E231" s="3479" t="s">
        <v>5294</v>
      </c>
      <c r="F231" s="5151" t="s">
        <v>5295</v>
      </c>
      <c r="G231" s="5038" t="s">
        <v>5296</v>
      </c>
      <c r="H231" s="5151" t="s">
        <v>5297</v>
      </c>
      <c r="I231" s="5038" t="s">
        <v>5298</v>
      </c>
      <c r="J231" s="5151" t="s">
        <v>5299</v>
      </c>
      <c r="K231" s="5038" t="s">
        <v>5300</v>
      </c>
      <c r="L231" s="5151" t="s">
        <v>5301</v>
      </c>
      <c r="M231" s="5038" t="s">
        <v>5302</v>
      </c>
      <c r="N231" s="5151" t="s">
        <v>5303</v>
      </c>
      <c r="O231" s="5038" t="s">
        <v>5304</v>
      </c>
      <c r="P231" s="5151" t="s">
        <v>5305</v>
      </c>
      <c r="Q231" s="5038" t="s">
        <v>5306</v>
      </c>
      <c r="R231" s="5151" t="s">
        <v>5307</v>
      </c>
      <c r="S231" s="5038" t="s">
        <v>5308</v>
      </c>
      <c r="T231" s="5151" t="s">
        <v>5309</v>
      </c>
      <c r="U231" s="5038" t="s">
        <v>5310</v>
      </c>
      <c r="V231" s="5151" t="s">
        <v>5311</v>
      </c>
      <c r="W231" s="5038" t="s">
        <v>5312</v>
      </c>
      <c r="X231" s="5151" t="s">
        <v>5313</v>
      </c>
      <c r="Y231" s="5038" t="s">
        <v>5314</v>
      </c>
      <c r="Z231" s="5151" t="s">
        <v>5315</v>
      </c>
      <c r="AA231" s="5038" t="s">
        <v>5316</v>
      </c>
      <c r="AB231" s="5151" t="s">
        <v>5317</v>
      </c>
      <c r="AC231" s="5038" t="s">
        <v>5318</v>
      </c>
      <c r="AD231" s="5151" t="s">
        <v>5319</v>
      </c>
      <c r="AE231" s="5038" t="s">
        <v>5320</v>
      </c>
      <c r="AF231" s="5151" t="s">
        <v>5321</v>
      </c>
      <c r="AG231" s="5038" t="s">
        <v>5322</v>
      </c>
      <c r="AH231" s="5151" t="s">
        <v>5323</v>
      </c>
      <c r="AI231" s="5038" t="s">
        <v>5324</v>
      </c>
      <c r="AJ231" s="5151" t="s">
        <v>5325</v>
      </c>
      <c r="AK231" s="5038" t="s">
        <v>5326</v>
      </c>
      <c r="AL231" s="5145" t="s">
        <v>5327</v>
      </c>
      <c r="AM231" s="3479" t="s">
        <v>5328</v>
      </c>
      <c r="AN231" s="5145" t="s">
        <v>5329</v>
      </c>
      <c r="AO231" s="5146" t="s">
        <v>5330</v>
      </c>
      <c r="AP231" s="3512" t="s">
        <v>5331</v>
      </c>
      <c r="AQ231" s="3479" t="s">
        <v>5332</v>
      </c>
      <c r="AR231" s="3538" t="s">
        <v>5333</v>
      </c>
      <c r="AS231" s="1687" t="e">
        <f t="shared" si="612"/>
        <v>#VALUE!</v>
      </c>
      <c r="CB231" s="3146" t="str">
        <f t="shared" si="613"/>
        <v xml:space="preserve"> * El Total de Exámenes reactivos NO DEBE SUPERAR los  Exámenes Procesados. </v>
      </c>
      <c r="CC231" s="2784" t="e">
        <f t="shared" si="611"/>
        <v>#VALUE!</v>
      </c>
      <c r="CD231" s="2784" t="e">
        <f t="shared" si="614"/>
        <v>#VALUE!</v>
      </c>
      <c r="CE231" s="2784" t="str">
        <f t="shared" si="615"/>
        <v xml:space="preserve"> * La variable Pueblos originarios no puede ser mayor que el total de procesados.</v>
      </c>
      <c r="CF231" s="2784" t="str">
        <f t="shared" si="616"/>
        <v xml:space="preserve"> * La variable migrantes no puede ser mayor que el total de procesados.</v>
      </c>
      <c r="CG231" s="2784"/>
      <c r="CH231" s="3146"/>
      <c r="DF231" s="2920">
        <f t="shared" si="617"/>
        <v>1</v>
      </c>
      <c r="DG231" s="2920" t="e">
        <f t="shared" si="618"/>
        <v>#VALUE!</v>
      </c>
      <c r="DH231" s="2920" t="e">
        <f t="shared" si="619"/>
        <v>#VALUE!</v>
      </c>
      <c r="DI231" s="2920">
        <f t="shared" si="620"/>
        <v>1</v>
      </c>
      <c r="DJ231" s="2920">
        <f t="shared" si="621"/>
        <v>1</v>
      </c>
      <c r="DK231" s="2630"/>
    </row>
    <row r="232" spans="1:132" x14ac:dyDescent="0.3">
      <c r="A232" s="6234">
        <v>11056485</v>
      </c>
      <c r="B232" s="2995" t="s">
        <v>28</v>
      </c>
      <c r="C232" s="5107" t="s">
        <v>5292</v>
      </c>
      <c r="D232" s="5108" t="s">
        <v>5293</v>
      </c>
      <c r="E232" s="288" t="s">
        <v>5294</v>
      </c>
      <c r="F232" s="3491" t="s">
        <v>5295</v>
      </c>
      <c r="G232" s="3492" t="s">
        <v>5296</v>
      </c>
      <c r="H232" s="3491" t="s">
        <v>5297</v>
      </c>
      <c r="I232" s="3492" t="s">
        <v>5298</v>
      </c>
      <c r="J232" s="3491" t="s">
        <v>5299</v>
      </c>
      <c r="K232" s="3492" t="s">
        <v>5300</v>
      </c>
      <c r="L232" s="3491" t="s">
        <v>5301</v>
      </c>
      <c r="M232" s="3492" t="s">
        <v>5302</v>
      </c>
      <c r="N232" s="3491" t="s">
        <v>5303</v>
      </c>
      <c r="O232" s="3492" t="s">
        <v>5304</v>
      </c>
      <c r="P232" s="3491" t="s">
        <v>5305</v>
      </c>
      <c r="Q232" s="3492" t="s">
        <v>5306</v>
      </c>
      <c r="R232" s="3491" t="s">
        <v>5307</v>
      </c>
      <c r="S232" s="3492" t="s">
        <v>5308</v>
      </c>
      <c r="T232" s="3491" t="s">
        <v>5309</v>
      </c>
      <c r="U232" s="3492" t="s">
        <v>5310</v>
      </c>
      <c r="V232" s="3491" t="s">
        <v>5311</v>
      </c>
      <c r="W232" s="3492" t="s">
        <v>5312</v>
      </c>
      <c r="X232" s="3491" t="s">
        <v>5313</v>
      </c>
      <c r="Y232" s="3492" t="s">
        <v>5314</v>
      </c>
      <c r="Z232" s="3491" t="s">
        <v>5315</v>
      </c>
      <c r="AA232" s="3492" t="s">
        <v>5316</v>
      </c>
      <c r="AB232" s="3491" t="s">
        <v>5317</v>
      </c>
      <c r="AC232" s="3492" t="s">
        <v>5318</v>
      </c>
      <c r="AD232" s="3491" t="s">
        <v>5319</v>
      </c>
      <c r="AE232" s="3492" t="s">
        <v>5320</v>
      </c>
      <c r="AF232" s="3491" t="s">
        <v>5321</v>
      </c>
      <c r="AG232" s="3492" t="s">
        <v>5322</v>
      </c>
      <c r="AH232" s="3491" t="s">
        <v>5323</v>
      </c>
      <c r="AI232" s="3492" t="s">
        <v>5324</v>
      </c>
      <c r="AJ232" s="3491" t="s">
        <v>5325</v>
      </c>
      <c r="AK232" s="3492" t="s">
        <v>5326</v>
      </c>
      <c r="AL232" s="3494" t="s">
        <v>5327</v>
      </c>
      <c r="AM232" s="288" t="s">
        <v>5328</v>
      </c>
      <c r="AN232" s="3494" t="s">
        <v>5329</v>
      </c>
      <c r="AO232" s="3495" t="s">
        <v>5330</v>
      </c>
      <c r="AP232" s="385" t="s">
        <v>5331</v>
      </c>
      <c r="AQ232" s="288" t="s">
        <v>5332</v>
      </c>
      <c r="AR232" s="384" t="s">
        <v>5333</v>
      </c>
      <c r="AS232" s="1687" t="e">
        <f t="shared" si="612"/>
        <v>#VALUE!</v>
      </c>
      <c r="CB232" s="3146" t="str">
        <f t="shared" si="613"/>
        <v xml:space="preserve"> * El Total de Exámenes reactivos NO DEBE SUPERAR los  Exámenes Procesados. </v>
      </c>
      <c r="CC232" s="2784" t="e">
        <f t="shared" si="611"/>
        <v>#VALUE!</v>
      </c>
      <c r="CD232" s="2784" t="e">
        <f t="shared" si="614"/>
        <v>#VALUE!</v>
      </c>
      <c r="CE232" s="2784" t="str">
        <f t="shared" si="615"/>
        <v xml:space="preserve"> * La variable Pueblos originarios no puede ser mayor que el total de procesados.</v>
      </c>
      <c r="CF232" s="2784" t="str">
        <f t="shared" si="616"/>
        <v xml:space="preserve"> * La variable migrantes no puede ser mayor que el total de procesados.</v>
      </c>
      <c r="CG232" s="2784"/>
      <c r="CH232" s="3146"/>
      <c r="DF232" s="2920">
        <f t="shared" si="617"/>
        <v>1</v>
      </c>
      <c r="DG232" s="2920" t="e">
        <f t="shared" si="618"/>
        <v>#VALUE!</v>
      </c>
      <c r="DH232" s="2920" t="e">
        <f t="shared" si="619"/>
        <v>#VALUE!</v>
      </c>
      <c r="DI232" s="2920">
        <f t="shared" si="620"/>
        <v>1</v>
      </c>
      <c r="DJ232" s="2920">
        <f t="shared" si="621"/>
        <v>1</v>
      </c>
      <c r="DK232" s="2630"/>
    </row>
    <row r="233" spans="1:132" ht="18" customHeight="1" x14ac:dyDescent="0.3">
      <c r="A233" s="599"/>
      <c r="B233" s="5214" t="s">
        <v>2721</v>
      </c>
      <c r="C233" s="5214"/>
      <c r="D233" s="5214"/>
      <c r="E233" s="5214"/>
      <c r="F233" s="5214"/>
      <c r="G233" s="5214"/>
      <c r="H233" s="5214"/>
      <c r="I233" s="5214"/>
      <c r="J233" s="5214"/>
      <c r="K233" s="5214"/>
      <c r="L233" s="5214"/>
      <c r="M233" s="5214"/>
      <c r="N233" s="5214"/>
      <c r="O233" s="5214"/>
      <c r="P233" s="5214"/>
      <c r="Q233" s="5214"/>
      <c r="R233" s="5214"/>
      <c r="S233" s="5214"/>
      <c r="T233" s="5214"/>
      <c r="U233" s="5214"/>
      <c r="V233" s="5214"/>
      <c r="W233" s="5214"/>
      <c r="X233" s="5214"/>
      <c r="Y233" s="5214"/>
      <c r="Z233" s="5214"/>
      <c r="AA233" s="5214"/>
      <c r="AB233" s="5214"/>
      <c r="AC233" s="5214"/>
      <c r="AD233" s="5214"/>
      <c r="AE233" s="5214"/>
      <c r="AF233" s="5214"/>
      <c r="AG233" s="5214"/>
      <c r="AH233" s="5214"/>
      <c r="AI233" s="5214"/>
      <c r="AJ233" s="5214"/>
      <c r="AK233" s="5214"/>
      <c r="AL233" s="600"/>
      <c r="AM233" s="600"/>
      <c r="AN233" s="600"/>
      <c r="AO233" s="600"/>
      <c r="AP233" s="600"/>
      <c r="AQ233" s="600"/>
      <c r="AR233" s="600"/>
      <c r="AS233" s="600"/>
      <c r="AT233" s="600"/>
      <c r="AU233" s="600"/>
      <c r="AV233" s="600"/>
      <c r="AW233" s="600"/>
      <c r="AX233" s="600"/>
      <c r="AY233" s="600"/>
    </row>
    <row r="234" spans="1:132" x14ac:dyDescent="0.3">
      <c r="A234" s="599"/>
      <c r="B234" s="7602" t="s">
        <v>2722</v>
      </c>
      <c r="C234" s="7603"/>
      <c r="D234" s="7607" t="s">
        <v>24</v>
      </c>
      <c r="E234" s="7603"/>
      <c r="F234" s="7609" t="s">
        <v>12</v>
      </c>
      <c r="G234" s="7610"/>
      <c r="H234" s="7610"/>
      <c r="I234" s="7610"/>
      <c r="J234" s="7610"/>
      <c r="K234" s="7610"/>
      <c r="L234" s="7610"/>
      <c r="M234" s="7610"/>
      <c r="N234" s="7610"/>
      <c r="O234" s="7610"/>
      <c r="P234" s="7610"/>
      <c r="Q234" s="7610"/>
      <c r="R234" s="7610"/>
      <c r="S234" s="7610"/>
      <c r="T234" s="7610"/>
      <c r="U234" s="7610"/>
      <c r="V234" s="7610"/>
      <c r="W234" s="7610"/>
      <c r="X234" s="7610"/>
      <c r="Y234" s="7610"/>
      <c r="Z234" s="7610"/>
      <c r="AA234" s="7610"/>
      <c r="AB234" s="7610"/>
      <c r="AC234" s="7610"/>
      <c r="AD234" s="7610"/>
      <c r="AE234" s="7610"/>
      <c r="AF234" s="7610"/>
      <c r="AG234" s="7610"/>
      <c r="AH234" s="7610"/>
      <c r="AI234" s="7610"/>
      <c r="AJ234" s="7610"/>
      <c r="AK234" s="7611"/>
      <c r="AL234" s="7564" t="s">
        <v>2696</v>
      </c>
      <c r="AM234" s="7562"/>
      <c r="AN234" s="7562"/>
      <c r="AO234" s="7563"/>
      <c r="AP234" s="7564" t="s">
        <v>48</v>
      </c>
      <c r="AQ234" s="7562"/>
      <c r="AR234" s="7562"/>
      <c r="AS234" s="7563"/>
      <c r="AT234" s="7596" t="s">
        <v>546</v>
      </c>
      <c r="AU234" s="7597"/>
      <c r="AV234" s="7596" t="s">
        <v>3</v>
      </c>
      <c r="AW234" s="7597"/>
      <c r="AX234" s="6527" t="s">
        <v>2697</v>
      </c>
      <c r="AY234" s="7538"/>
    </row>
    <row r="235" spans="1:132" x14ac:dyDescent="0.3">
      <c r="A235" s="599"/>
      <c r="B235" s="6416"/>
      <c r="C235" s="7604"/>
      <c r="D235" s="7608"/>
      <c r="E235" s="7606"/>
      <c r="F235" s="7567" t="s">
        <v>3779</v>
      </c>
      <c r="G235" s="7568"/>
      <c r="H235" s="7567" t="s">
        <v>54</v>
      </c>
      <c r="I235" s="7568"/>
      <c r="J235" s="7567" t="s">
        <v>3705</v>
      </c>
      <c r="K235" s="7568"/>
      <c r="L235" s="7548" t="s">
        <v>37</v>
      </c>
      <c r="M235" s="7549"/>
      <c r="N235" s="7548" t="s">
        <v>38</v>
      </c>
      <c r="O235" s="7549"/>
      <c r="P235" s="7548" t="s">
        <v>4</v>
      </c>
      <c r="Q235" s="7549"/>
      <c r="R235" s="7548" t="s">
        <v>5</v>
      </c>
      <c r="S235" s="7549"/>
      <c r="T235" s="7548" t="s">
        <v>6</v>
      </c>
      <c r="U235" s="7549"/>
      <c r="V235" s="7548" t="s">
        <v>7</v>
      </c>
      <c r="W235" s="7549"/>
      <c r="X235" s="7556" t="s">
        <v>8</v>
      </c>
      <c r="Y235" s="7549"/>
      <c r="Z235" s="7556" t="s">
        <v>9</v>
      </c>
      <c r="AA235" s="7549"/>
      <c r="AB235" s="7556" t="s">
        <v>10</v>
      </c>
      <c r="AC235" s="7549"/>
      <c r="AD235" s="7548" t="s">
        <v>11</v>
      </c>
      <c r="AE235" s="7549"/>
      <c r="AF235" s="7556" t="s">
        <v>18</v>
      </c>
      <c r="AG235" s="7549"/>
      <c r="AH235" s="7556" t="s">
        <v>19</v>
      </c>
      <c r="AI235" s="7549"/>
      <c r="AJ235" s="7556" t="s">
        <v>2723</v>
      </c>
      <c r="AK235" s="7561"/>
      <c r="AL235" s="7571" t="s">
        <v>22</v>
      </c>
      <c r="AM235" s="7572"/>
      <c r="AN235" s="7573" t="s">
        <v>27</v>
      </c>
      <c r="AO235" s="7570"/>
      <c r="AP235" s="7571" t="s">
        <v>41</v>
      </c>
      <c r="AQ235" s="7572"/>
      <c r="AR235" s="7573" t="s">
        <v>42</v>
      </c>
      <c r="AS235" s="7570"/>
      <c r="AT235" s="7598"/>
      <c r="AU235" s="7599"/>
      <c r="AV235" s="7598"/>
      <c r="AW235" s="7599"/>
      <c r="AX235" s="7566"/>
      <c r="AY235" s="7146"/>
    </row>
    <row r="236" spans="1:132" ht="30.6" x14ac:dyDescent="0.3">
      <c r="A236" s="599"/>
      <c r="B236" s="7605"/>
      <c r="C236" s="7606"/>
      <c r="D236" s="5187" t="s">
        <v>2657</v>
      </c>
      <c r="E236" s="5135" t="s">
        <v>2699</v>
      </c>
      <c r="F236" s="5133" t="s">
        <v>2657</v>
      </c>
      <c r="G236" s="5135" t="s">
        <v>2699</v>
      </c>
      <c r="H236" s="5133" t="s">
        <v>2657</v>
      </c>
      <c r="I236" s="5135" t="s">
        <v>2699</v>
      </c>
      <c r="J236" s="5187" t="s">
        <v>2657</v>
      </c>
      <c r="K236" s="5135" t="s">
        <v>2699</v>
      </c>
      <c r="L236" s="5187" t="s">
        <v>2657</v>
      </c>
      <c r="M236" s="5135" t="s">
        <v>2699</v>
      </c>
      <c r="N236" s="5133" t="s">
        <v>2657</v>
      </c>
      <c r="O236" s="5135" t="s">
        <v>2699</v>
      </c>
      <c r="P236" s="5133" t="s">
        <v>2657</v>
      </c>
      <c r="Q236" s="5135" t="s">
        <v>2699</v>
      </c>
      <c r="R236" s="5133" t="s">
        <v>2657</v>
      </c>
      <c r="S236" s="5135" t="s">
        <v>2699</v>
      </c>
      <c r="T236" s="5133" t="s">
        <v>2657</v>
      </c>
      <c r="U236" s="5135" t="s">
        <v>2699</v>
      </c>
      <c r="V236" s="5133" t="s">
        <v>2657</v>
      </c>
      <c r="W236" s="5135" t="s">
        <v>2699</v>
      </c>
      <c r="X236" s="5187" t="s">
        <v>2657</v>
      </c>
      <c r="Y236" s="5135" t="s">
        <v>2699</v>
      </c>
      <c r="Z236" s="5187" t="s">
        <v>2657</v>
      </c>
      <c r="AA236" s="5135" t="s">
        <v>2699</v>
      </c>
      <c r="AB236" s="5187" t="s">
        <v>2657</v>
      </c>
      <c r="AC236" s="5135" t="s">
        <v>2699</v>
      </c>
      <c r="AD236" s="5133" t="s">
        <v>2657</v>
      </c>
      <c r="AE236" s="5135" t="s">
        <v>2699</v>
      </c>
      <c r="AF236" s="5187" t="s">
        <v>2657</v>
      </c>
      <c r="AG236" s="5135" t="s">
        <v>2699</v>
      </c>
      <c r="AH236" s="5187" t="s">
        <v>2657</v>
      </c>
      <c r="AI236" s="5135" t="s">
        <v>2699</v>
      </c>
      <c r="AJ236" s="5187" t="s">
        <v>2657</v>
      </c>
      <c r="AK236" s="5135" t="s">
        <v>2699</v>
      </c>
      <c r="AL236" s="5188" t="s">
        <v>2657</v>
      </c>
      <c r="AM236" s="5135" t="s">
        <v>2699</v>
      </c>
      <c r="AN236" s="5187" t="s">
        <v>2657</v>
      </c>
      <c r="AO236" s="5137" t="s">
        <v>2699</v>
      </c>
      <c r="AP236" s="5188" t="s">
        <v>2657</v>
      </c>
      <c r="AQ236" s="5135" t="s">
        <v>2699</v>
      </c>
      <c r="AR236" s="5187" t="s">
        <v>2657</v>
      </c>
      <c r="AS236" s="5137" t="s">
        <v>2699</v>
      </c>
      <c r="AT236" s="5188" t="s">
        <v>2657</v>
      </c>
      <c r="AU236" s="5209" t="s">
        <v>2699</v>
      </c>
      <c r="AV236" s="5188" t="s">
        <v>2657</v>
      </c>
      <c r="AW236" s="5209" t="s">
        <v>2699</v>
      </c>
      <c r="AX236" s="5187" t="s">
        <v>2657</v>
      </c>
      <c r="AY236" s="5135" t="s">
        <v>2699</v>
      </c>
    </row>
    <row r="237" spans="1:132" ht="15" customHeight="1" x14ac:dyDescent="0.3">
      <c r="A237" s="6234">
        <v>11057100</v>
      </c>
      <c r="B237" s="7600" t="s">
        <v>2724</v>
      </c>
      <c r="C237" s="5215" t="s">
        <v>2700</v>
      </c>
      <c r="D237" s="5216" t="s">
        <v>5292</v>
      </c>
      <c r="E237" s="5141" t="s">
        <v>5293</v>
      </c>
      <c r="F237" s="3541" t="s">
        <v>5294</v>
      </c>
      <c r="G237" s="3542" t="s">
        <v>5295</v>
      </c>
      <c r="H237" s="3543" t="s">
        <v>5296</v>
      </c>
      <c r="I237" s="3542" t="s">
        <v>5297</v>
      </c>
      <c r="J237" s="3543" t="s">
        <v>5298</v>
      </c>
      <c r="K237" s="3542" t="s">
        <v>5299</v>
      </c>
      <c r="L237" s="3543" t="s">
        <v>5300</v>
      </c>
      <c r="M237" s="3542" t="s">
        <v>5301</v>
      </c>
      <c r="N237" s="3479" t="s">
        <v>5302</v>
      </c>
      <c r="O237" s="3511" t="s">
        <v>5303</v>
      </c>
      <c r="P237" s="5151" t="s">
        <v>5304</v>
      </c>
      <c r="Q237" s="3511" t="s">
        <v>5305</v>
      </c>
      <c r="R237" s="5038" t="s">
        <v>5306</v>
      </c>
      <c r="S237" s="3511" t="s">
        <v>5307</v>
      </c>
      <c r="T237" s="5038" t="s">
        <v>5308</v>
      </c>
      <c r="U237" s="3511" t="s">
        <v>5309</v>
      </c>
      <c r="V237" s="5038" t="s">
        <v>5310</v>
      </c>
      <c r="W237" s="3511" t="s">
        <v>5311</v>
      </c>
      <c r="X237" s="3479" t="s">
        <v>5312</v>
      </c>
      <c r="Y237" s="3511" t="s">
        <v>5313</v>
      </c>
      <c r="Z237" s="3479" t="s">
        <v>5314</v>
      </c>
      <c r="AA237" s="3511" t="s">
        <v>5315</v>
      </c>
      <c r="AB237" s="3479" t="s">
        <v>5316</v>
      </c>
      <c r="AC237" s="3511" t="s">
        <v>5317</v>
      </c>
      <c r="AD237" s="5038" t="s">
        <v>5318</v>
      </c>
      <c r="AE237" s="3511" t="s">
        <v>5319</v>
      </c>
      <c r="AF237" s="3483" t="s">
        <v>5320</v>
      </c>
      <c r="AG237" s="3514" t="s">
        <v>5321</v>
      </c>
      <c r="AH237" s="3483" t="s">
        <v>5322</v>
      </c>
      <c r="AI237" s="3514" t="s">
        <v>5323</v>
      </c>
      <c r="AJ237" s="3483" t="s">
        <v>5324</v>
      </c>
      <c r="AK237" s="3544" t="s">
        <v>5325</v>
      </c>
      <c r="AL237" s="5205" t="s">
        <v>5326</v>
      </c>
      <c r="AM237" s="3514" t="s">
        <v>5327</v>
      </c>
      <c r="AN237" s="3479" t="s">
        <v>5328</v>
      </c>
      <c r="AO237" s="3512" t="s">
        <v>5329</v>
      </c>
      <c r="AP237" s="5146" t="s">
        <v>5330</v>
      </c>
      <c r="AQ237" s="3511" t="s">
        <v>5331</v>
      </c>
      <c r="AR237" s="3479" t="s">
        <v>5332</v>
      </c>
      <c r="AS237" s="3512" t="s">
        <v>5333</v>
      </c>
      <c r="AT237" s="5146" t="s">
        <v>5334</v>
      </c>
      <c r="AU237" s="3512" t="s">
        <v>5335</v>
      </c>
      <c r="AV237" s="5146" t="s">
        <v>5336</v>
      </c>
      <c r="AW237" s="3512" t="s">
        <v>5337</v>
      </c>
      <c r="AX237" s="3479" t="s">
        <v>5338</v>
      </c>
      <c r="AY237" s="3511" t="s">
        <v>5339</v>
      </c>
      <c r="AZ237" s="1687" t="e">
        <f>$CB237&amp;$CD237&amp;CE237&amp;CF237&amp;CG237&amp;CH237&amp;CI237&amp;CJ237&amp;CK237&amp;CL237&amp;CM237&amp;CN237&amp;CO237&amp;CP237&amp;CQ237&amp;CR237&amp;CS237&amp;CT237&amp;CU237&amp;CV237&amp;CW237&amp;CX237</f>
        <v>#VALUE!</v>
      </c>
      <c r="CB237" s="3146" t="str">
        <f>IF(E237&gt;D237," * El Total de Exámenes Confirmados Positivos por ISP NO DEBE SUPERAR los  Exámene Procesados. ","")</f>
        <v xml:space="preserve"> * El Total de Exámenes Confirmados Positivos por ISP NO DEBE SUPERAR los  Exámene Procesados. </v>
      </c>
      <c r="CC237" s="3513"/>
      <c r="CD237" s="2784" t="str">
        <f>IF(AO237&gt;AN237,"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7" s="2630"/>
      <c r="CF237" s="2630"/>
      <c r="CG237" s="2630"/>
      <c r="CH237" s="2630"/>
      <c r="CI237" s="2630"/>
      <c r="CJ237" s="2784" t="e">
        <f>IF(AND(D237&gt;0,AND(AP237="",AR237=""))," * No olvide digitar los exámenes procesados Trans (Masculino y femenino) Digite Cero si no tiene.",IF((AP237+AR237)&gt;D237," * Los exámenes procesados en Trans (Masculino y femenino) no pueden ser mayor que el total de exámenes procesados.",""))</f>
        <v>#VALUE!</v>
      </c>
      <c r="CK237" s="600"/>
      <c r="CL237" s="2784" t="e">
        <f>IF((AN237+AL237)&lt;&gt;D237," * El N° de exámenes Procesados por SEXO (Hombres + Mujeres) no puede ser distinto al Total de exámenes procesados","")</f>
        <v>#VALUE!</v>
      </c>
      <c r="CM237" s="2784" t="e">
        <f>IF((AO237+AM237)&lt;&gt;E237," * El N° de exámenes Confirmados positivos por ISP por Sexo (Hombres+Mujeres) no puede ser distinto al N° Total de exámenes Confirmados positivos por ISP ","")</f>
        <v>#VALUE!</v>
      </c>
      <c r="CN237" s="2784" t="str">
        <f>IF(AND(D237&gt;0,AT237="")," * No olvide digitar los exámenes Procesados de Pueblos Originarios. Digite Cero si no tiene.",IF(AT237&gt;D237,"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237" s="2784" t="str">
        <f>IF(AND(D237&gt;0,AV237="")," * No olvide digitar los examenes Procesados de Migrantes. Digite Cero si no tiene.",IF(AV237&gt;D237," * Los exámenes procesados de Migrantes no pueden ser mayor que el total de exámenes procesados.",""))</f>
        <v xml:space="preserve"> * Los exámenes procesados de Migrantes no pueden ser mayor que el total de exámenes procesados.</v>
      </c>
      <c r="CP237" s="2784" t="e">
        <f>IF(AND(E237&gt;0,OR(AQ237="",AS237=""))," * No olvide digitar los exámenes Confirmados positivos por ISP de Trans (Masculino y femenino) Digite Cero si no tiene.",IF((AQ237+AS237)&gt;E237," * Los exámenes confirmados positivos por ISP de Trans (Masculino y femenino) no pueden ser mayor que el total de exámenes Confirmados positivos por ISP.",""))</f>
        <v>#VALUE!</v>
      </c>
      <c r="CQ237" s="2784" t="str">
        <f>IF(AND(E237&gt;0,AU237="")," * No olvide digitar los exámenes Confirmados positivos por ISP de Pueblos Originarios. Digite Cero si no tiene.",IF(AU237&gt;E237,"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237" s="2784" t="str">
        <f>IF(AND(E237&gt;0,AW237="")," * No olvide digitar los exámenes Confirmados positivos por ISP de Migrantes. Digite Cero si no tiene.",IF(AW237&gt;E237,"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237" s="2784"/>
      <c r="CT237" s="2630"/>
      <c r="CU237" s="6114" t="e">
        <f>IF(AX237&gt;(N237+P237),"* El Total de Procesados de 14-18 años NO DEBE ser mayor al Total de Procesados registrados en los grupos de edad 10 a 14 y 15 a 19 años. ","")</f>
        <v>#VALUE!</v>
      </c>
      <c r="CV237" s="6114" t="e">
        <f>IF(AY237&gt;(O237+Q237),"* El Total de Confirmados de 14-18 años NO DEBE ser mayor al Total de Confirmados registrados en los grupos de edad 10 a 14 y 15 a 19 años. ","")</f>
        <v>#VALUE!</v>
      </c>
      <c r="CW237" s="6114" t="e">
        <f>IF(AND((N237+P237)&gt;0,AX237=""),"*No olvide digitar los Exámenes Procesados de 14-18 años. Digite cero si no tiene.","")</f>
        <v>#VALUE!</v>
      </c>
      <c r="CX237" s="6114" t="e">
        <f>IF(AND((O237+Q237)&gt;0,AY237=""),"*No olvide digitar los Exámenes Confirmados Positivos por ISP de 14-18 años. Digite cero si no tiene.","")</f>
        <v>#VALUE!</v>
      </c>
      <c r="DF237" s="3146">
        <f>IF(E237&gt;D237,1,0)</f>
        <v>1</v>
      </c>
      <c r="DG237" s="3513"/>
      <c r="DH237" s="2784">
        <f>IF(AO237&gt;AN237,1,0)</f>
        <v>1</v>
      </c>
      <c r="DI237" s="2630"/>
      <c r="DJ237" s="2630"/>
      <c r="DK237" s="2630"/>
      <c r="DL237" s="2630"/>
      <c r="DM237" s="2630"/>
      <c r="DN237" s="2784" t="e">
        <f>IF(AND(D237&gt;0,AND(AP237="",AR237="")),1,IF((AP237+AR237)&gt;D237,1,0))</f>
        <v>#VALUE!</v>
      </c>
      <c r="DO237" s="600"/>
      <c r="DP237" s="2784" t="e">
        <f>IF((AN237+AL237)&lt;&gt;D237,1,0)</f>
        <v>#VALUE!</v>
      </c>
      <c r="DQ237" s="2784" t="e">
        <f>IF((AO237+AM237)&lt;&gt;E237,1,0)</f>
        <v>#VALUE!</v>
      </c>
      <c r="DR237" s="2784">
        <f>IF(AND(D237&gt;0,AT237=""),1,IF(AT237&gt;D237,1,0))</f>
        <v>1</v>
      </c>
      <c r="DS237" s="2784">
        <f>IF(AND(D237&gt;0,AV237=""),1,IF(AV237&gt;D237,1,0))</f>
        <v>1</v>
      </c>
      <c r="DT237" s="2784" t="e">
        <f>IF(AND(E237&gt;0,OR(AQ237="",AS237="")),1,IF((AQ237+AS237)&gt;E237,1,0))</f>
        <v>#VALUE!</v>
      </c>
      <c r="DU237" s="2784">
        <f>IF(AND(E237&gt;0,AU237=""),1,IF(AU237&gt;E237,1,0))</f>
        <v>1</v>
      </c>
      <c r="DV237" s="2784">
        <f>IF(AND(E237&gt;0,AW237=""),1,IF(AW237&gt;E237,1,0))</f>
        <v>1</v>
      </c>
      <c r="DW237" s="2784"/>
      <c r="DX237" s="2630"/>
      <c r="DY237" s="6114" t="e">
        <f>IF(AX237&gt;(N237+P237),1,0)</f>
        <v>#VALUE!</v>
      </c>
      <c r="DZ237" s="6114" t="e">
        <f>IF(AY237&gt;(O237+Q237),1,0)</f>
        <v>#VALUE!</v>
      </c>
      <c r="EA237" s="6114" t="e">
        <f>IF(AND((N237+P237)&gt;0,AX237=""),1,0)</f>
        <v>#VALUE!</v>
      </c>
      <c r="EB237" s="6114" t="e">
        <f>IF(AND((O237+Q237)&gt;0,AY237=""),1,0)</f>
        <v>#VALUE!</v>
      </c>
    </row>
    <row r="238" spans="1:132" ht="15" customHeight="1" x14ac:dyDescent="0.3">
      <c r="A238" s="6234">
        <v>11057101</v>
      </c>
      <c r="B238" s="6634"/>
      <c r="C238" s="3046" t="s">
        <v>2701</v>
      </c>
      <c r="D238" s="3545" t="s">
        <v>5292</v>
      </c>
      <c r="E238" s="3242" t="s">
        <v>5293</v>
      </c>
      <c r="F238" s="3546" t="s">
        <v>5294</v>
      </c>
      <c r="G238" s="3547" t="s">
        <v>5295</v>
      </c>
      <c r="H238" s="3548" t="s">
        <v>5296</v>
      </c>
      <c r="I238" s="3547" t="s">
        <v>5297</v>
      </c>
      <c r="J238" s="3548" t="s">
        <v>5298</v>
      </c>
      <c r="K238" s="3547" t="s">
        <v>5299</v>
      </c>
      <c r="L238" s="3548" t="s">
        <v>5300</v>
      </c>
      <c r="M238" s="3547" t="s">
        <v>5301</v>
      </c>
      <c r="N238" s="3479" t="s">
        <v>5302</v>
      </c>
      <c r="O238" s="3511" t="s">
        <v>5303</v>
      </c>
      <c r="P238" s="5151" t="s">
        <v>5304</v>
      </c>
      <c r="Q238" s="3511" t="s">
        <v>5305</v>
      </c>
      <c r="R238" s="5038" t="s">
        <v>5306</v>
      </c>
      <c r="S238" s="3511" t="s">
        <v>5307</v>
      </c>
      <c r="T238" s="5038" t="s">
        <v>5308</v>
      </c>
      <c r="U238" s="3511" t="s">
        <v>5309</v>
      </c>
      <c r="V238" s="5038" t="s">
        <v>5310</v>
      </c>
      <c r="W238" s="3511" t="s">
        <v>5311</v>
      </c>
      <c r="X238" s="3479" t="s">
        <v>5312</v>
      </c>
      <c r="Y238" s="3511" t="s">
        <v>5313</v>
      </c>
      <c r="Z238" s="3479" t="s">
        <v>5314</v>
      </c>
      <c r="AA238" s="3511" t="s">
        <v>5315</v>
      </c>
      <c r="AB238" s="3479" t="s">
        <v>5316</v>
      </c>
      <c r="AC238" s="3511" t="s">
        <v>5317</v>
      </c>
      <c r="AD238" s="5038" t="s">
        <v>5318</v>
      </c>
      <c r="AE238" s="3511" t="s">
        <v>5319</v>
      </c>
      <c r="AF238" s="3483" t="s">
        <v>5320</v>
      </c>
      <c r="AG238" s="3514" t="s">
        <v>5321</v>
      </c>
      <c r="AH238" s="3483" t="s">
        <v>5322</v>
      </c>
      <c r="AI238" s="3514" t="s">
        <v>5323</v>
      </c>
      <c r="AJ238" s="3483" t="s">
        <v>5324</v>
      </c>
      <c r="AK238" s="3544" t="s">
        <v>5325</v>
      </c>
      <c r="AL238" s="5205" t="s">
        <v>5326</v>
      </c>
      <c r="AM238" s="3514" t="s">
        <v>5327</v>
      </c>
      <c r="AN238" s="3479" t="s">
        <v>5328</v>
      </c>
      <c r="AO238" s="3512" t="s">
        <v>5329</v>
      </c>
      <c r="AP238" s="5146" t="s">
        <v>5330</v>
      </c>
      <c r="AQ238" s="3511" t="s">
        <v>5331</v>
      </c>
      <c r="AR238" s="3479" t="s">
        <v>5332</v>
      </c>
      <c r="AS238" s="3512" t="s">
        <v>5333</v>
      </c>
      <c r="AT238" s="5146" t="s">
        <v>5334</v>
      </c>
      <c r="AU238" s="3512" t="s">
        <v>5335</v>
      </c>
      <c r="AV238" s="5146" t="s">
        <v>5336</v>
      </c>
      <c r="AW238" s="3512" t="s">
        <v>5337</v>
      </c>
      <c r="AX238" s="3479" t="s">
        <v>5338</v>
      </c>
      <c r="AY238" s="3511" t="s">
        <v>5339</v>
      </c>
      <c r="AZ238" s="1687" t="e">
        <f>$CB238&amp;$CD238&amp;CE238&amp;CF238&amp;CG238&amp;CH238&amp;CI238&amp;CJ238&amp;CK238&amp;CL238&amp;CM238&amp;CN238&amp;CO238&amp;CP238&amp;CQ238&amp;CR238&amp;CS238&amp;CT238&amp;CU238&amp;CV238&amp;CW238&amp;CX238</f>
        <v>#VALUE!</v>
      </c>
      <c r="CB238" s="3146" t="str">
        <f t="shared" ref="CB238:CB245" si="622">IF(E238&gt;D238," * El Total de Exámenes Confirmados Positivos por ISP NO DEBE SUPERAR los  Exámene Procesados. ","")</f>
        <v xml:space="preserve"> * El Total de Exámenes Confirmados Positivos por ISP NO DEBE SUPERAR los  Exámene Procesados. </v>
      </c>
      <c r="CC238" s="3513"/>
      <c r="CD238" s="2784" t="str">
        <f t="shared" ref="CD238:CD259" si="623">IF(AO238&gt;AN238,"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8" s="2630"/>
      <c r="CF238" s="2630"/>
      <c r="CG238" s="2630"/>
      <c r="CH238" s="2630"/>
      <c r="CI238" s="2630"/>
      <c r="CJ238" s="2784" t="e">
        <f t="shared" ref="CJ238:CJ259" si="624">IF(AND(D238&gt;0,AND(AP238="",AR238=""))," * No olvide digitar los exámenes procesados Trans (Masculino y femenino) Digite Cero si no tiene.",IF((AP238+AR238)&gt;D238," * Los exámenes procesados en Trans (Masculino y femenino) no pueden ser mayor que el total de exámenes procesados.",""))</f>
        <v>#VALUE!</v>
      </c>
      <c r="CK238" s="600"/>
      <c r="CL238" s="2784" t="e">
        <f t="shared" ref="CL238:CL259" si="625">IF((AN238+AL238)&lt;&gt;D238," * El N° de exámenes Procesados por SEXO (Hombres + Mujeres) no puede ser distinto al Total de exámenes procesados","")</f>
        <v>#VALUE!</v>
      </c>
      <c r="CM238" s="2784" t="e">
        <f t="shared" ref="CM238:CM259" si="626">IF((AO238+AM238)&lt;&gt;E238," * El N° de exámenes Confirmados positivos por ISP por Sexo (Hombres+Mujeres) no puede ser distinto al N° Total de exámenes Confirmados positivos por ISP ","")</f>
        <v>#VALUE!</v>
      </c>
      <c r="CN238" s="2784" t="str">
        <f t="shared" ref="CN238:CN259" si="627">IF(AND(D238&gt;0,AT238="")," * No olvide digitar los exámenes Procesados de Pueblos Originarios. Digite Cero si no tiene.",IF(AT238&gt;D238," * Los exámenes procesados Pueblos originarios no pueden ser mayor que el total de exámenes procesados.",""))</f>
        <v xml:space="preserve"> * Los exámenes procesados Pueblos originarios no pueden ser mayor que el total de exámenes procesados.</v>
      </c>
      <c r="CO238" s="2784" t="str">
        <f t="shared" ref="CO238:CO259" si="628">IF(AND(D238&gt;0,AV238="")," * No olvide digitar los examenes Procesados de Migrantes. Digite Cero si no tiene.",IF(AV238&gt;D238," * Los exámenes procesados de Migrantes no pueden ser mayor que el total de exámenes procesados.",""))</f>
        <v xml:space="preserve"> * Los exámenes procesados de Migrantes no pueden ser mayor que el total de exámenes procesados.</v>
      </c>
      <c r="CP238" s="2784" t="e">
        <f t="shared" ref="CP238:CP259" si="629">IF(AND(E238&gt;0,OR(AQ238="",AS238=""))," * No olvide digitar los exámenes Confirmados positivos por ISP de Trans (Masculino y femenino) Digite Cero si no tiene.",IF((AQ238+AS238)&gt;E238," * Los exámenes confirmados positivos por ISP de Trans (Masculino y femenino) no pueden ser mayor que el total de exámenes Confirmados positivos por ISP.",""))</f>
        <v>#VALUE!</v>
      </c>
      <c r="CQ238" s="2784" t="str">
        <f t="shared" ref="CQ238:CQ259" si="630">IF(AND(E238&gt;0,AU238="")," * No olvide digitar los exámenes Confirmados positivos por ISP de Pueblos Originarios. Digite Cero si no tiene.",IF(AU238&gt;E238,"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238" s="2784" t="str">
        <f t="shared" ref="CR238:CR259" si="631">IF(AND(E238&gt;0,AW238="")," * No olvide digitar los exámenes Confirmados positivos por ISP de Migrantes. Digite Cero si no tiene.",IF(AW238&gt;E238,"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238" s="2784"/>
      <c r="CT238" s="2630"/>
      <c r="CU238" s="6114" t="e">
        <f t="shared" ref="CU238:CU245" si="632">IF(AX238&gt;(N238+P238),"* El Total de Procesados de 14-18 años NO DEBE ser mayor al Total de Procesados registrados en los grupos de edad 10 a 14 y 15 a 19 años. ","")</f>
        <v>#VALUE!</v>
      </c>
      <c r="CV238" s="6114" t="e">
        <f t="shared" ref="CV238:CV245" si="633">IF(AY238&gt;(O238+Q238),"* El Total de Confirmados de 14-18 años NO DEBE ser mayor al Total de Confirmados registrados en los grupos de edad 10 a 14 y 15 a 19 años. ","")</f>
        <v>#VALUE!</v>
      </c>
      <c r="CW238" s="6114" t="e">
        <f t="shared" ref="CW238:CW259" si="634">IF(AND((N238+P238)&gt;0,AX238=""),"*No olvide digitar los Exámenes Procesados de 14-18 años. Digite cero si no tiene.","")</f>
        <v>#VALUE!</v>
      </c>
      <c r="CX238" s="6114" t="e">
        <f t="shared" ref="CX238:CX259" si="635">IF(AND((O238+Q238)&gt;0,AY238=""),"*No olvide digitar los Exámenes Confirmados Positivos por ISP de 14-18 años. Digite cero si no tiene.","")</f>
        <v>#VALUE!</v>
      </c>
      <c r="DF238" s="3146">
        <f t="shared" ref="DF238:DF259" si="636">IF(E238&gt;D238,1,0)</f>
        <v>1</v>
      </c>
      <c r="DG238" s="3513"/>
      <c r="DH238" s="2784">
        <f t="shared" ref="DH238:DH259" si="637">IF(AO238&gt;AN238,1,0)</f>
        <v>1</v>
      </c>
      <c r="DI238" s="2630"/>
      <c r="DJ238" s="2630"/>
      <c r="DK238" s="2630"/>
      <c r="DL238" s="2630"/>
      <c r="DM238" s="2630"/>
      <c r="DN238" s="2784" t="e">
        <f t="shared" ref="DN238:DN259" si="638">IF(AND(D238&gt;0,AND(AP238="",AR238="")),1,IF((AP238+AR238)&gt;D238,1,0))</f>
        <v>#VALUE!</v>
      </c>
      <c r="DO238" s="600"/>
      <c r="DP238" s="2784" t="e">
        <f t="shared" ref="DP238:DP259" si="639">IF((AN238+AL238)&lt;&gt;D238,1,0)</f>
        <v>#VALUE!</v>
      </c>
      <c r="DQ238" s="2784" t="e">
        <f t="shared" ref="DQ238:DQ259" si="640">IF((AO238+AM238)&lt;&gt;E238,1,0)</f>
        <v>#VALUE!</v>
      </c>
      <c r="DR238" s="2784">
        <f t="shared" ref="DR238:DR259" si="641">IF(AND(D238&gt;0,AT238=""),1,IF(AT238&gt;D238,1,0))</f>
        <v>1</v>
      </c>
      <c r="DS238" s="2784">
        <f t="shared" ref="DS238:DS259" si="642">IF(AND(D238&gt;0,AV238=""),1,IF(AV238&gt;D238,1,0))</f>
        <v>1</v>
      </c>
      <c r="DT238" s="2784" t="e">
        <f t="shared" ref="DT238:DT259" si="643">IF(AND(E238&gt;0,OR(AQ238="",AS238="")),1,IF((AQ238+AS238)&gt;E238,1,0))</f>
        <v>#VALUE!</v>
      </c>
      <c r="DU238" s="2784">
        <f t="shared" ref="DU238:DU259" si="644">IF(AND(E238&gt;0,AU238=""),1,IF(AU238&gt;E238,1,0))</f>
        <v>1</v>
      </c>
      <c r="DV238" s="2784">
        <f t="shared" ref="DV238:DV259" si="645">IF(AND(E238&gt;0,AW238=""),1,IF(AW238&gt;E238,1,0))</f>
        <v>1</v>
      </c>
      <c r="DW238" s="2784"/>
      <c r="DX238" s="2630"/>
      <c r="DY238" s="6114" t="e">
        <f t="shared" ref="DY238:DY245" si="646">IF(AX238&gt;(N238+P238),1,0)</f>
        <v>#VALUE!</v>
      </c>
      <c r="DZ238" s="6114" t="e">
        <f t="shared" ref="DZ238:DZ245" si="647">IF(AY238&gt;(O238+Q238),1,0)</f>
        <v>#VALUE!</v>
      </c>
      <c r="EA238" s="6114" t="e">
        <f t="shared" ref="EA238:EA259" si="648">IF(AND((N238+P238)&gt;0,AX238=""),1,0)</f>
        <v>#VALUE!</v>
      </c>
      <c r="EB238" s="6114" t="e">
        <f t="shared" ref="EB238:EB259" si="649">IF(AND((O238+Q238)&gt;0,AY238=""),1,0)</f>
        <v>#VALUE!</v>
      </c>
    </row>
    <row r="239" spans="1:132" ht="15" customHeight="1" x14ac:dyDescent="0.3">
      <c r="A239" s="6234">
        <v>11057102</v>
      </c>
      <c r="B239" s="6634"/>
      <c r="C239" s="3549" t="s">
        <v>2725</v>
      </c>
      <c r="D239" s="3545" t="s">
        <v>5292</v>
      </c>
      <c r="E239" s="3242" t="s">
        <v>5293</v>
      </c>
      <c r="F239" s="3546" t="s">
        <v>5294</v>
      </c>
      <c r="G239" s="3547" t="s">
        <v>5295</v>
      </c>
      <c r="H239" s="3548" t="s">
        <v>5296</v>
      </c>
      <c r="I239" s="3547" t="s">
        <v>5297</v>
      </c>
      <c r="J239" s="3548" t="s">
        <v>5298</v>
      </c>
      <c r="K239" s="3547" t="s">
        <v>5299</v>
      </c>
      <c r="L239" s="3548" t="s">
        <v>5300</v>
      </c>
      <c r="M239" s="3547" t="s">
        <v>5301</v>
      </c>
      <c r="N239" s="3550" t="s">
        <v>5302</v>
      </c>
      <c r="O239" s="3551" t="s">
        <v>5303</v>
      </c>
      <c r="P239" s="5151" t="s">
        <v>5304</v>
      </c>
      <c r="Q239" s="3511" t="s">
        <v>5305</v>
      </c>
      <c r="R239" s="5038" t="s">
        <v>5306</v>
      </c>
      <c r="S239" s="3511" t="s">
        <v>5307</v>
      </c>
      <c r="T239" s="5038" t="s">
        <v>5308</v>
      </c>
      <c r="U239" s="3511" t="s">
        <v>5309</v>
      </c>
      <c r="V239" s="5038" t="s">
        <v>5310</v>
      </c>
      <c r="W239" s="3511" t="s">
        <v>5311</v>
      </c>
      <c r="X239" s="3479" t="s">
        <v>5312</v>
      </c>
      <c r="Y239" s="3511" t="s">
        <v>5313</v>
      </c>
      <c r="Z239" s="3479" t="s">
        <v>5314</v>
      </c>
      <c r="AA239" s="3511" t="s">
        <v>5315</v>
      </c>
      <c r="AB239" s="3479" t="s">
        <v>5316</v>
      </c>
      <c r="AC239" s="3511" t="s">
        <v>5317</v>
      </c>
      <c r="AD239" s="5038" t="s">
        <v>5318</v>
      </c>
      <c r="AE239" s="3511" t="s">
        <v>5319</v>
      </c>
      <c r="AF239" s="3483" t="s">
        <v>5320</v>
      </c>
      <c r="AG239" s="3514" t="s">
        <v>5321</v>
      </c>
      <c r="AH239" s="3483" t="s">
        <v>5322</v>
      </c>
      <c r="AI239" s="3514" t="s">
        <v>5323</v>
      </c>
      <c r="AJ239" s="3483" t="s">
        <v>5324</v>
      </c>
      <c r="AK239" s="3544" t="s">
        <v>5325</v>
      </c>
      <c r="AL239" s="5205" t="s">
        <v>5326</v>
      </c>
      <c r="AM239" s="3514" t="s">
        <v>5327</v>
      </c>
      <c r="AN239" s="3479" t="s">
        <v>5328</v>
      </c>
      <c r="AO239" s="3512" t="s">
        <v>5329</v>
      </c>
      <c r="AP239" s="5146" t="s">
        <v>5330</v>
      </c>
      <c r="AQ239" s="3511" t="s">
        <v>5331</v>
      </c>
      <c r="AR239" s="3479" t="s">
        <v>5332</v>
      </c>
      <c r="AS239" s="3512" t="s">
        <v>5333</v>
      </c>
      <c r="AT239" s="5146" t="s">
        <v>5334</v>
      </c>
      <c r="AU239" s="3512" t="s">
        <v>5335</v>
      </c>
      <c r="AV239" s="5146" t="s">
        <v>5336</v>
      </c>
      <c r="AW239" s="3512" t="s">
        <v>5337</v>
      </c>
      <c r="AX239" s="3479" t="s">
        <v>5338</v>
      </c>
      <c r="AY239" s="3511" t="s">
        <v>5339</v>
      </c>
      <c r="AZ239" s="1687" t="e">
        <f>$CB239&amp;$CD239&amp;CE239&amp;CF239&amp;CG239&amp;CH239&amp;CI239&amp;CJ239&amp;CK239&amp;CL239&amp;CM239&amp;CN239&amp;CO239&amp;CP239&amp;CQ239&amp;CR239&amp;CS239&amp;CT239&amp;CU239&amp;CV239&amp;CW239&amp;CX239</f>
        <v>#VALUE!</v>
      </c>
      <c r="CB239" s="3146" t="str">
        <f t="shared" si="622"/>
        <v xml:space="preserve"> * El Total de Exámenes Confirmados Positivos por ISP NO DEBE SUPERAR los  Exámene Procesados. </v>
      </c>
      <c r="CC239" s="3513"/>
      <c r="CD239" s="2784" t="str">
        <f t="shared" si="623"/>
        <v xml:space="preserve"> * El número de Exámenes por Sexo Mujeres Confirmados positivos por ISP NO PUEDE Superar al número de Procesados. </v>
      </c>
      <c r="CE239" s="2630"/>
      <c r="CF239" s="2630"/>
      <c r="CG239" s="2630"/>
      <c r="CH239" s="2630"/>
      <c r="CI239" s="2630"/>
      <c r="CJ239" s="2784" t="e">
        <f t="shared" si="624"/>
        <v>#VALUE!</v>
      </c>
      <c r="CK239" s="600"/>
      <c r="CL239" s="2784" t="e">
        <f t="shared" si="625"/>
        <v>#VALUE!</v>
      </c>
      <c r="CM239" s="2784" t="e">
        <f t="shared" si="626"/>
        <v>#VALUE!</v>
      </c>
      <c r="CN239" s="2784" t="str">
        <f t="shared" si="627"/>
        <v xml:space="preserve"> * Los exámenes procesados Pueblos originarios no pueden ser mayor que el total de exámenes procesados.</v>
      </c>
      <c r="CO239" s="2784" t="str">
        <f t="shared" si="628"/>
        <v xml:space="preserve"> * Los exámenes procesados de Migrantes no pueden ser mayor que el total de exámenes procesados.</v>
      </c>
      <c r="CP239" s="2784" t="e">
        <f t="shared" si="629"/>
        <v>#VALUE!</v>
      </c>
      <c r="CQ239" s="2784" t="str">
        <f t="shared" si="630"/>
        <v xml:space="preserve"> * Los exámenes Confirmados positivos por ISP de Pueblos originarios no pueden ser mayor que el total de exámenes Procesados por ISP.</v>
      </c>
      <c r="CR239" s="2784" t="str">
        <f t="shared" si="631"/>
        <v xml:space="preserve"> * Los exámenes Confirmados positivos por ISP de Migrantes no pueden ser mayor que el total de exámenes Procesados por ISP.</v>
      </c>
      <c r="CS239" s="2784"/>
      <c r="CT239" s="2630"/>
      <c r="CU239" s="6114" t="e">
        <f t="shared" si="632"/>
        <v>#VALUE!</v>
      </c>
      <c r="CV239" s="6114" t="e">
        <f t="shared" si="633"/>
        <v>#VALUE!</v>
      </c>
      <c r="CW239" s="6114" t="e">
        <f t="shared" si="634"/>
        <v>#VALUE!</v>
      </c>
      <c r="CX239" s="6114" t="e">
        <f t="shared" si="635"/>
        <v>#VALUE!</v>
      </c>
      <c r="DF239" s="3146">
        <f t="shared" si="636"/>
        <v>1</v>
      </c>
      <c r="DG239" s="3513"/>
      <c r="DH239" s="2784">
        <f t="shared" si="637"/>
        <v>1</v>
      </c>
      <c r="DI239" s="2630"/>
      <c r="DJ239" s="2630"/>
      <c r="DK239" s="2630"/>
      <c r="DL239" s="2630"/>
      <c r="DM239" s="2630"/>
      <c r="DN239" s="2784" t="e">
        <f t="shared" si="638"/>
        <v>#VALUE!</v>
      </c>
      <c r="DO239" s="600"/>
      <c r="DP239" s="2784" t="e">
        <f t="shared" si="639"/>
        <v>#VALUE!</v>
      </c>
      <c r="DQ239" s="2784" t="e">
        <f t="shared" si="640"/>
        <v>#VALUE!</v>
      </c>
      <c r="DR239" s="2784">
        <f t="shared" si="641"/>
        <v>1</v>
      </c>
      <c r="DS239" s="2784">
        <f t="shared" si="642"/>
        <v>1</v>
      </c>
      <c r="DT239" s="2784" t="e">
        <f t="shared" si="643"/>
        <v>#VALUE!</v>
      </c>
      <c r="DU239" s="2784">
        <f t="shared" si="644"/>
        <v>1</v>
      </c>
      <c r="DV239" s="2784">
        <f t="shared" si="645"/>
        <v>1</v>
      </c>
      <c r="DW239" s="2784"/>
      <c r="DX239" s="2630"/>
      <c r="DY239" s="6114" t="e">
        <f t="shared" si="646"/>
        <v>#VALUE!</v>
      </c>
      <c r="DZ239" s="6114" t="e">
        <f t="shared" si="647"/>
        <v>#VALUE!</v>
      </c>
      <c r="EA239" s="6114" t="e">
        <f t="shared" si="648"/>
        <v>#VALUE!</v>
      </c>
      <c r="EB239" s="6114" t="e">
        <f t="shared" si="649"/>
        <v>#VALUE!</v>
      </c>
    </row>
    <row r="240" spans="1:132" ht="15" customHeight="1" x14ac:dyDescent="0.3">
      <c r="A240" s="6234">
        <v>11057103</v>
      </c>
      <c r="B240" s="6634"/>
      <c r="C240" s="3549" t="s">
        <v>2669</v>
      </c>
      <c r="D240" s="3545" t="s">
        <v>5292</v>
      </c>
      <c r="E240" s="3242" t="s">
        <v>5293</v>
      </c>
      <c r="F240" s="3546" t="s">
        <v>5294</v>
      </c>
      <c r="G240" s="3547" t="s">
        <v>5295</v>
      </c>
      <c r="H240" s="3548" t="s">
        <v>5296</v>
      </c>
      <c r="I240" s="3547" t="s">
        <v>5297</v>
      </c>
      <c r="J240" s="3548" t="s">
        <v>5298</v>
      </c>
      <c r="K240" s="3547" t="s">
        <v>5299</v>
      </c>
      <c r="L240" s="3548" t="s">
        <v>5300</v>
      </c>
      <c r="M240" s="3547" t="s">
        <v>5301</v>
      </c>
      <c r="N240" s="3552" t="s">
        <v>5302</v>
      </c>
      <c r="O240" s="3553" t="s">
        <v>5303</v>
      </c>
      <c r="P240" s="3479" t="s">
        <v>5304</v>
      </c>
      <c r="Q240" s="3511" t="s">
        <v>5305</v>
      </c>
      <c r="R240" s="5038" t="s">
        <v>5306</v>
      </c>
      <c r="S240" s="3511" t="s">
        <v>5307</v>
      </c>
      <c r="T240" s="5038" t="s">
        <v>5308</v>
      </c>
      <c r="U240" s="3511" t="s">
        <v>5309</v>
      </c>
      <c r="V240" s="5038" t="s">
        <v>5310</v>
      </c>
      <c r="W240" s="3511" t="s">
        <v>5311</v>
      </c>
      <c r="X240" s="3479" t="s">
        <v>5312</v>
      </c>
      <c r="Y240" s="3511" t="s">
        <v>5313</v>
      </c>
      <c r="Z240" s="3479" t="s">
        <v>5314</v>
      </c>
      <c r="AA240" s="3511" t="s">
        <v>5315</v>
      </c>
      <c r="AB240" s="3479" t="s">
        <v>5316</v>
      </c>
      <c r="AC240" s="3511" t="s">
        <v>5317</v>
      </c>
      <c r="AD240" s="5038" t="s">
        <v>5318</v>
      </c>
      <c r="AE240" s="3511" t="s">
        <v>5319</v>
      </c>
      <c r="AF240" s="3479" t="s">
        <v>5320</v>
      </c>
      <c r="AG240" s="3511" t="s">
        <v>5321</v>
      </c>
      <c r="AH240" s="3479" t="s">
        <v>5322</v>
      </c>
      <c r="AI240" s="3511" t="s">
        <v>5323</v>
      </c>
      <c r="AJ240" s="3479" t="s">
        <v>5324</v>
      </c>
      <c r="AK240" s="3512" t="s">
        <v>5325</v>
      </c>
      <c r="AL240" s="5146" t="s">
        <v>5326</v>
      </c>
      <c r="AM240" s="3511" t="s">
        <v>5327</v>
      </c>
      <c r="AN240" s="3479" t="s">
        <v>5328</v>
      </c>
      <c r="AO240" s="3512" t="s">
        <v>5329</v>
      </c>
      <c r="AP240" s="5146" t="s">
        <v>5330</v>
      </c>
      <c r="AQ240" s="3511" t="s">
        <v>5331</v>
      </c>
      <c r="AR240" s="3479" t="s">
        <v>5332</v>
      </c>
      <c r="AS240" s="3512" t="s">
        <v>5333</v>
      </c>
      <c r="AT240" s="5146" t="s">
        <v>5334</v>
      </c>
      <c r="AU240" s="3512" t="s">
        <v>5335</v>
      </c>
      <c r="AV240" s="5146" t="s">
        <v>5336</v>
      </c>
      <c r="AW240" s="3512" t="s">
        <v>5337</v>
      </c>
      <c r="AX240" s="3479" t="s">
        <v>5338</v>
      </c>
      <c r="AY240" s="3511" t="s">
        <v>5339</v>
      </c>
      <c r="AZ240" s="1687" t="e">
        <f>$CB240&amp;CC240&amp;$CD240&amp;CE240&amp;CF240&amp;CG240&amp;CH240&amp;CI240&amp;CJ240&amp;CK240&amp;CL240&amp;CM240&amp;CN240&amp;CO240&amp;CP240&amp;CQ240&amp;CR240&amp;CS240&amp;CT240&amp;CU240&amp;CV240&amp;CW240&amp;CX240</f>
        <v>#VALUE!</v>
      </c>
      <c r="CB240" s="3146" t="str">
        <f t="shared" si="622"/>
        <v xml:space="preserve"> * El Total de Exámenes Confirmados Positivos por ISP NO DEBE SUPERAR los  Exámene Procesados. </v>
      </c>
      <c r="CC240" s="2784" t="str">
        <f>IF(AM240&gt;AL240,"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0" s="2784" t="str">
        <f t="shared" si="623"/>
        <v xml:space="preserve"> * El número de Exámenes por Sexo Mujeres Confirmados positivos por ISP NO PUEDE Superar al número de Procesados. </v>
      </c>
      <c r="CE240" s="2630"/>
      <c r="CF240" s="2630"/>
      <c r="CG240" s="2630"/>
      <c r="CH240" s="2630"/>
      <c r="CI240" s="2630"/>
      <c r="CJ240" s="2784" t="e">
        <f t="shared" si="624"/>
        <v>#VALUE!</v>
      </c>
      <c r="CK240" s="600"/>
      <c r="CL240" s="2784" t="e">
        <f t="shared" si="625"/>
        <v>#VALUE!</v>
      </c>
      <c r="CM240" s="2784" t="e">
        <f t="shared" si="626"/>
        <v>#VALUE!</v>
      </c>
      <c r="CN240" s="2784" t="str">
        <f t="shared" si="627"/>
        <v xml:space="preserve"> * Los exámenes procesados Pueblos originarios no pueden ser mayor que el total de exámenes procesados.</v>
      </c>
      <c r="CO240" s="2784" t="str">
        <f t="shared" si="628"/>
        <v xml:space="preserve"> * Los exámenes procesados de Migrantes no pueden ser mayor que el total de exámenes procesados.</v>
      </c>
      <c r="CP240" s="2784" t="e">
        <f t="shared" si="629"/>
        <v>#VALUE!</v>
      </c>
      <c r="CQ240" s="2784" t="str">
        <f t="shared" si="630"/>
        <v xml:space="preserve"> * Los exámenes Confirmados positivos por ISP de Pueblos originarios no pueden ser mayor que el total de exámenes Procesados por ISP.</v>
      </c>
      <c r="CR240" s="2784" t="str">
        <f t="shared" si="631"/>
        <v xml:space="preserve"> * Los exámenes Confirmados positivos por ISP de Migrantes no pueden ser mayor que el total de exámenes Procesados por ISP.</v>
      </c>
      <c r="CS240" s="2784"/>
      <c r="CT240" s="2630"/>
      <c r="CU240" s="6114" t="e">
        <f t="shared" si="632"/>
        <v>#VALUE!</v>
      </c>
      <c r="CV240" s="6114" t="e">
        <f t="shared" si="633"/>
        <v>#VALUE!</v>
      </c>
      <c r="CW240" s="6114" t="e">
        <f t="shared" si="634"/>
        <v>#VALUE!</v>
      </c>
      <c r="CX240" s="6114" t="e">
        <f t="shared" si="635"/>
        <v>#VALUE!</v>
      </c>
      <c r="DF240" s="3146">
        <f t="shared" si="636"/>
        <v>1</v>
      </c>
      <c r="DG240" s="2784">
        <f>IF(AM240&gt;AL240,1,0)</f>
        <v>1</v>
      </c>
      <c r="DH240" s="2784">
        <f t="shared" si="637"/>
        <v>1</v>
      </c>
      <c r="DI240" s="2630"/>
      <c r="DJ240" s="2630"/>
      <c r="DK240" s="2630"/>
      <c r="DL240" s="2630"/>
      <c r="DM240" s="2630"/>
      <c r="DN240" s="2784" t="e">
        <f t="shared" si="638"/>
        <v>#VALUE!</v>
      </c>
      <c r="DO240" s="600"/>
      <c r="DP240" s="2784" t="e">
        <f t="shared" si="639"/>
        <v>#VALUE!</v>
      </c>
      <c r="DQ240" s="2784" t="e">
        <f t="shared" si="640"/>
        <v>#VALUE!</v>
      </c>
      <c r="DR240" s="2784">
        <f t="shared" si="641"/>
        <v>1</v>
      </c>
      <c r="DS240" s="2784">
        <f t="shared" si="642"/>
        <v>1</v>
      </c>
      <c r="DT240" s="2784" t="e">
        <f t="shared" si="643"/>
        <v>#VALUE!</v>
      </c>
      <c r="DU240" s="2784">
        <f t="shared" si="644"/>
        <v>1</v>
      </c>
      <c r="DV240" s="2784">
        <f t="shared" si="645"/>
        <v>1</v>
      </c>
      <c r="DW240" s="2784"/>
      <c r="DX240" s="2630"/>
      <c r="DY240" s="6114" t="e">
        <f t="shared" si="646"/>
        <v>#VALUE!</v>
      </c>
      <c r="DZ240" s="6114" t="e">
        <f t="shared" si="647"/>
        <v>#VALUE!</v>
      </c>
      <c r="EA240" s="6114" t="e">
        <f t="shared" si="648"/>
        <v>#VALUE!</v>
      </c>
      <c r="EB240" s="6114" t="e">
        <f t="shared" si="649"/>
        <v>#VALUE!</v>
      </c>
    </row>
    <row r="241" spans="1:132" ht="15" customHeight="1" x14ac:dyDescent="0.3">
      <c r="A241" s="6234">
        <v>11057104</v>
      </c>
      <c r="B241" s="6634"/>
      <c r="C241" s="3046" t="s">
        <v>2703</v>
      </c>
      <c r="D241" s="3545" t="s">
        <v>5292</v>
      </c>
      <c r="E241" s="4748" t="s">
        <v>5293</v>
      </c>
      <c r="F241" s="612" t="s">
        <v>5294</v>
      </c>
      <c r="G241" s="4522" t="s">
        <v>5295</v>
      </c>
      <c r="H241" s="612" t="s">
        <v>5296</v>
      </c>
      <c r="I241" s="4522" t="s">
        <v>5297</v>
      </c>
      <c r="J241" s="612" t="s">
        <v>5298</v>
      </c>
      <c r="K241" s="4522" t="s">
        <v>5299</v>
      </c>
      <c r="L241" s="612" t="s">
        <v>5300</v>
      </c>
      <c r="M241" s="4522" t="s">
        <v>5301</v>
      </c>
      <c r="N241" s="612" t="s">
        <v>5302</v>
      </c>
      <c r="O241" s="4522" t="s">
        <v>5303</v>
      </c>
      <c r="P241" s="5151" t="s">
        <v>5304</v>
      </c>
      <c r="Q241" s="3511" t="s">
        <v>5305</v>
      </c>
      <c r="R241" s="5038" t="s">
        <v>5306</v>
      </c>
      <c r="S241" s="3511" t="s">
        <v>5307</v>
      </c>
      <c r="T241" s="5038" t="s">
        <v>5308</v>
      </c>
      <c r="U241" s="3511" t="s">
        <v>5309</v>
      </c>
      <c r="V241" s="5038" t="s">
        <v>5310</v>
      </c>
      <c r="W241" s="3511" t="s">
        <v>5311</v>
      </c>
      <c r="X241" s="3479" t="s">
        <v>5312</v>
      </c>
      <c r="Y241" s="3511" t="s">
        <v>5313</v>
      </c>
      <c r="Z241" s="3479" t="s">
        <v>5314</v>
      </c>
      <c r="AA241" s="3511" t="s">
        <v>5315</v>
      </c>
      <c r="AB241" s="3479" t="s">
        <v>5316</v>
      </c>
      <c r="AC241" s="3511" t="s">
        <v>5317</v>
      </c>
      <c r="AD241" s="5038" t="s">
        <v>5318</v>
      </c>
      <c r="AE241" s="3511" t="s">
        <v>5319</v>
      </c>
      <c r="AF241" s="3479" t="s">
        <v>5320</v>
      </c>
      <c r="AG241" s="3511" t="s">
        <v>5321</v>
      </c>
      <c r="AH241" s="3479" t="s">
        <v>5322</v>
      </c>
      <c r="AI241" s="3511" t="s">
        <v>5323</v>
      </c>
      <c r="AJ241" s="3479" t="s">
        <v>5324</v>
      </c>
      <c r="AK241" s="3512" t="s">
        <v>5325</v>
      </c>
      <c r="AL241" s="5146" t="s">
        <v>5326</v>
      </c>
      <c r="AM241" s="3511" t="s">
        <v>5327</v>
      </c>
      <c r="AN241" s="3479" t="s">
        <v>5328</v>
      </c>
      <c r="AO241" s="3512" t="s">
        <v>5329</v>
      </c>
      <c r="AP241" s="5146" t="s">
        <v>5330</v>
      </c>
      <c r="AQ241" s="3511" t="s">
        <v>5331</v>
      </c>
      <c r="AR241" s="3479" t="s">
        <v>5332</v>
      </c>
      <c r="AS241" s="3512" t="s">
        <v>5333</v>
      </c>
      <c r="AT241" s="5146" t="s">
        <v>5334</v>
      </c>
      <c r="AU241" s="3512" t="s">
        <v>5335</v>
      </c>
      <c r="AV241" s="5146" t="s">
        <v>5336</v>
      </c>
      <c r="AW241" s="3512" t="s">
        <v>5337</v>
      </c>
      <c r="AX241" s="3479" t="s">
        <v>5338</v>
      </c>
      <c r="AY241" s="3511" t="s">
        <v>5339</v>
      </c>
      <c r="AZ241" s="1687" t="e">
        <f t="shared" ref="AZ241:AZ259" si="650">$CB241&amp;CC241&amp;$CD241&amp;CE241&amp;CF241&amp;CG241&amp;CH241&amp;CI241&amp;CJ241&amp;CK241&amp;CL241&amp;CM241&amp;CN241&amp;CO241&amp;CP241&amp;CQ241&amp;CR241&amp;CS241&amp;CT241&amp;CU241&amp;CV241&amp;CW241&amp;CX241</f>
        <v>#VALUE!</v>
      </c>
      <c r="CB241" s="3146" t="str">
        <f t="shared" si="622"/>
        <v xml:space="preserve"> * El Total de Exámenes Confirmados Positivos por ISP NO DEBE SUPERAR los  Exámene Procesados. </v>
      </c>
      <c r="CC241" s="2784" t="str">
        <f t="shared" ref="CC241:CC259" si="651">IF(AM241&gt;AL241,"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1" s="2784" t="str">
        <f t="shared" si="623"/>
        <v xml:space="preserve"> * El número de Exámenes por Sexo Mujeres Confirmados positivos por ISP NO PUEDE Superar al número de Procesados. </v>
      </c>
      <c r="CE241" s="2630"/>
      <c r="CF241" s="2630"/>
      <c r="CG241" s="2630"/>
      <c r="CH241" s="2630"/>
      <c r="CI241" s="2630"/>
      <c r="CJ241" s="2784" t="e">
        <f t="shared" si="624"/>
        <v>#VALUE!</v>
      </c>
      <c r="CK241" s="600"/>
      <c r="CL241" s="2784" t="e">
        <f t="shared" si="625"/>
        <v>#VALUE!</v>
      </c>
      <c r="CM241" s="2784" t="e">
        <f t="shared" si="626"/>
        <v>#VALUE!</v>
      </c>
      <c r="CN241" s="2784" t="str">
        <f t="shared" si="627"/>
        <v xml:space="preserve"> * Los exámenes procesados Pueblos originarios no pueden ser mayor que el total de exámenes procesados.</v>
      </c>
      <c r="CO241" s="2784" t="str">
        <f t="shared" si="628"/>
        <v xml:space="preserve"> * Los exámenes procesados de Migrantes no pueden ser mayor que el total de exámenes procesados.</v>
      </c>
      <c r="CP241" s="2784" t="e">
        <f t="shared" si="629"/>
        <v>#VALUE!</v>
      </c>
      <c r="CQ241" s="2784" t="str">
        <f t="shared" si="630"/>
        <v xml:space="preserve"> * Los exámenes Confirmados positivos por ISP de Pueblos originarios no pueden ser mayor que el total de exámenes Procesados por ISP.</v>
      </c>
      <c r="CR241" s="2784" t="str">
        <f t="shared" si="631"/>
        <v xml:space="preserve"> * Los exámenes Confirmados positivos por ISP de Migrantes no pueden ser mayor que el total de exámenes Procesados por ISP.</v>
      </c>
      <c r="CS241" s="2784"/>
      <c r="CT241" s="2630"/>
      <c r="CU241" s="6114" t="e">
        <f t="shared" si="632"/>
        <v>#VALUE!</v>
      </c>
      <c r="CV241" s="6114" t="e">
        <f t="shared" si="633"/>
        <v>#VALUE!</v>
      </c>
      <c r="CW241" s="6114" t="e">
        <f t="shared" si="634"/>
        <v>#VALUE!</v>
      </c>
      <c r="CX241" s="6114" t="e">
        <f t="shared" si="635"/>
        <v>#VALUE!</v>
      </c>
      <c r="DF241" s="3146">
        <f t="shared" si="636"/>
        <v>1</v>
      </c>
      <c r="DG241" s="2784">
        <f t="shared" ref="DG241:DG259" si="652">IF(AM241&gt;AL241,1,0)</f>
        <v>1</v>
      </c>
      <c r="DH241" s="2784">
        <f t="shared" si="637"/>
        <v>1</v>
      </c>
      <c r="DI241" s="2630"/>
      <c r="DJ241" s="2630"/>
      <c r="DK241" s="2630"/>
      <c r="DL241" s="2630"/>
      <c r="DM241" s="2630"/>
      <c r="DN241" s="2784" t="e">
        <f t="shared" si="638"/>
        <v>#VALUE!</v>
      </c>
      <c r="DO241" s="600"/>
      <c r="DP241" s="2784" t="e">
        <f t="shared" si="639"/>
        <v>#VALUE!</v>
      </c>
      <c r="DQ241" s="2784" t="e">
        <f t="shared" si="640"/>
        <v>#VALUE!</v>
      </c>
      <c r="DR241" s="2784">
        <f t="shared" si="641"/>
        <v>1</v>
      </c>
      <c r="DS241" s="2784">
        <f t="shared" si="642"/>
        <v>1</v>
      </c>
      <c r="DT241" s="2784" t="e">
        <f t="shared" si="643"/>
        <v>#VALUE!</v>
      </c>
      <c r="DU241" s="2784">
        <f t="shared" si="644"/>
        <v>1</v>
      </c>
      <c r="DV241" s="2784">
        <f t="shared" si="645"/>
        <v>1</v>
      </c>
      <c r="DW241" s="2784"/>
      <c r="DX241" s="2630"/>
      <c r="DY241" s="6114" t="e">
        <f t="shared" si="646"/>
        <v>#VALUE!</v>
      </c>
      <c r="DZ241" s="6114" t="e">
        <f t="shared" si="647"/>
        <v>#VALUE!</v>
      </c>
      <c r="EA241" s="6114" t="e">
        <f t="shared" si="648"/>
        <v>#VALUE!</v>
      </c>
      <c r="EB241" s="6114" t="e">
        <f t="shared" si="649"/>
        <v>#VALUE!</v>
      </c>
    </row>
    <row r="242" spans="1:132" ht="24" customHeight="1" x14ac:dyDescent="0.3">
      <c r="A242" s="6234">
        <v>11057105</v>
      </c>
      <c r="B242" s="6634"/>
      <c r="C242" s="3554" t="s">
        <v>2704</v>
      </c>
      <c r="D242" s="3270" t="s">
        <v>5292</v>
      </c>
      <c r="E242" s="3242" t="s">
        <v>5293</v>
      </c>
      <c r="F242" s="3546" t="s">
        <v>5294</v>
      </c>
      <c r="G242" s="3547" t="s">
        <v>5295</v>
      </c>
      <c r="H242" s="3548" t="s">
        <v>5296</v>
      </c>
      <c r="I242" s="3547" t="s">
        <v>5297</v>
      </c>
      <c r="J242" s="3548" t="s">
        <v>5298</v>
      </c>
      <c r="K242" s="3547" t="s">
        <v>5299</v>
      </c>
      <c r="L242" s="3548" t="s">
        <v>5300</v>
      </c>
      <c r="M242" s="3547" t="s">
        <v>5301</v>
      </c>
      <c r="N242" s="5038" t="s">
        <v>5302</v>
      </c>
      <c r="O242" s="3511" t="s">
        <v>5303</v>
      </c>
      <c r="P242" s="3479" t="s">
        <v>5304</v>
      </c>
      <c r="Q242" s="3511" t="s">
        <v>5305</v>
      </c>
      <c r="R242" s="5038" t="s">
        <v>5306</v>
      </c>
      <c r="S242" s="3511" t="s">
        <v>5307</v>
      </c>
      <c r="T242" s="5038" t="s">
        <v>5308</v>
      </c>
      <c r="U242" s="3511" t="s">
        <v>5309</v>
      </c>
      <c r="V242" s="5038" t="s">
        <v>5310</v>
      </c>
      <c r="W242" s="3511" t="s">
        <v>5311</v>
      </c>
      <c r="X242" s="3479" t="s">
        <v>5312</v>
      </c>
      <c r="Y242" s="3511" t="s">
        <v>5313</v>
      </c>
      <c r="Z242" s="3479" t="s">
        <v>5314</v>
      </c>
      <c r="AA242" s="3511" t="s">
        <v>5315</v>
      </c>
      <c r="AB242" s="3479" t="s">
        <v>5316</v>
      </c>
      <c r="AC242" s="3511" t="s">
        <v>5317</v>
      </c>
      <c r="AD242" s="5038" t="s">
        <v>5318</v>
      </c>
      <c r="AE242" s="3511" t="s">
        <v>5319</v>
      </c>
      <c r="AF242" s="3479" t="s">
        <v>5320</v>
      </c>
      <c r="AG242" s="3511" t="s">
        <v>5321</v>
      </c>
      <c r="AH242" s="3479" t="s">
        <v>5322</v>
      </c>
      <c r="AI242" s="3511" t="s">
        <v>5323</v>
      </c>
      <c r="AJ242" s="3479" t="s">
        <v>5324</v>
      </c>
      <c r="AK242" s="3512" t="s">
        <v>5325</v>
      </c>
      <c r="AL242" s="5146" t="s">
        <v>5326</v>
      </c>
      <c r="AM242" s="3511" t="s">
        <v>5327</v>
      </c>
      <c r="AN242" s="3479" t="s">
        <v>5328</v>
      </c>
      <c r="AO242" s="3512" t="s">
        <v>5329</v>
      </c>
      <c r="AP242" s="5146" t="s">
        <v>5330</v>
      </c>
      <c r="AQ242" s="3511" t="s">
        <v>5331</v>
      </c>
      <c r="AR242" s="3479" t="s">
        <v>5332</v>
      </c>
      <c r="AS242" s="3512" t="s">
        <v>5333</v>
      </c>
      <c r="AT242" s="5146" t="s">
        <v>5334</v>
      </c>
      <c r="AU242" s="3512" t="s">
        <v>5335</v>
      </c>
      <c r="AV242" s="5146" t="s">
        <v>5336</v>
      </c>
      <c r="AW242" s="3512" t="s">
        <v>5337</v>
      </c>
      <c r="AX242" s="3479" t="s">
        <v>5338</v>
      </c>
      <c r="AY242" s="3511" t="s">
        <v>5339</v>
      </c>
      <c r="AZ242" s="1687" t="e">
        <f t="shared" si="650"/>
        <v>#VALUE!</v>
      </c>
      <c r="CB242" s="3146" t="str">
        <f t="shared" si="622"/>
        <v xml:space="preserve"> * El Total de Exámenes Confirmados Positivos por ISP NO DEBE SUPERAR los  Exámene Procesados. </v>
      </c>
      <c r="CC242" s="2784" t="str">
        <f t="shared" si="651"/>
        <v xml:space="preserve"> * El número de Exámenes por Sexo Hombres Confirmados positivos por ISP NO PUEDE Superar al número de Procesados. </v>
      </c>
      <c r="CD242" s="2784" t="str">
        <f t="shared" si="623"/>
        <v xml:space="preserve"> * El número de Exámenes por Sexo Mujeres Confirmados positivos por ISP NO PUEDE Superar al número de Procesados. </v>
      </c>
      <c r="CE242" s="2630"/>
      <c r="CF242" s="2630"/>
      <c r="CG242" s="2630"/>
      <c r="CH242" s="2630"/>
      <c r="CI242" s="2630"/>
      <c r="CJ242" s="2784" t="e">
        <f t="shared" si="624"/>
        <v>#VALUE!</v>
      </c>
      <c r="CK242" s="600"/>
      <c r="CL242" s="2784" t="e">
        <f t="shared" si="625"/>
        <v>#VALUE!</v>
      </c>
      <c r="CM242" s="2784" t="e">
        <f t="shared" si="626"/>
        <v>#VALUE!</v>
      </c>
      <c r="CN242" s="2784" t="str">
        <f t="shared" si="627"/>
        <v xml:space="preserve"> * Los exámenes procesados Pueblos originarios no pueden ser mayor que el total de exámenes procesados.</v>
      </c>
      <c r="CO242" s="2784" t="str">
        <f t="shared" si="628"/>
        <v xml:space="preserve"> * Los exámenes procesados de Migrantes no pueden ser mayor que el total de exámenes procesados.</v>
      </c>
      <c r="CP242" s="2784" t="e">
        <f t="shared" si="629"/>
        <v>#VALUE!</v>
      </c>
      <c r="CQ242" s="2784" t="str">
        <f t="shared" si="630"/>
        <v xml:space="preserve"> * Los exámenes Confirmados positivos por ISP de Pueblos originarios no pueden ser mayor que el total de exámenes Procesados por ISP.</v>
      </c>
      <c r="CR242" s="2784" t="str">
        <f t="shared" si="631"/>
        <v xml:space="preserve"> * Los exámenes Confirmados positivos por ISP de Migrantes no pueden ser mayor que el total de exámenes Procesados por ISP.</v>
      </c>
      <c r="CS242" s="2784"/>
      <c r="CT242" s="2630"/>
      <c r="CU242" s="6114" t="e">
        <f t="shared" si="632"/>
        <v>#VALUE!</v>
      </c>
      <c r="CV242" s="6114" t="e">
        <f t="shared" si="633"/>
        <v>#VALUE!</v>
      </c>
      <c r="CW242" s="6114" t="e">
        <f t="shared" si="634"/>
        <v>#VALUE!</v>
      </c>
      <c r="CX242" s="6114" t="e">
        <f t="shared" si="635"/>
        <v>#VALUE!</v>
      </c>
      <c r="DF242" s="3146">
        <f t="shared" si="636"/>
        <v>1</v>
      </c>
      <c r="DG242" s="2784">
        <f t="shared" si="652"/>
        <v>1</v>
      </c>
      <c r="DH242" s="2784">
        <f t="shared" si="637"/>
        <v>1</v>
      </c>
      <c r="DI242" s="2630"/>
      <c r="DJ242" s="2630"/>
      <c r="DK242" s="2630"/>
      <c r="DL242" s="2630"/>
      <c r="DM242" s="2630"/>
      <c r="DN242" s="2784" t="e">
        <f t="shared" si="638"/>
        <v>#VALUE!</v>
      </c>
      <c r="DO242" s="600"/>
      <c r="DP242" s="2784" t="e">
        <f t="shared" si="639"/>
        <v>#VALUE!</v>
      </c>
      <c r="DQ242" s="2784" t="e">
        <f t="shared" si="640"/>
        <v>#VALUE!</v>
      </c>
      <c r="DR242" s="2784">
        <f t="shared" si="641"/>
        <v>1</v>
      </c>
      <c r="DS242" s="2784">
        <f t="shared" si="642"/>
        <v>1</v>
      </c>
      <c r="DT242" s="2784" t="e">
        <f t="shared" si="643"/>
        <v>#VALUE!</v>
      </c>
      <c r="DU242" s="2784">
        <f t="shared" si="644"/>
        <v>1</v>
      </c>
      <c r="DV242" s="2784">
        <f t="shared" si="645"/>
        <v>1</v>
      </c>
      <c r="DW242" s="2784"/>
      <c r="DX242" s="2630"/>
      <c r="DY242" s="6114" t="e">
        <f t="shared" si="646"/>
        <v>#VALUE!</v>
      </c>
      <c r="DZ242" s="6114" t="e">
        <f t="shared" si="647"/>
        <v>#VALUE!</v>
      </c>
      <c r="EA242" s="6114" t="e">
        <f t="shared" si="648"/>
        <v>#VALUE!</v>
      </c>
      <c r="EB242" s="6114" t="e">
        <f t="shared" si="649"/>
        <v>#VALUE!</v>
      </c>
    </row>
    <row r="243" spans="1:132" ht="15" customHeight="1" x14ac:dyDescent="0.3">
      <c r="A243" s="6234">
        <v>11057106</v>
      </c>
      <c r="B243" s="6634"/>
      <c r="C243" s="3046" t="s">
        <v>2726</v>
      </c>
      <c r="D243" s="3545" t="s">
        <v>5292</v>
      </c>
      <c r="E243" s="3242" t="s">
        <v>5293</v>
      </c>
      <c r="F243" s="3546" t="s">
        <v>5294</v>
      </c>
      <c r="G243" s="3547" t="s">
        <v>5295</v>
      </c>
      <c r="H243" s="3548" t="s">
        <v>5296</v>
      </c>
      <c r="I243" s="3547" t="s">
        <v>5297</v>
      </c>
      <c r="J243" s="3548" t="s">
        <v>5298</v>
      </c>
      <c r="K243" s="3547" t="s">
        <v>5299</v>
      </c>
      <c r="L243" s="3548" t="s">
        <v>5300</v>
      </c>
      <c r="M243" s="3547" t="s">
        <v>5301</v>
      </c>
      <c r="N243" s="3555" t="s">
        <v>5302</v>
      </c>
      <c r="O243" s="3556" t="s">
        <v>5303</v>
      </c>
      <c r="P243" s="3479" t="s">
        <v>5304</v>
      </c>
      <c r="Q243" s="3511" t="s">
        <v>5305</v>
      </c>
      <c r="R243" s="5038" t="s">
        <v>5306</v>
      </c>
      <c r="S243" s="3511" t="s">
        <v>5307</v>
      </c>
      <c r="T243" s="5038" t="s">
        <v>5308</v>
      </c>
      <c r="U243" s="3511" t="s">
        <v>5309</v>
      </c>
      <c r="V243" s="5038" t="s">
        <v>5310</v>
      </c>
      <c r="W243" s="3511" t="s">
        <v>5311</v>
      </c>
      <c r="X243" s="3479" t="s">
        <v>5312</v>
      </c>
      <c r="Y243" s="3511" t="s">
        <v>5313</v>
      </c>
      <c r="Z243" s="3479" t="s">
        <v>5314</v>
      </c>
      <c r="AA243" s="3511" t="s">
        <v>5315</v>
      </c>
      <c r="AB243" s="3479" t="s">
        <v>5316</v>
      </c>
      <c r="AC243" s="3511" t="s">
        <v>5317</v>
      </c>
      <c r="AD243" s="5038" t="s">
        <v>5318</v>
      </c>
      <c r="AE243" s="3511" t="s">
        <v>5319</v>
      </c>
      <c r="AF243" s="3479" t="s">
        <v>5320</v>
      </c>
      <c r="AG243" s="3511" t="s">
        <v>5321</v>
      </c>
      <c r="AH243" s="3479" t="s">
        <v>5322</v>
      </c>
      <c r="AI243" s="3511" t="s">
        <v>5323</v>
      </c>
      <c r="AJ243" s="3479" t="s">
        <v>5324</v>
      </c>
      <c r="AK243" s="3512" t="s">
        <v>5325</v>
      </c>
      <c r="AL243" s="5146" t="s">
        <v>5326</v>
      </c>
      <c r="AM243" s="3511" t="s">
        <v>5327</v>
      </c>
      <c r="AN243" s="3479" t="s">
        <v>5328</v>
      </c>
      <c r="AO243" s="3512" t="s">
        <v>5329</v>
      </c>
      <c r="AP243" s="5146" t="s">
        <v>5330</v>
      </c>
      <c r="AQ243" s="3511" t="s">
        <v>5331</v>
      </c>
      <c r="AR243" s="3479" t="s">
        <v>5332</v>
      </c>
      <c r="AS243" s="3512" t="s">
        <v>5333</v>
      </c>
      <c r="AT243" s="5146" t="s">
        <v>5334</v>
      </c>
      <c r="AU243" s="3512" t="s">
        <v>5335</v>
      </c>
      <c r="AV243" s="5146" t="s">
        <v>5336</v>
      </c>
      <c r="AW243" s="3512" t="s">
        <v>5337</v>
      </c>
      <c r="AX243" s="3479" t="s">
        <v>5338</v>
      </c>
      <c r="AY243" s="3511" t="s">
        <v>5339</v>
      </c>
      <c r="AZ243" s="1687" t="e">
        <f t="shared" si="650"/>
        <v>#VALUE!</v>
      </c>
      <c r="CB243" s="3146" t="str">
        <f t="shared" si="622"/>
        <v xml:space="preserve"> * El Total de Exámenes Confirmados Positivos por ISP NO DEBE SUPERAR los  Exámene Procesados. </v>
      </c>
      <c r="CC243" s="2784" t="str">
        <f t="shared" si="651"/>
        <v xml:space="preserve"> * El número de Exámenes por Sexo Hombres Confirmados positivos por ISP NO PUEDE Superar al número de Procesados. </v>
      </c>
      <c r="CD243" s="2784" t="str">
        <f t="shared" si="623"/>
        <v xml:space="preserve"> * El número de Exámenes por Sexo Mujeres Confirmados positivos por ISP NO PUEDE Superar al número de Procesados. </v>
      </c>
      <c r="CE243" s="2630"/>
      <c r="CF243" s="2630"/>
      <c r="CG243" s="2630"/>
      <c r="CH243" s="2630"/>
      <c r="CI243" s="2630"/>
      <c r="CJ243" s="2784" t="e">
        <f t="shared" si="624"/>
        <v>#VALUE!</v>
      </c>
      <c r="CK243" s="600"/>
      <c r="CL243" s="2784" t="e">
        <f t="shared" si="625"/>
        <v>#VALUE!</v>
      </c>
      <c r="CM243" s="2784" t="e">
        <f t="shared" si="626"/>
        <v>#VALUE!</v>
      </c>
      <c r="CN243" s="2784" t="str">
        <f t="shared" si="627"/>
        <v xml:space="preserve"> * Los exámenes procesados Pueblos originarios no pueden ser mayor que el total de exámenes procesados.</v>
      </c>
      <c r="CO243" s="2784" t="str">
        <f t="shared" si="628"/>
        <v xml:space="preserve"> * Los exámenes procesados de Migrantes no pueden ser mayor que el total de exámenes procesados.</v>
      </c>
      <c r="CP243" s="2784" t="e">
        <f t="shared" si="629"/>
        <v>#VALUE!</v>
      </c>
      <c r="CQ243" s="2784" t="str">
        <f t="shared" si="630"/>
        <v xml:space="preserve"> * Los exámenes Confirmados positivos por ISP de Pueblos originarios no pueden ser mayor que el total de exámenes Procesados por ISP.</v>
      </c>
      <c r="CR243" s="2784" t="str">
        <f t="shared" si="631"/>
        <v xml:space="preserve"> * Los exámenes Confirmados positivos por ISP de Migrantes no pueden ser mayor que el total de exámenes Procesados por ISP.</v>
      </c>
      <c r="CS243" s="2784"/>
      <c r="CT243" s="2630"/>
      <c r="CU243" s="6114" t="e">
        <f t="shared" si="632"/>
        <v>#VALUE!</v>
      </c>
      <c r="CV243" s="6114" t="e">
        <f t="shared" si="633"/>
        <v>#VALUE!</v>
      </c>
      <c r="CW243" s="6114" t="e">
        <f t="shared" si="634"/>
        <v>#VALUE!</v>
      </c>
      <c r="CX243" s="6114" t="e">
        <f t="shared" si="635"/>
        <v>#VALUE!</v>
      </c>
      <c r="DF243" s="3146">
        <f t="shared" si="636"/>
        <v>1</v>
      </c>
      <c r="DG243" s="2784">
        <f t="shared" si="652"/>
        <v>1</v>
      </c>
      <c r="DH243" s="2784">
        <f t="shared" si="637"/>
        <v>1</v>
      </c>
      <c r="DI243" s="2630"/>
      <c r="DJ243" s="2630"/>
      <c r="DK243" s="2630"/>
      <c r="DL243" s="2630"/>
      <c r="DM243" s="2630"/>
      <c r="DN243" s="2784" t="e">
        <f t="shared" si="638"/>
        <v>#VALUE!</v>
      </c>
      <c r="DO243" s="600"/>
      <c r="DP243" s="2784" t="e">
        <f t="shared" si="639"/>
        <v>#VALUE!</v>
      </c>
      <c r="DQ243" s="2784" t="e">
        <f t="shared" si="640"/>
        <v>#VALUE!</v>
      </c>
      <c r="DR243" s="2784">
        <f t="shared" si="641"/>
        <v>1</v>
      </c>
      <c r="DS243" s="2784">
        <f t="shared" si="642"/>
        <v>1</v>
      </c>
      <c r="DT243" s="2784" t="e">
        <f t="shared" si="643"/>
        <v>#VALUE!</v>
      </c>
      <c r="DU243" s="2784">
        <f t="shared" si="644"/>
        <v>1</v>
      </c>
      <c r="DV243" s="2784">
        <f t="shared" si="645"/>
        <v>1</v>
      </c>
      <c r="DW243" s="2784"/>
      <c r="DX243" s="2630"/>
      <c r="DY243" s="6114" t="e">
        <f t="shared" si="646"/>
        <v>#VALUE!</v>
      </c>
      <c r="DZ243" s="6114" t="e">
        <f t="shared" si="647"/>
        <v>#VALUE!</v>
      </c>
      <c r="EA243" s="6114" t="e">
        <f t="shared" si="648"/>
        <v>#VALUE!</v>
      </c>
      <c r="EB243" s="6114" t="e">
        <f t="shared" si="649"/>
        <v>#VALUE!</v>
      </c>
    </row>
    <row r="244" spans="1:132" ht="24" customHeight="1" x14ac:dyDescent="0.3">
      <c r="A244" s="6234">
        <v>11057107</v>
      </c>
      <c r="B244" s="6634"/>
      <c r="C244" s="3549" t="s">
        <v>2705</v>
      </c>
      <c r="D244" s="3557" t="s">
        <v>5292</v>
      </c>
      <c r="E244" s="4748" t="s">
        <v>5293</v>
      </c>
      <c r="F244" s="612" t="s">
        <v>5294</v>
      </c>
      <c r="G244" s="4522" t="s">
        <v>5295</v>
      </c>
      <c r="H244" s="612" t="s">
        <v>5296</v>
      </c>
      <c r="I244" s="4522" t="s">
        <v>5297</v>
      </c>
      <c r="J244" s="612" t="s">
        <v>5298</v>
      </c>
      <c r="K244" s="4522" t="s">
        <v>5299</v>
      </c>
      <c r="L244" s="612" t="s">
        <v>5300</v>
      </c>
      <c r="M244" s="4522" t="s">
        <v>5301</v>
      </c>
      <c r="N244" s="5038" t="s">
        <v>5302</v>
      </c>
      <c r="O244" s="3511" t="s">
        <v>5303</v>
      </c>
      <c r="P244" s="3479" t="s">
        <v>5304</v>
      </c>
      <c r="Q244" s="3511" t="s">
        <v>5305</v>
      </c>
      <c r="R244" s="5038" t="s">
        <v>5306</v>
      </c>
      <c r="S244" s="3511" t="s">
        <v>5307</v>
      </c>
      <c r="T244" s="5038" t="s">
        <v>5308</v>
      </c>
      <c r="U244" s="3511" t="s">
        <v>5309</v>
      </c>
      <c r="V244" s="5038" t="s">
        <v>5310</v>
      </c>
      <c r="W244" s="3511" t="s">
        <v>5311</v>
      </c>
      <c r="X244" s="3479" t="s">
        <v>5312</v>
      </c>
      <c r="Y244" s="3511" t="s">
        <v>5313</v>
      </c>
      <c r="Z244" s="3479" t="s">
        <v>5314</v>
      </c>
      <c r="AA244" s="3511" t="s">
        <v>5315</v>
      </c>
      <c r="AB244" s="3479" t="s">
        <v>5316</v>
      </c>
      <c r="AC244" s="3511" t="s">
        <v>5317</v>
      </c>
      <c r="AD244" s="5038" t="s">
        <v>5318</v>
      </c>
      <c r="AE244" s="3511" t="s">
        <v>5319</v>
      </c>
      <c r="AF244" s="3479" t="s">
        <v>5320</v>
      </c>
      <c r="AG244" s="3511" t="s">
        <v>5321</v>
      </c>
      <c r="AH244" s="3479" t="s">
        <v>5322</v>
      </c>
      <c r="AI244" s="3511" t="s">
        <v>5323</v>
      </c>
      <c r="AJ244" s="3479" t="s">
        <v>5324</v>
      </c>
      <c r="AK244" s="3512" t="s">
        <v>5325</v>
      </c>
      <c r="AL244" s="5146" t="s">
        <v>5326</v>
      </c>
      <c r="AM244" s="3511" t="s">
        <v>5327</v>
      </c>
      <c r="AN244" s="3479" t="s">
        <v>5328</v>
      </c>
      <c r="AO244" s="3512" t="s">
        <v>5329</v>
      </c>
      <c r="AP244" s="5146" t="s">
        <v>5330</v>
      </c>
      <c r="AQ244" s="3511" t="s">
        <v>5331</v>
      </c>
      <c r="AR244" s="3479" t="s">
        <v>5332</v>
      </c>
      <c r="AS244" s="3512" t="s">
        <v>5333</v>
      </c>
      <c r="AT244" s="5146" t="s">
        <v>5334</v>
      </c>
      <c r="AU244" s="3512" t="s">
        <v>5335</v>
      </c>
      <c r="AV244" s="5146" t="s">
        <v>5336</v>
      </c>
      <c r="AW244" s="3512" t="s">
        <v>5337</v>
      </c>
      <c r="AX244" s="3479" t="s">
        <v>5338</v>
      </c>
      <c r="AY244" s="3511" t="s">
        <v>5339</v>
      </c>
      <c r="AZ244" s="1687" t="e">
        <f t="shared" si="650"/>
        <v>#VALUE!</v>
      </c>
      <c r="CB244" s="3146" t="str">
        <f t="shared" si="622"/>
        <v xml:space="preserve"> * El Total de Exámenes Confirmados Positivos por ISP NO DEBE SUPERAR los  Exámene Procesados. </v>
      </c>
      <c r="CC244" s="2784" t="str">
        <f t="shared" si="651"/>
        <v xml:space="preserve"> * El número de Exámenes por Sexo Hombres Confirmados positivos por ISP NO PUEDE Superar al número de Procesados. </v>
      </c>
      <c r="CD244" s="2784" t="str">
        <f t="shared" si="623"/>
        <v xml:space="preserve"> * El número de Exámenes por Sexo Mujeres Confirmados positivos por ISP NO PUEDE Superar al número de Procesados. </v>
      </c>
      <c r="CE244" s="2630"/>
      <c r="CF244" s="2630"/>
      <c r="CG244" s="2630"/>
      <c r="CH244" s="2630"/>
      <c r="CI244" s="2630"/>
      <c r="CJ244" s="2784" t="e">
        <f t="shared" si="624"/>
        <v>#VALUE!</v>
      </c>
      <c r="CK244" s="600"/>
      <c r="CL244" s="2784" t="e">
        <f t="shared" si="625"/>
        <v>#VALUE!</v>
      </c>
      <c r="CM244" s="2784" t="e">
        <f t="shared" si="626"/>
        <v>#VALUE!</v>
      </c>
      <c r="CN244" s="2784" t="str">
        <f t="shared" si="627"/>
        <v xml:space="preserve"> * Los exámenes procesados Pueblos originarios no pueden ser mayor que el total de exámenes procesados.</v>
      </c>
      <c r="CO244" s="2784" t="str">
        <f t="shared" si="628"/>
        <v xml:space="preserve"> * Los exámenes procesados de Migrantes no pueden ser mayor que el total de exámenes procesados.</v>
      </c>
      <c r="CP244" s="2784" t="e">
        <f t="shared" si="629"/>
        <v>#VALUE!</v>
      </c>
      <c r="CQ244" s="2784" t="str">
        <f t="shared" si="630"/>
        <v xml:space="preserve"> * Los exámenes Confirmados positivos por ISP de Pueblos originarios no pueden ser mayor que el total de exámenes Procesados por ISP.</v>
      </c>
      <c r="CR244" s="2784" t="str">
        <f t="shared" si="631"/>
        <v xml:space="preserve"> * Los exámenes Confirmados positivos por ISP de Migrantes no pueden ser mayor que el total de exámenes Procesados por ISP.</v>
      </c>
      <c r="CS244" s="2784"/>
      <c r="CT244" s="2630"/>
      <c r="CU244" s="6114" t="e">
        <f t="shared" si="632"/>
        <v>#VALUE!</v>
      </c>
      <c r="CV244" s="6114" t="e">
        <f t="shared" si="633"/>
        <v>#VALUE!</v>
      </c>
      <c r="CW244" s="6114" t="e">
        <f t="shared" si="634"/>
        <v>#VALUE!</v>
      </c>
      <c r="CX244" s="6114" t="e">
        <f t="shared" si="635"/>
        <v>#VALUE!</v>
      </c>
      <c r="DF244" s="3146">
        <f t="shared" si="636"/>
        <v>1</v>
      </c>
      <c r="DG244" s="2784">
        <f t="shared" si="652"/>
        <v>1</v>
      </c>
      <c r="DH244" s="2784">
        <f t="shared" si="637"/>
        <v>1</v>
      </c>
      <c r="DI244" s="2630"/>
      <c r="DJ244" s="2630"/>
      <c r="DK244" s="2630"/>
      <c r="DL244" s="2630"/>
      <c r="DM244" s="2630"/>
      <c r="DN244" s="2784" t="e">
        <f t="shared" si="638"/>
        <v>#VALUE!</v>
      </c>
      <c r="DO244" s="600"/>
      <c r="DP244" s="2784" t="e">
        <f t="shared" si="639"/>
        <v>#VALUE!</v>
      </c>
      <c r="DQ244" s="2784" t="e">
        <f t="shared" si="640"/>
        <v>#VALUE!</v>
      </c>
      <c r="DR244" s="2784">
        <f t="shared" si="641"/>
        <v>1</v>
      </c>
      <c r="DS244" s="2784">
        <f t="shared" si="642"/>
        <v>1</v>
      </c>
      <c r="DT244" s="2784" t="e">
        <f t="shared" si="643"/>
        <v>#VALUE!</v>
      </c>
      <c r="DU244" s="2784">
        <f t="shared" si="644"/>
        <v>1</v>
      </c>
      <c r="DV244" s="2784">
        <f t="shared" si="645"/>
        <v>1</v>
      </c>
      <c r="DW244" s="2784"/>
      <c r="DX244" s="2630"/>
      <c r="DY244" s="6114" t="e">
        <f t="shared" si="646"/>
        <v>#VALUE!</v>
      </c>
      <c r="DZ244" s="6114" t="e">
        <f t="shared" si="647"/>
        <v>#VALUE!</v>
      </c>
      <c r="EA244" s="6114" t="e">
        <f t="shared" si="648"/>
        <v>#VALUE!</v>
      </c>
      <c r="EB244" s="6114" t="e">
        <f t="shared" si="649"/>
        <v>#VALUE!</v>
      </c>
    </row>
    <row r="245" spans="1:132" ht="15" customHeight="1" x14ac:dyDescent="0.3">
      <c r="A245" s="6234">
        <v>11057108</v>
      </c>
      <c r="B245" s="6634"/>
      <c r="C245" s="3549" t="s">
        <v>2674</v>
      </c>
      <c r="D245" s="3545" t="s">
        <v>5292</v>
      </c>
      <c r="E245" s="4748" t="s">
        <v>5293</v>
      </c>
      <c r="F245" s="3546" t="s">
        <v>5294</v>
      </c>
      <c r="G245" s="3547" t="s">
        <v>5295</v>
      </c>
      <c r="H245" s="3548" t="s">
        <v>5296</v>
      </c>
      <c r="I245" s="3547" t="s">
        <v>5297</v>
      </c>
      <c r="J245" s="3548" t="s">
        <v>5298</v>
      </c>
      <c r="K245" s="3547" t="s">
        <v>5299</v>
      </c>
      <c r="L245" s="3548" t="s">
        <v>5300</v>
      </c>
      <c r="M245" s="3547" t="s">
        <v>5301</v>
      </c>
      <c r="N245" s="3479" t="s">
        <v>5302</v>
      </c>
      <c r="O245" s="3511" t="s">
        <v>5303</v>
      </c>
      <c r="P245" s="5151" t="s">
        <v>5304</v>
      </c>
      <c r="Q245" s="3511" t="s">
        <v>5305</v>
      </c>
      <c r="R245" s="5038" t="s">
        <v>5306</v>
      </c>
      <c r="S245" s="3511" t="s">
        <v>5307</v>
      </c>
      <c r="T245" s="5038" t="s">
        <v>5308</v>
      </c>
      <c r="U245" s="3511" t="s">
        <v>5309</v>
      </c>
      <c r="V245" s="5038" t="s">
        <v>5310</v>
      </c>
      <c r="W245" s="3511" t="s">
        <v>5311</v>
      </c>
      <c r="X245" s="3479" t="s">
        <v>5312</v>
      </c>
      <c r="Y245" s="3511" t="s">
        <v>5313</v>
      </c>
      <c r="Z245" s="3479" t="s">
        <v>5314</v>
      </c>
      <c r="AA245" s="3511" t="s">
        <v>5315</v>
      </c>
      <c r="AB245" s="3479" t="s">
        <v>5316</v>
      </c>
      <c r="AC245" s="3511" t="s">
        <v>5317</v>
      </c>
      <c r="AD245" s="5038" t="s">
        <v>5318</v>
      </c>
      <c r="AE245" s="3511" t="s">
        <v>5319</v>
      </c>
      <c r="AF245" s="3479" t="s">
        <v>5320</v>
      </c>
      <c r="AG245" s="3511" t="s">
        <v>5321</v>
      </c>
      <c r="AH245" s="3479" t="s">
        <v>5322</v>
      </c>
      <c r="AI245" s="3511" t="s">
        <v>5323</v>
      </c>
      <c r="AJ245" s="3479" t="s">
        <v>5324</v>
      </c>
      <c r="AK245" s="3512" t="s">
        <v>5325</v>
      </c>
      <c r="AL245" s="5146" t="s">
        <v>5326</v>
      </c>
      <c r="AM245" s="3511" t="s">
        <v>5327</v>
      </c>
      <c r="AN245" s="3479" t="s">
        <v>5328</v>
      </c>
      <c r="AO245" s="3512" t="s">
        <v>5329</v>
      </c>
      <c r="AP245" s="5146" t="s">
        <v>5330</v>
      </c>
      <c r="AQ245" s="3511" t="s">
        <v>5331</v>
      </c>
      <c r="AR245" s="3479" t="s">
        <v>5332</v>
      </c>
      <c r="AS245" s="3512" t="s">
        <v>5333</v>
      </c>
      <c r="AT245" s="5146" t="s">
        <v>5334</v>
      </c>
      <c r="AU245" s="3512" t="s">
        <v>5335</v>
      </c>
      <c r="AV245" s="5146" t="s">
        <v>5336</v>
      </c>
      <c r="AW245" s="3512" t="s">
        <v>5337</v>
      </c>
      <c r="AX245" s="3479" t="s">
        <v>5338</v>
      </c>
      <c r="AY245" s="3511" t="s">
        <v>5339</v>
      </c>
      <c r="AZ245" s="1687" t="e">
        <f t="shared" si="650"/>
        <v>#VALUE!</v>
      </c>
      <c r="CB245" s="3146" t="str">
        <f t="shared" si="622"/>
        <v xml:space="preserve"> * El Total de Exámenes Confirmados Positivos por ISP NO DEBE SUPERAR los  Exámene Procesados. </v>
      </c>
      <c r="CC245" s="2784" t="str">
        <f t="shared" si="651"/>
        <v xml:space="preserve"> * El número de Exámenes por Sexo Hombres Confirmados positivos por ISP NO PUEDE Superar al número de Procesados. </v>
      </c>
      <c r="CD245" s="2784" t="str">
        <f t="shared" si="623"/>
        <v xml:space="preserve"> * El número de Exámenes por Sexo Mujeres Confirmados positivos por ISP NO PUEDE Superar al número de Procesados. </v>
      </c>
      <c r="CE245" s="2630"/>
      <c r="CF245" s="2630"/>
      <c r="CG245" s="2630"/>
      <c r="CH245" s="2630"/>
      <c r="CI245" s="2630"/>
      <c r="CJ245" s="2784" t="e">
        <f t="shared" si="624"/>
        <v>#VALUE!</v>
      </c>
      <c r="CK245" s="600"/>
      <c r="CL245" s="2784" t="e">
        <f t="shared" si="625"/>
        <v>#VALUE!</v>
      </c>
      <c r="CM245" s="2784" t="e">
        <f t="shared" si="626"/>
        <v>#VALUE!</v>
      </c>
      <c r="CN245" s="2784" t="str">
        <f t="shared" si="627"/>
        <v xml:space="preserve"> * Los exámenes procesados Pueblos originarios no pueden ser mayor que el total de exámenes procesados.</v>
      </c>
      <c r="CO245" s="2784" t="str">
        <f t="shared" si="628"/>
        <v xml:space="preserve"> * Los exámenes procesados de Migrantes no pueden ser mayor que el total de exámenes procesados.</v>
      </c>
      <c r="CP245" s="2784" t="e">
        <f t="shared" si="629"/>
        <v>#VALUE!</v>
      </c>
      <c r="CQ245" s="2784" t="str">
        <f t="shared" si="630"/>
        <v xml:space="preserve"> * Los exámenes Confirmados positivos por ISP de Pueblos originarios no pueden ser mayor que el total de exámenes Procesados por ISP.</v>
      </c>
      <c r="CR245" s="2784" t="str">
        <f t="shared" si="631"/>
        <v xml:space="preserve"> * Los exámenes Confirmados positivos por ISP de Migrantes no pueden ser mayor que el total de exámenes Procesados por ISP.</v>
      </c>
      <c r="CS245" s="2784"/>
      <c r="CT245" s="2630"/>
      <c r="CU245" s="6114" t="e">
        <f t="shared" si="632"/>
        <v>#VALUE!</v>
      </c>
      <c r="CV245" s="6114" t="e">
        <f t="shared" si="633"/>
        <v>#VALUE!</v>
      </c>
      <c r="CW245" s="6114" t="e">
        <f t="shared" si="634"/>
        <v>#VALUE!</v>
      </c>
      <c r="CX245" s="6114" t="e">
        <f t="shared" si="635"/>
        <v>#VALUE!</v>
      </c>
      <c r="DF245" s="3146">
        <f t="shared" si="636"/>
        <v>1</v>
      </c>
      <c r="DG245" s="2784">
        <f t="shared" si="652"/>
        <v>1</v>
      </c>
      <c r="DH245" s="2784">
        <f t="shared" si="637"/>
        <v>1</v>
      </c>
      <c r="DI245" s="2630"/>
      <c r="DJ245" s="2630"/>
      <c r="DK245" s="2630"/>
      <c r="DL245" s="2630"/>
      <c r="DM245" s="2630"/>
      <c r="DN245" s="2784" t="e">
        <f t="shared" si="638"/>
        <v>#VALUE!</v>
      </c>
      <c r="DO245" s="600"/>
      <c r="DP245" s="2784" t="e">
        <f t="shared" si="639"/>
        <v>#VALUE!</v>
      </c>
      <c r="DQ245" s="2784" t="e">
        <f t="shared" si="640"/>
        <v>#VALUE!</v>
      </c>
      <c r="DR245" s="2784">
        <f t="shared" si="641"/>
        <v>1</v>
      </c>
      <c r="DS245" s="2784">
        <f t="shared" si="642"/>
        <v>1</v>
      </c>
      <c r="DT245" s="2784" t="e">
        <f t="shared" si="643"/>
        <v>#VALUE!</v>
      </c>
      <c r="DU245" s="2784">
        <f t="shared" si="644"/>
        <v>1</v>
      </c>
      <c r="DV245" s="2784">
        <f t="shared" si="645"/>
        <v>1</v>
      </c>
      <c r="DW245" s="2784"/>
      <c r="DX245" s="2630"/>
      <c r="DY245" s="6114" t="e">
        <f t="shared" si="646"/>
        <v>#VALUE!</v>
      </c>
      <c r="DZ245" s="6114" t="e">
        <f t="shared" si="647"/>
        <v>#VALUE!</v>
      </c>
      <c r="EA245" s="6114" t="e">
        <f t="shared" si="648"/>
        <v>#VALUE!</v>
      </c>
      <c r="EB245" s="6114" t="e">
        <f t="shared" si="649"/>
        <v>#VALUE!</v>
      </c>
    </row>
    <row r="246" spans="1:132" ht="15" customHeight="1" x14ac:dyDescent="0.3">
      <c r="A246" s="6234">
        <v>11057109</v>
      </c>
      <c r="B246" s="6634"/>
      <c r="C246" s="3046" t="s">
        <v>2706</v>
      </c>
      <c r="D246" s="3545" t="s">
        <v>5292</v>
      </c>
      <c r="E246" s="4748" t="s">
        <v>5293</v>
      </c>
      <c r="F246" s="3546" t="s">
        <v>5294</v>
      </c>
      <c r="G246" s="3547" t="s">
        <v>5295</v>
      </c>
      <c r="H246" s="3548" t="s">
        <v>5296</v>
      </c>
      <c r="I246" s="3547" t="s">
        <v>5297</v>
      </c>
      <c r="J246" s="3548" t="s">
        <v>5298</v>
      </c>
      <c r="K246" s="3547" t="s">
        <v>5299</v>
      </c>
      <c r="L246" s="3548" t="s">
        <v>5300</v>
      </c>
      <c r="M246" s="3547" t="s">
        <v>5301</v>
      </c>
      <c r="N246" s="3479" t="s">
        <v>5302</v>
      </c>
      <c r="O246" s="3511" t="s">
        <v>5303</v>
      </c>
      <c r="P246" s="3479" t="s">
        <v>5304</v>
      </c>
      <c r="Q246" s="3511" t="s">
        <v>5305</v>
      </c>
      <c r="R246" s="5038" t="s">
        <v>5306</v>
      </c>
      <c r="S246" s="3511" t="s">
        <v>5307</v>
      </c>
      <c r="T246" s="5038" t="s">
        <v>5308</v>
      </c>
      <c r="U246" s="3511" t="s">
        <v>5309</v>
      </c>
      <c r="V246" s="5038" t="s">
        <v>5310</v>
      </c>
      <c r="W246" s="3511" t="s">
        <v>5311</v>
      </c>
      <c r="X246" s="3479" t="s">
        <v>5312</v>
      </c>
      <c r="Y246" s="3511" t="s">
        <v>5313</v>
      </c>
      <c r="Z246" s="3479" t="s">
        <v>5314</v>
      </c>
      <c r="AA246" s="3511" t="s">
        <v>5315</v>
      </c>
      <c r="AB246" s="3479" t="s">
        <v>5316</v>
      </c>
      <c r="AC246" s="3511" t="s">
        <v>5317</v>
      </c>
      <c r="AD246" s="5038" t="s">
        <v>5318</v>
      </c>
      <c r="AE246" s="3511" t="s">
        <v>5319</v>
      </c>
      <c r="AF246" s="3479" t="s">
        <v>5320</v>
      </c>
      <c r="AG246" s="3511" t="s">
        <v>5321</v>
      </c>
      <c r="AH246" s="3479" t="s">
        <v>5322</v>
      </c>
      <c r="AI246" s="3511" t="s">
        <v>5323</v>
      </c>
      <c r="AJ246" s="3479" t="s">
        <v>5324</v>
      </c>
      <c r="AK246" s="3512" t="s">
        <v>5325</v>
      </c>
      <c r="AL246" s="5146" t="s">
        <v>5326</v>
      </c>
      <c r="AM246" s="3511" t="s">
        <v>5327</v>
      </c>
      <c r="AN246" s="3479" t="s">
        <v>5328</v>
      </c>
      <c r="AO246" s="3512" t="s">
        <v>5329</v>
      </c>
      <c r="AP246" s="5146" t="s">
        <v>5330</v>
      </c>
      <c r="AQ246" s="3511" t="s">
        <v>5331</v>
      </c>
      <c r="AR246" s="3479" t="s">
        <v>5332</v>
      </c>
      <c r="AS246" s="3512" t="s">
        <v>5333</v>
      </c>
      <c r="AT246" s="5146" t="s">
        <v>5334</v>
      </c>
      <c r="AU246" s="3512" t="s">
        <v>5335</v>
      </c>
      <c r="AV246" s="5146" t="s">
        <v>5336</v>
      </c>
      <c r="AW246" s="3512" t="s">
        <v>5337</v>
      </c>
      <c r="AX246" s="3479" t="s">
        <v>5338</v>
      </c>
      <c r="AY246" s="3511" t="s">
        <v>5339</v>
      </c>
      <c r="AZ246" s="1687" t="e">
        <f t="shared" si="650"/>
        <v>#VALUE!</v>
      </c>
      <c r="CB246" s="3146" t="str">
        <f>IF(E246&gt;D246," * El Total de Exámenes Confirmados Positivos por ISP NO DEBE SUPERAR los  Exámene Procesados. ","")</f>
        <v xml:space="preserve"> * El Total de Exámenes Confirmados Positivos por ISP NO DEBE SUPERAR los  Exámene Procesados. </v>
      </c>
      <c r="CC246" s="2784" t="str">
        <f t="shared" si="651"/>
        <v xml:space="preserve"> * El número de Exámenes por Sexo Hombres Confirmados positivos por ISP NO PUEDE Superar al número de Procesados. </v>
      </c>
      <c r="CD246" s="2784" t="str">
        <f t="shared" si="623"/>
        <v xml:space="preserve"> * El número de Exámenes por Sexo Mujeres Confirmados positivos por ISP NO PUEDE Superar al número de Procesados. </v>
      </c>
      <c r="CE246" s="2630"/>
      <c r="CF246" s="2630"/>
      <c r="CG246" s="2630"/>
      <c r="CH246" s="2630"/>
      <c r="CI246" s="2630"/>
      <c r="CJ246" s="2784" t="e">
        <f t="shared" si="624"/>
        <v>#VALUE!</v>
      </c>
      <c r="CK246" s="600"/>
      <c r="CL246" s="2784" t="e">
        <f t="shared" si="625"/>
        <v>#VALUE!</v>
      </c>
      <c r="CM246" s="2784" t="e">
        <f t="shared" si="626"/>
        <v>#VALUE!</v>
      </c>
      <c r="CN246" s="2784" t="str">
        <f t="shared" si="627"/>
        <v xml:space="preserve"> * Los exámenes procesados Pueblos originarios no pueden ser mayor que el total de exámenes procesados.</v>
      </c>
      <c r="CO246" s="2784" t="str">
        <f t="shared" si="628"/>
        <v xml:space="preserve"> * Los exámenes procesados de Migrantes no pueden ser mayor que el total de exámenes procesados.</v>
      </c>
      <c r="CP246" s="2784" t="e">
        <f t="shared" si="629"/>
        <v>#VALUE!</v>
      </c>
      <c r="CQ246" s="2784" t="str">
        <f t="shared" si="630"/>
        <v xml:space="preserve"> * Los exámenes Confirmados positivos por ISP de Pueblos originarios no pueden ser mayor que el total de exámenes Procesados por ISP.</v>
      </c>
      <c r="CR246" s="2784" t="str">
        <f t="shared" si="631"/>
        <v xml:space="preserve"> * Los exámenes Confirmados positivos por ISP de Migrantes no pueden ser mayor que el total de exámenes Procesados por ISP.</v>
      </c>
      <c r="CS246" s="2784"/>
      <c r="CT246" s="2630"/>
      <c r="CU246" s="6114" t="e">
        <f>IF(AX246&gt;(N246+P246),"* El Total de Procesados de 14-18 años NO DEBE ser mayor al Total de Procesados registrados en los grupos de edad 10 a 14 y 15 a 19 años. ","")</f>
        <v>#VALUE!</v>
      </c>
      <c r="CV246" s="6114" t="e">
        <f t="shared" ref="CV246:CV248" si="653">IF(AY246&gt;(O246+Q246),"* El Total de Confirmados de 14-18 años NO DEBE ser mayor al Total de Confirmados registrados en los grupos de edad 10 a 14 y 15 a 19 años. ","")</f>
        <v>#VALUE!</v>
      </c>
      <c r="CW246" s="6114" t="e">
        <f t="shared" si="634"/>
        <v>#VALUE!</v>
      </c>
      <c r="CX246" s="6114" t="e">
        <f t="shared" si="635"/>
        <v>#VALUE!</v>
      </c>
      <c r="DF246" s="3146">
        <f t="shared" si="636"/>
        <v>1</v>
      </c>
      <c r="DG246" s="2784">
        <f t="shared" si="652"/>
        <v>1</v>
      </c>
      <c r="DH246" s="2784">
        <f t="shared" si="637"/>
        <v>1</v>
      </c>
      <c r="DI246" s="2630"/>
      <c r="DJ246" s="2630"/>
      <c r="DK246" s="2630"/>
      <c r="DL246" s="2630"/>
      <c r="DM246" s="2630"/>
      <c r="DN246" s="2784" t="e">
        <f t="shared" si="638"/>
        <v>#VALUE!</v>
      </c>
      <c r="DO246" s="600"/>
      <c r="DP246" s="2784" t="e">
        <f t="shared" si="639"/>
        <v>#VALUE!</v>
      </c>
      <c r="DQ246" s="2784" t="e">
        <f t="shared" si="640"/>
        <v>#VALUE!</v>
      </c>
      <c r="DR246" s="2784">
        <f t="shared" si="641"/>
        <v>1</v>
      </c>
      <c r="DS246" s="2784">
        <f t="shared" si="642"/>
        <v>1</v>
      </c>
      <c r="DT246" s="2784" t="e">
        <f t="shared" si="643"/>
        <v>#VALUE!</v>
      </c>
      <c r="DU246" s="2784">
        <f t="shared" si="644"/>
        <v>1</v>
      </c>
      <c r="DV246" s="2784">
        <f t="shared" si="645"/>
        <v>1</v>
      </c>
      <c r="DW246" s="2784"/>
      <c r="DX246" s="2630"/>
      <c r="DY246" s="6114" t="e">
        <f t="shared" ref="DY246:DY248" si="654">IF(AX246&gt;(N246+P246),1,0)</f>
        <v>#VALUE!</v>
      </c>
      <c r="DZ246" s="6114" t="e">
        <f t="shared" ref="DZ246:DZ248" si="655">IF(AY246&gt;(O246+Q246),1,0)</f>
        <v>#VALUE!</v>
      </c>
      <c r="EA246" s="6114" t="e">
        <f t="shared" si="648"/>
        <v>#VALUE!</v>
      </c>
      <c r="EB246" s="6114" t="e">
        <f t="shared" si="649"/>
        <v>#VALUE!</v>
      </c>
    </row>
    <row r="247" spans="1:132" ht="15" customHeight="1" x14ac:dyDescent="0.3">
      <c r="A247" s="6234">
        <v>11057110</v>
      </c>
      <c r="B247" s="6634"/>
      <c r="C247" s="3046" t="s">
        <v>2676</v>
      </c>
      <c r="D247" s="3545" t="s">
        <v>5292</v>
      </c>
      <c r="E247" s="4748" t="s">
        <v>5293</v>
      </c>
      <c r="F247" s="612" t="s">
        <v>5294</v>
      </c>
      <c r="G247" s="4522" t="s">
        <v>5295</v>
      </c>
      <c r="H247" s="612" t="s">
        <v>5296</v>
      </c>
      <c r="I247" s="4522" t="s">
        <v>5297</v>
      </c>
      <c r="J247" s="612" t="s">
        <v>5298</v>
      </c>
      <c r="K247" s="4522" t="s">
        <v>5299</v>
      </c>
      <c r="L247" s="612" t="s">
        <v>5300</v>
      </c>
      <c r="M247" s="4522" t="s">
        <v>5301</v>
      </c>
      <c r="N247" s="3479" t="s">
        <v>5302</v>
      </c>
      <c r="O247" s="3511" t="s">
        <v>5303</v>
      </c>
      <c r="P247" s="3479" t="s">
        <v>5304</v>
      </c>
      <c r="Q247" s="3511" t="s">
        <v>5305</v>
      </c>
      <c r="R247" s="5038" t="s">
        <v>5306</v>
      </c>
      <c r="S247" s="3511" t="s">
        <v>5307</v>
      </c>
      <c r="T247" s="5038" t="s">
        <v>5308</v>
      </c>
      <c r="U247" s="3511" t="s">
        <v>5309</v>
      </c>
      <c r="V247" s="5038" t="s">
        <v>5310</v>
      </c>
      <c r="W247" s="3511" t="s">
        <v>5311</v>
      </c>
      <c r="X247" s="3479" t="s">
        <v>5312</v>
      </c>
      <c r="Y247" s="3511" t="s">
        <v>5313</v>
      </c>
      <c r="Z247" s="3479" t="s">
        <v>5314</v>
      </c>
      <c r="AA247" s="3511" t="s">
        <v>5315</v>
      </c>
      <c r="AB247" s="3479" t="s">
        <v>5316</v>
      </c>
      <c r="AC247" s="3511" t="s">
        <v>5317</v>
      </c>
      <c r="AD247" s="5038" t="s">
        <v>5318</v>
      </c>
      <c r="AE247" s="3511" t="s">
        <v>5319</v>
      </c>
      <c r="AF247" s="3479" t="s">
        <v>5320</v>
      </c>
      <c r="AG247" s="3511" t="s">
        <v>5321</v>
      </c>
      <c r="AH247" s="3479" t="s">
        <v>5322</v>
      </c>
      <c r="AI247" s="3511" t="s">
        <v>5323</v>
      </c>
      <c r="AJ247" s="3479" t="s">
        <v>5324</v>
      </c>
      <c r="AK247" s="3512" t="s">
        <v>5325</v>
      </c>
      <c r="AL247" s="5146" t="s">
        <v>5326</v>
      </c>
      <c r="AM247" s="3511" t="s">
        <v>5327</v>
      </c>
      <c r="AN247" s="3479" t="s">
        <v>5328</v>
      </c>
      <c r="AO247" s="3512" t="s">
        <v>5329</v>
      </c>
      <c r="AP247" s="5146" t="s">
        <v>5330</v>
      </c>
      <c r="AQ247" s="3511" t="s">
        <v>5331</v>
      </c>
      <c r="AR247" s="3479" t="s">
        <v>5332</v>
      </c>
      <c r="AS247" s="3512" t="s">
        <v>5333</v>
      </c>
      <c r="AT247" s="5146" t="s">
        <v>5334</v>
      </c>
      <c r="AU247" s="3512" t="s">
        <v>5335</v>
      </c>
      <c r="AV247" s="5146" t="s">
        <v>5336</v>
      </c>
      <c r="AW247" s="3512" t="s">
        <v>5337</v>
      </c>
      <c r="AX247" s="3479" t="s">
        <v>5338</v>
      </c>
      <c r="AY247" s="3511" t="s">
        <v>5339</v>
      </c>
      <c r="AZ247" s="1687" t="e">
        <f t="shared" si="650"/>
        <v>#VALUE!</v>
      </c>
      <c r="CB247" s="3146" t="str">
        <f t="shared" ref="CB247:CB259" si="656">IF(E247&gt;D247," * El Total de Exámenes Confirmados Positivos por ISP NO DEBE SUPERAR los  Exámene Procesados. ","")</f>
        <v xml:space="preserve"> * El Total de Exámenes Confirmados Positivos por ISP NO DEBE SUPERAR los  Exámene Procesados. </v>
      </c>
      <c r="CC247" s="2784" t="str">
        <f t="shared" si="651"/>
        <v xml:space="preserve"> * El número de Exámenes por Sexo Hombres Confirmados positivos por ISP NO PUEDE Superar al número de Procesados. </v>
      </c>
      <c r="CD247" s="2784" t="str">
        <f t="shared" si="623"/>
        <v xml:space="preserve"> * El número de Exámenes por Sexo Mujeres Confirmados positivos por ISP NO PUEDE Superar al número de Procesados. </v>
      </c>
      <c r="CE247" s="2630"/>
      <c r="CF247" s="2630"/>
      <c r="CG247" s="2630"/>
      <c r="CH247" s="2630"/>
      <c r="CI247" s="2630"/>
      <c r="CJ247" s="2784" t="e">
        <f t="shared" si="624"/>
        <v>#VALUE!</v>
      </c>
      <c r="CK247" s="600"/>
      <c r="CL247" s="2784" t="e">
        <f t="shared" si="625"/>
        <v>#VALUE!</v>
      </c>
      <c r="CM247" s="2784" t="e">
        <f t="shared" si="626"/>
        <v>#VALUE!</v>
      </c>
      <c r="CN247" s="2784" t="str">
        <f t="shared" si="627"/>
        <v xml:space="preserve"> * Los exámenes procesados Pueblos originarios no pueden ser mayor que el total de exámenes procesados.</v>
      </c>
      <c r="CO247" s="2784" t="str">
        <f t="shared" si="628"/>
        <v xml:space="preserve"> * Los exámenes procesados de Migrantes no pueden ser mayor que el total de exámenes procesados.</v>
      </c>
      <c r="CP247" s="2784" t="e">
        <f t="shared" si="629"/>
        <v>#VALUE!</v>
      </c>
      <c r="CQ247" s="2784" t="str">
        <f t="shared" si="630"/>
        <v xml:space="preserve"> * Los exámenes Confirmados positivos por ISP de Pueblos originarios no pueden ser mayor que el total de exámenes Procesados por ISP.</v>
      </c>
      <c r="CR247" s="2784" t="str">
        <f t="shared" si="631"/>
        <v xml:space="preserve"> * Los exámenes Confirmados positivos por ISP de Migrantes no pueden ser mayor que el total de exámenes Procesados por ISP.</v>
      </c>
      <c r="CS247" s="2784"/>
      <c r="CT247" s="2630"/>
      <c r="CU247" s="6114" t="e">
        <f t="shared" ref="CU247:CU248" si="657">IF(AX247&gt;(N247+P247),"* El Total de Procesados de 14-18 años NO DEBE ser mayor al Total de Procesados registrados en los grupos de edad 10 a 14 y 15 a 19 años. ","")</f>
        <v>#VALUE!</v>
      </c>
      <c r="CV247" s="6114" t="e">
        <f t="shared" si="653"/>
        <v>#VALUE!</v>
      </c>
      <c r="CW247" s="6114" t="e">
        <f t="shared" si="634"/>
        <v>#VALUE!</v>
      </c>
      <c r="CX247" s="6114" t="e">
        <f t="shared" si="635"/>
        <v>#VALUE!</v>
      </c>
      <c r="DF247" s="3146">
        <f t="shared" si="636"/>
        <v>1</v>
      </c>
      <c r="DG247" s="2784">
        <f t="shared" si="652"/>
        <v>1</v>
      </c>
      <c r="DH247" s="2784">
        <f t="shared" si="637"/>
        <v>1</v>
      </c>
      <c r="DI247" s="2630"/>
      <c r="DJ247" s="2630"/>
      <c r="DK247" s="2630"/>
      <c r="DL247" s="2630"/>
      <c r="DM247" s="2630"/>
      <c r="DN247" s="2784" t="e">
        <f t="shared" si="638"/>
        <v>#VALUE!</v>
      </c>
      <c r="DO247" s="600"/>
      <c r="DP247" s="2784" t="e">
        <f t="shared" si="639"/>
        <v>#VALUE!</v>
      </c>
      <c r="DQ247" s="2784" t="e">
        <f t="shared" si="640"/>
        <v>#VALUE!</v>
      </c>
      <c r="DR247" s="2784">
        <f t="shared" si="641"/>
        <v>1</v>
      </c>
      <c r="DS247" s="2784">
        <f t="shared" si="642"/>
        <v>1</v>
      </c>
      <c r="DT247" s="2784" t="e">
        <f t="shared" si="643"/>
        <v>#VALUE!</v>
      </c>
      <c r="DU247" s="2784">
        <f t="shared" si="644"/>
        <v>1</v>
      </c>
      <c r="DV247" s="2784">
        <f t="shared" si="645"/>
        <v>1</v>
      </c>
      <c r="DW247" s="2784"/>
      <c r="DX247" s="2630"/>
      <c r="DY247" s="6114" t="e">
        <f t="shared" si="654"/>
        <v>#VALUE!</v>
      </c>
      <c r="DZ247" s="6114" t="e">
        <f t="shared" si="655"/>
        <v>#VALUE!</v>
      </c>
      <c r="EA247" s="6114" t="e">
        <f t="shared" si="648"/>
        <v>#VALUE!</v>
      </c>
      <c r="EB247" s="6114" t="e">
        <f t="shared" si="649"/>
        <v>#VALUE!</v>
      </c>
    </row>
    <row r="248" spans="1:132" ht="15" customHeight="1" x14ac:dyDescent="0.3">
      <c r="A248" s="6234">
        <v>11057111</v>
      </c>
      <c r="B248" s="6634"/>
      <c r="C248" s="3046" t="s">
        <v>2707</v>
      </c>
      <c r="D248" s="3545" t="s">
        <v>5292</v>
      </c>
      <c r="E248" s="3242" t="s">
        <v>5293</v>
      </c>
      <c r="F248" s="3546" t="s">
        <v>5294</v>
      </c>
      <c r="G248" s="3547" t="s">
        <v>5295</v>
      </c>
      <c r="H248" s="3548" t="s">
        <v>5296</v>
      </c>
      <c r="I248" s="3547" t="s">
        <v>5297</v>
      </c>
      <c r="J248" s="3548" t="s">
        <v>5298</v>
      </c>
      <c r="K248" s="3547" t="s">
        <v>5299</v>
      </c>
      <c r="L248" s="3548" t="s">
        <v>5300</v>
      </c>
      <c r="M248" s="3547" t="s">
        <v>5301</v>
      </c>
      <c r="N248" s="3548" t="s">
        <v>5302</v>
      </c>
      <c r="O248" s="3547" t="s">
        <v>5303</v>
      </c>
      <c r="P248" s="3479" t="s">
        <v>5304</v>
      </c>
      <c r="Q248" s="3511" t="s">
        <v>5305</v>
      </c>
      <c r="R248" s="5038" t="s">
        <v>5306</v>
      </c>
      <c r="S248" s="3511" t="s">
        <v>5307</v>
      </c>
      <c r="T248" s="5038" t="s">
        <v>5308</v>
      </c>
      <c r="U248" s="3511" t="s">
        <v>5309</v>
      </c>
      <c r="V248" s="5038" t="s">
        <v>5310</v>
      </c>
      <c r="W248" s="3511" t="s">
        <v>5311</v>
      </c>
      <c r="X248" s="3479" t="s">
        <v>5312</v>
      </c>
      <c r="Y248" s="3511" t="s">
        <v>5313</v>
      </c>
      <c r="Z248" s="3479" t="s">
        <v>5314</v>
      </c>
      <c r="AA248" s="3511" t="s">
        <v>5315</v>
      </c>
      <c r="AB248" s="3479" t="s">
        <v>5316</v>
      </c>
      <c r="AC248" s="3511" t="s">
        <v>5317</v>
      </c>
      <c r="AD248" s="5038" t="s">
        <v>5318</v>
      </c>
      <c r="AE248" s="3511" t="s">
        <v>5319</v>
      </c>
      <c r="AF248" s="3479" t="s">
        <v>5320</v>
      </c>
      <c r="AG248" s="3511" t="s">
        <v>5321</v>
      </c>
      <c r="AH248" s="3479" t="s">
        <v>5322</v>
      </c>
      <c r="AI248" s="3511" t="s">
        <v>5323</v>
      </c>
      <c r="AJ248" s="3479" t="s">
        <v>5324</v>
      </c>
      <c r="AK248" s="3512" t="s">
        <v>5325</v>
      </c>
      <c r="AL248" s="5146" t="s">
        <v>5326</v>
      </c>
      <c r="AM248" s="3511" t="s">
        <v>5327</v>
      </c>
      <c r="AN248" s="3479" t="s">
        <v>5328</v>
      </c>
      <c r="AO248" s="3512" t="s">
        <v>5329</v>
      </c>
      <c r="AP248" s="5146" t="s">
        <v>5330</v>
      </c>
      <c r="AQ248" s="3511" t="s">
        <v>5331</v>
      </c>
      <c r="AR248" s="3479" t="s">
        <v>5332</v>
      </c>
      <c r="AS248" s="3512" t="s">
        <v>5333</v>
      </c>
      <c r="AT248" s="5146" t="s">
        <v>5334</v>
      </c>
      <c r="AU248" s="3512" t="s">
        <v>5335</v>
      </c>
      <c r="AV248" s="5146" t="s">
        <v>5336</v>
      </c>
      <c r="AW248" s="3512" t="s">
        <v>5337</v>
      </c>
      <c r="AX248" s="3479" t="s">
        <v>5338</v>
      </c>
      <c r="AY248" s="3511" t="s">
        <v>5339</v>
      </c>
      <c r="AZ248" s="1687" t="e">
        <f t="shared" si="650"/>
        <v>#VALUE!</v>
      </c>
      <c r="CB248" s="3146" t="str">
        <f t="shared" si="656"/>
        <v xml:space="preserve"> * El Total de Exámenes Confirmados Positivos por ISP NO DEBE SUPERAR los  Exámene Procesados. </v>
      </c>
      <c r="CC248" s="2784" t="str">
        <f t="shared" si="651"/>
        <v xml:space="preserve"> * El número de Exámenes por Sexo Hombres Confirmados positivos por ISP NO PUEDE Superar al número de Procesados. </v>
      </c>
      <c r="CD248" s="2784" t="str">
        <f t="shared" si="623"/>
        <v xml:space="preserve"> * El número de Exámenes por Sexo Mujeres Confirmados positivos por ISP NO PUEDE Superar al número de Procesados. </v>
      </c>
      <c r="CE248" s="2630"/>
      <c r="CF248" s="2630"/>
      <c r="CG248" s="2630"/>
      <c r="CH248" s="2630"/>
      <c r="CI248" s="2630"/>
      <c r="CJ248" s="2784" t="e">
        <f t="shared" si="624"/>
        <v>#VALUE!</v>
      </c>
      <c r="CK248" s="600"/>
      <c r="CL248" s="2784" t="e">
        <f t="shared" si="625"/>
        <v>#VALUE!</v>
      </c>
      <c r="CM248" s="2784" t="e">
        <f t="shared" si="626"/>
        <v>#VALUE!</v>
      </c>
      <c r="CN248" s="2784" t="str">
        <f t="shared" si="627"/>
        <v xml:space="preserve"> * Los exámenes procesados Pueblos originarios no pueden ser mayor que el total de exámenes procesados.</v>
      </c>
      <c r="CO248" s="2784" t="str">
        <f t="shared" si="628"/>
        <v xml:space="preserve"> * Los exámenes procesados de Migrantes no pueden ser mayor que el total de exámenes procesados.</v>
      </c>
      <c r="CP248" s="2784" t="e">
        <f t="shared" si="629"/>
        <v>#VALUE!</v>
      </c>
      <c r="CQ248" s="2784" t="str">
        <f t="shared" si="630"/>
        <v xml:space="preserve"> * Los exámenes Confirmados positivos por ISP de Pueblos originarios no pueden ser mayor que el total de exámenes Procesados por ISP.</v>
      </c>
      <c r="CR248" s="2784" t="str">
        <f t="shared" si="631"/>
        <v xml:space="preserve"> * Los exámenes Confirmados positivos por ISP de Migrantes no pueden ser mayor que el total de exámenes Procesados por ISP.</v>
      </c>
      <c r="CS248" s="2784"/>
      <c r="CT248" s="2630"/>
      <c r="CU248" s="6114" t="e">
        <f t="shared" si="657"/>
        <v>#VALUE!</v>
      </c>
      <c r="CV248" s="6114" t="e">
        <f t="shared" si="653"/>
        <v>#VALUE!</v>
      </c>
      <c r="CW248" s="6114" t="e">
        <f t="shared" si="634"/>
        <v>#VALUE!</v>
      </c>
      <c r="CX248" s="6114" t="e">
        <f t="shared" si="635"/>
        <v>#VALUE!</v>
      </c>
      <c r="DF248" s="3146">
        <f t="shared" si="636"/>
        <v>1</v>
      </c>
      <c r="DG248" s="2784">
        <f t="shared" si="652"/>
        <v>1</v>
      </c>
      <c r="DH248" s="2784">
        <f t="shared" si="637"/>
        <v>1</v>
      </c>
      <c r="DI248" s="2630"/>
      <c r="DJ248" s="2630"/>
      <c r="DK248" s="2630"/>
      <c r="DL248" s="2630"/>
      <c r="DM248" s="2630"/>
      <c r="DN248" s="2784" t="e">
        <f t="shared" si="638"/>
        <v>#VALUE!</v>
      </c>
      <c r="DO248" s="600"/>
      <c r="DP248" s="2784" t="e">
        <f>IF((AN248+AL248)&lt;&gt;D248,1,0)</f>
        <v>#VALUE!</v>
      </c>
      <c r="DQ248" s="2784" t="e">
        <f t="shared" si="640"/>
        <v>#VALUE!</v>
      </c>
      <c r="DR248" s="2784">
        <f t="shared" si="641"/>
        <v>1</v>
      </c>
      <c r="DS248" s="2784">
        <f t="shared" si="642"/>
        <v>1</v>
      </c>
      <c r="DT248" s="2784" t="e">
        <f t="shared" si="643"/>
        <v>#VALUE!</v>
      </c>
      <c r="DU248" s="2784">
        <f t="shared" si="644"/>
        <v>1</v>
      </c>
      <c r="DV248" s="2784">
        <f t="shared" si="645"/>
        <v>1</v>
      </c>
      <c r="DW248" s="2784"/>
      <c r="DX248" s="2630"/>
      <c r="DY248" s="6114" t="e">
        <f t="shared" si="654"/>
        <v>#VALUE!</v>
      </c>
      <c r="DZ248" s="6114" t="e">
        <f t="shared" si="655"/>
        <v>#VALUE!</v>
      </c>
      <c r="EA248" s="6114" t="e">
        <f t="shared" si="648"/>
        <v>#VALUE!</v>
      </c>
      <c r="EB248" s="6114" t="e">
        <f t="shared" si="649"/>
        <v>#VALUE!</v>
      </c>
    </row>
    <row r="249" spans="1:132" ht="15" customHeight="1" x14ac:dyDescent="0.3">
      <c r="A249" s="6234">
        <v>11057112</v>
      </c>
      <c r="B249" s="6634"/>
      <c r="C249" s="3549" t="s">
        <v>2708</v>
      </c>
      <c r="D249" s="3545" t="s">
        <v>5292</v>
      </c>
      <c r="E249" s="3242" t="s">
        <v>5293</v>
      </c>
      <c r="F249" s="3546" t="s">
        <v>5294</v>
      </c>
      <c r="G249" s="3558" t="s">
        <v>5295</v>
      </c>
      <c r="H249" s="3548" t="s">
        <v>5296</v>
      </c>
      <c r="I249" s="3547" t="s">
        <v>5297</v>
      </c>
      <c r="J249" s="3548" t="s">
        <v>5298</v>
      </c>
      <c r="K249" s="3547" t="s">
        <v>5299</v>
      </c>
      <c r="L249" s="3548" t="s">
        <v>5300</v>
      </c>
      <c r="M249" s="3547" t="s">
        <v>5301</v>
      </c>
      <c r="N249" s="5038" t="s">
        <v>5302</v>
      </c>
      <c r="O249" s="3511" t="s">
        <v>5303</v>
      </c>
      <c r="P249" s="3479" t="s">
        <v>5304</v>
      </c>
      <c r="Q249" s="3511" t="s">
        <v>5305</v>
      </c>
      <c r="R249" s="5038" t="s">
        <v>5306</v>
      </c>
      <c r="S249" s="3511" t="s">
        <v>5307</v>
      </c>
      <c r="T249" s="5038" t="s">
        <v>5308</v>
      </c>
      <c r="U249" s="3511" t="s">
        <v>5309</v>
      </c>
      <c r="V249" s="5038" t="s">
        <v>5310</v>
      </c>
      <c r="W249" s="3511" t="s">
        <v>5311</v>
      </c>
      <c r="X249" s="3479" t="s">
        <v>5312</v>
      </c>
      <c r="Y249" s="3511" t="s">
        <v>5313</v>
      </c>
      <c r="Z249" s="3479" t="s">
        <v>5314</v>
      </c>
      <c r="AA249" s="3511" t="s">
        <v>5315</v>
      </c>
      <c r="AB249" s="3479" t="s">
        <v>5316</v>
      </c>
      <c r="AC249" s="3511" t="s">
        <v>5317</v>
      </c>
      <c r="AD249" s="5038" t="s">
        <v>5318</v>
      </c>
      <c r="AE249" s="3511" t="s">
        <v>5319</v>
      </c>
      <c r="AF249" s="3479" t="s">
        <v>5320</v>
      </c>
      <c r="AG249" s="3511" t="s">
        <v>5321</v>
      </c>
      <c r="AH249" s="3479" t="s">
        <v>5322</v>
      </c>
      <c r="AI249" s="3511" t="s">
        <v>5323</v>
      </c>
      <c r="AJ249" s="3479" t="s">
        <v>5324</v>
      </c>
      <c r="AK249" s="3512" t="s">
        <v>5325</v>
      </c>
      <c r="AL249" s="5146" t="s">
        <v>5326</v>
      </c>
      <c r="AM249" s="3511" t="s">
        <v>5327</v>
      </c>
      <c r="AN249" s="3479" t="s">
        <v>5328</v>
      </c>
      <c r="AO249" s="3512" t="s">
        <v>5329</v>
      </c>
      <c r="AP249" s="5146" t="s">
        <v>5330</v>
      </c>
      <c r="AQ249" s="3511" t="s">
        <v>5331</v>
      </c>
      <c r="AR249" s="3479" t="s">
        <v>5332</v>
      </c>
      <c r="AS249" s="3512" t="s">
        <v>5333</v>
      </c>
      <c r="AT249" s="5146" t="s">
        <v>5334</v>
      </c>
      <c r="AU249" s="3512" t="s">
        <v>5335</v>
      </c>
      <c r="AV249" s="5146" t="s">
        <v>5336</v>
      </c>
      <c r="AW249" s="3512" t="s">
        <v>5337</v>
      </c>
      <c r="AX249" s="3479" t="s">
        <v>5338</v>
      </c>
      <c r="AY249" s="3511" t="s">
        <v>5339</v>
      </c>
      <c r="AZ249" s="1687" t="e">
        <f t="shared" si="650"/>
        <v>#VALUE!</v>
      </c>
      <c r="CB249" s="3146" t="str">
        <f t="shared" si="656"/>
        <v xml:space="preserve"> * El Total de Exámenes Confirmados Positivos por ISP NO DEBE SUPERAR los  Exámene Procesados. </v>
      </c>
      <c r="CC249" s="2784" t="str">
        <f t="shared" si="651"/>
        <v xml:space="preserve"> * El número de Exámenes por Sexo Hombres Confirmados positivos por ISP NO PUEDE Superar al número de Procesados. </v>
      </c>
      <c r="CD249" s="2784" t="str">
        <f t="shared" si="623"/>
        <v xml:space="preserve"> * El número de Exámenes por Sexo Mujeres Confirmados positivos por ISP NO PUEDE Superar al número de Procesados. </v>
      </c>
      <c r="CE249" s="2630"/>
      <c r="CF249" s="2630"/>
      <c r="CG249" s="2630"/>
      <c r="CH249" s="2630"/>
      <c r="CI249" s="2630"/>
      <c r="CJ249" s="2784" t="e">
        <f t="shared" si="624"/>
        <v>#VALUE!</v>
      </c>
      <c r="CK249" s="600"/>
      <c r="CL249" s="2784" t="e">
        <f t="shared" si="625"/>
        <v>#VALUE!</v>
      </c>
      <c r="CM249" s="2784" t="e">
        <f t="shared" si="626"/>
        <v>#VALUE!</v>
      </c>
      <c r="CN249" s="2784" t="str">
        <f t="shared" si="627"/>
        <v xml:space="preserve"> * Los exámenes procesados Pueblos originarios no pueden ser mayor que el total de exámenes procesados.</v>
      </c>
      <c r="CO249" s="2784" t="str">
        <f t="shared" si="628"/>
        <v xml:space="preserve"> * Los exámenes procesados de Migrantes no pueden ser mayor que el total de exámenes procesados.</v>
      </c>
      <c r="CP249" s="2784" t="e">
        <f t="shared" si="629"/>
        <v>#VALUE!</v>
      </c>
      <c r="CQ249" s="2784" t="str">
        <f t="shared" si="630"/>
        <v xml:space="preserve"> * Los exámenes Confirmados positivos por ISP de Pueblos originarios no pueden ser mayor que el total de exámenes Procesados por ISP.</v>
      </c>
      <c r="CR249" s="2784" t="str">
        <f t="shared" si="631"/>
        <v xml:space="preserve"> * Los exámenes Confirmados positivos por ISP de Migrantes no pueden ser mayor que el total de exámenes Procesados por ISP.</v>
      </c>
      <c r="CS249" s="2784"/>
      <c r="CT249" s="2630"/>
      <c r="CU249" s="6114" t="e">
        <f t="shared" ref="CU249:CU259" si="658">IF(AX249&gt;(N249+P249),"* El Total de Procesados de 14-18 años NO DEBE ser mayor al Total de Procesados registrados en los grupos de edad 10 a 14 y 15 a 19 años. ","")</f>
        <v>#VALUE!</v>
      </c>
      <c r="CV249" s="6114" t="e">
        <f t="shared" ref="CV249:CV259" si="659">IF(AY249&gt;(O249+Q249),"* El Total de Confirmados de 14-18 años NO DEBE ser mayor al Total de Confirmados registrados en los grupos de edad 10 a 14 y 15 a 19 años. ","")</f>
        <v>#VALUE!</v>
      </c>
      <c r="CW249" s="6114" t="e">
        <f t="shared" si="634"/>
        <v>#VALUE!</v>
      </c>
      <c r="CX249" s="6114" t="e">
        <f t="shared" si="635"/>
        <v>#VALUE!</v>
      </c>
      <c r="DF249" s="3146">
        <f t="shared" si="636"/>
        <v>1</v>
      </c>
      <c r="DG249" s="2784">
        <f t="shared" si="652"/>
        <v>1</v>
      </c>
      <c r="DH249" s="2784">
        <f t="shared" si="637"/>
        <v>1</v>
      </c>
      <c r="DI249" s="2630"/>
      <c r="DJ249" s="2630"/>
      <c r="DK249" s="2630"/>
      <c r="DL249" s="2630"/>
      <c r="DM249" s="2630"/>
      <c r="DN249" s="2784" t="e">
        <f t="shared" si="638"/>
        <v>#VALUE!</v>
      </c>
      <c r="DO249" s="600"/>
      <c r="DP249" s="2784" t="e">
        <f t="shared" si="639"/>
        <v>#VALUE!</v>
      </c>
      <c r="DQ249" s="2784" t="e">
        <f t="shared" si="640"/>
        <v>#VALUE!</v>
      </c>
      <c r="DR249" s="2784">
        <f t="shared" si="641"/>
        <v>1</v>
      </c>
      <c r="DS249" s="2784">
        <f t="shared" si="642"/>
        <v>1</v>
      </c>
      <c r="DT249" s="2784" t="e">
        <f t="shared" si="643"/>
        <v>#VALUE!</v>
      </c>
      <c r="DU249" s="2784">
        <f t="shared" si="644"/>
        <v>1</v>
      </c>
      <c r="DV249" s="2784">
        <f t="shared" si="645"/>
        <v>1</v>
      </c>
      <c r="DW249" s="2784"/>
      <c r="DX249" s="2630"/>
      <c r="DY249" s="6114" t="e">
        <f t="shared" ref="DY249:DY259" si="660">IF(AX249&gt;(N249+P249),1,0)</f>
        <v>#VALUE!</v>
      </c>
      <c r="DZ249" s="6114" t="e">
        <f t="shared" ref="DZ249:DZ259" si="661">IF(AY249&gt;(O249+Q249),1,0)</f>
        <v>#VALUE!</v>
      </c>
      <c r="EA249" s="6114" t="e">
        <f t="shared" si="648"/>
        <v>#VALUE!</v>
      </c>
      <c r="EB249" s="6114" t="e">
        <f t="shared" si="649"/>
        <v>#VALUE!</v>
      </c>
    </row>
    <row r="250" spans="1:132" ht="23.25" customHeight="1" x14ac:dyDescent="0.3">
      <c r="A250" s="6234">
        <v>11057113</v>
      </c>
      <c r="B250" s="6634"/>
      <c r="C250" s="3549" t="s">
        <v>2709</v>
      </c>
      <c r="D250" s="3545" t="s">
        <v>5292</v>
      </c>
      <c r="E250" s="3242" t="s">
        <v>5293</v>
      </c>
      <c r="F250" s="3546" t="s">
        <v>5294</v>
      </c>
      <c r="G250" s="3547" t="s">
        <v>5295</v>
      </c>
      <c r="H250" s="3548" t="s">
        <v>5296</v>
      </c>
      <c r="I250" s="3558" t="s">
        <v>5297</v>
      </c>
      <c r="J250" s="3548" t="s">
        <v>5298</v>
      </c>
      <c r="K250" s="3547" t="s">
        <v>5299</v>
      </c>
      <c r="L250" s="3548" t="s">
        <v>5300</v>
      </c>
      <c r="M250" s="3547" t="s">
        <v>5301</v>
      </c>
      <c r="N250" s="3555" t="s">
        <v>5302</v>
      </c>
      <c r="O250" s="3556" t="s">
        <v>5303</v>
      </c>
      <c r="P250" s="3479" t="s">
        <v>5304</v>
      </c>
      <c r="Q250" s="3511" t="s">
        <v>5305</v>
      </c>
      <c r="R250" s="5038" t="s">
        <v>5306</v>
      </c>
      <c r="S250" s="3511" t="s">
        <v>5307</v>
      </c>
      <c r="T250" s="5038" t="s">
        <v>5308</v>
      </c>
      <c r="U250" s="3511" t="s">
        <v>5309</v>
      </c>
      <c r="V250" s="5038" t="s">
        <v>5310</v>
      </c>
      <c r="W250" s="3511" t="s">
        <v>5311</v>
      </c>
      <c r="X250" s="3479" t="s">
        <v>5312</v>
      </c>
      <c r="Y250" s="3511" t="s">
        <v>5313</v>
      </c>
      <c r="Z250" s="3479" t="s">
        <v>5314</v>
      </c>
      <c r="AA250" s="3511" t="s">
        <v>5315</v>
      </c>
      <c r="AB250" s="3479" t="s">
        <v>5316</v>
      </c>
      <c r="AC250" s="3511" t="s">
        <v>5317</v>
      </c>
      <c r="AD250" s="5038" t="s">
        <v>5318</v>
      </c>
      <c r="AE250" s="3511" t="s">
        <v>5319</v>
      </c>
      <c r="AF250" s="3479" t="s">
        <v>5320</v>
      </c>
      <c r="AG250" s="3511" t="s">
        <v>5321</v>
      </c>
      <c r="AH250" s="3479" t="s">
        <v>5322</v>
      </c>
      <c r="AI250" s="3511" t="s">
        <v>5323</v>
      </c>
      <c r="AJ250" s="3479" t="s">
        <v>5324</v>
      </c>
      <c r="AK250" s="3512" t="s">
        <v>5325</v>
      </c>
      <c r="AL250" s="5146" t="s">
        <v>5326</v>
      </c>
      <c r="AM250" s="3511" t="s">
        <v>5327</v>
      </c>
      <c r="AN250" s="3479" t="s">
        <v>5328</v>
      </c>
      <c r="AO250" s="3512" t="s">
        <v>5329</v>
      </c>
      <c r="AP250" s="5146" t="s">
        <v>5330</v>
      </c>
      <c r="AQ250" s="3511" t="s">
        <v>5331</v>
      </c>
      <c r="AR250" s="3479" t="s">
        <v>5332</v>
      </c>
      <c r="AS250" s="3512" t="s">
        <v>5333</v>
      </c>
      <c r="AT250" s="5146" t="s">
        <v>5334</v>
      </c>
      <c r="AU250" s="3512" t="s">
        <v>5335</v>
      </c>
      <c r="AV250" s="5146" t="s">
        <v>5336</v>
      </c>
      <c r="AW250" s="3512" t="s">
        <v>5337</v>
      </c>
      <c r="AX250" s="3479" t="s">
        <v>5338</v>
      </c>
      <c r="AY250" s="3511" t="s">
        <v>5339</v>
      </c>
      <c r="AZ250" s="1687" t="e">
        <f t="shared" si="650"/>
        <v>#VALUE!</v>
      </c>
      <c r="CB250" s="3146" t="str">
        <f t="shared" si="656"/>
        <v xml:space="preserve"> * El Total de Exámenes Confirmados Positivos por ISP NO DEBE SUPERAR los  Exámene Procesados. </v>
      </c>
      <c r="CC250" s="2784" t="str">
        <f t="shared" si="651"/>
        <v xml:space="preserve"> * El número de Exámenes por Sexo Hombres Confirmados positivos por ISP NO PUEDE Superar al número de Procesados. </v>
      </c>
      <c r="CD250" s="2784" t="str">
        <f t="shared" si="623"/>
        <v xml:space="preserve"> * El número de Exámenes por Sexo Mujeres Confirmados positivos por ISP NO PUEDE Superar al número de Procesados. </v>
      </c>
      <c r="CE250" s="2630"/>
      <c r="CF250" s="2630"/>
      <c r="CG250" s="2630"/>
      <c r="CH250" s="2630"/>
      <c r="CI250" s="2630"/>
      <c r="CJ250" s="2784" t="e">
        <f t="shared" si="624"/>
        <v>#VALUE!</v>
      </c>
      <c r="CK250" s="600"/>
      <c r="CL250" s="2784" t="e">
        <f t="shared" si="625"/>
        <v>#VALUE!</v>
      </c>
      <c r="CM250" s="2784" t="e">
        <f t="shared" si="626"/>
        <v>#VALUE!</v>
      </c>
      <c r="CN250" s="2784" t="str">
        <f t="shared" si="627"/>
        <v xml:space="preserve"> * Los exámenes procesados Pueblos originarios no pueden ser mayor que el total de exámenes procesados.</v>
      </c>
      <c r="CO250" s="2784" t="str">
        <f t="shared" si="628"/>
        <v xml:space="preserve"> * Los exámenes procesados de Migrantes no pueden ser mayor que el total de exámenes procesados.</v>
      </c>
      <c r="CP250" s="2784" t="e">
        <f t="shared" si="629"/>
        <v>#VALUE!</v>
      </c>
      <c r="CQ250" s="2784" t="str">
        <f t="shared" si="630"/>
        <v xml:space="preserve"> * Los exámenes Confirmados positivos por ISP de Pueblos originarios no pueden ser mayor que el total de exámenes Procesados por ISP.</v>
      </c>
      <c r="CR250" s="2784" t="str">
        <f t="shared" si="631"/>
        <v xml:space="preserve"> * Los exámenes Confirmados positivos por ISP de Migrantes no pueden ser mayor que el total de exámenes Procesados por ISP.</v>
      </c>
      <c r="CS250" s="2784"/>
      <c r="CT250" s="2630"/>
      <c r="CU250" s="6114" t="e">
        <f t="shared" si="658"/>
        <v>#VALUE!</v>
      </c>
      <c r="CV250" s="6114" t="e">
        <f t="shared" si="659"/>
        <v>#VALUE!</v>
      </c>
      <c r="CW250" s="6114" t="e">
        <f t="shared" si="634"/>
        <v>#VALUE!</v>
      </c>
      <c r="CX250" s="6114" t="e">
        <f t="shared" si="635"/>
        <v>#VALUE!</v>
      </c>
      <c r="DF250" s="3146">
        <f t="shared" si="636"/>
        <v>1</v>
      </c>
      <c r="DG250" s="2784">
        <f t="shared" si="652"/>
        <v>1</v>
      </c>
      <c r="DH250" s="2784">
        <f t="shared" si="637"/>
        <v>1</v>
      </c>
      <c r="DI250" s="2630"/>
      <c r="DJ250" s="2630"/>
      <c r="DK250" s="2630"/>
      <c r="DL250" s="2630"/>
      <c r="DM250" s="2630"/>
      <c r="DN250" s="2784" t="e">
        <f t="shared" si="638"/>
        <v>#VALUE!</v>
      </c>
      <c r="DO250" s="600"/>
      <c r="DP250" s="2784" t="e">
        <f t="shared" si="639"/>
        <v>#VALUE!</v>
      </c>
      <c r="DQ250" s="2784" t="e">
        <f t="shared" si="640"/>
        <v>#VALUE!</v>
      </c>
      <c r="DR250" s="2784">
        <f t="shared" si="641"/>
        <v>1</v>
      </c>
      <c r="DS250" s="2784">
        <f t="shared" si="642"/>
        <v>1</v>
      </c>
      <c r="DT250" s="2784" t="e">
        <f t="shared" si="643"/>
        <v>#VALUE!</v>
      </c>
      <c r="DU250" s="2784">
        <f t="shared" si="644"/>
        <v>1</v>
      </c>
      <c r="DV250" s="2784">
        <f t="shared" si="645"/>
        <v>1</v>
      </c>
      <c r="DW250" s="2784"/>
      <c r="DX250" s="2630"/>
      <c r="DY250" s="6114" t="e">
        <f t="shared" si="660"/>
        <v>#VALUE!</v>
      </c>
      <c r="DZ250" s="6114" t="e">
        <f t="shared" si="661"/>
        <v>#VALUE!</v>
      </c>
      <c r="EA250" s="6114" t="e">
        <f t="shared" si="648"/>
        <v>#VALUE!</v>
      </c>
      <c r="EB250" s="6114" t="e">
        <f t="shared" si="649"/>
        <v>#VALUE!</v>
      </c>
    </row>
    <row r="251" spans="1:132" ht="23.25" customHeight="1" x14ac:dyDescent="0.3">
      <c r="A251" s="6234">
        <v>11057114</v>
      </c>
      <c r="B251" s="6634"/>
      <c r="C251" s="3549" t="s">
        <v>2710</v>
      </c>
      <c r="D251" s="3545" t="s">
        <v>5292</v>
      </c>
      <c r="E251" s="4748" t="s">
        <v>5293</v>
      </c>
      <c r="F251" s="3546" t="s">
        <v>5294</v>
      </c>
      <c r="G251" s="3547" t="s">
        <v>5295</v>
      </c>
      <c r="H251" s="3548" t="s">
        <v>5296</v>
      </c>
      <c r="I251" s="3547" t="s">
        <v>5297</v>
      </c>
      <c r="J251" s="3548" t="s">
        <v>5298</v>
      </c>
      <c r="K251" s="3558" t="s">
        <v>5299</v>
      </c>
      <c r="L251" s="3548" t="s">
        <v>5300</v>
      </c>
      <c r="M251" s="3547" t="s">
        <v>5301</v>
      </c>
      <c r="N251" s="612" t="s">
        <v>5302</v>
      </c>
      <c r="O251" s="5171" t="s">
        <v>5303</v>
      </c>
      <c r="P251" s="3479" t="s">
        <v>5304</v>
      </c>
      <c r="Q251" s="5147" t="s">
        <v>5305</v>
      </c>
      <c r="R251" s="5038" t="s">
        <v>5306</v>
      </c>
      <c r="S251" s="5147" t="s">
        <v>5307</v>
      </c>
      <c r="T251" s="5038" t="s">
        <v>5308</v>
      </c>
      <c r="U251" s="5147" t="s">
        <v>5309</v>
      </c>
      <c r="V251" s="5038" t="s">
        <v>5310</v>
      </c>
      <c r="W251" s="5147" t="s">
        <v>5311</v>
      </c>
      <c r="X251" s="3479" t="s">
        <v>5312</v>
      </c>
      <c r="Y251" s="5147" t="s">
        <v>5313</v>
      </c>
      <c r="Z251" s="3479" t="s">
        <v>5314</v>
      </c>
      <c r="AA251" s="5147" t="s">
        <v>5315</v>
      </c>
      <c r="AB251" s="3479" t="s">
        <v>5316</v>
      </c>
      <c r="AC251" s="5147" t="s">
        <v>5317</v>
      </c>
      <c r="AD251" s="5038" t="s">
        <v>5318</v>
      </c>
      <c r="AE251" s="5147" t="s">
        <v>5319</v>
      </c>
      <c r="AF251" s="3479" t="s">
        <v>5320</v>
      </c>
      <c r="AG251" s="5147" t="s">
        <v>5321</v>
      </c>
      <c r="AH251" s="3479" t="s">
        <v>5322</v>
      </c>
      <c r="AI251" s="5147" t="s">
        <v>5323</v>
      </c>
      <c r="AJ251" s="3479" t="s">
        <v>5324</v>
      </c>
      <c r="AK251" s="5145" t="s">
        <v>5325</v>
      </c>
      <c r="AL251" s="5146" t="s">
        <v>5326</v>
      </c>
      <c r="AM251" s="5147" t="s">
        <v>5327</v>
      </c>
      <c r="AN251" s="3479" t="s">
        <v>5328</v>
      </c>
      <c r="AO251" s="5145" t="s">
        <v>5329</v>
      </c>
      <c r="AP251" s="5146" t="s">
        <v>5330</v>
      </c>
      <c r="AQ251" s="5147" t="s">
        <v>5331</v>
      </c>
      <c r="AR251" s="3479" t="s">
        <v>5332</v>
      </c>
      <c r="AS251" s="5145" t="s">
        <v>5333</v>
      </c>
      <c r="AT251" s="5146" t="s">
        <v>5334</v>
      </c>
      <c r="AU251" s="3512" t="s">
        <v>5335</v>
      </c>
      <c r="AV251" s="5146" t="s">
        <v>5336</v>
      </c>
      <c r="AW251" s="3512" t="s">
        <v>5337</v>
      </c>
      <c r="AX251" s="3479" t="s">
        <v>5338</v>
      </c>
      <c r="AY251" s="5147" t="s">
        <v>5339</v>
      </c>
      <c r="AZ251" s="1687" t="e">
        <f t="shared" si="650"/>
        <v>#VALUE!</v>
      </c>
      <c r="CB251" s="3146" t="str">
        <f t="shared" si="656"/>
        <v xml:space="preserve"> * El Total de Exámenes Confirmados Positivos por ISP NO DEBE SUPERAR los  Exámene Procesados. </v>
      </c>
      <c r="CC251" s="2784" t="str">
        <f t="shared" si="651"/>
        <v xml:space="preserve"> * El número de Exámenes por Sexo Hombres Confirmados positivos por ISP NO PUEDE Superar al número de Procesados. </v>
      </c>
      <c r="CD251" s="2784" t="str">
        <f t="shared" si="623"/>
        <v xml:space="preserve"> * El número de Exámenes por Sexo Mujeres Confirmados positivos por ISP NO PUEDE Superar al número de Procesados. </v>
      </c>
      <c r="CE251" s="2630"/>
      <c r="CF251" s="2630"/>
      <c r="CG251" s="2630"/>
      <c r="CH251" s="2630"/>
      <c r="CI251" s="2630"/>
      <c r="CJ251" s="2784" t="e">
        <f t="shared" si="624"/>
        <v>#VALUE!</v>
      </c>
      <c r="CK251" s="600"/>
      <c r="CL251" s="2784" t="e">
        <f t="shared" si="625"/>
        <v>#VALUE!</v>
      </c>
      <c r="CM251" s="2784" t="e">
        <f t="shared" si="626"/>
        <v>#VALUE!</v>
      </c>
      <c r="CN251" s="2784" t="str">
        <f t="shared" si="627"/>
        <v xml:space="preserve"> * Los exámenes procesados Pueblos originarios no pueden ser mayor que el total de exámenes procesados.</v>
      </c>
      <c r="CO251" s="2784" t="str">
        <f t="shared" si="628"/>
        <v xml:space="preserve"> * Los exámenes procesados de Migrantes no pueden ser mayor que el total de exámenes procesados.</v>
      </c>
      <c r="CP251" s="2784" t="e">
        <f t="shared" si="629"/>
        <v>#VALUE!</v>
      </c>
      <c r="CQ251" s="2784" t="str">
        <f t="shared" si="630"/>
        <v xml:space="preserve"> * Los exámenes Confirmados positivos por ISP de Pueblos originarios no pueden ser mayor que el total de exámenes Procesados por ISP.</v>
      </c>
      <c r="CR251" s="2784" t="str">
        <f t="shared" si="631"/>
        <v xml:space="preserve"> * Los exámenes Confirmados positivos por ISP de Migrantes no pueden ser mayor que el total de exámenes Procesados por ISP.</v>
      </c>
      <c r="CS251" s="2784"/>
      <c r="CT251" s="2630"/>
      <c r="CU251" s="6114" t="e">
        <f t="shared" si="658"/>
        <v>#VALUE!</v>
      </c>
      <c r="CV251" s="6114" t="e">
        <f t="shared" si="659"/>
        <v>#VALUE!</v>
      </c>
      <c r="CW251" s="6114" t="e">
        <f t="shared" si="634"/>
        <v>#VALUE!</v>
      </c>
      <c r="CX251" s="6114" t="e">
        <f t="shared" si="635"/>
        <v>#VALUE!</v>
      </c>
      <c r="DF251" s="3146">
        <f t="shared" si="636"/>
        <v>1</v>
      </c>
      <c r="DG251" s="2784">
        <f t="shared" si="652"/>
        <v>1</v>
      </c>
      <c r="DH251" s="2784">
        <f t="shared" si="637"/>
        <v>1</v>
      </c>
      <c r="DI251" s="2630"/>
      <c r="DJ251" s="2630"/>
      <c r="DK251" s="2630"/>
      <c r="DL251" s="2630"/>
      <c r="DM251" s="2630"/>
      <c r="DN251" s="2784" t="e">
        <f t="shared" si="638"/>
        <v>#VALUE!</v>
      </c>
      <c r="DO251" s="600"/>
      <c r="DP251" s="2784" t="e">
        <f t="shared" si="639"/>
        <v>#VALUE!</v>
      </c>
      <c r="DQ251" s="2784" t="e">
        <f t="shared" si="640"/>
        <v>#VALUE!</v>
      </c>
      <c r="DR251" s="2784">
        <f t="shared" si="641"/>
        <v>1</v>
      </c>
      <c r="DS251" s="2784">
        <f t="shared" si="642"/>
        <v>1</v>
      </c>
      <c r="DT251" s="2784" t="e">
        <f t="shared" si="643"/>
        <v>#VALUE!</v>
      </c>
      <c r="DU251" s="2784">
        <f t="shared" si="644"/>
        <v>1</v>
      </c>
      <c r="DV251" s="2784">
        <f t="shared" si="645"/>
        <v>1</v>
      </c>
      <c r="DW251" s="2784"/>
      <c r="DX251" s="2630"/>
      <c r="DY251" s="6114" t="e">
        <f t="shared" si="660"/>
        <v>#VALUE!</v>
      </c>
      <c r="DZ251" s="6114" t="e">
        <f t="shared" si="661"/>
        <v>#VALUE!</v>
      </c>
      <c r="EA251" s="6114" t="e">
        <f t="shared" si="648"/>
        <v>#VALUE!</v>
      </c>
      <c r="EB251" s="6114" t="e">
        <f t="shared" si="649"/>
        <v>#VALUE!</v>
      </c>
    </row>
    <row r="252" spans="1:132" ht="15" customHeight="1" x14ac:dyDescent="0.3">
      <c r="A252" s="6234">
        <v>11057115</v>
      </c>
      <c r="B252" s="6634"/>
      <c r="C252" s="3549" t="s">
        <v>2727</v>
      </c>
      <c r="D252" s="3545" t="s">
        <v>5292</v>
      </c>
      <c r="E252" s="4748" t="s">
        <v>5293</v>
      </c>
      <c r="F252" s="3546" t="s">
        <v>5294</v>
      </c>
      <c r="G252" s="3547" t="s">
        <v>5295</v>
      </c>
      <c r="H252" s="3548" t="s">
        <v>5296</v>
      </c>
      <c r="I252" s="3547" t="s">
        <v>5297</v>
      </c>
      <c r="J252" s="3548" t="s">
        <v>5298</v>
      </c>
      <c r="K252" s="3547" t="s">
        <v>5299</v>
      </c>
      <c r="L252" s="3548" t="s">
        <v>5300</v>
      </c>
      <c r="M252" s="3547" t="s">
        <v>5301</v>
      </c>
      <c r="N252" s="3479" t="s">
        <v>5302</v>
      </c>
      <c r="O252" s="5147" t="s">
        <v>5303</v>
      </c>
      <c r="P252" s="3479" t="s">
        <v>5304</v>
      </c>
      <c r="Q252" s="5147" t="s">
        <v>5305</v>
      </c>
      <c r="R252" s="5038" t="s">
        <v>5306</v>
      </c>
      <c r="S252" s="5147" t="s">
        <v>5307</v>
      </c>
      <c r="T252" s="5038" t="s">
        <v>5308</v>
      </c>
      <c r="U252" s="5147" t="s">
        <v>5309</v>
      </c>
      <c r="V252" s="5038" t="s">
        <v>5310</v>
      </c>
      <c r="W252" s="5147" t="s">
        <v>5311</v>
      </c>
      <c r="X252" s="3479" t="s">
        <v>5312</v>
      </c>
      <c r="Y252" s="5147" t="s">
        <v>5313</v>
      </c>
      <c r="Z252" s="3479" t="s">
        <v>5314</v>
      </c>
      <c r="AA252" s="5147" t="s">
        <v>5315</v>
      </c>
      <c r="AB252" s="3479" t="s">
        <v>5316</v>
      </c>
      <c r="AC252" s="5147" t="s">
        <v>5317</v>
      </c>
      <c r="AD252" s="5038" t="s">
        <v>5318</v>
      </c>
      <c r="AE252" s="5147" t="s">
        <v>5319</v>
      </c>
      <c r="AF252" s="3479" t="s">
        <v>5320</v>
      </c>
      <c r="AG252" s="5147" t="s">
        <v>5321</v>
      </c>
      <c r="AH252" s="3479" t="s">
        <v>5322</v>
      </c>
      <c r="AI252" s="5147" t="s">
        <v>5323</v>
      </c>
      <c r="AJ252" s="3479" t="s">
        <v>5324</v>
      </c>
      <c r="AK252" s="5145" t="s">
        <v>5325</v>
      </c>
      <c r="AL252" s="5146" t="s">
        <v>5326</v>
      </c>
      <c r="AM252" s="5147" t="s">
        <v>5327</v>
      </c>
      <c r="AN252" s="3479" t="s">
        <v>5328</v>
      </c>
      <c r="AO252" s="5145" t="s">
        <v>5329</v>
      </c>
      <c r="AP252" s="5146" t="s">
        <v>5330</v>
      </c>
      <c r="AQ252" s="5147" t="s">
        <v>5331</v>
      </c>
      <c r="AR252" s="3479" t="s">
        <v>5332</v>
      </c>
      <c r="AS252" s="5145" t="s">
        <v>5333</v>
      </c>
      <c r="AT252" s="5146" t="s">
        <v>5334</v>
      </c>
      <c r="AU252" s="3512" t="s">
        <v>5335</v>
      </c>
      <c r="AV252" s="5146" t="s">
        <v>5336</v>
      </c>
      <c r="AW252" s="3512" t="s">
        <v>5337</v>
      </c>
      <c r="AX252" s="3479" t="s">
        <v>5338</v>
      </c>
      <c r="AY252" s="5147" t="s">
        <v>5339</v>
      </c>
      <c r="AZ252" s="1687" t="e">
        <f t="shared" si="650"/>
        <v>#VALUE!</v>
      </c>
      <c r="CB252" s="3146" t="str">
        <f t="shared" si="656"/>
        <v xml:space="preserve"> * El Total de Exámenes Confirmados Positivos por ISP NO DEBE SUPERAR los  Exámene Procesados. </v>
      </c>
      <c r="CC252" s="2784" t="str">
        <f t="shared" si="651"/>
        <v xml:space="preserve"> * El número de Exámenes por Sexo Hombres Confirmados positivos por ISP NO PUEDE Superar al número de Procesados. </v>
      </c>
      <c r="CD252" s="2784" t="str">
        <f t="shared" si="623"/>
        <v xml:space="preserve"> * El número de Exámenes por Sexo Mujeres Confirmados positivos por ISP NO PUEDE Superar al número de Procesados. </v>
      </c>
      <c r="CE252" s="2630"/>
      <c r="CF252" s="2630"/>
      <c r="CG252" s="2630"/>
      <c r="CH252" s="2630"/>
      <c r="CI252" s="2630"/>
      <c r="CJ252" s="2784" t="e">
        <f t="shared" si="624"/>
        <v>#VALUE!</v>
      </c>
      <c r="CK252" s="600"/>
      <c r="CL252" s="2784" t="e">
        <f t="shared" si="625"/>
        <v>#VALUE!</v>
      </c>
      <c r="CM252" s="2784" t="e">
        <f t="shared" si="626"/>
        <v>#VALUE!</v>
      </c>
      <c r="CN252" s="2784" t="str">
        <f t="shared" si="627"/>
        <v xml:space="preserve"> * Los exámenes procesados Pueblos originarios no pueden ser mayor que el total de exámenes procesados.</v>
      </c>
      <c r="CO252" s="2784" t="str">
        <f t="shared" si="628"/>
        <v xml:space="preserve"> * Los exámenes procesados de Migrantes no pueden ser mayor que el total de exámenes procesados.</v>
      </c>
      <c r="CP252" s="2784" t="e">
        <f t="shared" si="629"/>
        <v>#VALUE!</v>
      </c>
      <c r="CQ252" s="2784" t="str">
        <f t="shared" si="630"/>
        <v xml:space="preserve"> * Los exámenes Confirmados positivos por ISP de Pueblos originarios no pueden ser mayor que el total de exámenes Procesados por ISP.</v>
      </c>
      <c r="CR252" s="2784" t="str">
        <f t="shared" si="631"/>
        <v xml:space="preserve"> * Los exámenes Confirmados positivos por ISP de Migrantes no pueden ser mayor que el total de exámenes Procesados por ISP.</v>
      </c>
      <c r="CS252" s="2784"/>
      <c r="CT252" s="2630"/>
      <c r="CU252" s="6114" t="e">
        <f t="shared" si="658"/>
        <v>#VALUE!</v>
      </c>
      <c r="CV252" s="6114" t="e">
        <f t="shared" si="659"/>
        <v>#VALUE!</v>
      </c>
      <c r="CW252" s="6114" t="e">
        <f t="shared" si="634"/>
        <v>#VALUE!</v>
      </c>
      <c r="CX252" s="6114" t="e">
        <f t="shared" si="635"/>
        <v>#VALUE!</v>
      </c>
      <c r="DF252" s="3146">
        <f t="shared" si="636"/>
        <v>1</v>
      </c>
      <c r="DG252" s="2784">
        <f t="shared" si="652"/>
        <v>1</v>
      </c>
      <c r="DH252" s="2784">
        <f t="shared" si="637"/>
        <v>1</v>
      </c>
      <c r="DI252" s="2630"/>
      <c r="DJ252" s="2630"/>
      <c r="DK252" s="2630"/>
      <c r="DL252" s="2630"/>
      <c r="DM252" s="2630"/>
      <c r="DN252" s="2784" t="e">
        <f t="shared" si="638"/>
        <v>#VALUE!</v>
      </c>
      <c r="DO252" s="600"/>
      <c r="DP252" s="2784" t="e">
        <f t="shared" si="639"/>
        <v>#VALUE!</v>
      </c>
      <c r="DQ252" s="2784" t="e">
        <f t="shared" si="640"/>
        <v>#VALUE!</v>
      </c>
      <c r="DR252" s="2784">
        <f t="shared" si="641"/>
        <v>1</v>
      </c>
      <c r="DS252" s="2784">
        <f t="shared" si="642"/>
        <v>1</v>
      </c>
      <c r="DT252" s="2784" t="e">
        <f t="shared" si="643"/>
        <v>#VALUE!</v>
      </c>
      <c r="DU252" s="2784">
        <f t="shared" si="644"/>
        <v>1</v>
      </c>
      <c r="DV252" s="2784">
        <f t="shared" si="645"/>
        <v>1</v>
      </c>
      <c r="DW252" s="2784"/>
      <c r="DX252" s="2630"/>
      <c r="DY252" s="6114" t="e">
        <f t="shared" si="660"/>
        <v>#VALUE!</v>
      </c>
      <c r="DZ252" s="6114" t="e">
        <f t="shared" si="661"/>
        <v>#VALUE!</v>
      </c>
      <c r="EA252" s="6114" t="e">
        <f t="shared" si="648"/>
        <v>#VALUE!</v>
      </c>
      <c r="EB252" s="6114" t="e">
        <f t="shared" si="649"/>
        <v>#VALUE!</v>
      </c>
    </row>
    <row r="253" spans="1:132" ht="15" customHeight="1" x14ac:dyDescent="0.3">
      <c r="A253" s="6234">
        <v>11057116</v>
      </c>
      <c r="B253" s="6634"/>
      <c r="C253" s="3549" t="s">
        <v>2728</v>
      </c>
      <c r="D253" s="3557" t="s">
        <v>5292</v>
      </c>
      <c r="E253" s="4748" t="s">
        <v>5293</v>
      </c>
      <c r="F253" s="3546" t="s">
        <v>5294</v>
      </c>
      <c r="G253" s="3547" t="s">
        <v>5295</v>
      </c>
      <c r="H253" s="3548" t="s">
        <v>5296</v>
      </c>
      <c r="I253" s="3547" t="s">
        <v>5297</v>
      </c>
      <c r="J253" s="3548" t="s">
        <v>5298</v>
      </c>
      <c r="K253" s="3547" t="s">
        <v>5299</v>
      </c>
      <c r="L253" s="3548" t="s">
        <v>5300</v>
      </c>
      <c r="M253" s="3547" t="s">
        <v>5301</v>
      </c>
      <c r="N253" s="3479" t="s">
        <v>5302</v>
      </c>
      <c r="O253" s="5147" t="s">
        <v>5303</v>
      </c>
      <c r="P253" s="3479" t="s">
        <v>5304</v>
      </c>
      <c r="Q253" s="5147" t="s">
        <v>5305</v>
      </c>
      <c r="R253" s="5038" t="s">
        <v>5306</v>
      </c>
      <c r="S253" s="5147" t="s">
        <v>5307</v>
      </c>
      <c r="T253" s="5038" t="s">
        <v>5308</v>
      </c>
      <c r="U253" s="5147" t="s">
        <v>5309</v>
      </c>
      <c r="V253" s="5038" t="s">
        <v>5310</v>
      </c>
      <c r="W253" s="5147" t="s">
        <v>5311</v>
      </c>
      <c r="X253" s="3479" t="s">
        <v>5312</v>
      </c>
      <c r="Y253" s="5147" t="s">
        <v>5313</v>
      </c>
      <c r="Z253" s="3479" t="s">
        <v>5314</v>
      </c>
      <c r="AA253" s="5147" t="s">
        <v>5315</v>
      </c>
      <c r="AB253" s="3479" t="s">
        <v>5316</v>
      </c>
      <c r="AC253" s="5147" t="s">
        <v>5317</v>
      </c>
      <c r="AD253" s="5038" t="s">
        <v>5318</v>
      </c>
      <c r="AE253" s="5147" t="s">
        <v>5319</v>
      </c>
      <c r="AF253" s="3479" t="s">
        <v>5320</v>
      </c>
      <c r="AG253" s="5147" t="s">
        <v>5321</v>
      </c>
      <c r="AH253" s="3479" t="s">
        <v>5322</v>
      </c>
      <c r="AI253" s="5147" t="s">
        <v>5323</v>
      </c>
      <c r="AJ253" s="3479" t="s">
        <v>5324</v>
      </c>
      <c r="AK253" s="5145" t="s">
        <v>5325</v>
      </c>
      <c r="AL253" s="5146" t="s">
        <v>5326</v>
      </c>
      <c r="AM253" s="5147" t="s">
        <v>5327</v>
      </c>
      <c r="AN253" s="3479" t="s">
        <v>5328</v>
      </c>
      <c r="AO253" s="5145" t="s">
        <v>5329</v>
      </c>
      <c r="AP253" s="5146" t="s">
        <v>5330</v>
      </c>
      <c r="AQ253" s="5147" t="s">
        <v>5331</v>
      </c>
      <c r="AR253" s="3479" t="s">
        <v>5332</v>
      </c>
      <c r="AS253" s="5145" t="s">
        <v>5333</v>
      </c>
      <c r="AT253" s="5146" t="s">
        <v>5334</v>
      </c>
      <c r="AU253" s="3512" t="s">
        <v>5335</v>
      </c>
      <c r="AV253" s="5146" t="s">
        <v>5336</v>
      </c>
      <c r="AW253" s="3512" t="s">
        <v>5337</v>
      </c>
      <c r="AX253" s="3479" t="s">
        <v>5338</v>
      </c>
      <c r="AY253" s="5147" t="s">
        <v>5339</v>
      </c>
      <c r="AZ253" s="1687" t="e">
        <f t="shared" si="650"/>
        <v>#VALUE!</v>
      </c>
      <c r="CB253" s="3146" t="str">
        <f t="shared" si="656"/>
        <v xml:space="preserve"> * El Total de Exámenes Confirmados Positivos por ISP NO DEBE SUPERAR los  Exámene Procesados. </v>
      </c>
      <c r="CC253" s="2784" t="str">
        <f t="shared" si="651"/>
        <v xml:space="preserve"> * El número de Exámenes por Sexo Hombres Confirmados positivos por ISP NO PUEDE Superar al número de Procesados. </v>
      </c>
      <c r="CD253" s="2784" t="str">
        <f t="shared" si="623"/>
        <v xml:space="preserve"> * El número de Exámenes por Sexo Mujeres Confirmados positivos por ISP NO PUEDE Superar al número de Procesados. </v>
      </c>
      <c r="CE253" s="2630"/>
      <c r="CF253" s="2630"/>
      <c r="CG253" s="2630"/>
      <c r="CH253" s="2630"/>
      <c r="CI253" s="2630"/>
      <c r="CJ253" s="2784" t="e">
        <f t="shared" si="624"/>
        <v>#VALUE!</v>
      </c>
      <c r="CK253" s="600"/>
      <c r="CL253" s="2784" t="e">
        <f t="shared" si="625"/>
        <v>#VALUE!</v>
      </c>
      <c r="CM253" s="2784" t="e">
        <f t="shared" si="626"/>
        <v>#VALUE!</v>
      </c>
      <c r="CN253" s="2784" t="str">
        <f t="shared" si="627"/>
        <v xml:space="preserve"> * Los exámenes procesados Pueblos originarios no pueden ser mayor que el total de exámenes procesados.</v>
      </c>
      <c r="CO253" s="2784" t="str">
        <f t="shared" si="628"/>
        <v xml:space="preserve"> * Los exámenes procesados de Migrantes no pueden ser mayor que el total de exámenes procesados.</v>
      </c>
      <c r="CP253" s="2784" t="e">
        <f t="shared" si="629"/>
        <v>#VALUE!</v>
      </c>
      <c r="CQ253" s="2784" t="str">
        <f t="shared" si="630"/>
        <v xml:space="preserve"> * Los exámenes Confirmados positivos por ISP de Pueblos originarios no pueden ser mayor que el total de exámenes Procesados por ISP.</v>
      </c>
      <c r="CR253" s="2784" t="str">
        <f t="shared" si="631"/>
        <v xml:space="preserve"> * Los exámenes Confirmados positivos por ISP de Migrantes no pueden ser mayor que el total de exámenes Procesados por ISP.</v>
      </c>
      <c r="CS253" s="2784"/>
      <c r="CT253" s="2630"/>
      <c r="CU253" s="6114" t="e">
        <f t="shared" si="658"/>
        <v>#VALUE!</v>
      </c>
      <c r="CV253" s="6114" t="e">
        <f t="shared" si="659"/>
        <v>#VALUE!</v>
      </c>
      <c r="CW253" s="6114" t="e">
        <f t="shared" si="634"/>
        <v>#VALUE!</v>
      </c>
      <c r="CX253" s="6114" t="e">
        <f t="shared" si="635"/>
        <v>#VALUE!</v>
      </c>
      <c r="DF253" s="3146">
        <f t="shared" si="636"/>
        <v>1</v>
      </c>
      <c r="DG253" s="2784">
        <f t="shared" si="652"/>
        <v>1</v>
      </c>
      <c r="DH253" s="2784">
        <f t="shared" si="637"/>
        <v>1</v>
      </c>
      <c r="DI253" s="2630"/>
      <c r="DJ253" s="2630"/>
      <c r="DK253" s="2630"/>
      <c r="DL253" s="2630"/>
      <c r="DM253" s="2630"/>
      <c r="DN253" s="2784" t="e">
        <f t="shared" si="638"/>
        <v>#VALUE!</v>
      </c>
      <c r="DO253" s="600"/>
      <c r="DP253" s="2784" t="e">
        <f t="shared" si="639"/>
        <v>#VALUE!</v>
      </c>
      <c r="DQ253" s="2784" t="e">
        <f t="shared" si="640"/>
        <v>#VALUE!</v>
      </c>
      <c r="DR253" s="2784">
        <f t="shared" si="641"/>
        <v>1</v>
      </c>
      <c r="DS253" s="2784">
        <f t="shared" si="642"/>
        <v>1</v>
      </c>
      <c r="DT253" s="2784" t="e">
        <f t="shared" si="643"/>
        <v>#VALUE!</v>
      </c>
      <c r="DU253" s="2784">
        <f t="shared" si="644"/>
        <v>1</v>
      </c>
      <c r="DV253" s="2784">
        <f t="shared" si="645"/>
        <v>1</v>
      </c>
      <c r="DW253" s="2784"/>
      <c r="DX253" s="2630"/>
      <c r="DY253" s="6114" t="e">
        <f t="shared" si="660"/>
        <v>#VALUE!</v>
      </c>
      <c r="DZ253" s="6114" t="e">
        <f t="shared" si="661"/>
        <v>#VALUE!</v>
      </c>
      <c r="EA253" s="6114" t="e">
        <f t="shared" si="648"/>
        <v>#VALUE!</v>
      </c>
      <c r="EB253" s="6114" t="e">
        <f t="shared" si="649"/>
        <v>#VALUE!</v>
      </c>
    </row>
    <row r="254" spans="1:132" ht="15" customHeight="1" x14ac:dyDescent="0.3">
      <c r="A254" s="6234">
        <v>11057117</v>
      </c>
      <c r="B254" s="6634"/>
      <c r="C254" s="3046" t="s">
        <v>2713</v>
      </c>
      <c r="D254" s="3545" t="s">
        <v>5292</v>
      </c>
      <c r="E254" s="4748" t="s">
        <v>5293</v>
      </c>
      <c r="F254" s="3546" t="s">
        <v>5294</v>
      </c>
      <c r="G254" s="3547" t="s">
        <v>5295</v>
      </c>
      <c r="H254" s="3548" t="s">
        <v>5296</v>
      </c>
      <c r="I254" s="3547" t="s">
        <v>5297</v>
      </c>
      <c r="J254" s="3548" t="s">
        <v>5298</v>
      </c>
      <c r="K254" s="3547" t="s">
        <v>5299</v>
      </c>
      <c r="L254" s="3548" t="s">
        <v>5300</v>
      </c>
      <c r="M254" s="3558" t="s">
        <v>5301</v>
      </c>
      <c r="N254" s="3479" t="s">
        <v>5302</v>
      </c>
      <c r="O254" s="5147" t="s">
        <v>5303</v>
      </c>
      <c r="P254" s="3479" t="s">
        <v>5304</v>
      </c>
      <c r="Q254" s="5147" t="s">
        <v>5305</v>
      </c>
      <c r="R254" s="5038" t="s">
        <v>5306</v>
      </c>
      <c r="S254" s="5147" t="s">
        <v>5307</v>
      </c>
      <c r="T254" s="5038" t="s">
        <v>5308</v>
      </c>
      <c r="U254" s="5147" t="s">
        <v>5309</v>
      </c>
      <c r="V254" s="5038" t="s">
        <v>5310</v>
      </c>
      <c r="W254" s="5147" t="s">
        <v>5311</v>
      </c>
      <c r="X254" s="3479" t="s">
        <v>5312</v>
      </c>
      <c r="Y254" s="5147" t="s">
        <v>5313</v>
      </c>
      <c r="Z254" s="3479" t="s">
        <v>5314</v>
      </c>
      <c r="AA254" s="5147" t="s">
        <v>5315</v>
      </c>
      <c r="AB254" s="3479" t="s">
        <v>5316</v>
      </c>
      <c r="AC254" s="5147" t="s">
        <v>5317</v>
      </c>
      <c r="AD254" s="5038" t="s">
        <v>5318</v>
      </c>
      <c r="AE254" s="5147" t="s">
        <v>5319</v>
      </c>
      <c r="AF254" s="3479" t="s">
        <v>5320</v>
      </c>
      <c r="AG254" s="5147" t="s">
        <v>5321</v>
      </c>
      <c r="AH254" s="3479" t="s">
        <v>5322</v>
      </c>
      <c r="AI254" s="5147" t="s">
        <v>5323</v>
      </c>
      <c r="AJ254" s="3479" t="s">
        <v>5324</v>
      </c>
      <c r="AK254" s="5145" t="s">
        <v>5325</v>
      </c>
      <c r="AL254" s="5146" t="s">
        <v>5326</v>
      </c>
      <c r="AM254" s="5147" t="s">
        <v>5327</v>
      </c>
      <c r="AN254" s="3479" t="s">
        <v>5328</v>
      </c>
      <c r="AO254" s="5145" t="s">
        <v>5329</v>
      </c>
      <c r="AP254" s="5146" t="s">
        <v>5330</v>
      </c>
      <c r="AQ254" s="5147" t="s">
        <v>5331</v>
      </c>
      <c r="AR254" s="3479" t="s">
        <v>5332</v>
      </c>
      <c r="AS254" s="5145" t="s">
        <v>5333</v>
      </c>
      <c r="AT254" s="5146" t="s">
        <v>5334</v>
      </c>
      <c r="AU254" s="3512" t="s">
        <v>5335</v>
      </c>
      <c r="AV254" s="5146" t="s">
        <v>5336</v>
      </c>
      <c r="AW254" s="3512" t="s">
        <v>5337</v>
      </c>
      <c r="AX254" s="3479" t="s">
        <v>5338</v>
      </c>
      <c r="AY254" s="5147" t="s">
        <v>5339</v>
      </c>
      <c r="AZ254" s="1687" t="e">
        <f t="shared" si="650"/>
        <v>#VALUE!</v>
      </c>
      <c r="CB254" s="3146" t="str">
        <f t="shared" si="656"/>
        <v xml:space="preserve"> * El Total de Exámenes Confirmados Positivos por ISP NO DEBE SUPERAR los  Exámene Procesados. </v>
      </c>
      <c r="CC254" s="2784" t="str">
        <f t="shared" si="651"/>
        <v xml:space="preserve"> * El número de Exámenes por Sexo Hombres Confirmados positivos por ISP NO PUEDE Superar al número de Procesados. </v>
      </c>
      <c r="CD254" s="2784" t="str">
        <f t="shared" si="623"/>
        <v xml:space="preserve"> * El número de Exámenes por Sexo Mujeres Confirmados positivos por ISP NO PUEDE Superar al número de Procesados. </v>
      </c>
      <c r="CE254" s="2630"/>
      <c r="CF254" s="2630"/>
      <c r="CG254" s="2630"/>
      <c r="CH254" s="2630"/>
      <c r="CI254" s="2630"/>
      <c r="CJ254" s="2784" t="e">
        <f t="shared" si="624"/>
        <v>#VALUE!</v>
      </c>
      <c r="CK254" s="600"/>
      <c r="CL254" s="2784" t="e">
        <f t="shared" si="625"/>
        <v>#VALUE!</v>
      </c>
      <c r="CM254" s="2784" t="e">
        <f t="shared" si="626"/>
        <v>#VALUE!</v>
      </c>
      <c r="CN254" s="2784" t="str">
        <f t="shared" si="627"/>
        <v xml:space="preserve"> * Los exámenes procesados Pueblos originarios no pueden ser mayor que el total de exámenes procesados.</v>
      </c>
      <c r="CO254" s="2784" t="str">
        <f t="shared" si="628"/>
        <v xml:space="preserve"> * Los exámenes procesados de Migrantes no pueden ser mayor que el total de exámenes procesados.</v>
      </c>
      <c r="CP254" s="2784" t="e">
        <f t="shared" si="629"/>
        <v>#VALUE!</v>
      </c>
      <c r="CQ254" s="2784" t="str">
        <f t="shared" si="630"/>
        <v xml:space="preserve"> * Los exámenes Confirmados positivos por ISP de Pueblos originarios no pueden ser mayor que el total de exámenes Procesados por ISP.</v>
      </c>
      <c r="CR254" s="2784" t="str">
        <f t="shared" si="631"/>
        <v xml:space="preserve"> * Los exámenes Confirmados positivos por ISP de Migrantes no pueden ser mayor que el total de exámenes Procesados por ISP.</v>
      </c>
      <c r="CS254" s="2784"/>
      <c r="CT254" s="2630"/>
      <c r="CU254" s="6114" t="e">
        <f t="shared" si="658"/>
        <v>#VALUE!</v>
      </c>
      <c r="CV254" s="6114" t="e">
        <f t="shared" si="659"/>
        <v>#VALUE!</v>
      </c>
      <c r="CW254" s="6114" t="e">
        <f t="shared" si="634"/>
        <v>#VALUE!</v>
      </c>
      <c r="CX254" s="6114" t="e">
        <f t="shared" si="635"/>
        <v>#VALUE!</v>
      </c>
      <c r="DF254" s="3146">
        <f t="shared" si="636"/>
        <v>1</v>
      </c>
      <c r="DG254" s="2784">
        <f t="shared" si="652"/>
        <v>1</v>
      </c>
      <c r="DH254" s="2784">
        <f t="shared" si="637"/>
        <v>1</v>
      </c>
      <c r="DI254" s="2630"/>
      <c r="DJ254" s="2630"/>
      <c r="DK254" s="2630"/>
      <c r="DL254" s="2630"/>
      <c r="DM254" s="2630"/>
      <c r="DN254" s="2784" t="e">
        <f t="shared" si="638"/>
        <v>#VALUE!</v>
      </c>
      <c r="DO254" s="600"/>
      <c r="DP254" s="2784" t="e">
        <f t="shared" si="639"/>
        <v>#VALUE!</v>
      </c>
      <c r="DQ254" s="2784" t="e">
        <f t="shared" si="640"/>
        <v>#VALUE!</v>
      </c>
      <c r="DR254" s="2784">
        <f t="shared" si="641"/>
        <v>1</v>
      </c>
      <c r="DS254" s="2784">
        <f t="shared" si="642"/>
        <v>1</v>
      </c>
      <c r="DT254" s="2784" t="e">
        <f t="shared" si="643"/>
        <v>#VALUE!</v>
      </c>
      <c r="DU254" s="2784">
        <f t="shared" si="644"/>
        <v>1</v>
      </c>
      <c r="DV254" s="2784">
        <f t="shared" si="645"/>
        <v>1</v>
      </c>
      <c r="DW254" s="2784"/>
      <c r="DX254" s="2630"/>
      <c r="DY254" s="6114" t="e">
        <f t="shared" si="660"/>
        <v>#VALUE!</v>
      </c>
      <c r="DZ254" s="6114" t="e">
        <f t="shared" si="661"/>
        <v>#VALUE!</v>
      </c>
      <c r="EA254" s="6114" t="e">
        <f t="shared" si="648"/>
        <v>#VALUE!</v>
      </c>
      <c r="EB254" s="6114" t="e">
        <f t="shared" si="649"/>
        <v>#VALUE!</v>
      </c>
    </row>
    <row r="255" spans="1:132" ht="15" customHeight="1" x14ac:dyDescent="0.3">
      <c r="A255" s="6234">
        <v>11057118</v>
      </c>
      <c r="B255" s="7164"/>
      <c r="C255" s="150" t="s">
        <v>2714</v>
      </c>
      <c r="D255" s="613" t="s">
        <v>5292</v>
      </c>
      <c r="E255" s="161" t="s">
        <v>5293</v>
      </c>
      <c r="F255" s="5217" t="s">
        <v>5294</v>
      </c>
      <c r="G255" s="5218" t="s">
        <v>5295</v>
      </c>
      <c r="H255" s="5219" t="s">
        <v>5296</v>
      </c>
      <c r="I255" s="5218" t="s">
        <v>5297</v>
      </c>
      <c r="J255" s="5219" t="s">
        <v>5298</v>
      </c>
      <c r="K255" s="5218" t="s">
        <v>5299</v>
      </c>
      <c r="L255" s="5219" t="s">
        <v>5300</v>
      </c>
      <c r="M255" s="5218" t="s">
        <v>5301</v>
      </c>
      <c r="N255" s="288" t="s">
        <v>5302</v>
      </c>
      <c r="O255" s="3493" t="s">
        <v>5303</v>
      </c>
      <c r="P255" s="288" t="s">
        <v>5304</v>
      </c>
      <c r="Q255" s="3493" t="s">
        <v>5305</v>
      </c>
      <c r="R255" s="3492" t="s">
        <v>5306</v>
      </c>
      <c r="S255" s="3493" t="s">
        <v>5307</v>
      </c>
      <c r="T255" s="3492" t="s">
        <v>5308</v>
      </c>
      <c r="U255" s="3493" t="s">
        <v>5309</v>
      </c>
      <c r="V255" s="3492" t="s">
        <v>5310</v>
      </c>
      <c r="W255" s="3493" t="s">
        <v>5311</v>
      </c>
      <c r="X255" s="288" t="s">
        <v>5312</v>
      </c>
      <c r="Y255" s="3493" t="s">
        <v>5313</v>
      </c>
      <c r="Z255" s="288" t="s">
        <v>5314</v>
      </c>
      <c r="AA255" s="3493" t="s">
        <v>5315</v>
      </c>
      <c r="AB255" s="288" t="s">
        <v>5316</v>
      </c>
      <c r="AC255" s="3493" t="s">
        <v>5317</v>
      </c>
      <c r="AD255" s="3492" t="s">
        <v>5318</v>
      </c>
      <c r="AE255" s="3493" t="s">
        <v>5319</v>
      </c>
      <c r="AF255" s="288" t="s">
        <v>5320</v>
      </c>
      <c r="AG255" s="3493" t="s">
        <v>5321</v>
      </c>
      <c r="AH255" s="288" t="s">
        <v>5322</v>
      </c>
      <c r="AI255" s="3493" t="s">
        <v>5323</v>
      </c>
      <c r="AJ255" s="288" t="s">
        <v>5324</v>
      </c>
      <c r="AK255" s="3494" t="s">
        <v>5325</v>
      </c>
      <c r="AL255" s="3495" t="s">
        <v>5326</v>
      </c>
      <c r="AM255" s="3493" t="s">
        <v>5327</v>
      </c>
      <c r="AN255" s="288" t="s">
        <v>5328</v>
      </c>
      <c r="AO255" s="3494" t="s">
        <v>5329</v>
      </c>
      <c r="AP255" s="3495" t="s">
        <v>5330</v>
      </c>
      <c r="AQ255" s="3493" t="s">
        <v>5331</v>
      </c>
      <c r="AR255" s="288" t="s">
        <v>5332</v>
      </c>
      <c r="AS255" s="3494" t="s">
        <v>5333</v>
      </c>
      <c r="AT255" s="3495" t="s">
        <v>5334</v>
      </c>
      <c r="AU255" s="385" t="s">
        <v>5335</v>
      </c>
      <c r="AV255" s="3495" t="s">
        <v>5336</v>
      </c>
      <c r="AW255" s="385" t="s">
        <v>5337</v>
      </c>
      <c r="AX255" s="288" t="s">
        <v>5338</v>
      </c>
      <c r="AY255" s="3493" t="s">
        <v>5339</v>
      </c>
      <c r="AZ255" s="1687" t="e">
        <f t="shared" si="650"/>
        <v>#VALUE!</v>
      </c>
      <c r="CB255" s="3146" t="str">
        <f t="shared" si="656"/>
        <v xml:space="preserve"> * El Total de Exámenes Confirmados Positivos por ISP NO DEBE SUPERAR los  Exámene Procesados. </v>
      </c>
      <c r="CC255" s="2784" t="str">
        <f t="shared" si="651"/>
        <v xml:space="preserve"> * El número de Exámenes por Sexo Hombres Confirmados positivos por ISP NO PUEDE Superar al número de Procesados. </v>
      </c>
      <c r="CD255" s="2784" t="str">
        <f t="shared" si="623"/>
        <v xml:space="preserve"> * El número de Exámenes por Sexo Mujeres Confirmados positivos por ISP NO PUEDE Superar al número de Procesados. </v>
      </c>
      <c r="CE255" s="2630"/>
      <c r="CF255" s="2630"/>
      <c r="CG255" s="2630"/>
      <c r="CH255" s="2630"/>
      <c r="CI255" s="2630"/>
      <c r="CJ255" s="2784" t="e">
        <f t="shared" si="624"/>
        <v>#VALUE!</v>
      </c>
      <c r="CK255" s="600"/>
      <c r="CL255" s="2784" t="e">
        <f t="shared" si="625"/>
        <v>#VALUE!</v>
      </c>
      <c r="CM255" s="2784" t="e">
        <f t="shared" si="626"/>
        <v>#VALUE!</v>
      </c>
      <c r="CN255" s="2784" t="str">
        <f t="shared" si="627"/>
        <v xml:space="preserve"> * Los exámenes procesados Pueblos originarios no pueden ser mayor que el total de exámenes procesados.</v>
      </c>
      <c r="CO255" s="2784" t="str">
        <f t="shared" si="628"/>
        <v xml:space="preserve"> * Los exámenes procesados de Migrantes no pueden ser mayor que el total de exámenes procesados.</v>
      </c>
      <c r="CP255" s="2784" t="e">
        <f t="shared" si="629"/>
        <v>#VALUE!</v>
      </c>
      <c r="CQ255" s="2784" t="str">
        <f t="shared" si="630"/>
        <v xml:space="preserve"> * Los exámenes Confirmados positivos por ISP de Pueblos originarios no pueden ser mayor que el total de exámenes Procesados por ISP.</v>
      </c>
      <c r="CR255" s="2784" t="str">
        <f t="shared" si="631"/>
        <v xml:space="preserve"> * Los exámenes Confirmados positivos por ISP de Migrantes no pueden ser mayor que el total de exámenes Procesados por ISP.</v>
      </c>
      <c r="CS255" s="2784"/>
      <c r="CT255" s="2630"/>
      <c r="CU255" s="6114" t="e">
        <f t="shared" si="658"/>
        <v>#VALUE!</v>
      </c>
      <c r="CV255" s="6114" t="e">
        <f t="shared" si="659"/>
        <v>#VALUE!</v>
      </c>
      <c r="CW255" s="6114" t="e">
        <f t="shared" si="634"/>
        <v>#VALUE!</v>
      </c>
      <c r="CX255" s="6114" t="e">
        <f t="shared" si="635"/>
        <v>#VALUE!</v>
      </c>
      <c r="DF255" s="3146">
        <f t="shared" si="636"/>
        <v>1</v>
      </c>
      <c r="DG255" s="2784">
        <f t="shared" si="652"/>
        <v>1</v>
      </c>
      <c r="DH255" s="2784">
        <f t="shared" si="637"/>
        <v>1</v>
      </c>
      <c r="DI255" s="2630"/>
      <c r="DJ255" s="2630"/>
      <c r="DK255" s="2630"/>
      <c r="DL255" s="2630"/>
      <c r="DM255" s="2630"/>
      <c r="DN255" s="2784" t="e">
        <f t="shared" si="638"/>
        <v>#VALUE!</v>
      </c>
      <c r="DO255" s="600"/>
      <c r="DP255" s="2784" t="e">
        <f t="shared" si="639"/>
        <v>#VALUE!</v>
      </c>
      <c r="DQ255" s="2784" t="e">
        <f t="shared" si="640"/>
        <v>#VALUE!</v>
      </c>
      <c r="DR255" s="2784">
        <f t="shared" si="641"/>
        <v>1</v>
      </c>
      <c r="DS255" s="2784">
        <f t="shared" si="642"/>
        <v>1</v>
      </c>
      <c r="DT255" s="2784" t="e">
        <f t="shared" si="643"/>
        <v>#VALUE!</v>
      </c>
      <c r="DU255" s="2784">
        <f t="shared" si="644"/>
        <v>1</v>
      </c>
      <c r="DV255" s="2784">
        <f t="shared" si="645"/>
        <v>1</v>
      </c>
      <c r="DW255" s="2784"/>
      <c r="DX255" s="2630"/>
      <c r="DY255" s="6114" t="e">
        <f t="shared" si="660"/>
        <v>#VALUE!</v>
      </c>
      <c r="DZ255" s="6114" t="e">
        <f t="shared" si="661"/>
        <v>#VALUE!</v>
      </c>
      <c r="EA255" s="6114" t="e">
        <f t="shared" si="648"/>
        <v>#VALUE!</v>
      </c>
      <c r="EB255" s="6114" t="e">
        <f t="shared" si="649"/>
        <v>#VALUE!</v>
      </c>
    </row>
    <row r="256" spans="1:132" ht="15" customHeight="1" x14ac:dyDescent="0.3">
      <c r="A256" s="6234">
        <v>11057119</v>
      </c>
      <c r="B256" s="7600" t="s">
        <v>2729</v>
      </c>
      <c r="C256" s="1692" t="s">
        <v>2730</v>
      </c>
      <c r="D256" s="4750" t="s">
        <v>5292</v>
      </c>
      <c r="E256" s="5220" t="s">
        <v>5293</v>
      </c>
      <c r="F256" s="612" t="s">
        <v>5294</v>
      </c>
      <c r="G256" s="5171" t="s">
        <v>5295</v>
      </c>
      <c r="H256" s="612" t="s">
        <v>5296</v>
      </c>
      <c r="I256" s="5171" t="s">
        <v>5297</v>
      </c>
      <c r="J256" s="612" t="s">
        <v>5298</v>
      </c>
      <c r="K256" s="5171" t="s">
        <v>5299</v>
      </c>
      <c r="L256" s="612" t="s">
        <v>5300</v>
      </c>
      <c r="M256" s="5171" t="s">
        <v>5301</v>
      </c>
      <c r="N256" s="612" t="s">
        <v>5302</v>
      </c>
      <c r="O256" s="5171" t="s">
        <v>5303</v>
      </c>
      <c r="P256" s="612" t="s">
        <v>5304</v>
      </c>
      <c r="Q256" s="5171" t="s">
        <v>5305</v>
      </c>
      <c r="R256" s="276" t="s">
        <v>5306</v>
      </c>
      <c r="S256" s="5171" t="s">
        <v>5307</v>
      </c>
      <c r="T256" s="276" t="s">
        <v>5308</v>
      </c>
      <c r="U256" s="5171" t="s">
        <v>5309</v>
      </c>
      <c r="V256" s="276" t="s">
        <v>5310</v>
      </c>
      <c r="W256" s="5171" t="s">
        <v>5311</v>
      </c>
      <c r="X256" s="612" t="s">
        <v>5312</v>
      </c>
      <c r="Y256" s="5171" t="s">
        <v>5313</v>
      </c>
      <c r="Z256" s="612" t="s">
        <v>5314</v>
      </c>
      <c r="AA256" s="5171" t="s">
        <v>5315</v>
      </c>
      <c r="AB256" s="612" t="s">
        <v>5316</v>
      </c>
      <c r="AC256" s="5171" t="s">
        <v>5317</v>
      </c>
      <c r="AD256" s="276" t="s">
        <v>5318</v>
      </c>
      <c r="AE256" s="5171" t="s">
        <v>5319</v>
      </c>
      <c r="AF256" s="612" t="s">
        <v>5320</v>
      </c>
      <c r="AG256" s="5171" t="s">
        <v>5321</v>
      </c>
      <c r="AH256" s="612" t="s">
        <v>5322</v>
      </c>
      <c r="AI256" s="5171" t="s">
        <v>5323</v>
      </c>
      <c r="AJ256" s="612" t="s">
        <v>5324</v>
      </c>
      <c r="AK256" s="5144" t="s">
        <v>5325</v>
      </c>
      <c r="AL256" s="5202" t="s">
        <v>5326</v>
      </c>
      <c r="AM256" s="5171" t="s">
        <v>5327</v>
      </c>
      <c r="AN256" s="612" t="s">
        <v>5328</v>
      </c>
      <c r="AO256" s="5144" t="s">
        <v>5329</v>
      </c>
      <c r="AP256" s="5202" t="s">
        <v>5330</v>
      </c>
      <c r="AQ256" s="5171" t="s">
        <v>5331</v>
      </c>
      <c r="AR256" s="612" t="s">
        <v>5332</v>
      </c>
      <c r="AS256" s="5144" t="s">
        <v>5333</v>
      </c>
      <c r="AT256" s="5202" t="s">
        <v>5334</v>
      </c>
      <c r="AU256" s="3510" t="s">
        <v>5335</v>
      </c>
      <c r="AV256" s="5202" t="s">
        <v>5336</v>
      </c>
      <c r="AW256" s="3510" t="s">
        <v>5337</v>
      </c>
      <c r="AX256" s="612" t="s">
        <v>5338</v>
      </c>
      <c r="AY256" s="5171" t="s">
        <v>5339</v>
      </c>
      <c r="AZ256" s="1687" t="e">
        <f t="shared" si="650"/>
        <v>#VALUE!</v>
      </c>
      <c r="CB256" s="3146" t="str">
        <f t="shared" si="656"/>
        <v xml:space="preserve"> * El Total de Exámenes Confirmados Positivos por ISP NO DEBE SUPERAR los  Exámene Procesados. </v>
      </c>
      <c r="CC256" s="2784" t="str">
        <f t="shared" si="651"/>
        <v xml:space="preserve"> * El número de Exámenes por Sexo Hombres Confirmados positivos por ISP NO PUEDE Superar al número de Procesados. </v>
      </c>
      <c r="CD256" s="2784" t="str">
        <f t="shared" si="623"/>
        <v xml:space="preserve"> * El número de Exámenes por Sexo Mujeres Confirmados positivos por ISP NO PUEDE Superar al número de Procesados. </v>
      </c>
      <c r="CE256" s="2630"/>
      <c r="CF256" s="2630"/>
      <c r="CG256" s="2630"/>
      <c r="CH256" s="2630"/>
      <c r="CI256" s="2630"/>
      <c r="CJ256" s="2784" t="e">
        <f t="shared" si="624"/>
        <v>#VALUE!</v>
      </c>
      <c r="CK256" s="600"/>
      <c r="CL256" s="2784" t="e">
        <f t="shared" si="625"/>
        <v>#VALUE!</v>
      </c>
      <c r="CM256" s="2784" t="e">
        <f t="shared" si="626"/>
        <v>#VALUE!</v>
      </c>
      <c r="CN256" s="2784" t="str">
        <f t="shared" si="627"/>
        <v xml:space="preserve"> * Los exámenes procesados Pueblos originarios no pueden ser mayor que el total de exámenes procesados.</v>
      </c>
      <c r="CO256" s="2784" t="str">
        <f t="shared" si="628"/>
        <v xml:space="preserve"> * Los exámenes procesados de Migrantes no pueden ser mayor que el total de exámenes procesados.</v>
      </c>
      <c r="CP256" s="2784" t="e">
        <f t="shared" si="629"/>
        <v>#VALUE!</v>
      </c>
      <c r="CQ256" s="2784" t="str">
        <f t="shared" si="630"/>
        <v xml:space="preserve"> * Los exámenes Confirmados positivos por ISP de Pueblos originarios no pueden ser mayor que el total de exámenes Procesados por ISP.</v>
      </c>
      <c r="CR256" s="2784" t="str">
        <f t="shared" si="631"/>
        <v xml:space="preserve"> * Los exámenes Confirmados positivos por ISP de Migrantes no pueden ser mayor que el total de exámenes Procesados por ISP.</v>
      </c>
      <c r="CS256" s="2784"/>
      <c r="CT256" s="2630"/>
      <c r="CU256" s="6114" t="e">
        <f t="shared" si="658"/>
        <v>#VALUE!</v>
      </c>
      <c r="CV256" s="6114" t="e">
        <f t="shared" si="659"/>
        <v>#VALUE!</v>
      </c>
      <c r="CW256" s="6114" t="e">
        <f t="shared" si="634"/>
        <v>#VALUE!</v>
      </c>
      <c r="CX256" s="6114" t="e">
        <f t="shared" si="635"/>
        <v>#VALUE!</v>
      </c>
      <c r="DF256" s="3146">
        <f t="shared" si="636"/>
        <v>1</v>
      </c>
      <c r="DG256" s="2784">
        <f t="shared" si="652"/>
        <v>1</v>
      </c>
      <c r="DH256" s="2784">
        <f t="shared" si="637"/>
        <v>1</v>
      </c>
      <c r="DI256" s="2630"/>
      <c r="DJ256" s="2630"/>
      <c r="DK256" s="2630"/>
      <c r="DL256" s="2630"/>
      <c r="DM256" s="2630"/>
      <c r="DN256" s="2784" t="e">
        <f t="shared" si="638"/>
        <v>#VALUE!</v>
      </c>
      <c r="DO256" s="600"/>
      <c r="DP256" s="2784" t="e">
        <f t="shared" si="639"/>
        <v>#VALUE!</v>
      </c>
      <c r="DQ256" s="2784" t="e">
        <f t="shared" si="640"/>
        <v>#VALUE!</v>
      </c>
      <c r="DR256" s="2784">
        <f t="shared" si="641"/>
        <v>1</v>
      </c>
      <c r="DS256" s="2784">
        <f t="shared" si="642"/>
        <v>1</v>
      </c>
      <c r="DT256" s="2784" t="e">
        <f t="shared" si="643"/>
        <v>#VALUE!</v>
      </c>
      <c r="DU256" s="2784">
        <f t="shared" si="644"/>
        <v>1</v>
      </c>
      <c r="DV256" s="2784">
        <f t="shared" si="645"/>
        <v>1</v>
      </c>
      <c r="DW256" s="2784"/>
      <c r="DX256" s="2630"/>
      <c r="DY256" s="6114" t="e">
        <f t="shared" si="660"/>
        <v>#VALUE!</v>
      </c>
      <c r="DZ256" s="6114" t="e">
        <f t="shared" si="661"/>
        <v>#VALUE!</v>
      </c>
      <c r="EA256" s="6114" t="e">
        <f t="shared" si="648"/>
        <v>#VALUE!</v>
      </c>
      <c r="EB256" s="6114" t="e">
        <f t="shared" si="649"/>
        <v>#VALUE!</v>
      </c>
    </row>
    <row r="257" spans="1:132" ht="15" customHeight="1" x14ac:dyDescent="0.3">
      <c r="A257" s="6234">
        <v>11057120</v>
      </c>
      <c r="B257" s="6634"/>
      <c r="C257" s="3046" t="s">
        <v>2731</v>
      </c>
      <c r="D257" s="3557" t="s">
        <v>5292</v>
      </c>
      <c r="E257" s="4748" t="s">
        <v>5293</v>
      </c>
      <c r="F257" s="3479" t="s">
        <v>5294</v>
      </c>
      <c r="G257" s="5147" t="s">
        <v>5295</v>
      </c>
      <c r="H257" s="3479" t="s">
        <v>5296</v>
      </c>
      <c r="I257" s="5147" t="s">
        <v>5297</v>
      </c>
      <c r="J257" s="3479" t="s">
        <v>5298</v>
      </c>
      <c r="K257" s="5147" t="s">
        <v>5299</v>
      </c>
      <c r="L257" s="3479" t="s">
        <v>5300</v>
      </c>
      <c r="M257" s="5147" t="s">
        <v>5301</v>
      </c>
      <c r="N257" s="3479" t="s">
        <v>5302</v>
      </c>
      <c r="O257" s="5147" t="s">
        <v>5303</v>
      </c>
      <c r="P257" s="3479" t="s">
        <v>5304</v>
      </c>
      <c r="Q257" s="5147" t="s">
        <v>5305</v>
      </c>
      <c r="R257" s="5038" t="s">
        <v>5306</v>
      </c>
      <c r="S257" s="5147" t="s">
        <v>5307</v>
      </c>
      <c r="T257" s="5038" t="s">
        <v>5308</v>
      </c>
      <c r="U257" s="5147" t="s">
        <v>5309</v>
      </c>
      <c r="V257" s="5038" t="s">
        <v>5310</v>
      </c>
      <c r="W257" s="5147" t="s">
        <v>5311</v>
      </c>
      <c r="X257" s="3479" t="s">
        <v>5312</v>
      </c>
      <c r="Y257" s="5147" t="s">
        <v>5313</v>
      </c>
      <c r="Z257" s="3479" t="s">
        <v>5314</v>
      </c>
      <c r="AA257" s="5147" t="s">
        <v>5315</v>
      </c>
      <c r="AB257" s="3479" t="s">
        <v>5316</v>
      </c>
      <c r="AC257" s="5147" t="s">
        <v>5317</v>
      </c>
      <c r="AD257" s="5038" t="s">
        <v>5318</v>
      </c>
      <c r="AE257" s="5147" t="s">
        <v>5319</v>
      </c>
      <c r="AF257" s="3479" t="s">
        <v>5320</v>
      </c>
      <c r="AG257" s="5147" t="s">
        <v>5321</v>
      </c>
      <c r="AH257" s="3479" t="s">
        <v>5322</v>
      </c>
      <c r="AI257" s="5147" t="s">
        <v>5323</v>
      </c>
      <c r="AJ257" s="3479" t="s">
        <v>5324</v>
      </c>
      <c r="AK257" s="5145" t="s">
        <v>5325</v>
      </c>
      <c r="AL257" s="5146" t="s">
        <v>5326</v>
      </c>
      <c r="AM257" s="5147" t="s">
        <v>5327</v>
      </c>
      <c r="AN257" s="3479" t="s">
        <v>5328</v>
      </c>
      <c r="AO257" s="5145" t="s">
        <v>5329</v>
      </c>
      <c r="AP257" s="5146" t="s">
        <v>5330</v>
      </c>
      <c r="AQ257" s="5147" t="s">
        <v>5331</v>
      </c>
      <c r="AR257" s="3479" t="s">
        <v>5332</v>
      </c>
      <c r="AS257" s="5145" t="s">
        <v>5333</v>
      </c>
      <c r="AT257" s="5146" t="s">
        <v>5334</v>
      </c>
      <c r="AU257" s="3512" t="s">
        <v>5335</v>
      </c>
      <c r="AV257" s="5146" t="s">
        <v>5336</v>
      </c>
      <c r="AW257" s="3512" t="s">
        <v>5337</v>
      </c>
      <c r="AX257" s="3479" t="s">
        <v>5338</v>
      </c>
      <c r="AY257" s="5147" t="s">
        <v>5339</v>
      </c>
      <c r="AZ257" s="1687" t="e">
        <f t="shared" si="650"/>
        <v>#VALUE!</v>
      </c>
      <c r="CB257" s="3146" t="str">
        <f t="shared" si="656"/>
        <v xml:space="preserve"> * El Total de Exámenes Confirmados Positivos por ISP NO DEBE SUPERAR los  Exámene Procesados. </v>
      </c>
      <c r="CC257" s="2784" t="str">
        <f t="shared" si="651"/>
        <v xml:space="preserve"> * El número de Exámenes por Sexo Hombres Confirmados positivos por ISP NO PUEDE Superar al número de Procesados. </v>
      </c>
      <c r="CD257" s="2784" t="str">
        <f t="shared" si="623"/>
        <v xml:space="preserve"> * El número de Exámenes por Sexo Mujeres Confirmados positivos por ISP NO PUEDE Superar al número de Procesados. </v>
      </c>
      <c r="CE257" s="2630"/>
      <c r="CF257" s="2630"/>
      <c r="CG257" s="2630"/>
      <c r="CH257" s="2630"/>
      <c r="CI257" s="2630"/>
      <c r="CJ257" s="2784" t="e">
        <f t="shared" si="624"/>
        <v>#VALUE!</v>
      </c>
      <c r="CK257" s="600"/>
      <c r="CL257" s="2784" t="e">
        <f t="shared" si="625"/>
        <v>#VALUE!</v>
      </c>
      <c r="CM257" s="2784" t="e">
        <f t="shared" si="626"/>
        <v>#VALUE!</v>
      </c>
      <c r="CN257" s="2784" t="str">
        <f t="shared" si="627"/>
        <v xml:space="preserve"> * Los exámenes procesados Pueblos originarios no pueden ser mayor que el total de exámenes procesados.</v>
      </c>
      <c r="CO257" s="2784" t="str">
        <f t="shared" si="628"/>
        <v xml:space="preserve"> * Los exámenes procesados de Migrantes no pueden ser mayor que el total de exámenes procesados.</v>
      </c>
      <c r="CP257" s="2784" t="e">
        <f t="shared" si="629"/>
        <v>#VALUE!</v>
      </c>
      <c r="CQ257" s="2784" t="str">
        <f t="shared" si="630"/>
        <v xml:space="preserve"> * Los exámenes Confirmados positivos por ISP de Pueblos originarios no pueden ser mayor que el total de exámenes Procesados por ISP.</v>
      </c>
      <c r="CR257" s="2784" t="str">
        <f t="shared" si="631"/>
        <v xml:space="preserve"> * Los exámenes Confirmados positivos por ISP de Migrantes no pueden ser mayor que el total de exámenes Procesados por ISP.</v>
      </c>
      <c r="CS257" s="2784"/>
      <c r="CT257" s="2630"/>
      <c r="CU257" s="6114" t="e">
        <f t="shared" si="658"/>
        <v>#VALUE!</v>
      </c>
      <c r="CV257" s="6114" t="e">
        <f t="shared" si="659"/>
        <v>#VALUE!</v>
      </c>
      <c r="CW257" s="6114" t="e">
        <f t="shared" si="634"/>
        <v>#VALUE!</v>
      </c>
      <c r="CX257" s="6114" t="e">
        <f t="shared" si="635"/>
        <v>#VALUE!</v>
      </c>
      <c r="DF257" s="3146">
        <f t="shared" si="636"/>
        <v>1</v>
      </c>
      <c r="DG257" s="2784">
        <f t="shared" si="652"/>
        <v>1</v>
      </c>
      <c r="DH257" s="2784">
        <f t="shared" si="637"/>
        <v>1</v>
      </c>
      <c r="DI257" s="2630"/>
      <c r="DJ257" s="2630"/>
      <c r="DK257" s="2630"/>
      <c r="DL257" s="2630"/>
      <c r="DM257" s="2630"/>
      <c r="DN257" s="2784" t="e">
        <f t="shared" si="638"/>
        <v>#VALUE!</v>
      </c>
      <c r="DO257" s="600"/>
      <c r="DP257" s="2784" t="e">
        <f t="shared" si="639"/>
        <v>#VALUE!</v>
      </c>
      <c r="DQ257" s="2784" t="e">
        <f t="shared" si="640"/>
        <v>#VALUE!</v>
      </c>
      <c r="DR257" s="2784">
        <f t="shared" si="641"/>
        <v>1</v>
      </c>
      <c r="DS257" s="2784">
        <f t="shared" si="642"/>
        <v>1</v>
      </c>
      <c r="DT257" s="2784" t="e">
        <f t="shared" si="643"/>
        <v>#VALUE!</v>
      </c>
      <c r="DU257" s="2784">
        <f t="shared" si="644"/>
        <v>1</v>
      </c>
      <c r="DV257" s="2784">
        <f t="shared" si="645"/>
        <v>1</v>
      </c>
      <c r="DW257" s="2784"/>
      <c r="DX257" s="2630"/>
      <c r="DY257" s="6114" t="e">
        <f t="shared" si="660"/>
        <v>#VALUE!</v>
      </c>
      <c r="DZ257" s="6114" t="e">
        <f t="shared" si="661"/>
        <v>#VALUE!</v>
      </c>
      <c r="EA257" s="6114" t="e">
        <f t="shared" si="648"/>
        <v>#VALUE!</v>
      </c>
      <c r="EB257" s="6114" t="e">
        <f t="shared" si="649"/>
        <v>#VALUE!</v>
      </c>
    </row>
    <row r="258" spans="1:132" ht="15" customHeight="1" x14ac:dyDescent="0.3">
      <c r="A258" s="6234">
        <v>11057121</v>
      </c>
      <c r="B258" s="6634"/>
      <c r="C258" s="3046" t="s">
        <v>2732</v>
      </c>
      <c r="D258" s="3557" t="s">
        <v>5292</v>
      </c>
      <c r="E258" s="4748" t="s">
        <v>5293</v>
      </c>
      <c r="F258" s="3479" t="s">
        <v>5294</v>
      </c>
      <c r="G258" s="5147" t="s">
        <v>5295</v>
      </c>
      <c r="H258" s="3479" t="s">
        <v>5296</v>
      </c>
      <c r="I258" s="5147" t="s">
        <v>5297</v>
      </c>
      <c r="J258" s="3479" t="s">
        <v>5298</v>
      </c>
      <c r="K258" s="5147" t="s">
        <v>5299</v>
      </c>
      <c r="L258" s="3479" t="s">
        <v>5300</v>
      </c>
      <c r="M258" s="5147" t="s">
        <v>5301</v>
      </c>
      <c r="N258" s="3479" t="s">
        <v>5302</v>
      </c>
      <c r="O258" s="5147" t="s">
        <v>5303</v>
      </c>
      <c r="P258" s="3479" t="s">
        <v>5304</v>
      </c>
      <c r="Q258" s="5147" t="s">
        <v>5305</v>
      </c>
      <c r="R258" s="5038" t="s">
        <v>5306</v>
      </c>
      <c r="S258" s="5147" t="s">
        <v>5307</v>
      </c>
      <c r="T258" s="5038" t="s">
        <v>5308</v>
      </c>
      <c r="U258" s="5147" t="s">
        <v>5309</v>
      </c>
      <c r="V258" s="5038" t="s">
        <v>5310</v>
      </c>
      <c r="W258" s="5147" t="s">
        <v>5311</v>
      </c>
      <c r="X258" s="3479" t="s">
        <v>5312</v>
      </c>
      <c r="Y258" s="5147" t="s">
        <v>5313</v>
      </c>
      <c r="Z258" s="3479" t="s">
        <v>5314</v>
      </c>
      <c r="AA258" s="5147" t="s">
        <v>5315</v>
      </c>
      <c r="AB258" s="3479" t="s">
        <v>5316</v>
      </c>
      <c r="AC258" s="5147" t="s">
        <v>5317</v>
      </c>
      <c r="AD258" s="5038" t="s">
        <v>5318</v>
      </c>
      <c r="AE258" s="5147" t="s">
        <v>5319</v>
      </c>
      <c r="AF258" s="3479" t="s">
        <v>5320</v>
      </c>
      <c r="AG258" s="5147" t="s">
        <v>5321</v>
      </c>
      <c r="AH258" s="3479" t="s">
        <v>5322</v>
      </c>
      <c r="AI258" s="5147" t="s">
        <v>5323</v>
      </c>
      <c r="AJ258" s="3479" t="s">
        <v>5324</v>
      </c>
      <c r="AK258" s="5145" t="s">
        <v>5325</v>
      </c>
      <c r="AL258" s="5146" t="s">
        <v>5326</v>
      </c>
      <c r="AM258" s="5147" t="s">
        <v>5327</v>
      </c>
      <c r="AN258" s="3479" t="s">
        <v>5328</v>
      </c>
      <c r="AO258" s="5145" t="s">
        <v>5329</v>
      </c>
      <c r="AP258" s="5146" t="s">
        <v>5330</v>
      </c>
      <c r="AQ258" s="5147" t="s">
        <v>5331</v>
      </c>
      <c r="AR258" s="3479" t="s">
        <v>5332</v>
      </c>
      <c r="AS258" s="5145" t="s">
        <v>5333</v>
      </c>
      <c r="AT258" s="5146" t="s">
        <v>5334</v>
      </c>
      <c r="AU258" s="3512" t="s">
        <v>5335</v>
      </c>
      <c r="AV258" s="5146" t="s">
        <v>5336</v>
      </c>
      <c r="AW258" s="3512" t="s">
        <v>5337</v>
      </c>
      <c r="AX258" s="3479" t="s">
        <v>5338</v>
      </c>
      <c r="AY258" s="5147" t="s">
        <v>5339</v>
      </c>
      <c r="AZ258" s="1687" t="e">
        <f t="shared" si="650"/>
        <v>#VALUE!</v>
      </c>
      <c r="CB258" s="3146" t="str">
        <f t="shared" si="656"/>
        <v xml:space="preserve"> * El Total de Exámenes Confirmados Positivos por ISP NO DEBE SUPERAR los  Exámene Procesados. </v>
      </c>
      <c r="CC258" s="2784" t="str">
        <f t="shared" si="651"/>
        <v xml:space="preserve"> * El número de Exámenes por Sexo Hombres Confirmados positivos por ISP NO PUEDE Superar al número de Procesados. </v>
      </c>
      <c r="CD258" s="2784" t="str">
        <f t="shared" si="623"/>
        <v xml:space="preserve"> * El número de Exámenes por Sexo Mujeres Confirmados positivos por ISP NO PUEDE Superar al número de Procesados. </v>
      </c>
      <c r="CE258" s="2630"/>
      <c r="CF258" s="2630"/>
      <c r="CG258" s="2630"/>
      <c r="CH258" s="2630"/>
      <c r="CI258" s="2630"/>
      <c r="CJ258" s="2784" t="e">
        <f t="shared" si="624"/>
        <v>#VALUE!</v>
      </c>
      <c r="CK258" s="600"/>
      <c r="CL258" s="2784" t="e">
        <f t="shared" si="625"/>
        <v>#VALUE!</v>
      </c>
      <c r="CM258" s="2784" t="e">
        <f t="shared" si="626"/>
        <v>#VALUE!</v>
      </c>
      <c r="CN258" s="2784" t="str">
        <f t="shared" si="627"/>
        <v xml:space="preserve"> * Los exámenes procesados Pueblos originarios no pueden ser mayor que el total de exámenes procesados.</v>
      </c>
      <c r="CO258" s="2784" t="str">
        <f t="shared" si="628"/>
        <v xml:space="preserve"> * Los exámenes procesados de Migrantes no pueden ser mayor que el total de exámenes procesados.</v>
      </c>
      <c r="CP258" s="2784" t="e">
        <f t="shared" si="629"/>
        <v>#VALUE!</v>
      </c>
      <c r="CQ258" s="2784" t="str">
        <f t="shared" si="630"/>
        <v xml:space="preserve"> * Los exámenes Confirmados positivos por ISP de Pueblos originarios no pueden ser mayor que el total de exámenes Procesados por ISP.</v>
      </c>
      <c r="CR258" s="2784" t="str">
        <f t="shared" si="631"/>
        <v xml:space="preserve"> * Los exámenes Confirmados positivos por ISP de Migrantes no pueden ser mayor que el total de exámenes Procesados por ISP.</v>
      </c>
      <c r="CS258" s="2784"/>
      <c r="CT258" s="2630"/>
      <c r="CU258" s="6114" t="e">
        <f t="shared" si="658"/>
        <v>#VALUE!</v>
      </c>
      <c r="CV258" s="6114" t="e">
        <f t="shared" si="659"/>
        <v>#VALUE!</v>
      </c>
      <c r="CW258" s="6114" t="e">
        <f t="shared" si="634"/>
        <v>#VALUE!</v>
      </c>
      <c r="CX258" s="6114" t="e">
        <f t="shared" si="635"/>
        <v>#VALUE!</v>
      </c>
      <c r="DF258" s="3146">
        <f t="shared" si="636"/>
        <v>1</v>
      </c>
      <c r="DG258" s="2784">
        <f t="shared" si="652"/>
        <v>1</v>
      </c>
      <c r="DH258" s="2784">
        <f t="shared" si="637"/>
        <v>1</v>
      </c>
      <c r="DI258" s="2630"/>
      <c r="DJ258" s="2630"/>
      <c r="DK258" s="2630"/>
      <c r="DL258" s="2630"/>
      <c r="DM258" s="2630"/>
      <c r="DN258" s="2784" t="e">
        <f t="shared" si="638"/>
        <v>#VALUE!</v>
      </c>
      <c r="DO258" s="600"/>
      <c r="DP258" s="2784" t="e">
        <f t="shared" si="639"/>
        <v>#VALUE!</v>
      </c>
      <c r="DQ258" s="2784" t="e">
        <f t="shared" si="640"/>
        <v>#VALUE!</v>
      </c>
      <c r="DR258" s="2784">
        <f t="shared" si="641"/>
        <v>1</v>
      </c>
      <c r="DS258" s="2784">
        <f t="shared" si="642"/>
        <v>1</v>
      </c>
      <c r="DT258" s="2784" t="e">
        <f t="shared" si="643"/>
        <v>#VALUE!</v>
      </c>
      <c r="DU258" s="2784">
        <f t="shared" si="644"/>
        <v>1</v>
      </c>
      <c r="DV258" s="2784">
        <f t="shared" si="645"/>
        <v>1</v>
      </c>
      <c r="DW258" s="2784"/>
      <c r="DX258" s="2630"/>
      <c r="DY258" s="6114" t="e">
        <f t="shared" si="660"/>
        <v>#VALUE!</v>
      </c>
      <c r="DZ258" s="6114" t="e">
        <f t="shared" si="661"/>
        <v>#VALUE!</v>
      </c>
      <c r="EA258" s="6114" t="e">
        <f t="shared" si="648"/>
        <v>#VALUE!</v>
      </c>
      <c r="EB258" s="6114" t="e">
        <f t="shared" si="649"/>
        <v>#VALUE!</v>
      </c>
    </row>
    <row r="259" spans="1:132" ht="15" customHeight="1" x14ac:dyDescent="0.3">
      <c r="A259" s="6234">
        <v>11057122</v>
      </c>
      <c r="B259" s="7164"/>
      <c r="C259" s="3255" t="s">
        <v>2733</v>
      </c>
      <c r="D259" s="4751" t="s">
        <v>5292</v>
      </c>
      <c r="E259" s="4749" t="s">
        <v>5293</v>
      </c>
      <c r="F259" s="288" t="s">
        <v>5294</v>
      </c>
      <c r="G259" s="3493" t="s">
        <v>5295</v>
      </c>
      <c r="H259" s="288" t="s">
        <v>5296</v>
      </c>
      <c r="I259" s="3493" t="s">
        <v>5297</v>
      </c>
      <c r="J259" s="288" t="s">
        <v>5298</v>
      </c>
      <c r="K259" s="3493" t="s">
        <v>5299</v>
      </c>
      <c r="L259" s="288" t="s">
        <v>5300</v>
      </c>
      <c r="M259" s="3493" t="s">
        <v>5301</v>
      </c>
      <c r="N259" s="288" t="s">
        <v>5302</v>
      </c>
      <c r="O259" s="3493" t="s">
        <v>5303</v>
      </c>
      <c r="P259" s="288" t="s">
        <v>5304</v>
      </c>
      <c r="Q259" s="3493" t="s">
        <v>5305</v>
      </c>
      <c r="R259" s="3492" t="s">
        <v>5306</v>
      </c>
      <c r="S259" s="3493" t="s">
        <v>5307</v>
      </c>
      <c r="T259" s="3492" t="s">
        <v>5308</v>
      </c>
      <c r="U259" s="3493" t="s">
        <v>5309</v>
      </c>
      <c r="V259" s="3492" t="s">
        <v>5310</v>
      </c>
      <c r="W259" s="3493" t="s">
        <v>5311</v>
      </c>
      <c r="X259" s="288" t="s">
        <v>5312</v>
      </c>
      <c r="Y259" s="3493" t="s">
        <v>5313</v>
      </c>
      <c r="Z259" s="288" t="s">
        <v>5314</v>
      </c>
      <c r="AA259" s="3493" t="s">
        <v>5315</v>
      </c>
      <c r="AB259" s="288" t="s">
        <v>5316</v>
      </c>
      <c r="AC259" s="3493" t="s">
        <v>5317</v>
      </c>
      <c r="AD259" s="3492" t="s">
        <v>5318</v>
      </c>
      <c r="AE259" s="3493" t="s">
        <v>5319</v>
      </c>
      <c r="AF259" s="288" t="s">
        <v>5320</v>
      </c>
      <c r="AG259" s="3493" t="s">
        <v>5321</v>
      </c>
      <c r="AH259" s="288" t="s">
        <v>5322</v>
      </c>
      <c r="AI259" s="3493" t="s">
        <v>5323</v>
      </c>
      <c r="AJ259" s="288" t="s">
        <v>5324</v>
      </c>
      <c r="AK259" s="3494" t="s">
        <v>5325</v>
      </c>
      <c r="AL259" s="3495" t="s">
        <v>5326</v>
      </c>
      <c r="AM259" s="3493" t="s">
        <v>5327</v>
      </c>
      <c r="AN259" s="288" t="s">
        <v>5328</v>
      </c>
      <c r="AO259" s="3494" t="s">
        <v>5329</v>
      </c>
      <c r="AP259" s="3495" t="s">
        <v>5330</v>
      </c>
      <c r="AQ259" s="3493" t="s">
        <v>5331</v>
      </c>
      <c r="AR259" s="288" t="s">
        <v>5332</v>
      </c>
      <c r="AS259" s="3494" t="s">
        <v>5333</v>
      </c>
      <c r="AT259" s="3495" t="s">
        <v>5334</v>
      </c>
      <c r="AU259" s="385" t="s">
        <v>5335</v>
      </c>
      <c r="AV259" s="3495" t="s">
        <v>5336</v>
      </c>
      <c r="AW259" s="385" t="s">
        <v>5337</v>
      </c>
      <c r="AX259" s="288" t="s">
        <v>5338</v>
      </c>
      <c r="AY259" s="3493" t="s">
        <v>5339</v>
      </c>
      <c r="AZ259" s="1687" t="e">
        <f t="shared" si="650"/>
        <v>#VALUE!</v>
      </c>
      <c r="CB259" s="3146" t="str">
        <f t="shared" si="656"/>
        <v xml:space="preserve"> * El Total de Exámenes Confirmados Positivos por ISP NO DEBE SUPERAR los  Exámene Procesados. </v>
      </c>
      <c r="CC259" s="2784" t="str">
        <f t="shared" si="651"/>
        <v xml:space="preserve"> * El número de Exámenes por Sexo Hombres Confirmados positivos por ISP NO PUEDE Superar al número de Procesados. </v>
      </c>
      <c r="CD259" s="2784" t="str">
        <f t="shared" si="623"/>
        <v xml:space="preserve"> * El número de Exámenes por Sexo Mujeres Confirmados positivos por ISP NO PUEDE Superar al número de Procesados. </v>
      </c>
      <c r="CE259" s="2630"/>
      <c r="CF259" s="2630"/>
      <c r="CG259" s="2630"/>
      <c r="CH259" s="2630"/>
      <c r="CI259" s="2630"/>
      <c r="CJ259" s="2784" t="e">
        <f t="shared" si="624"/>
        <v>#VALUE!</v>
      </c>
      <c r="CK259" s="600"/>
      <c r="CL259" s="2784" t="e">
        <f t="shared" si="625"/>
        <v>#VALUE!</v>
      </c>
      <c r="CM259" s="2784" t="e">
        <f t="shared" si="626"/>
        <v>#VALUE!</v>
      </c>
      <c r="CN259" s="2784" t="str">
        <f t="shared" si="627"/>
        <v xml:space="preserve"> * Los exámenes procesados Pueblos originarios no pueden ser mayor que el total de exámenes procesados.</v>
      </c>
      <c r="CO259" s="2784" t="str">
        <f t="shared" si="628"/>
        <v xml:space="preserve"> * Los exámenes procesados de Migrantes no pueden ser mayor que el total de exámenes procesados.</v>
      </c>
      <c r="CP259" s="2784" t="e">
        <f t="shared" si="629"/>
        <v>#VALUE!</v>
      </c>
      <c r="CQ259" s="2784" t="str">
        <f t="shared" si="630"/>
        <v xml:space="preserve"> * Los exámenes Confirmados positivos por ISP de Pueblos originarios no pueden ser mayor que el total de exámenes Procesados por ISP.</v>
      </c>
      <c r="CR259" s="2784" t="str">
        <f t="shared" si="631"/>
        <v xml:space="preserve"> * Los exámenes Confirmados positivos por ISP de Migrantes no pueden ser mayor que el total de exámenes Procesados por ISP.</v>
      </c>
      <c r="CS259" s="2784"/>
      <c r="CT259" s="2630"/>
      <c r="CU259" s="6114" t="e">
        <f t="shared" si="658"/>
        <v>#VALUE!</v>
      </c>
      <c r="CV259" s="6114" t="e">
        <f t="shared" si="659"/>
        <v>#VALUE!</v>
      </c>
      <c r="CW259" s="6114" t="e">
        <f t="shared" si="634"/>
        <v>#VALUE!</v>
      </c>
      <c r="CX259" s="6114" t="e">
        <f t="shared" si="635"/>
        <v>#VALUE!</v>
      </c>
      <c r="DF259" s="3146">
        <f t="shared" si="636"/>
        <v>1</v>
      </c>
      <c r="DG259" s="2784">
        <f t="shared" si="652"/>
        <v>1</v>
      </c>
      <c r="DH259" s="2784">
        <f t="shared" si="637"/>
        <v>1</v>
      </c>
      <c r="DI259" s="2630"/>
      <c r="DJ259" s="2630"/>
      <c r="DK259" s="2630"/>
      <c r="DL259" s="2630"/>
      <c r="DM259" s="2630"/>
      <c r="DN259" s="2784" t="e">
        <f t="shared" si="638"/>
        <v>#VALUE!</v>
      </c>
      <c r="DO259" s="600"/>
      <c r="DP259" s="2784" t="e">
        <f t="shared" si="639"/>
        <v>#VALUE!</v>
      </c>
      <c r="DQ259" s="2784" t="e">
        <f t="shared" si="640"/>
        <v>#VALUE!</v>
      </c>
      <c r="DR259" s="2784">
        <f t="shared" si="641"/>
        <v>1</v>
      </c>
      <c r="DS259" s="2784">
        <f t="shared" si="642"/>
        <v>1</v>
      </c>
      <c r="DT259" s="2784" t="e">
        <f t="shared" si="643"/>
        <v>#VALUE!</v>
      </c>
      <c r="DU259" s="2784">
        <f t="shared" si="644"/>
        <v>1</v>
      </c>
      <c r="DV259" s="2784">
        <f t="shared" si="645"/>
        <v>1</v>
      </c>
      <c r="DW259" s="2784"/>
      <c r="DX259" s="2630"/>
      <c r="DY259" s="6114" t="e">
        <f t="shared" si="660"/>
        <v>#VALUE!</v>
      </c>
      <c r="DZ259" s="6114" t="e">
        <f t="shared" si="661"/>
        <v>#VALUE!</v>
      </c>
      <c r="EA259" s="6114" t="e">
        <f t="shared" si="648"/>
        <v>#VALUE!</v>
      </c>
      <c r="EB259" s="6114" t="e">
        <f t="shared" si="649"/>
        <v>#VALUE!</v>
      </c>
    </row>
    <row r="260" spans="1:132" ht="18" customHeight="1" x14ac:dyDescent="0.3">
      <c r="A260" s="599"/>
      <c r="B260" s="7601" t="s">
        <v>3906</v>
      </c>
      <c r="C260" s="7601"/>
      <c r="D260" s="7601"/>
      <c r="E260" s="7601"/>
      <c r="F260" s="7601"/>
      <c r="G260" s="7601"/>
      <c r="H260" s="7601"/>
      <c r="I260" s="7601"/>
      <c r="J260" s="7601"/>
      <c r="K260" s="7601"/>
      <c r="L260" s="7601"/>
      <c r="M260" s="7601"/>
      <c r="N260" s="7601"/>
      <c r="O260" s="7601"/>
      <c r="P260" s="7601"/>
      <c r="Q260" s="7601"/>
      <c r="R260" s="7601"/>
      <c r="S260" s="7601"/>
      <c r="T260" s="600"/>
      <c r="U260" s="600"/>
    </row>
    <row r="261" spans="1:132" ht="14.4" customHeight="1" x14ac:dyDescent="0.3">
      <c r="A261" s="599"/>
      <c r="B261" s="7612" t="s">
        <v>0</v>
      </c>
      <c r="C261" s="7612" t="s">
        <v>24</v>
      </c>
      <c r="D261" s="7592" t="s">
        <v>2734</v>
      </c>
      <c r="E261" s="7592"/>
      <c r="F261" s="7592"/>
      <c r="G261" s="7592"/>
      <c r="H261" s="7592"/>
      <c r="I261" s="7592"/>
      <c r="J261" s="7592"/>
      <c r="K261" s="7592"/>
      <c r="L261" s="7592"/>
      <c r="M261" s="7589"/>
      <c r="N261" s="7616" t="s">
        <v>2</v>
      </c>
      <c r="O261" s="7612" t="s">
        <v>3</v>
      </c>
    </row>
    <row r="262" spans="1:132" x14ac:dyDescent="0.3">
      <c r="A262" s="599"/>
      <c r="B262" s="7613"/>
      <c r="C262" s="7613"/>
      <c r="D262" s="5212" t="s">
        <v>38</v>
      </c>
      <c r="E262" s="5221" t="s">
        <v>4</v>
      </c>
      <c r="F262" s="5221" t="s">
        <v>5</v>
      </c>
      <c r="G262" s="5221" t="s">
        <v>6</v>
      </c>
      <c r="H262" s="5221" t="s">
        <v>7</v>
      </c>
      <c r="I262" s="5221" t="s">
        <v>8</v>
      </c>
      <c r="J262" s="5221" t="s">
        <v>9</v>
      </c>
      <c r="K262" s="5221" t="s">
        <v>10</v>
      </c>
      <c r="L262" s="5221" t="s">
        <v>11</v>
      </c>
      <c r="M262" s="5186" t="s">
        <v>1467</v>
      </c>
      <c r="N262" s="7617"/>
      <c r="O262" s="7613"/>
    </row>
    <row r="263" spans="1:132" x14ac:dyDescent="0.3">
      <c r="A263" s="6234">
        <v>11057123</v>
      </c>
      <c r="B263" s="5222" t="s">
        <v>2735</v>
      </c>
      <c r="C263" s="5223" t="s">
        <v>5292</v>
      </c>
      <c r="D263" s="106" t="s">
        <v>5293</v>
      </c>
      <c r="E263" s="5048" t="s">
        <v>5294</v>
      </c>
      <c r="F263" s="5048" t="s">
        <v>5295</v>
      </c>
      <c r="G263" s="5048" t="s">
        <v>5296</v>
      </c>
      <c r="H263" s="5048" t="s">
        <v>5297</v>
      </c>
      <c r="I263" s="5048" t="s">
        <v>5298</v>
      </c>
      <c r="J263" s="5048" t="s">
        <v>5299</v>
      </c>
      <c r="K263" s="5048" t="s">
        <v>5300</v>
      </c>
      <c r="L263" s="5048" t="s">
        <v>5301</v>
      </c>
      <c r="M263" s="767" t="s">
        <v>5302</v>
      </c>
      <c r="N263" s="3077" t="s">
        <v>5303</v>
      </c>
      <c r="O263" s="148" t="s">
        <v>5304</v>
      </c>
      <c r="P263" s="3559" t="str">
        <f>$CB263&amp;CC263</f>
        <v xml:space="preserve"> * La variable Pueblos originarios No puede ser mayor al Total. * La variable Migrantes No puede ser mayor al Total.</v>
      </c>
      <c r="CB263" s="3146" t="str">
        <f>IF(AND(C263&gt;0,N263="")," * No olvide digitar la variable pueblos originarios. Digite Cero si no tiene.",IF(N263&gt;C263," * La variable Pueblos originarios No puede ser mayor al Total.",""))</f>
        <v xml:space="preserve"> * La variable Pueblos originarios No puede ser mayor al Total.</v>
      </c>
      <c r="CC263" s="3146" t="str">
        <f>IF(AND(C263&gt;0,O263="")," * No olvide digitar la variable Migrantes. Digite Cero si no tiene.",IF(O263&gt;C263," * La variable Migrantes No puede ser mayor al Total.",""))</f>
        <v xml:space="preserve"> * La variable Migrantes No puede ser mayor al Total.</v>
      </c>
      <c r="DF263" s="1725">
        <f>IF(AND(C263&gt;0,N263=""),1,IF(N263&gt;C263,1,0))</f>
        <v>1</v>
      </c>
      <c r="DG263" s="1725">
        <f>IF(AND(C263&gt;0,O263=""),1,IF(O263&gt;C263,1,0))</f>
        <v>1</v>
      </c>
    </row>
    <row r="264" spans="1:132" x14ac:dyDescent="0.3">
      <c r="A264" s="6234">
        <v>11057124</v>
      </c>
      <c r="B264" s="3560" t="s">
        <v>2736</v>
      </c>
      <c r="C264" s="3561" t="s">
        <v>5292</v>
      </c>
      <c r="D264" s="1072" t="s">
        <v>5293</v>
      </c>
      <c r="E264" s="1073" t="s">
        <v>5294</v>
      </c>
      <c r="F264" s="1073" t="s">
        <v>5295</v>
      </c>
      <c r="G264" s="1073" t="s">
        <v>5296</v>
      </c>
      <c r="H264" s="1073" t="s">
        <v>5297</v>
      </c>
      <c r="I264" s="1073" t="s">
        <v>5298</v>
      </c>
      <c r="J264" s="1073" t="s">
        <v>5299</v>
      </c>
      <c r="K264" s="1073" t="s">
        <v>5300</v>
      </c>
      <c r="L264" s="1073" t="s">
        <v>5301</v>
      </c>
      <c r="M264" s="3144" t="s">
        <v>5302</v>
      </c>
      <c r="N264" s="3077" t="s">
        <v>5303</v>
      </c>
      <c r="O264" s="3145" t="s">
        <v>5304</v>
      </c>
      <c r="P264" s="3559" t="str">
        <f t="shared" ref="P264:P267" si="662">$CB264&amp;CC264</f>
        <v xml:space="preserve"> * La variable Pueblos originarios No puede ser mayor al Total. * La variable Migrantes No puede ser mayor al Total.</v>
      </c>
      <c r="CB264" s="3146" t="str">
        <f t="shared" ref="CB264:CB267" si="663">IF(AND(C264&gt;0,N264="")," * No olvide digitar la variable pueblos originarios. Digite Cero si no tiene.",IF(N264&gt;C264," * La variable Pueblos originarios No puede ser mayor al Total.",""))</f>
        <v xml:space="preserve"> * La variable Pueblos originarios No puede ser mayor al Total.</v>
      </c>
      <c r="CC264" s="3146" t="str">
        <f t="shared" ref="CC264:CC267" si="664">IF(AND(C264&gt;0,O264="")," * No olvide digitar la variable Migrantes. Digite Cero si no tiene.",IF(O264&gt;C264," * La variable Migrantes No puede ser mayor al Total.",""))</f>
        <v xml:space="preserve"> * La variable Migrantes No puede ser mayor al Total.</v>
      </c>
      <c r="DF264" s="1725">
        <f t="shared" ref="DF264:DF267" si="665">IF(AND(C264&gt;0,N264=""),1,IF(N264&gt;C264,1,0))</f>
        <v>1</v>
      </c>
      <c r="DG264" s="1725">
        <f t="shared" ref="DG264:DG267" si="666">IF(AND(C264&gt;0,O264=""),1,IF(O264&gt;C264,1,0))</f>
        <v>1</v>
      </c>
    </row>
    <row r="265" spans="1:132" x14ac:dyDescent="0.3">
      <c r="A265" s="6234">
        <v>11057125</v>
      </c>
      <c r="B265" s="3560" t="s">
        <v>2737</v>
      </c>
      <c r="C265" s="3562" t="s">
        <v>5292</v>
      </c>
      <c r="D265" s="1072" t="s">
        <v>5293</v>
      </c>
      <c r="E265" s="1073" t="s">
        <v>5294</v>
      </c>
      <c r="F265" s="1073" t="s">
        <v>5295</v>
      </c>
      <c r="G265" s="1073" t="s">
        <v>5296</v>
      </c>
      <c r="H265" s="1073" t="s">
        <v>5297</v>
      </c>
      <c r="I265" s="1073" t="s">
        <v>5298</v>
      </c>
      <c r="J265" s="1073" t="s">
        <v>5299</v>
      </c>
      <c r="K265" s="1073" t="s">
        <v>5300</v>
      </c>
      <c r="L265" s="1073" t="s">
        <v>5301</v>
      </c>
      <c r="M265" s="3144" t="s">
        <v>5302</v>
      </c>
      <c r="N265" s="3077" t="s">
        <v>5303</v>
      </c>
      <c r="O265" s="3145" t="s">
        <v>5304</v>
      </c>
      <c r="P265" s="3559" t="str">
        <f t="shared" si="662"/>
        <v xml:space="preserve"> * La variable Pueblos originarios No puede ser mayor al Total. * La variable Migrantes No puede ser mayor al Total.</v>
      </c>
      <c r="CB265" s="3146" t="str">
        <f t="shared" si="663"/>
        <v xml:space="preserve"> * La variable Pueblos originarios No puede ser mayor al Total.</v>
      </c>
      <c r="CC265" s="3146" t="str">
        <f t="shared" si="664"/>
        <v xml:space="preserve"> * La variable Migrantes No puede ser mayor al Total.</v>
      </c>
      <c r="DF265" s="1725">
        <f t="shared" si="665"/>
        <v>1</v>
      </c>
      <c r="DG265" s="1725">
        <f t="shared" si="666"/>
        <v>1</v>
      </c>
    </row>
    <row r="266" spans="1:132" ht="20.399999999999999" x14ac:dyDescent="0.3">
      <c r="A266" s="6234">
        <v>11057126</v>
      </c>
      <c r="B266" s="3560" t="s">
        <v>2738</v>
      </c>
      <c r="C266" s="3562" t="s">
        <v>5292</v>
      </c>
      <c r="D266" s="1072" t="s">
        <v>5293</v>
      </c>
      <c r="E266" s="1073" t="s">
        <v>5294</v>
      </c>
      <c r="F266" s="1073" t="s">
        <v>5295</v>
      </c>
      <c r="G266" s="1073" t="s">
        <v>5296</v>
      </c>
      <c r="H266" s="1073" t="s">
        <v>5297</v>
      </c>
      <c r="I266" s="1073" t="s">
        <v>5298</v>
      </c>
      <c r="J266" s="1073" t="s">
        <v>5299</v>
      </c>
      <c r="K266" s="1073" t="s">
        <v>5300</v>
      </c>
      <c r="L266" s="1073" t="s">
        <v>5301</v>
      </c>
      <c r="M266" s="3144" t="s">
        <v>5302</v>
      </c>
      <c r="N266" s="3077" t="s">
        <v>5303</v>
      </c>
      <c r="O266" s="3145" t="s">
        <v>5304</v>
      </c>
      <c r="P266" s="3559" t="str">
        <f t="shared" si="662"/>
        <v xml:space="preserve"> * La variable Pueblos originarios No puede ser mayor al Total. * La variable Migrantes No puede ser mayor al Total.</v>
      </c>
      <c r="CB266" s="3146" t="str">
        <f t="shared" si="663"/>
        <v xml:space="preserve"> * La variable Pueblos originarios No puede ser mayor al Total.</v>
      </c>
      <c r="CC266" s="3146" t="str">
        <f t="shared" si="664"/>
        <v xml:space="preserve"> * La variable Migrantes No puede ser mayor al Total.</v>
      </c>
      <c r="DF266" s="1725">
        <f t="shared" si="665"/>
        <v>1</v>
      </c>
      <c r="DG266" s="1725">
        <f t="shared" si="666"/>
        <v>1</v>
      </c>
    </row>
    <row r="267" spans="1:132" x14ac:dyDescent="0.3">
      <c r="A267" s="6234">
        <v>11057127</v>
      </c>
      <c r="B267" s="5224" t="s">
        <v>2739</v>
      </c>
      <c r="C267" s="3563" t="s">
        <v>5292</v>
      </c>
      <c r="D267" s="3023" t="s">
        <v>5293</v>
      </c>
      <c r="E267" s="3020" t="s">
        <v>5294</v>
      </c>
      <c r="F267" s="3020" t="s">
        <v>5295</v>
      </c>
      <c r="G267" s="3020" t="s">
        <v>5296</v>
      </c>
      <c r="H267" s="3020" t="s">
        <v>5297</v>
      </c>
      <c r="I267" s="3020" t="s">
        <v>5298</v>
      </c>
      <c r="J267" s="3020" t="s">
        <v>5299</v>
      </c>
      <c r="K267" s="3020" t="s">
        <v>5300</v>
      </c>
      <c r="L267" s="3020" t="s">
        <v>5301</v>
      </c>
      <c r="M267" s="770" t="s">
        <v>5302</v>
      </c>
      <c r="N267" s="117" t="s">
        <v>5303</v>
      </c>
      <c r="O267" s="153" t="s">
        <v>5304</v>
      </c>
      <c r="P267" s="3559" t="str">
        <f t="shared" si="662"/>
        <v xml:space="preserve"> * La variable Pueblos originarios No puede ser mayor al Total. * La variable Migrantes No puede ser mayor al Total.</v>
      </c>
      <c r="CB267" s="3146" t="str">
        <f t="shared" si="663"/>
        <v xml:space="preserve"> * La variable Pueblos originarios No puede ser mayor al Total.</v>
      </c>
      <c r="CC267" s="3146" t="str">
        <f t="shared" si="664"/>
        <v xml:space="preserve"> * La variable Migrantes No puede ser mayor al Total.</v>
      </c>
      <c r="DF267" s="1725">
        <f t="shared" si="665"/>
        <v>1</v>
      </c>
      <c r="DG267" s="1725">
        <f t="shared" si="666"/>
        <v>1</v>
      </c>
    </row>
    <row r="268" spans="1:132" s="17" customFormat="1" ht="18" customHeight="1" x14ac:dyDescent="0.3">
      <c r="A268" s="599"/>
      <c r="B268" s="7619" t="s">
        <v>2740</v>
      </c>
      <c r="C268" s="7619"/>
      <c r="D268" s="7619"/>
      <c r="E268" s="7619"/>
      <c r="F268" s="7619"/>
      <c r="G268" s="7619"/>
      <c r="H268" s="7619"/>
      <c r="I268" s="7619"/>
      <c r="J268" s="7619"/>
      <c r="K268" s="7619"/>
      <c r="L268" s="7619"/>
      <c r="M268" s="7619"/>
      <c r="N268" s="7619"/>
      <c r="O268" s="7619"/>
      <c r="P268" s="7618"/>
      <c r="Q268" s="7618"/>
      <c r="R268" s="7618"/>
      <c r="S268" s="7618"/>
      <c r="T268" s="3238"/>
      <c r="U268" s="3238"/>
    </row>
    <row r="269" spans="1:132" x14ac:dyDescent="0.3">
      <c r="A269" s="599"/>
      <c r="B269" s="7612" t="s">
        <v>2741</v>
      </c>
      <c r="C269" s="7612" t="s">
        <v>24</v>
      </c>
      <c r="D269" s="7609" t="s">
        <v>12</v>
      </c>
      <c r="E269" s="7610"/>
      <c r="F269" s="7610"/>
      <c r="G269" s="7610"/>
      <c r="H269" s="7610"/>
      <c r="I269" s="7610"/>
      <c r="J269" s="7610"/>
      <c r="K269" s="7610"/>
      <c r="L269" s="7610"/>
      <c r="M269" s="7610"/>
      <c r="N269" s="7610"/>
      <c r="O269" s="7610"/>
      <c r="P269" s="7610"/>
      <c r="Q269" s="7610"/>
      <c r="R269" s="7610"/>
      <c r="S269" s="7611"/>
      <c r="T269" s="7614" t="s">
        <v>2</v>
      </c>
      <c r="U269" s="7616" t="s">
        <v>3</v>
      </c>
    </row>
    <row r="270" spans="1:132" x14ac:dyDescent="0.3">
      <c r="A270" s="599"/>
      <c r="B270" s="7613"/>
      <c r="C270" s="7613"/>
      <c r="D270" s="5212" t="s">
        <v>2742</v>
      </c>
      <c r="E270" s="5221" t="s">
        <v>547</v>
      </c>
      <c r="F270" s="5221" t="s">
        <v>548</v>
      </c>
      <c r="G270" s="5221" t="s">
        <v>549</v>
      </c>
      <c r="H270" s="5221" t="s">
        <v>550</v>
      </c>
      <c r="I270" s="5221" t="s">
        <v>551</v>
      </c>
      <c r="J270" s="5221" t="s">
        <v>552</v>
      </c>
      <c r="K270" s="5221" t="s">
        <v>2743</v>
      </c>
      <c r="L270" s="5221" t="s">
        <v>2744</v>
      </c>
      <c r="M270" s="5221" t="s">
        <v>2745</v>
      </c>
      <c r="N270" s="5221" t="s">
        <v>2746</v>
      </c>
      <c r="O270" s="5221" t="s">
        <v>2747</v>
      </c>
      <c r="P270" s="5221" t="s">
        <v>2748</v>
      </c>
      <c r="Q270" s="5225" t="s">
        <v>2749</v>
      </c>
      <c r="R270" s="5225" t="s">
        <v>2750</v>
      </c>
      <c r="S270" s="5226" t="s">
        <v>2751</v>
      </c>
      <c r="T270" s="7615"/>
      <c r="U270" s="7617"/>
    </row>
    <row r="271" spans="1:132" ht="20.399999999999999" x14ac:dyDescent="0.3">
      <c r="A271" s="6234">
        <v>11057128</v>
      </c>
      <c r="B271" s="5222" t="s">
        <v>2752</v>
      </c>
      <c r="C271" s="5223" t="s">
        <v>5292</v>
      </c>
      <c r="D271" s="5227" t="s">
        <v>5293</v>
      </c>
      <c r="E271" s="5228" t="s">
        <v>5294</v>
      </c>
      <c r="F271" s="5228" t="s">
        <v>5295</v>
      </c>
      <c r="G271" s="5228" t="s">
        <v>5296</v>
      </c>
      <c r="H271" s="5228" t="s">
        <v>5297</v>
      </c>
      <c r="I271" s="5228" t="s">
        <v>5298</v>
      </c>
      <c r="J271" s="5228" t="s">
        <v>5299</v>
      </c>
      <c r="K271" s="5228" t="s">
        <v>5300</v>
      </c>
      <c r="L271" s="5228" t="s">
        <v>5301</v>
      </c>
      <c r="M271" s="5228" t="s">
        <v>5302</v>
      </c>
      <c r="N271" s="5228" t="s">
        <v>5303</v>
      </c>
      <c r="O271" s="5228" t="s">
        <v>5304</v>
      </c>
      <c r="P271" s="5228" t="s">
        <v>5305</v>
      </c>
      <c r="Q271" s="5228" t="s">
        <v>5306</v>
      </c>
      <c r="R271" s="5228" t="s">
        <v>5307</v>
      </c>
      <c r="S271" s="5229" t="s">
        <v>5308</v>
      </c>
      <c r="T271" s="5230" t="s">
        <v>5309</v>
      </c>
      <c r="U271" s="5231" t="s">
        <v>5310</v>
      </c>
      <c r="V271" s="3559" t="str">
        <f>$CB271&amp;CC271</f>
        <v xml:space="preserve"> * La variable Pueblos originarios No puede ser mayor al Total. * La variable Migrantes No puede ser mayor al Total.</v>
      </c>
      <c r="CB271" s="3146" t="str">
        <f>IF(AND(C271&gt;0,T271="")," * No olvide digitar la variable pueblos originarios. Digite Cero si no tiene.",IF(T271&gt;C271," * La variable Pueblos originarios No puede ser mayor al Total.",""))</f>
        <v xml:space="preserve"> * La variable Pueblos originarios No puede ser mayor al Total.</v>
      </c>
      <c r="CC271" s="3146" t="str">
        <f>IF(AND(C271&gt;0,U271="")," * No olvide digitar la variable migrantes. Digite Cero si no tiene.",IF(U271&gt;C271," * La variable Migrantes No puede ser mayor al Total.",""))</f>
        <v xml:space="preserve"> * La variable Migrantes No puede ser mayor al Total.</v>
      </c>
      <c r="DF271" s="1725">
        <f>IF(AND(C271&gt;0,T271=""),1,IF(T271&gt;C271,1,0))</f>
        <v>1</v>
      </c>
      <c r="DG271" s="1725">
        <f>IF(AND(C271&gt;0,U271=""),1,IF(U271&gt;C271,1,0))</f>
        <v>1</v>
      </c>
    </row>
    <row r="272" spans="1:132" ht="20.399999999999999" x14ac:dyDescent="0.3">
      <c r="A272" s="6234">
        <v>11057129</v>
      </c>
      <c r="B272" s="3560" t="s">
        <v>2753</v>
      </c>
      <c r="C272" s="3565" t="s">
        <v>5292</v>
      </c>
      <c r="D272" s="1072" t="s">
        <v>5293</v>
      </c>
      <c r="E272" s="1073" t="s">
        <v>5294</v>
      </c>
      <c r="F272" s="1073" t="s">
        <v>5295</v>
      </c>
      <c r="G272" s="1073" t="s">
        <v>5296</v>
      </c>
      <c r="H272" s="1073" t="s">
        <v>5297</v>
      </c>
      <c r="I272" s="1073" t="s">
        <v>5298</v>
      </c>
      <c r="J272" s="1073" t="s">
        <v>5299</v>
      </c>
      <c r="K272" s="1073" t="s">
        <v>5300</v>
      </c>
      <c r="L272" s="1073" t="s">
        <v>5301</v>
      </c>
      <c r="M272" s="1073" t="s">
        <v>5302</v>
      </c>
      <c r="N272" s="1073" t="s">
        <v>5303</v>
      </c>
      <c r="O272" s="1073" t="s">
        <v>5304</v>
      </c>
      <c r="P272" s="1073" t="s">
        <v>5305</v>
      </c>
      <c r="Q272" s="1073" t="s">
        <v>5306</v>
      </c>
      <c r="R272" s="1073" t="s">
        <v>5307</v>
      </c>
      <c r="S272" s="3144" t="s">
        <v>5308</v>
      </c>
      <c r="T272" s="1062" t="s">
        <v>5309</v>
      </c>
      <c r="U272" s="3077" t="s">
        <v>5310</v>
      </c>
      <c r="V272" s="3559" t="str">
        <f t="shared" ref="V272:V275" si="667">$CB272&amp;CC272</f>
        <v xml:space="preserve"> * La variable Pueblos originarios No puede ser mayor al Total. * La variable Migrantes No puede ser mayor al Total.</v>
      </c>
      <c r="CB272" s="3146" t="str">
        <f t="shared" ref="CB272:CB275" si="668">IF(AND(C272&gt;0,T272="")," * No olvide digitar la variable pueblos originarios. Digite Cero si no tiene.",IF(T272&gt;C272," * La variable Pueblos originarios No puede ser mayor al Total.",""))</f>
        <v xml:space="preserve"> * La variable Pueblos originarios No puede ser mayor al Total.</v>
      </c>
      <c r="CC272" s="3146" t="str">
        <f t="shared" ref="CC272:CC275" si="669">IF(AND(C272&gt;0,U272="")," * No olvide digitar la variable migrantes. Digite Cero si no tiene.",IF(U272&gt;C272," * La variable Migrantes No puede ser mayor al Total.",""))</f>
        <v xml:space="preserve"> * La variable Migrantes No puede ser mayor al Total.</v>
      </c>
      <c r="DF272" s="1725">
        <f t="shared" ref="DF272:DF275" si="670">IF(AND(C272&gt;0,T272=""),1,IF(T272&gt;C272,1,0))</f>
        <v>1</v>
      </c>
      <c r="DG272" s="1725">
        <f t="shared" ref="DG272:DG275" si="671">IF(AND(C272&gt;0,U272=""),1,IF(U272&gt;C272,1,0))</f>
        <v>1</v>
      </c>
    </row>
    <row r="273" spans="1:111" ht="21.6" x14ac:dyDescent="0.3">
      <c r="A273" s="6234">
        <v>11057130</v>
      </c>
      <c r="B273" s="3566" t="s">
        <v>2754</v>
      </c>
      <c r="C273" s="3561" t="s">
        <v>5292</v>
      </c>
      <c r="D273" s="1072" t="s">
        <v>5293</v>
      </c>
      <c r="E273" s="1073" t="s">
        <v>5294</v>
      </c>
      <c r="F273" s="1073" t="s">
        <v>5295</v>
      </c>
      <c r="G273" s="1073" t="s">
        <v>5296</v>
      </c>
      <c r="H273" s="1073" t="s">
        <v>5297</v>
      </c>
      <c r="I273" s="1073" t="s">
        <v>5298</v>
      </c>
      <c r="J273" s="1073" t="s">
        <v>5299</v>
      </c>
      <c r="K273" s="1073" t="s">
        <v>5300</v>
      </c>
      <c r="L273" s="1073" t="s">
        <v>5301</v>
      </c>
      <c r="M273" s="1073" t="s">
        <v>5302</v>
      </c>
      <c r="N273" s="1073" t="s">
        <v>5303</v>
      </c>
      <c r="O273" s="1073" t="s">
        <v>5304</v>
      </c>
      <c r="P273" s="1073" t="s">
        <v>5305</v>
      </c>
      <c r="Q273" s="1073" t="s">
        <v>5306</v>
      </c>
      <c r="R273" s="1073" t="s">
        <v>5307</v>
      </c>
      <c r="S273" s="3144" t="s">
        <v>5308</v>
      </c>
      <c r="T273" s="1062" t="s">
        <v>5309</v>
      </c>
      <c r="U273" s="3077" t="s">
        <v>5310</v>
      </c>
      <c r="V273" s="3559" t="str">
        <f t="shared" si="667"/>
        <v xml:space="preserve"> * La variable Pueblos originarios No puede ser mayor al Total. * La variable Migrantes No puede ser mayor al Total.</v>
      </c>
      <c r="CB273" s="3146" t="str">
        <f t="shared" si="668"/>
        <v xml:space="preserve"> * La variable Pueblos originarios No puede ser mayor al Total.</v>
      </c>
      <c r="CC273" s="3146" t="str">
        <f t="shared" si="669"/>
        <v xml:space="preserve"> * La variable Migrantes No puede ser mayor al Total.</v>
      </c>
      <c r="DF273" s="1725">
        <f t="shared" si="670"/>
        <v>1</v>
      </c>
      <c r="DG273" s="1725">
        <f t="shared" si="671"/>
        <v>1</v>
      </c>
    </row>
    <row r="274" spans="1:111" ht="21.6" x14ac:dyDescent="0.3">
      <c r="A274" s="6234">
        <v>11057131</v>
      </c>
      <c r="B274" s="3567" t="s">
        <v>2755</v>
      </c>
      <c r="C274" s="3562" t="s">
        <v>5292</v>
      </c>
      <c r="D274" s="1072" t="s">
        <v>5293</v>
      </c>
      <c r="E274" s="1073" t="s">
        <v>5294</v>
      </c>
      <c r="F274" s="1073" t="s">
        <v>5295</v>
      </c>
      <c r="G274" s="1073" t="s">
        <v>5296</v>
      </c>
      <c r="H274" s="1073" t="s">
        <v>5297</v>
      </c>
      <c r="I274" s="1073" t="s">
        <v>5298</v>
      </c>
      <c r="J274" s="1073" t="s">
        <v>5299</v>
      </c>
      <c r="K274" s="1073" t="s">
        <v>5300</v>
      </c>
      <c r="L274" s="1073" t="s">
        <v>5301</v>
      </c>
      <c r="M274" s="1073" t="s">
        <v>5302</v>
      </c>
      <c r="N274" s="1073" t="s">
        <v>5303</v>
      </c>
      <c r="O274" s="1073" t="s">
        <v>5304</v>
      </c>
      <c r="P274" s="1073" t="s">
        <v>5305</v>
      </c>
      <c r="Q274" s="1073" t="s">
        <v>5306</v>
      </c>
      <c r="R274" s="1073" t="s">
        <v>5307</v>
      </c>
      <c r="S274" s="3144" t="s">
        <v>5308</v>
      </c>
      <c r="T274" s="1062" t="s">
        <v>5309</v>
      </c>
      <c r="U274" s="3077" t="s">
        <v>5310</v>
      </c>
      <c r="V274" s="3559" t="str">
        <f t="shared" si="667"/>
        <v xml:space="preserve"> * La variable Pueblos originarios No puede ser mayor al Total. * La variable Migrantes No puede ser mayor al Total.</v>
      </c>
      <c r="CB274" s="3146" t="str">
        <f t="shared" si="668"/>
        <v xml:space="preserve"> * La variable Pueblos originarios No puede ser mayor al Total.</v>
      </c>
      <c r="CC274" s="3146" t="str">
        <f t="shared" si="669"/>
        <v xml:space="preserve"> * La variable Migrantes No puede ser mayor al Total.</v>
      </c>
      <c r="DF274" s="1725">
        <f t="shared" si="670"/>
        <v>1</v>
      </c>
      <c r="DG274" s="1725">
        <f t="shared" si="671"/>
        <v>1</v>
      </c>
    </row>
    <row r="275" spans="1:111" ht="21.6" x14ac:dyDescent="0.3">
      <c r="A275" s="6234">
        <v>11057132</v>
      </c>
      <c r="B275" s="5232" t="s">
        <v>2756</v>
      </c>
      <c r="C275" s="5233" t="s">
        <v>5292</v>
      </c>
      <c r="D275" s="5090" t="s">
        <v>5293</v>
      </c>
      <c r="E275" s="2411" t="s">
        <v>5294</v>
      </c>
      <c r="F275" s="2411" t="s">
        <v>5295</v>
      </c>
      <c r="G275" s="2411" t="s">
        <v>5296</v>
      </c>
      <c r="H275" s="2411" t="s">
        <v>5297</v>
      </c>
      <c r="I275" s="2411" t="s">
        <v>5298</v>
      </c>
      <c r="J275" s="2411" t="s">
        <v>5299</v>
      </c>
      <c r="K275" s="2411" t="s">
        <v>5300</v>
      </c>
      <c r="L275" s="2411" t="s">
        <v>5301</v>
      </c>
      <c r="M275" s="2411" t="s">
        <v>5302</v>
      </c>
      <c r="N275" s="2411" t="s">
        <v>5303</v>
      </c>
      <c r="O275" s="2411" t="s">
        <v>5304</v>
      </c>
      <c r="P275" s="2411" t="s">
        <v>5305</v>
      </c>
      <c r="Q275" s="2411" t="s">
        <v>5306</v>
      </c>
      <c r="R275" s="2411" t="s">
        <v>5307</v>
      </c>
      <c r="S275" s="5234" t="s">
        <v>5308</v>
      </c>
      <c r="T275" s="5235" t="s">
        <v>5309</v>
      </c>
      <c r="U275" s="5091" t="s">
        <v>5310</v>
      </c>
      <c r="V275" s="3559" t="str">
        <f t="shared" si="667"/>
        <v xml:space="preserve"> * La variable Pueblos originarios No puede ser mayor al Total. * La variable Migrantes No puede ser mayor al Total.</v>
      </c>
      <c r="CB275" s="3146" t="str">
        <f t="shared" si="668"/>
        <v xml:space="preserve"> * La variable Pueblos originarios No puede ser mayor al Total.</v>
      </c>
      <c r="CC275" s="3146" t="str">
        <f t="shared" si="669"/>
        <v xml:space="preserve"> * La variable Migrantes No puede ser mayor al Total.</v>
      </c>
      <c r="DF275" s="1725">
        <f t="shared" si="670"/>
        <v>1</v>
      </c>
      <c r="DG275" s="1725">
        <f t="shared" si="671"/>
        <v>1</v>
      </c>
    </row>
    <row r="276" spans="1:111" ht="18" customHeight="1" x14ac:dyDescent="0.3">
      <c r="A276" s="599"/>
      <c r="B276" s="7618" t="s">
        <v>2757</v>
      </c>
      <c r="C276" s="7618"/>
      <c r="D276" s="7618"/>
      <c r="E276" s="7618"/>
      <c r="F276" s="7618"/>
      <c r="G276" s="7618"/>
      <c r="H276" s="7618"/>
      <c r="I276" s="7618"/>
      <c r="J276" s="7618"/>
      <c r="K276" s="7618"/>
      <c r="L276" s="7618"/>
      <c r="M276" s="7618"/>
      <c r="N276" s="7618"/>
      <c r="O276" s="7618"/>
      <c r="P276" s="7618"/>
      <c r="Q276" s="7618"/>
      <c r="R276" s="7618"/>
      <c r="S276" s="7618"/>
      <c r="T276" s="7618"/>
      <c r="U276" s="7618"/>
      <c r="V276" s="7618"/>
      <c r="W276" s="7618"/>
      <c r="X276" s="7618"/>
      <c r="Y276" s="7618"/>
      <c r="Z276" s="7618"/>
      <c r="AA276" s="7618"/>
      <c r="AB276" s="7618"/>
      <c r="AC276" s="7618"/>
      <c r="AD276" s="7618"/>
      <c r="AE276" s="7618"/>
      <c r="AF276" s="7618"/>
      <c r="AG276" s="7618"/>
      <c r="AH276" s="7618"/>
      <c r="AI276" s="7618"/>
      <c r="AJ276" s="7618"/>
      <c r="AK276" s="7618"/>
    </row>
    <row r="277" spans="1:111" x14ac:dyDescent="0.3">
      <c r="A277" s="599"/>
      <c r="B277" s="7620" t="s">
        <v>0</v>
      </c>
      <c r="C277" s="7621" t="s">
        <v>24</v>
      </c>
      <c r="D277" s="7622"/>
      <c r="E277" s="7616"/>
      <c r="F277" s="7609" t="s">
        <v>30</v>
      </c>
      <c r="G277" s="7610"/>
      <c r="H277" s="7610"/>
      <c r="I277" s="7610"/>
      <c r="J277" s="7610"/>
      <c r="K277" s="7610"/>
      <c r="L277" s="7610"/>
      <c r="M277" s="7610"/>
      <c r="N277" s="7610"/>
      <c r="O277" s="7610"/>
      <c r="P277" s="7610"/>
      <c r="Q277" s="7610"/>
      <c r="R277" s="7610"/>
      <c r="S277" s="7610"/>
      <c r="T277" s="7610"/>
      <c r="U277" s="7610"/>
      <c r="V277" s="7610"/>
      <c r="W277" s="7610"/>
      <c r="X277" s="7610"/>
      <c r="Y277" s="7610"/>
      <c r="Z277" s="7610"/>
      <c r="AA277" s="7610"/>
      <c r="AB277" s="7610"/>
      <c r="AC277" s="7610"/>
      <c r="AD277" s="7610"/>
      <c r="AE277" s="7610"/>
      <c r="AF277" s="7610"/>
      <c r="AG277" s="7610"/>
      <c r="AH277" s="7610"/>
      <c r="AI277" s="7610"/>
      <c r="AJ277" s="7610"/>
      <c r="AK277" s="7623"/>
    </row>
    <row r="278" spans="1:111" x14ac:dyDescent="0.3">
      <c r="A278" s="599"/>
      <c r="B278" s="7585"/>
      <c r="C278" s="7624" t="s">
        <v>2585</v>
      </c>
      <c r="D278" s="7535" t="s">
        <v>22</v>
      </c>
      <c r="E278" s="7538" t="s">
        <v>27</v>
      </c>
      <c r="F278" s="7569" t="s">
        <v>682</v>
      </c>
      <c r="G278" s="7572"/>
      <c r="H278" s="7626" t="s">
        <v>2758</v>
      </c>
      <c r="I278" s="7627"/>
      <c r="J278" s="7626" t="s">
        <v>553</v>
      </c>
      <c r="K278" s="7627"/>
      <c r="L278" s="7626" t="s">
        <v>554</v>
      </c>
      <c r="M278" s="7627"/>
      <c r="N278" s="7569" t="s">
        <v>4</v>
      </c>
      <c r="O278" s="7572"/>
      <c r="P278" s="7569" t="s">
        <v>5</v>
      </c>
      <c r="Q278" s="7572"/>
      <c r="R278" s="7569" t="s">
        <v>6</v>
      </c>
      <c r="S278" s="7572"/>
      <c r="T278" s="7569" t="s">
        <v>7</v>
      </c>
      <c r="U278" s="7572"/>
      <c r="V278" s="7569" t="s">
        <v>8</v>
      </c>
      <c r="W278" s="7572"/>
      <c r="X278" s="7569" t="s">
        <v>9</v>
      </c>
      <c r="Y278" s="7572"/>
      <c r="Z278" s="7569" t="s">
        <v>10</v>
      </c>
      <c r="AA278" s="7572"/>
      <c r="AB278" s="7569" t="s">
        <v>11</v>
      </c>
      <c r="AC278" s="7572"/>
      <c r="AD278" s="7569" t="s">
        <v>555</v>
      </c>
      <c r="AE278" s="7572"/>
      <c r="AF278" s="7569" t="s">
        <v>556</v>
      </c>
      <c r="AG278" s="7572"/>
      <c r="AH278" s="7569" t="s">
        <v>557</v>
      </c>
      <c r="AI278" s="7572"/>
      <c r="AJ278" s="7569" t="s">
        <v>1905</v>
      </c>
      <c r="AK278" s="7572"/>
    </row>
    <row r="279" spans="1:111" x14ac:dyDescent="0.3">
      <c r="A279" s="599"/>
      <c r="B279" s="7586"/>
      <c r="C279" s="7625"/>
      <c r="D279" s="7537"/>
      <c r="E279" s="7146"/>
      <c r="F279" s="5133" t="s">
        <v>22</v>
      </c>
      <c r="G279" s="5162" t="s">
        <v>27</v>
      </c>
      <c r="H279" s="5133" t="s">
        <v>22</v>
      </c>
      <c r="I279" s="5184" t="s">
        <v>27</v>
      </c>
      <c r="J279" s="5133" t="s">
        <v>22</v>
      </c>
      <c r="K279" s="5162" t="s">
        <v>27</v>
      </c>
      <c r="L279" s="5133" t="s">
        <v>22</v>
      </c>
      <c r="M279" s="5162" t="s">
        <v>27</v>
      </c>
      <c r="N279" s="5183" t="s">
        <v>22</v>
      </c>
      <c r="O279" s="5162" t="s">
        <v>27</v>
      </c>
      <c r="P279" s="5133" t="s">
        <v>22</v>
      </c>
      <c r="Q279" s="5162" t="s">
        <v>27</v>
      </c>
      <c r="R279" s="5133" t="s">
        <v>22</v>
      </c>
      <c r="S279" s="5162" t="s">
        <v>27</v>
      </c>
      <c r="T279" s="5133" t="s">
        <v>22</v>
      </c>
      <c r="U279" s="5162" t="s">
        <v>27</v>
      </c>
      <c r="V279" s="5133" t="s">
        <v>22</v>
      </c>
      <c r="W279" s="5162" t="s">
        <v>27</v>
      </c>
      <c r="X279" s="5133" t="s">
        <v>22</v>
      </c>
      <c r="Y279" s="5162" t="s">
        <v>27</v>
      </c>
      <c r="Z279" s="5133" t="s">
        <v>22</v>
      </c>
      <c r="AA279" s="5162" t="s">
        <v>27</v>
      </c>
      <c r="AB279" s="5133" t="s">
        <v>22</v>
      </c>
      <c r="AC279" s="5162" t="s">
        <v>27</v>
      </c>
      <c r="AD279" s="5133" t="s">
        <v>22</v>
      </c>
      <c r="AE279" s="5162" t="s">
        <v>27</v>
      </c>
      <c r="AF279" s="5133" t="s">
        <v>22</v>
      </c>
      <c r="AG279" s="5162" t="s">
        <v>27</v>
      </c>
      <c r="AH279" s="5133" t="s">
        <v>22</v>
      </c>
      <c r="AI279" s="5162" t="s">
        <v>27</v>
      </c>
      <c r="AJ279" s="5133" t="s">
        <v>22</v>
      </c>
      <c r="AK279" s="5162" t="s">
        <v>27</v>
      </c>
    </row>
    <row r="280" spans="1:111" ht="21.6" x14ac:dyDescent="0.3">
      <c r="A280" s="6234">
        <v>11057133</v>
      </c>
      <c r="B280" s="5236" t="s">
        <v>2759</v>
      </c>
      <c r="C280" s="5237" t="s">
        <v>5292</v>
      </c>
      <c r="D280" s="5238" t="s">
        <v>5293</v>
      </c>
      <c r="E280" s="5141" t="s">
        <v>5294</v>
      </c>
      <c r="F280" s="5167" t="s">
        <v>5295</v>
      </c>
      <c r="G280" s="3511" t="s">
        <v>5296</v>
      </c>
      <c r="H280" s="5167" t="s">
        <v>5297</v>
      </c>
      <c r="I280" s="3511" t="s">
        <v>5298</v>
      </c>
      <c r="J280" s="5167" t="s">
        <v>5299</v>
      </c>
      <c r="K280" s="3511" t="s">
        <v>5300</v>
      </c>
      <c r="L280" s="5167" t="s">
        <v>5301</v>
      </c>
      <c r="M280" s="3511" t="s">
        <v>5302</v>
      </c>
      <c r="N280" s="5167" t="s">
        <v>5303</v>
      </c>
      <c r="O280" s="3511" t="s">
        <v>5304</v>
      </c>
      <c r="P280" s="5167" t="s">
        <v>5305</v>
      </c>
      <c r="Q280" s="3511" t="s">
        <v>5306</v>
      </c>
      <c r="R280" s="5167" t="s">
        <v>5307</v>
      </c>
      <c r="S280" s="3511" t="s">
        <v>5308</v>
      </c>
      <c r="T280" s="5167" t="s">
        <v>5309</v>
      </c>
      <c r="U280" s="3511" t="s">
        <v>5310</v>
      </c>
      <c r="V280" s="5167" t="s">
        <v>5311</v>
      </c>
      <c r="W280" s="3511" t="s">
        <v>5312</v>
      </c>
      <c r="X280" s="5167" t="s">
        <v>5313</v>
      </c>
      <c r="Y280" s="3511" t="s">
        <v>5314</v>
      </c>
      <c r="Z280" s="5167" t="s">
        <v>5315</v>
      </c>
      <c r="AA280" s="3511" t="s">
        <v>5316</v>
      </c>
      <c r="AB280" s="5167" t="s">
        <v>5317</v>
      </c>
      <c r="AC280" s="3511" t="s">
        <v>5318</v>
      </c>
      <c r="AD280" s="5038" t="s">
        <v>5319</v>
      </c>
      <c r="AE280" s="3511" t="s">
        <v>5320</v>
      </c>
      <c r="AF280" s="5038" t="s">
        <v>5321</v>
      </c>
      <c r="AG280" s="3511" t="s">
        <v>5322</v>
      </c>
      <c r="AH280" s="5038" t="s">
        <v>5323</v>
      </c>
      <c r="AI280" s="3511" t="s">
        <v>5324</v>
      </c>
      <c r="AJ280" s="5038" t="s">
        <v>5325</v>
      </c>
      <c r="AK280" s="3511" t="s">
        <v>5326</v>
      </c>
    </row>
    <row r="281" spans="1:111" ht="31.8" x14ac:dyDescent="0.3">
      <c r="A281" s="6234">
        <v>11057134</v>
      </c>
      <c r="B281" s="3566" t="s">
        <v>2760</v>
      </c>
      <c r="C281" s="4738" t="s">
        <v>5292</v>
      </c>
      <c r="D281" s="4736" t="s">
        <v>5293</v>
      </c>
      <c r="E281" s="4748" t="s">
        <v>5294</v>
      </c>
      <c r="F281" s="5038" t="s">
        <v>5295</v>
      </c>
      <c r="G281" s="3511" t="s">
        <v>5296</v>
      </c>
      <c r="H281" s="5038" t="s">
        <v>5297</v>
      </c>
      <c r="I281" s="3511" t="s">
        <v>5298</v>
      </c>
      <c r="J281" s="5038" t="s">
        <v>5299</v>
      </c>
      <c r="K281" s="3511" t="s">
        <v>5300</v>
      </c>
      <c r="L281" s="5038" t="s">
        <v>5301</v>
      </c>
      <c r="M281" s="3511" t="s">
        <v>5302</v>
      </c>
      <c r="N281" s="5038" t="s">
        <v>5303</v>
      </c>
      <c r="O281" s="3511" t="s">
        <v>5304</v>
      </c>
      <c r="P281" s="5038" t="s">
        <v>5305</v>
      </c>
      <c r="Q281" s="3511" t="s">
        <v>5306</v>
      </c>
      <c r="R281" s="5038" t="s">
        <v>5307</v>
      </c>
      <c r="S281" s="3511" t="s">
        <v>5308</v>
      </c>
      <c r="T281" s="5038" t="s">
        <v>5309</v>
      </c>
      <c r="U281" s="3511" t="s">
        <v>5310</v>
      </c>
      <c r="V281" s="5038" t="s">
        <v>5311</v>
      </c>
      <c r="W281" s="3511" t="s">
        <v>5312</v>
      </c>
      <c r="X281" s="5038" t="s">
        <v>5313</v>
      </c>
      <c r="Y281" s="3511" t="s">
        <v>5314</v>
      </c>
      <c r="Z281" s="5038" t="s">
        <v>5315</v>
      </c>
      <c r="AA281" s="3511" t="s">
        <v>5316</v>
      </c>
      <c r="AB281" s="5038" t="s">
        <v>5317</v>
      </c>
      <c r="AC281" s="3511" t="s">
        <v>5318</v>
      </c>
      <c r="AD281" s="5038" t="s">
        <v>5319</v>
      </c>
      <c r="AE281" s="3511" t="s">
        <v>5320</v>
      </c>
      <c r="AF281" s="5038" t="s">
        <v>5321</v>
      </c>
      <c r="AG281" s="3511" t="s">
        <v>5322</v>
      </c>
      <c r="AH281" s="5038" t="s">
        <v>5323</v>
      </c>
      <c r="AI281" s="3511" t="s">
        <v>5324</v>
      </c>
      <c r="AJ281" s="5038" t="s">
        <v>5325</v>
      </c>
      <c r="AK281" s="3511" t="s">
        <v>5326</v>
      </c>
    </row>
    <row r="282" spans="1:111" ht="21.6" x14ac:dyDescent="0.3">
      <c r="A282" s="6234">
        <v>11057135</v>
      </c>
      <c r="B282" s="3566" t="s">
        <v>2761</v>
      </c>
      <c r="C282" s="4738" t="s">
        <v>5292</v>
      </c>
      <c r="D282" s="4736" t="s">
        <v>5293</v>
      </c>
      <c r="E282" s="3242" t="s">
        <v>5294</v>
      </c>
      <c r="F282" s="5038" t="s">
        <v>5295</v>
      </c>
      <c r="G282" s="3511" t="s">
        <v>5296</v>
      </c>
      <c r="H282" s="5038" t="s">
        <v>5297</v>
      </c>
      <c r="I282" s="3511" t="s">
        <v>5298</v>
      </c>
      <c r="J282" s="5038" t="s">
        <v>5299</v>
      </c>
      <c r="K282" s="3511" t="s">
        <v>5300</v>
      </c>
      <c r="L282" s="5038" t="s">
        <v>5301</v>
      </c>
      <c r="M282" s="3511" t="s">
        <v>5302</v>
      </c>
      <c r="N282" s="5038" t="s">
        <v>5303</v>
      </c>
      <c r="O282" s="3511" t="s">
        <v>5304</v>
      </c>
      <c r="P282" s="5038" t="s">
        <v>5305</v>
      </c>
      <c r="Q282" s="3511" t="s">
        <v>5306</v>
      </c>
      <c r="R282" s="5038" t="s">
        <v>5307</v>
      </c>
      <c r="S282" s="3511" t="s">
        <v>5308</v>
      </c>
      <c r="T282" s="5038" t="s">
        <v>5309</v>
      </c>
      <c r="U282" s="3511" t="s">
        <v>5310</v>
      </c>
      <c r="V282" s="5038" t="s">
        <v>5311</v>
      </c>
      <c r="W282" s="3511" t="s">
        <v>5312</v>
      </c>
      <c r="X282" s="5038" t="s">
        <v>5313</v>
      </c>
      <c r="Y282" s="3511" t="s">
        <v>5314</v>
      </c>
      <c r="Z282" s="5038" t="s">
        <v>5315</v>
      </c>
      <c r="AA282" s="3511" t="s">
        <v>5316</v>
      </c>
      <c r="AB282" s="5038" t="s">
        <v>5317</v>
      </c>
      <c r="AC282" s="3511" t="s">
        <v>5318</v>
      </c>
      <c r="AD282" s="5038" t="s">
        <v>5319</v>
      </c>
      <c r="AE282" s="3511" t="s">
        <v>5320</v>
      </c>
      <c r="AF282" s="5038" t="s">
        <v>5321</v>
      </c>
      <c r="AG282" s="3511" t="s">
        <v>5322</v>
      </c>
      <c r="AH282" s="5038" t="s">
        <v>5323</v>
      </c>
      <c r="AI282" s="3511" t="s">
        <v>5324</v>
      </c>
      <c r="AJ282" s="5038" t="s">
        <v>5325</v>
      </c>
      <c r="AK282" s="3511" t="s">
        <v>5326</v>
      </c>
    </row>
    <row r="283" spans="1:111" ht="21.6" x14ac:dyDescent="0.3">
      <c r="A283" s="6234">
        <v>11057136</v>
      </c>
      <c r="B283" s="3566" t="s">
        <v>2762</v>
      </c>
      <c r="C283" s="5239" t="s">
        <v>5292</v>
      </c>
      <c r="D283" s="4737" t="s">
        <v>5293</v>
      </c>
      <c r="E283" s="5220" t="s">
        <v>5294</v>
      </c>
      <c r="F283" s="276" t="s">
        <v>5295</v>
      </c>
      <c r="G283" s="4522" t="s">
        <v>5296</v>
      </c>
      <c r="H283" s="276" t="s">
        <v>5297</v>
      </c>
      <c r="I283" s="4522" t="s">
        <v>5298</v>
      </c>
      <c r="J283" s="276" t="s">
        <v>5299</v>
      </c>
      <c r="K283" s="4522" t="s">
        <v>5300</v>
      </c>
      <c r="L283" s="276" t="s">
        <v>5301</v>
      </c>
      <c r="M283" s="4522" t="s">
        <v>5302</v>
      </c>
      <c r="N283" s="276" t="s">
        <v>5303</v>
      </c>
      <c r="O283" s="4522" t="s">
        <v>5304</v>
      </c>
      <c r="P283" s="276" t="s">
        <v>5305</v>
      </c>
      <c r="Q283" s="4522" t="s">
        <v>5306</v>
      </c>
      <c r="R283" s="276" t="s">
        <v>5307</v>
      </c>
      <c r="S283" s="4522" t="s">
        <v>5308</v>
      </c>
      <c r="T283" s="276" t="s">
        <v>5309</v>
      </c>
      <c r="U283" s="4522" t="s">
        <v>5310</v>
      </c>
      <c r="V283" s="276" t="s">
        <v>5311</v>
      </c>
      <c r="W283" s="4522" t="s">
        <v>5312</v>
      </c>
      <c r="X283" s="276" t="s">
        <v>5313</v>
      </c>
      <c r="Y283" s="4522" t="s">
        <v>5314</v>
      </c>
      <c r="Z283" s="276" t="s">
        <v>5315</v>
      </c>
      <c r="AA283" s="4522" t="s">
        <v>5316</v>
      </c>
      <c r="AB283" s="276" t="s">
        <v>5317</v>
      </c>
      <c r="AC283" s="4522" t="s">
        <v>5318</v>
      </c>
      <c r="AD283" s="276" t="s">
        <v>5319</v>
      </c>
      <c r="AE283" s="4522" t="s">
        <v>5320</v>
      </c>
      <c r="AF283" s="276" t="s">
        <v>5321</v>
      </c>
      <c r="AG283" s="4522" t="s">
        <v>5322</v>
      </c>
      <c r="AH283" s="276" t="s">
        <v>5323</v>
      </c>
      <c r="AI283" s="4522" t="s">
        <v>5324</v>
      </c>
      <c r="AJ283" s="276" t="s">
        <v>5325</v>
      </c>
      <c r="AK283" s="4522" t="s">
        <v>5326</v>
      </c>
    </row>
    <row r="284" spans="1:111" ht="31.8" x14ac:dyDescent="0.3">
      <c r="A284" s="6234">
        <v>11057137</v>
      </c>
      <c r="B284" s="3566" t="s">
        <v>2763</v>
      </c>
      <c r="C284" s="4738" t="s">
        <v>5292</v>
      </c>
      <c r="D284" s="4736" t="s">
        <v>5293</v>
      </c>
      <c r="E284" s="4748" t="s">
        <v>5294</v>
      </c>
      <c r="F284" s="5038" t="s">
        <v>5295</v>
      </c>
      <c r="G284" s="3511" t="s">
        <v>5296</v>
      </c>
      <c r="H284" s="5038" t="s">
        <v>5297</v>
      </c>
      <c r="I284" s="3511" t="s">
        <v>5298</v>
      </c>
      <c r="J284" s="5038" t="s">
        <v>5299</v>
      </c>
      <c r="K284" s="3511" t="s">
        <v>5300</v>
      </c>
      <c r="L284" s="5038" t="s">
        <v>5301</v>
      </c>
      <c r="M284" s="3511" t="s">
        <v>5302</v>
      </c>
      <c r="N284" s="5038" t="s">
        <v>5303</v>
      </c>
      <c r="O284" s="3511" t="s">
        <v>5304</v>
      </c>
      <c r="P284" s="5038" t="s">
        <v>5305</v>
      </c>
      <c r="Q284" s="3511" t="s">
        <v>5306</v>
      </c>
      <c r="R284" s="5038" t="s">
        <v>5307</v>
      </c>
      <c r="S284" s="3511" t="s">
        <v>5308</v>
      </c>
      <c r="T284" s="5038" t="s">
        <v>5309</v>
      </c>
      <c r="U284" s="3511" t="s">
        <v>5310</v>
      </c>
      <c r="V284" s="5038" t="s">
        <v>5311</v>
      </c>
      <c r="W284" s="3511" t="s">
        <v>5312</v>
      </c>
      <c r="X284" s="5038" t="s">
        <v>5313</v>
      </c>
      <c r="Y284" s="3511" t="s">
        <v>5314</v>
      </c>
      <c r="Z284" s="5038" t="s">
        <v>5315</v>
      </c>
      <c r="AA284" s="3511" t="s">
        <v>5316</v>
      </c>
      <c r="AB284" s="5038" t="s">
        <v>5317</v>
      </c>
      <c r="AC284" s="3511" t="s">
        <v>5318</v>
      </c>
      <c r="AD284" s="5038" t="s">
        <v>5319</v>
      </c>
      <c r="AE284" s="3511" t="s">
        <v>5320</v>
      </c>
      <c r="AF284" s="5038" t="s">
        <v>5321</v>
      </c>
      <c r="AG284" s="3511" t="s">
        <v>5322</v>
      </c>
      <c r="AH284" s="5038" t="s">
        <v>5323</v>
      </c>
      <c r="AI284" s="3511" t="s">
        <v>5324</v>
      </c>
      <c r="AJ284" s="5038" t="s">
        <v>5325</v>
      </c>
      <c r="AK284" s="3511" t="s">
        <v>5326</v>
      </c>
    </row>
    <row r="285" spans="1:111" ht="21.6" x14ac:dyDescent="0.3">
      <c r="A285" s="6234">
        <v>11057138</v>
      </c>
      <c r="B285" s="5240" t="s">
        <v>2764</v>
      </c>
      <c r="C285" s="5241" t="s">
        <v>5292</v>
      </c>
      <c r="D285" s="5242" t="s">
        <v>5293</v>
      </c>
      <c r="E285" s="4749" t="s">
        <v>5294</v>
      </c>
      <c r="F285" s="3492" t="s">
        <v>5295</v>
      </c>
      <c r="G285" s="290" t="s">
        <v>5296</v>
      </c>
      <c r="H285" s="3492" t="s">
        <v>5297</v>
      </c>
      <c r="I285" s="290" t="s">
        <v>5298</v>
      </c>
      <c r="J285" s="3492" t="s">
        <v>5299</v>
      </c>
      <c r="K285" s="290" t="s">
        <v>5300</v>
      </c>
      <c r="L285" s="3492" t="s">
        <v>5301</v>
      </c>
      <c r="M285" s="290" t="s">
        <v>5302</v>
      </c>
      <c r="N285" s="3492" t="s">
        <v>5303</v>
      </c>
      <c r="O285" s="290" t="s">
        <v>5304</v>
      </c>
      <c r="P285" s="3492" t="s">
        <v>5305</v>
      </c>
      <c r="Q285" s="290" t="s">
        <v>5306</v>
      </c>
      <c r="R285" s="3492" t="s">
        <v>5307</v>
      </c>
      <c r="S285" s="290" t="s">
        <v>5308</v>
      </c>
      <c r="T285" s="3492" t="s">
        <v>5309</v>
      </c>
      <c r="U285" s="290" t="s">
        <v>5310</v>
      </c>
      <c r="V285" s="3492" t="s">
        <v>5311</v>
      </c>
      <c r="W285" s="290" t="s">
        <v>5312</v>
      </c>
      <c r="X285" s="3492" t="s">
        <v>5313</v>
      </c>
      <c r="Y285" s="290" t="s">
        <v>5314</v>
      </c>
      <c r="Z285" s="3492" t="s">
        <v>5315</v>
      </c>
      <c r="AA285" s="290" t="s">
        <v>5316</v>
      </c>
      <c r="AB285" s="3492" t="s">
        <v>5317</v>
      </c>
      <c r="AC285" s="290" t="s">
        <v>5318</v>
      </c>
      <c r="AD285" s="3492" t="s">
        <v>5319</v>
      </c>
      <c r="AE285" s="290" t="s">
        <v>5320</v>
      </c>
      <c r="AF285" s="3492" t="s">
        <v>5321</v>
      </c>
      <c r="AG285" s="290" t="s">
        <v>5322</v>
      </c>
      <c r="AH285" s="3492" t="s">
        <v>5323</v>
      </c>
      <c r="AI285" s="290" t="s">
        <v>5324</v>
      </c>
      <c r="AJ285" s="3492" t="s">
        <v>5325</v>
      </c>
      <c r="AK285" s="290" t="s">
        <v>5326</v>
      </c>
    </row>
    <row r="286" spans="1:111" ht="18" customHeight="1" x14ac:dyDescent="0.3">
      <c r="B286" s="7619" t="s">
        <v>2765</v>
      </c>
      <c r="C286" s="7619"/>
      <c r="D286" s="7619"/>
      <c r="E286" s="7619"/>
      <c r="F286" s="7619"/>
      <c r="G286" s="7619"/>
      <c r="H286" s="7619"/>
      <c r="I286" s="7619"/>
      <c r="J286" s="7619"/>
      <c r="K286" s="7619"/>
      <c r="L286" s="7619"/>
      <c r="M286" s="7619"/>
      <c r="N286" s="7619"/>
      <c r="O286" s="7619"/>
      <c r="P286" s="7619"/>
      <c r="Q286" s="7619"/>
      <c r="R286" s="7619"/>
      <c r="S286" s="7619"/>
      <c r="T286" s="7619"/>
      <c r="U286" s="7619"/>
      <c r="V286" s="7619"/>
      <c r="W286" s="7619"/>
      <c r="X286" s="7619"/>
      <c r="Y286" s="7619"/>
      <c r="Z286" s="7619"/>
      <c r="AA286" s="7619"/>
      <c r="AB286" s="7619"/>
      <c r="AC286" s="7619"/>
      <c r="AD286" s="600"/>
      <c r="AE286" s="600"/>
    </row>
    <row r="287" spans="1:111" x14ac:dyDescent="0.3">
      <c r="A287" s="599"/>
      <c r="B287" s="7620" t="s">
        <v>0</v>
      </c>
      <c r="C287" s="7621" t="s">
        <v>24</v>
      </c>
      <c r="D287" s="7622"/>
      <c r="E287" s="7616"/>
      <c r="F287" s="7609" t="s">
        <v>30</v>
      </c>
      <c r="G287" s="7610"/>
      <c r="H287" s="7610"/>
      <c r="I287" s="7610"/>
      <c r="J287" s="7610"/>
      <c r="K287" s="7610"/>
      <c r="L287" s="7610"/>
      <c r="M287" s="7610"/>
      <c r="N287" s="7610"/>
      <c r="O287" s="7610"/>
      <c r="P287" s="7610"/>
      <c r="Q287" s="7610"/>
      <c r="R287" s="7610"/>
      <c r="S287" s="7610"/>
      <c r="T287" s="7610"/>
      <c r="U287" s="7610"/>
      <c r="V287" s="7610"/>
      <c r="W287" s="7610"/>
      <c r="X287" s="7610"/>
      <c r="Y287" s="7610"/>
      <c r="Z287" s="7610"/>
      <c r="AA287" s="7610"/>
      <c r="AB287" s="7610"/>
      <c r="AC287" s="7611"/>
      <c r="AD287" s="7631" t="s">
        <v>2</v>
      </c>
      <c r="AE287" s="7616" t="s">
        <v>3</v>
      </c>
    </row>
    <row r="288" spans="1:111" ht="15" customHeight="1" x14ac:dyDescent="0.3">
      <c r="A288" s="599"/>
      <c r="B288" s="7585"/>
      <c r="C288" s="7628"/>
      <c r="D288" s="7629"/>
      <c r="E288" s="7630"/>
      <c r="F288" s="7569" t="s">
        <v>3780</v>
      </c>
      <c r="G288" s="7572"/>
      <c r="H288" s="7569" t="s">
        <v>5</v>
      </c>
      <c r="I288" s="7572"/>
      <c r="J288" s="7569" t="s">
        <v>6</v>
      </c>
      <c r="K288" s="7572"/>
      <c r="L288" s="7569" t="s">
        <v>7</v>
      </c>
      <c r="M288" s="7572"/>
      <c r="N288" s="7569" t="s">
        <v>8</v>
      </c>
      <c r="O288" s="7572"/>
      <c r="P288" s="7569" t="s">
        <v>9</v>
      </c>
      <c r="Q288" s="7572"/>
      <c r="R288" s="7569" t="s">
        <v>10</v>
      </c>
      <c r="S288" s="7572"/>
      <c r="T288" s="7569" t="s">
        <v>11</v>
      </c>
      <c r="U288" s="7572"/>
      <c r="V288" s="7569" t="s">
        <v>555</v>
      </c>
      <c r="W288" s="7572"/>
      <c r="X288" s="7569" t="s">
        <v>556</v>
      </c>
      <c r="Y288" s="7572"/>
      <c r="Z288" s="7569" t="s">
        <v>557</v>
      </c>
      <c r="AA288" s="7572"/>
      <c r="AB288" s="7569" t="s">
        <v>1905</v>
      </c>
      <c r="AC288" s="7570"/>
      <c r="AD288" s="7632"/>
      <c r="AE288" s="7630"/>
    </row>
    <row r="289" spans="1:111" x14ac:dyDescent="0.3">
      <c r="A289" s="599"/>
      <c r="B289" s="7586"/>
      <c r="C289" s="5243" t="s">
        <v>2585</v>
      </c>
      <c r="D289" s="5187" t="s">
        <v>22</v>
      </c>
      <c r="E289" s="5162" t="s">
        <v>27</v>
      </c>
      <c r="F289" s="5133" t="s">
        <v>22</v>
      </c>
      <c r="G289" s="5162" t="s">
        <v>27</v>
      </c>
      <c r="H289" s="5133" t="s">
        <v>22</v>
      </c>
      <c r="I289" s="5162" t="s">
        <v>27</v>
      </c>
      <c r="J289" s="5133" t="s">
        <v>22</v>
      </c>
      <c r="K289" s="5162" t="s">
        <v>27</v>
      </c>
      <c r="L289" s="5133" t="s">
        <v>22</v>
      </c>
      <c r="M289" s="5162" t="s">
        <v>27</v>
      </c>
      <c r="N289" s="5133" t="s">
        <v>22</v>
      </c>
      <c r="O289" s="5162" t="s">
        <v>27</v>
      </c>
      <c r="P289" s="5133" t="s">
        <v>22</v>
      </c>
      <c r="Q289" s="5162" t="s">
        <v>27</v>
      </c>
      <c r="R289" s="5133" t="s">
        <v>22</v>
      </c>
      <c r="S289" s="5162" t="s">
        <v>27</v>
      </c>
      <c r="T289" s="5133" t="s">
        <v>22</v>
      </c>
      <c r="U289" s="5162" t="s">
        <v>27</v>
      </c>
      <c r="V289" s="5133" t="s">
        <v>22</v>
      </c>
      <c r="W289" s="5162" t="s">
        <v>27</v>
      </c>
      <c r="X289" s="5133" t="s">
        <v>22</v>
      </c>
      <c r="Y289" s="5162" t="s">
        <v>27</v>
      </c>
      <c r="Z289" s="5133" t="s">
        <v>22</v>
      </c>
      <c r="AA289" s="5162" t="s">
        <v>27</v>
      </c>
      <c r="AB289" s="5133" t="s">
        <v>22</v>
      </c>
      <c r="AC289" s="5137" t="s">
        <v>27</v>
      </c>
      <c r="AD289" s="7633"/>
      <c r="AE289" s="7617"/>
    </row>
    <row r="290" spans="1:111" ht="21.6" x14ac:dyDescent="0.3">
      <c r="A290" s="6234">
        <v>11057139</v>
      </c>
      <c r="B290" s="5244" t="s">
        <v>2766</v>
      </c>
      <c r="C290" s="5237" t="s">
        <v>5292</v>
      </c>
      <c r="D290" s="5238" t="s">
        <v>5293</v>
      </c>
      <c r="E290" s="5245" t="s">
        <v>5294</v>
      </c>
      <c r="F290" s="1072" t="s">
        <v>5295</v>
      </c>
      <c r="G290" s="3143" t="s">
        <v>5296</v>
      </c>
      <c r="H290" s="1072" t="s">
        <v>5297</v>
      </c>
      <c r="I290" s="3143" t="s">
        <v>5298</v>
      </c>
      <c r="J290" s="1072" t="s">
        <v>5299</v>
      </c>
      <c r="K290" s="3143" t="s">
        <v>5300</v>
      </c>
      <c r="L290" s="1072" t="s">
        <v>5301</v>
      </c>
      <c r="M290" s="3143" t="s">
        <v>5302</v>
      </c>
      <c r="N290" s="1072" t="s">
        <v>5303</v>
      </c>
      <c r="O290" s="3143" t="s">
        <v>5304</v>
      </c>
      <c r="P290" s="1072" t="s">
        <v>5305</v>
      </c>
      <c r="Q290" s="3143" t="s">
        <v>5306</v>
      </c>
      <c r="R290" s="1072" t="s">
        <v>5307</v>
      </c>
      <c r="S290" s="3143" t="s">
        <v>5308</v>
      </c>
      <c r="T290" s="1072" t="s">
        <v>5309</v>
      </c>
      <c r="U290" s="3143" t="s">
        <v>5310</v>
      </c>
      <c r="V290" s="1072" t="s">
        <v>5311</v>
      </c>
      <c r="W290" s="3143" t="s">
        <v>5312</v>
      </c>
      <c r="X290" s="1072" t="s">
        <v>5313</v>
      </c>
      <c r="Y290" s="3143" t="s">
        <v>5314</v>
      </c>
      <c r="Z290" s="1072" t="s">
        <v>5315</v>
      </c>
      <c r="AA290" s="3143" t="s">
        <v>5316</v>
      </c>
      <c r="AB290" s="1072" t="s">
        <v>5317</v>
      </c>
      <c r="AC290" s="1061" t="s">
        <v>5318</v>
      </c>
      <c r="AD290" s="588" t="s">
        <v>5319</v>
      </c>
      <c r="AE290" s="5047" t="s">
        <v>5320</v>
      </c>
      <c r="AF290" s="3559" t="str">
        <f>$CB290&amp;CC290</f>
        <v xml:space="preserve"> * La variable Pueblos originarios No puede ser mayor al Total. * La variable Migrantes No puede ser mayor al Total.</v>
      </c>
      <c r="CB290" s="3146" t="str">
        <f>IF(AND(C290&gt;0,AD290="")," * No olvide digitar la variable Pueblos originarios. Digite Cero si no tiene.",IF(AD290&gt;C290," * La variable Pueblos originarios No puede ser mayor al Total.",""))</f>
        <v xml:space="preserve"> * La variable Pueblos originarios No puede ser mayor al Total.</v>
      </c>
      <c r="CC290" s="3146" t="str">
        <f>IF(AND(C290&gt;0,AE290="")," * No olvide digitar la variable Migrantes. Digite Cero si no tiene.",IF(AE290&gt;C290," * La variable Migrantes No puede ser mayor al Total.",""))</f>
        <v xml:space="preserve"> * La variable Migrantes No puede ser mayor al Total.</v>
      </c>
      <c r="CD290" s="2630"/>
      <c r="CE290" s="2630"/>
      <c r="DF290" s="1725">
        <f>IF(AND(C290&gt;0,AD290=""),1,IF(AD290&gt;C290,1,0))</f>
        <v>1</v>
      </c>
      <c r="DG290" s="1725">
        <f>IF(AND(C290&gt;0,AE290=""),1,IF(AE290&gt;C290,1,0))</f>
        <v>1</v>
      </c>
    </row>
    <row r="291" spans="1:111" ht="21.6" x14ac:dyDescent="0.3">
      <c r="A291" s="6234">
        <v>11057140</v>
      </c>
      <c r="B291" s="5240" t="s">
        <v>2767</v>
      </c>
      <c r="C291" s="5241" t="s">
        <v>5292</v>
      </c>
      <c r="D291" s="5242" t="s">
        <v>5293</v>
      </c>
      <c r="E291" s="5246" t="s">
        <v>5294</v>
      </c>
      <c r="F291" s="3023" t="s">
        <v>5295</v>
      </c>
      <c r="G291" s="117" t="s">
        <v>5296</v>
      </c>
      <c r="H291" s="3023" t="s">
        <v>5297</v>
      </c>
      <c r="I291" s="117" t="s">
        <v>5298</v>
      </c>
      <c r="J291" s="3023" t="s">
        <v>5299</v>
      </c>
      <c r="K291" s="117" t="s">
        <v>5300</v>
      </c>
      <c r="L291" s="3023" t="s">
        <v>5301</v>
      </c>
      <c r="M291" s="117" t="s">
        <v>5302</v>
      </c>
      <c r="N291" s="3023" t="s">
        <v>5303</v>
      </c>
      <c r="O291" s="117" t="s">
        <v>5304</v>
      </c>
      <c r="P291" s="3023" t="s">
        <v>5305</v>
      </c>
      <c r="Q291" s="117" t="s">
        <v>5306</v>
      </c>
      <c r="R291" s="3023" t="s">
        <v>5307</v>
      </c>
      <c r="S291" s="117" t="s">
        <v>5308</v>
      </c>
      <c r="T291" s="3023" t="s">
        <v>5309</v>
      </c>
      <c r="U291" s="117" t="s">
        <v>5310</v>
      </c>
      <c r="V291" s="3023" t="s">
        <v>5311</v>
      </c>
      <c r="W291" s="117" t="s">
        <v>5312</v>
      </c>
      <c r="X291" s="3023" t="s">
        <v>5313</v>
      </c>
      <c r="Y291" s="117" t="s">
        <v>5314</v>
      </c>
      <c r="Z291" s="3023" t="s">
        <v>5315</v>
      </c>
      <c r="AA291" s="117" t="s">
        <v>5316</v>
      </c>
      <c r="AB291" s="3023" t="s">
        <v>5317</v>
      </c>
      <c r="AC291" s="3080" t="s">
        <v>5318</v>
      </c>
      <c r="AD291" s="121" t="s">
        <v>5319</v>
      </c>
      <c r="AE291" s="3035" t="s">
        <v>5320</v>
      </c>
      <c r="AF291" s="3559" t="str">
        <f>$CB291&amp;CC291</f>
        <v xml:space="preserve"> * La variable Pueblos originarios No puede ser mayor al Total. * La variable Migrantes No puede ser mayor al Total.</v>
      </c>
      <c r="CB291" s="3146" t="str">
        <f>IF(AND(C291&gt;0,AD291="")," * No olvide digitar la variable Pueblos originarios. Digite Cero si no tiene.",IF(AD291&gt;C291," * La variable Pueblos originarios No puede ser mayor al Total.",""))</f>
        <v xml:space="preserve"> * La variable Pueblos originarios No puede ser mayor al Total.</v>
      </c>
      <c r="CC291" s="3146" t="str">
        <f>IF(AND(C291&gt;0,AE291="")," * No olvide digitar la variable Migrantes. Digite Cero si no tiene.",IF(AE291&gt;C291," * La variable Migrantes No puede ser mayor al Total.",""))</f>
        <v xml:space="preserve"> * La variable Migrantes No puede ser mayor al Total.</v>
      </c>
      <c r="CD291" s="2630"/>
      <c r="CE291" s="2630"/>
      <c r="DF291" s="1725">
        <f>IF(AND(C291&gt;0,AD291=""),1,IF(AD291&gt;C291,1,0))</f>
        <v>1</v>
      </c>
      <c r="DG291" s="1725">
        <f>IF(AND(C291&gt;0,AE291=""),1,IF(AE291&gt;C291,1,0))</f>
        <v>1</v>
      </c>
    </row>
    <row r="292" spans="1:111" ht="18" customHeight="1" x14ac:dyDescent="0.3">
      <c r="B292" s="7618" t="s">
        <v>2768</v>
      </c>
      <c r="C292" s="7618"/>
      <c r="D292" s="7618"/>
      <c r="E292" s="7618"/>
      <c r="F292" s="7618"/>
      <c r="G292" s="7618"/>
      <c r="H292" s="7618"/>
      <c r="I292" s="7618"/>
      <c r="J292" s="7618"/>
      <c r="K292" s="7618"/>
      <c r="L292" s="7618"/>
      <c r="M292" s="7618"/>
      <c r="N292" s="7618"/>
      <c r="O292" s="7618"/>
      <c r="P292" s="7618"/>
      <c r="Q292" s="7618"/>
      <c r="R292" s="7618"/>
      <c r="S292" s="7618"/>
      <c r="T292" s="7618"/>
      <c r="U292" s="7618"/>
      <c r="V292" s="7618"/>
      <c r="W292" s="7618"/>
      <c r="X292" s="7618"/>
      <c r="Y292" s="7618"/>
      <c r="Z292" s="7618"/>
      <c r="AA292" s="7618"/>
      <c r="AB292" s="7618"/>
      <c r="AC292" s="7618"/>
      <c r="AD292" s="7618"/>
      <c r="AE292" s="7618"/>
      <c r="AF292" s="7618"/>
      <c r="AG292" s="7618"/>
      <c r="AH292" s="7618"/>
      <c r="AI292" s="7618"/>
      <c r="AJ292" s="7618"/>
      <c r="AK292" s="7618"/>
      <c r="AL292" s="600"/>
      <c r="AM292" s="600"/>
    </row>
    <row r="293" spans="1:111" x14ac:dyDescent="0.3">
      <c r="A293" s="599"/>
      <c r="B293" s="7620" t="s">
        <v>0</v>
      </c>
      <c r="C293" s="7621" t="s">
        <v>24</v>
      </c>
      <c r="D293" s="7622"/>
      <c r="E293" s="7616"/>
      <c r="F293" s="7587" t="s">
        <v>30</v>
      </c>
      <c r="G293" s="7587"/>
      <c r="H293" s="7587"/>
      <c r="I293" s="7587"/>
      <c r="J293" s="7587"/>
      <c r="K293" s="7587"/>
      <c r="L293" s="7587"/>
      <c r="M293" s="7587"/>
      <c r="N293" s="7587"/>
      <c r="O293" s="7587"/>
      <c r="P293" s="7587"/>
      <c r="Q293" s="7587"/>
      <c r="R293" s="7587"/>
      <c r="S293" s="7587"/>
      <c r="T293" s="7587"/>
      <c r="U293" s="7587"/>
      <c r="V293" s="7587"/>
      <c r="W293" s="7587"/>
      <c r="X293" s="7587"/>
      <c r="Y293" s="7587"/>
      <c r="Z293" s="7587"/>
      <c r="AA293" s="7587"/>
      <c r="AB293" s="7587"/>
      <c r="AC293" s="7587"/>
      <c r="AD293" s="7587"/>
      <c r="AE293" s="7587"/>
      <c r="AF293" s="7587"/>
      <c r="AG293" s="7587"/>
      <c r="AH293" s="7587"/>
      <c r="AI293" s="7587"/>
      <c r="AJ293" s="7587"/>
      <c r="AK293" s="7588"/>
      <c r="AL293" s="7631" t="s">
        <v>2</v>
      </c>
      <c r="AM293" s="7616" t="s">
        <v>3</v>
      </c>
    </row>
    <row r="294" spans="1:111" ht="15" customHeight="1" x14ac:dyDescent="0.3">
      <c r="A294" s="599"/>
      <c r="B294" s="7585"/>
      <c r="C294" s="7628"/>
      <c r="D294" s="7629"/>
      <c r="E294" s="7630"/>
      <c r="F294" s="7569" t="s">
        <v>682</v>
      </c>
      <c r="G294" s="7572"/>
      <c r="H294" s="7626" t="s">
        <v>2758</v>
      </c>
      <c r="I294" s="7627"/>
      <c r="J294" s="7626" t="s">
        <v>553</v>
      </c>
      <c r="K294" s="7627"/>
      <c r="L294" s="7626" t="s">
        <v>554</v>
      </c>
      <c r="M294" s="7627"/>
      <c r="N294" s="7569" t="s">
        <v>4</v>
      </c>
      <c r="O294" s="7572"/>
      <c r="P294" s="7569" t="s">
        <v>5</v>
      </c>
      <c r="Q294" s="7572"/>
      <c r="R294" s="7569" t="s">
        <v>6</v>
      </c>
      <c r="S294" s="7572"/>
      <c r="T294" s="7569" t="s">
        <v>7</v>
      </c>
      <c r="U294" s="7572"/>
      <c r="V294" s="7569" t="s">
        <v>8</v>
      </c>
      <c r="W294" s="7572"/>
      <c r="X294" s="7569" t="s">
        <v>9</v>
      </c>
      <c r="Y294" s="7572"/>
      <c r="Z294" s="7569" t="s">
        <v>10</v>
      </c>
      <c r="AA294" s="7572"/>
      <c r="AB294" s="7569" t="s">
        <v>11</v>
      </c>
      <c r="AC294" s="7572"/>
      <c r="AD294" s="7569" t="s">
        <v>555</v>
      </c>
      <c r="AE294" s="7572"/>
      <c r="AF294" s="7569" t="s">
        <v>556</v>
      </c>
      <c r="AG294" s="7572"/>
      <c r="AH294" s="7569" t="s">
        <v>557</v>
      </c>
      <c r="AI294" s="7572"/>
      <c r="AJ294" s="7569" t="s">
        <v>1905</v>
      </c>
      <c r="AK294" s="7570"/>
      <c r="AL294" s="7632"/>
      <c r="AM294" s="7630"/>
    </row>
    <row r="295" spans="1:111" x14ac:dyDescent="0.3">
      <c r="A295" s="599"/>
      <c r="B295" s="7586"/>
      <c r="C295" s="5243" t="s">
        <v>2585</v>
      </c>
      <c r="D295" s="5187" t="s">
        <v>22</v>
      </c>
      <c r="E295" s="5162" t="s">
        <v>27</v>
      </c>
      <c r="F295" s="5133" t="s">
        <v>22</v>
      </c>
      <c r="G295" s="5162" t="s">
        <v>27</v>
      </c>
      <c r="H295" s="5133" t="s">
        <v>22</v>
      </c>
      <c r="I295" s="5162" t="s">
        <v>27</v>
      </c>
      <c r="J295" s="5133" t="s">
        <v>22</v>
      </c>
      <c r="K295" s="5162" t="s">
        <v>27</v>
      </c>
      <c r="L295" s="5133" t="s">
        <v>22</v>
      </c>
      <c r="M295" s="5162" t="s">
        <v>27</v>
      </c>
      <c r="N295" s="5133" t="s">
        <v>22</v>
      </c>
      <c r="O295" s="5162" t="s">
        <v>27</v>
      </c>
      <c r="P295" s="5133" t="s">
        <v>22</v>
      </c>
      <c r="Q295" s="5162" t="s">
        <v>27</v>
      </c>
      <c r="R295" s="5133" t="s">
        <v>22</v>
      </c>
      <c r="S295" s="5162" t="s">
        <v>27</v>
      </c>
      <c r="T295" s="5133" t="s">
        <v>22</v>
      </c>
      <c r="U295" s="5162" t="s">
        <v>27</v>
      </c>
      <c r="V295" s="5133" t="s">
        <v>22</v>
      </c>
      <c r="W295" s="5162" t="s">
        <v>27</v>
      </c>
      <c r="X295" s="5133" t="s">
        <v>22</v>
      </c>
      <c r="Y295" s="5162" t="s">
        <v>27</v>
      </c>
      <c r="Z295" s="5133" t="s">
        <v>22</v>
      </c>
      <c r="AA295" s="5162" t="s">
        <v>27</v>
      </c>
      <c r="AB295" s="5133" t="s">
        <v>22</v>
      </c>
      <c r="AC295" s="5162" t="s">
        <v>27</v>
      </c>
      <c r="AD295" s="5133" t="s">
        <v>22</v>
      </c>
      <c r="AE295" s="5162" t="s">
        <v>27</v>
      </c>
      <c r="AF295" s="5133" t="s">
        <v>22</v>
      </c>
      <c r="AG295" s="5162" t="s">
        <v>27</v>
      </c>
      <c r="AH295" s="5133" t="s">
        <v>22</v>
      </c>
      <c r="AI295" s="5162" t="s">
        <v>27</v>
      </c>
      <c r="AJ295" s="5133" t="s">
        <v>22</v>
      </c>
      <c r="AK295" s="5209" t="s">
        <v>27</v>
      </c>
      <c r="AL295" s="7633"/>
      <c r="AM295" s="7617"/>
    </row>
    <row r="296" spans="1:111" ht="21.6" x14ac:dyDescent="0.3">
      <c r="A296" s="6234">
        <v>11057141</v>
      </c>
      <c r="B296" s="5244" t="s">
        <v>2769</v>
      </c>
      <c r="C296" s="5247" t="s">
        <v>5292</v>
      </c>
      <c r="D296" s="5248" t="s">
        <v>5293</v>
      </c>
      <c r="E296" s="5245" t="s">
        <v>5294</v>
      </c>
      <c r="F296" s="1072" t="s">
        <v>5295</v>
      </c>
      <c r="G296" s="1060" t="s">
        <v>5296</v>
      </c>
      <c r="H296" s="1072" t="s">
        <v>5297</v>
      </c>
      <c r="I296" s="1060" t="s">
        <v>5298</v>
      </c>
      <c r="J296" s="1072" t="s">
        <v>5299</v>
      </c>
      <c r="K296" s="1060" t="s">
        <v>5300</v>
      </c>
      <c r="L296" s="1072" t="s">
        <v>5301</v>
      </c>
      <c r="M296" s="1060" t="s">
        <v>5302</v>
      </c>
      <c r="N296" s="1072" t="s">
        <v>5303</v>
      </c>
      <c r="O296" s="1060" t="s">
        <v>5304</v>
      </c>
      <c r="P296" s="1072" t="s">
        <v>5305</v>
      </c>
      <c r="Q296" s="1060" t="s">
        <v>5306</v>
      </c>
      <c r="R296" s="1072" t="s">
        <v>5307</v>
      </c>
      <c r="S296" s="1060" t="s">
        <v>5308</v>
      </c>
      <c r="T296" s="1072" t="s">
        <v>5309</v>
      </c>
      <c r="U296" s="1060" t="s">
        <v>5310</v>
      </c>
      <c r="V296" s="1072" t="s">
        <v>5311</v>
      </c>
      <c r="W296" s="1060" t="s">
        <v>5312</v>
      </c>
      <c r="X296" s="1072" t="s">
        <v>5313</v>
      </c>
      <c r="Y296" s="1060" t="s">
        <v>5314</v>
      </c>
      <c r="Z296" s="1072" t="s">
        <v>5315</v>
      </c>
      <c r="AA296" s="1060" t="s">
        <v>5316</v>
      </c>
      <c r="AB296" s="1072" t="s">
        <v>5317</v>
      </c>
      <c r="AC296" s="1060" t="s">
        <v>5318</v>
      </c>
      <c r="AD296" s="1072" t="s">
        <v>5319</v>
      </c>
      <c r="AE296" s="1060" t="s">
        <v>5320</v>
      </c>
      <c r="AF296" s="1072" t="s">
        <v>5321</v>
      </c>
      <c r="AG296" s="1060" t="s">
        <v>5322</v>
      </c>
      <c r="AH296" s="1072" t="s">
        <v>5323</v>
      </c>
      <c r="AI296" s="1060" t="s">
        <v>5324</v>
      </c>
      <c r="AJ296" s="1072" t="s">
        <v>5325</v>
      </c>
      <c r="AK296" s="1061" t="s">
        <v>5326</v>
      </c>
      <c r="AL296" s="3570" t="s">
        <v>5327</v>
      </c>
      <c r="AM296" s="5249" t="s">
        <v>5328</v>
      </c>
      <c r="CB296" s="3488"/>
      <c r="DF296" s="2783"/>
      <c r="DG296" s="2783"/>
    </row>
    <row r="297" spans="1:111" ht="21.6" x14ac:dyDescent="0.3">
      <c r="A297" s="6234">
        <v>11057142</v>
      </c>
      <c r="B297" s="3566" t="s">
        <v>2770</v>
      </c>
      <c r="C297" s="4738" t="s">
        <v>5292</v>
      </c>
      <c r="D297" s="4736" t="s">
        <v>5293</v>
      </c>
      <c r="E297" s="3242" t="s">
        <v>5294</v>
      </c>
      <c r="F297" s="1072" t="s">
        <v>5295</v>
      </c>
      <c r="G297" s="1060" t="s">
        <v>5296</v>
      </c>
      <c r="H297" s="1072" t="s">
        <v>5297</v>
      </c>
      <c r="I297" s="1060" t="s">
        <v>5298</v>
      </c>
      <c r="J297" s="1072" t="s">
        <v>5299</v>
      </c>
      <c r="K297" s="1060" t="s">
        <v>5300</v>
      </c>
      <c r="L297" s="1072" t="s">
        <v>5301</v>
      </c>
      <c r="M297" s="1060" t="s">
        <v>5302</v>
      </c>
      <c r="N297" s="1072" t="s">
        <v>5303</v>
      </c>
      <c r="O297" s="1060" t="s">
        <v>5304</v>
      </c>
      <c r="P297" s="1072" t="s">
        <v>5305</v>
      </c>
      <c r="Q297" s="1060" t="s">
        <v>5306</v>
      </c>
      <c r="R297" s="1072" t="s">
        <v>5307</v>
      </c>
      <c r="S297" s="1060" t="s">
        <v>5308</v>
      </c>
      <c r="T297" s="1072" t="s">
        <v>5309</v>
      </c>
      <c r="U297" s="1060" t="s">
        <v>5310</v>
      </c>
      <c r="V297" s="1072" t="s">
        <v>5311</v>
      </c>
      <c r="W297" s="1060" t="s">
        <v>5312</v>
      </c>
      <c r="X297" s="1072" t="s">
        <v>5313</v>
      </c>
      <c r="Y297" s="1060" t="s">
        <v>5314</v>
      </c>
      <c r="Z297" s="1072" t="s">
        <v>5315</v>
      </c>
      <c r="AA297" s="1060" t="s">
        <v>5316</v>
      </c>
      <c r="AB297" s="1072" t="s">
        <v>5317</v>
      </c>
      <c r="AC297" s="1060" t="s">
        <v>5318</v>
      </c>
      <c r="AD297" s="1072" t="s">
        <v>5319</v>
      </c>
      <c r="AE297" s="1060" t="s">
        <v>5320</v>
      </c>
      <c r="AF297" s="1072" t="s">
        <v>5321</v>
      </c>
      <c r="AG297" s="1060" t="s">
        <v>5322</v>
      </c>
      <c r="AH297" s="1072" t="s">
        <v>5323</v>
      </c>
      <c r="AI297" s="1060" t="s">
        <v>5324</v>
      </c>
      <c r="AJ297" s="1072" t="s">
        <v>5325</v>
      </c>
      <c r="AK297" s="1061" t="s">
        <v>5326</v>
      </c>
      <c r="AL297" s="3143" t="s">
        <v>5327</v>
      </c>
      <c r="AM297" s="1060" t="s">
        <v>5328</v>
      </c>
      <c r="AN297" s="3559" t="str">
        <f>$CB297&amp;$CC297</f>
        <v xml:space="preserve"> * La variable Pueblos originarios No puede ser mayor al Total. * La variable Migrantes No puede ser mayor al Total.</v>
      </c>
      <c r="CB297" s="3146" t="str">
        <f>IF(AND(C297&gt;0,AL297="")," * No olvide digitar la variable pueblos originarios. Digite Cero si no tiene.",IF(AL297&gt;C297," * La variable Pueblos originarios No puede ser mayor al Total.",""))</f>
        <v xml:space="preserve"> * La variable Pueblos originarios No puede ser mayor al Total.</v>
      </c>
      <c r="CC297" s="3146" t="str">
        <f>IF(AND(C297&gt;0,AM297="")," * No olvide digitar la variable Migrantes. Digite Cero si no tiene.",IF(AM297&gt;C297," * La variable Migrantes No puede ser mayor al Total.",""))</f>
        <v xml:space="preserve"> * La variable Migrantes No puede ser mayor al Total.</v>
      </c>
      <c r="CJ297" s="2630"/>
      <c r="CK297" s="2630"/>
      <c r="CL297" s="2630"/>
      <c r="DF297" s="1725">
        <f>IF(AND(C297&gt;0,AL297=""),1,IF(AL297&gt;C297,1,0))</f>
        <v>1</v>
      </c>
      <c r="DG297" s="1725">
        <f>IF(AND(C297&gt;0,AM297=""),1,IF(AM297&gt;C297,1,0))</f>
        <v>1</v>
      </c>
    </row>
    <row r="298" spans="1:111" ht="21.6" x14ac:dyDescent="0.3">
      <c r="A298" s="6234">
        <v>11057143</v>
      </c>
      <c r="B298" s="3571" t="s">
        <v>2771</v>
      </c>
      <c r="C298" s="5250" t="s">
        <v>5292</v>
      </c>
      <c r="D298" s="5251" t="s">
        <v>5293</v>
      </c>
      <c r="E298" s="5108" t="s">
        <v>5294</v>
      </c>
      <c r="F298" s="5090" t="s">
        <v>5295</v>
      </c>
      <c r="G298" s="4767" t="s">
        <v>5296</v>
      </c>
      <c r="H298" s="5090" t="s">
        <v>5297</v>
      </c>
      <c r="I298" s="4767" t="s">
        <v>5298</v>
      </c>
      <c r="J298" s="5090" t="s">
        <v>5299</v>
      </c>
      <c r="K298" s="4767" t="s">
        <v>5300</v>
      </c>
      <c r="L298" s="5090" t="s">
        <v>5301</v>
      </c>
      <c r="M298" s="4767" t="s">
        <v>5302</v>
      </c>
      <c r="N298" s="5090" t="s">
        <v>5303</v>
      </c>
      <c r="O298" s="4767" t="s">
        <v>5304</v>
      </c>
      <c r="P298" s="5090" t="s">
        <v>5305</v>
      </c>
      <c r="Q298" s="4767" t="s">
        <v>5306</v>
      </c>
      <c r="R298" s="5090" t="s">
        <v>5307</v>
      </c>
      <c r="S298" s="4767" t="s">
        <v>5308</v>
      </c>
      <c r="T298" s="5090" t="s">
        <v>5309</v>
      </c>
      <c r="U298" s="4767" t="s">
        <v>5310</v>
      </c>
      <c r="V298" s="5090" t="s">
        <v>5311</v>
      </c>
      <c r="W298" s="4767" t="s">
        <v>5312</v>
      </c>
      <c r="X298" s="5090" t="s">
        <v>5313</v>
      </c>
      <c r="Y298" s="4767" t="s">
        <v>5314</v>
      </c>
      <c r="Z298" s="5090" t="s">
        <v>5315</v>
      </c>
      <c r="AA298" s="4767" t="s">
        <v>5316</v>
      </c>
      <c r="AB298" s="5090" t="s">
        <v>5317</v>
      </c>
      <c r="AC298" s="4767" t="s">
        <v>5318</v>
      </c>
      <c r="AD298" s="5090" t="s">
        <v>5319</v>
      </c>
      <c r="AE298" s="4767" t="s">
        <v>5320</v>
      </c>
      <c r="AF298" s="5090" t="s">
        <v>5321</v>
      </c>
      <c r="AG298" s="4767" t="s">
        <v>5322</v>
      </c>
      <c r="AH298" s="5090" t="s">
        <v>5323</v>
      </c>
      <c r="AI298" s="4767" t="s">
        <v>5324</v>
      </c>
      <c r="AJ298" s="5090" t="s">
        <v>5325</v>
      </c>
      <c r="AK298" s="2412" t="s">
        <v>5326</v>
      </c>
      <c r="AL298" s="5252" t="s">
        <v>5327</v>
      </c>
      <c r="AM298" s="4767" t="s">
        <v>5328</v>
      </c>
      <c r="AN298" s="3559" t="str">
        <f>$CB298&amp;$CC298</f>
        <v xml:space="preserve"> * La variable Pueblos originarios No puede ser mayor al Total. * La variable Migrantes No puede ser mayor al Total.</v>
      </c>
      <c r="CB298" s="3146" t="str">
        <f>IF(AND(C298&gt;0,AL298="")," * No olvide digitar la variable pueblos originarios. Digite Cero si no tiene.",IF(AL298&gt;C298," * La variable Pueblos originarios No puede ser mayor al Total.",""))</f>
        <v xml:space="preserve"> * La variable Pueblos originarios No puede ser mayor al Total.</v>
      </c>
      <c r="CC298" s="3146" t="str">
        <f>IF(AND(C298&gt;0,AM298="")," * No olvide digitar la variable Migrantes. Digite Cero si no tiene.",IF(AM298&gt;C298," * La variable Migrantes No puede ser mayor al Total.",""))</f>
        <v xml:space="preserve"> * La variable Migrantes No puede ser mayor al Total.</v>
      </c>
      <c r="DF298" s="1725">
        <f>IF(AND(C298&gt;0,AL298=""),1,IF(AL298&gt;C298,1,0))</f>
        <v>1</v>
      </c>
      <c r="DG298" s="1725">
        <f>IF(AND(C298&gt;0,AM298=""),1,IF(AM298&gt;C298,1,0))</f>
        <v>1</v>
      </c>
    </row>
    <row r="350" spans="2:3" hidden="1" x14ac:dyDescent="0.3">
      <c r="B350" s="3177">
        <f>SUM(C13:D30,C35:D52,C57:D74,C79:D96,C101:D118,C123:D140,D144:Q148,D152:Q156,D161:E183,D188:E210,C215:D221,C226:D232,D237:E259,C263:C267,C271:C275,C280:E285,C290:E291,C296:E298)</f>
        <v>0</v>
      </c>
      <c r="C350" s="3177" t="e">
        <f>SUM(DF13:EC298)</f>
        <v>#VALUE!</v>
      </c>
    </row>
  </sheetData>
  <mergeCells count="456">
    <mergeCell ref="AL293:AL295"/>
    <mergeCell ref="AM293:AM295"/>
    <mergeCell ref="F294:G294"/>
    <mergeCell ref="H294:I294"/>
    <mergeCell ref="J294:K294"/>
    <mergeCell ref="L294:M294"/>
    <mergeCell ref="N294:O294"/>
    <mergeCell ref="P294:Q294"/>
    <mergeCell ref="R294:S294"/>
    <mergeCell ref="T294:U294"/>
    <mergeCell ref="B292:AK292"/>
    <mergeCell ref="B293:B295"/>
    <mergeCell ref="C293:E294"/>
    <mergeCell ref="F293:AK293"/>
    <mergeCell ref="V294:W294"/>
    <mergeCell ref="X294:Y294"/>
    <mergeCell ref="Z294:AA294"/>
    <mergeCell ref="AB294:AC294"/>
    <mergeCell ref="N288:O288"/>
    <mergeCell ref="P288:Q288"/>
    <mergeCell ref="R288:S288"/>
    <mergeCell ref="T288:U288"/>
    <mergeCell ref="V288:W288"/>
    <mergeCell ref="X288:Y288"/>
    <mergeCell ref="AD294:AE294"/>
    <mergeCell ref="AF294:AG294"/>
    <mergeCell ref="AH294:AI294"/>
    <mergeCell ref="AJ294:AK294"/>
    <mergeCell ref="B286:AC286"/>
    <mergeCell ref="B287:B289"/>
    <mergeCell ref="C287:E288"/>
    <mergeCell ref="F287:AC287"/>
    <mergeCell ref="AD287:AD289"/>
    <mergeCell ref="AE287:AE289"/>
    <mergeCell ref="F288:G288"/>
    <mergeCell ref="H288:I288"/>
    <mergeCell ref="J288:K288"/>
    <mergeCell ref="L288:M288"/>
    <mergeCell ref="Z288:AA288"/>
    <mergeCell ref="AB288:AC288"/>
    <mergeCell ref="B277:B279"/>
    <mergeCell ref="C277:E277"/>
    <mergeCell ref="F277:AK277"/>
    <mergeCell ref="C278:C279"/>
    <mergeCell ref="D278:D279"/>
    <mergeCell ref="E278:E279"/>
    <mergeCell ref="F278:G278"/>
    <mergeCell ref="H278:I278"/>
    <mergeCell ref="J278:K278"/>
    <mergeCell ref="L278:M278"/>
    <mergeCell ref="Z278:AA278"/>
    <mergeCell ref="AB278:AC278"/>
    <mergeCell ref="AD278:AE278"/>
    <mergeCell ref="AF278:AG278"/>
    <mergeCell ref="AH278:AI278"/>
    <mergeCell ref="AJ278:AK278"/>
    <mergeCell ref="N278:O278"/>
    <mergeCell ref="P278:Q278"/>
    <mergeCell ref="R278:S278"/>
    <mergeCell ref="T278:U278"/>
    <mergeCell ref="V278:W278"/>
    <mergeCell ref="X278:Y278"/>
    <mergeCell ref="B269:B270"/>
    <mergeCell ref="C269:C270"/>
    <mergeCell ref="D269:S269"/>
    <mergeCell ref="T269:T270"/>
    <mergeCell ref="U269:U270"/>
    <mergeCell ref="B276:AK276"/>
    <mergeCell ref="B261:B262"/>
    <mergeCell ref="C261:C262"/>
    <mergeCell ref="D261:M261"/>
    <mergeCell ref="N261:N262"/>
    <mergeCell ref="O261:O262"/>
    <mergeCell ref="B268:S268"/>
    <mergeCell ref="B237:B255"/>
    <mergeCell ref="B256:B259"/>
    <mergeCell ref="B260:S260"/>
    <mergeCell ref="AB235:AC235"/>
    <mergeCell ref="AD235:AE235"/>
    <mergeCell ref="AF235:AG235"/>
    <mergeCell ref="AH235:AI235"/>
    <mergeCell ref="AJ235:AK235"/>
    <mergeCell ref="AL235:AM235"/>
    <mergeCell ref="B234:C236"/>
    <mergeCell ref="D234:E235"/>
    <mergeCell ref="F234:AK234"/>
    <mergeCell ref="AL234:AO234"/>
    <mergeCell ref="AT234:AU235"/>
    <mergeCell ref="AV234:AW235"/>
    <mergeCell ref="AX234:AY235"/>
    <mergeCell ref="F235:G235"/>
    <mergeCell ref="H235:I235"/>
    <mergeCell ref="J235:K235"/>
    <mergeCell ref="L235:M235"/>
    <mergeCell ref="N235:O235"/>
    <mergeCell ref="P235:Q235"/>
    <mergeCell ref="R235:S235"/>
    <mergeCell ref="AN235:AO235"/>
    <mergeCell ref="AP235:AQ235"/>
    <mergeCell ref="AR235:AS235"/>
    <mergeCell ref="AP234:AS234"/>
    <mergeCell ref="T235:U235"/>
    <mergeCell ref="V235:W235"/>
    <mergeCell ref="X235:Y235"/>
    <mergeCell ref="Z235:AA235"/>
    <mergeCell ref="AQ223:AQ225"/>
    <mergeCell ref="AR223:AR225"/>
    <mergeCell ref="AM224:AM225"/>
    <mergeCell ref="AN224:AN225"/>
    <mergeCell ref="AO224:AO225"/>
    <mergeCell ref="U224:V224"/>
    <mergeCell ref="W224:X224"/>
    <mergeCell ref="Y224:Z224"/>
    <mergeCell ref="AA224:AB224"/>
    <mergeCell ref="AC224:AD224"/>
    <mergeCell ref="AE224:AF224"/>
    <mergeCell ref="AP224:AP225"/>
    <mergeCell ref="AG224:AH224"/>
    <mergeCell ref="AI224:AJ224"/>
    <mergeCell ref="AK224:AL224"/>
    <mergeCell ref="B223:B225"/>
    <mergeCell ref="C223:D224"/>
    <mergeCell ref="E223:AL223"/>
    <mergeCell ref="AM223:AN223"/>
    <mergeCell ref="AO223:AP223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AM212:AN212"/>
    <mergeCell ref="AO212:AP212"/>
    <mergeCell ref="AQ212:AQ214"/>
    <mergeCell ref="AR212:AR214"/>
    <mergeCell ref="AM213:AM214"/>
    <mergeCell ref="AN213:AN214"/>
    <mergeCell ref="AO213:AO214"/>
    <mergeCell ref="AP213:AP214"/>
    <mergeCell ref="AG213:AH213"/>
    <mergeCell ref="AI213:AJ213"/>
    <mergeCell ref="B208:C208"/>
    <mergeCell ref="B209:C209"/>
    <mergeCell ref="B210:C210"/>
    <mergeCell ref="B212:B214"/>
    <mergeCell ref="C212:D213"/>
    <mergeCell ref="E212:AL212"/>
    <mergeCell ref="Q213:R213"/>
    <mergeCell ref="S213:T213"/>
    <mergeCell ref="U213:V213"/>
    <mergeCell ref="W213:X213"/>
    <mergeCell ref="AK213:AL213"/>
    <mergeCell ref="Y213:Z213"/>
    <mergeCell ref="AA213:AB213"/>
    <mergeCell ref="AC213:AD213"/>
    <mergeCell ref="AE213:AF213"/>
    <mergeCell ref="E213:F213"/>
    <mergeCell ref="G213:H213"/>
    <mergeCell ref="I213:J213"/>
    <mergeCell ref="K213:L213"/>
    <mergeCell ref="M213:N213"/>
    <mergeCell ref="O213:P213"/>
    <mergeCell ref="B202:C202"/>
    <mergeCell ref="B203:C203"/>
    <mergeCell ref="B204:C204"/>
    <mergeCell ref="B205:C205"/>
    <mergeCell ref="B206:C206"/>
    <mergeCell ref="B207:C207"/>
    <mergeCell ref="B194:C194"/>
    <mergeCell ref="B195:C195"/>
    <mergeCell ref="B196:C196"/>
    <mergeCell ref="B197:B199"/>
    <mergeCell ref="B200:C200"/>
    <mergeCell ref="B201:C201"/>
    <mergeCell ref="B188:C188"/>
    <mergeCell ref="B189:C189"/>
    <mergeCell ref="B190:C190"/>
    <mergeCell ref="B191:C191"/>
    <mergeCell ref="B192:C192"/>
    <mergeCell ref="B193:C193"/>
    <mergeCell ref="AH186:AI186"/>
    <mergeCell ref="AJ186:AK186"/>
    <mergeCell ref="AL186:AM186"/>
    <mergeCell ref="AL185:AO185"/>
    <mergeCell ref="AP185:AS185"/>
    <mergeCell ref="AT185:AU186"/>
    <mergeCell ref="AV185:AW186"/>
    <mergeCell ref="AX185:AY186"/>
    <mergeCell ref="F186:G186"/>
    <mergeCell ref="H186:I186"/>
    <mergeCell ref="J186:K186"/>
    <mergeCell ref="L186:M186"/>
    <mergeCell ref="N186:O186"/>
    <mergeCell ref="AN186:AO186"/>
    <mergeCell ref="AP186:AQ186"/>
    <mergeCell ref="AR186:AS186"/>
    <mergeCell ref="V186:W186"/>
    <mergeCell ref="X186:Y186"/>
    <mergeCell ref="Z186:AA186"/>
    <mergeCell ref="AB186:AC186"/>
    <mergeCell ref="AD186:AE186"/>
    <mergeCell ref="AF186:AG186"/>
    <mergeCell ref="B181:C181"/>
    <mergeCell ref="B182:C182"/>
    <mergeCell ref="B183:C183"/>
    <mergeCell ref="B184:I184"/>
    <mergeCell ref="B185:C187"/>
    <mergeCell ref="D185:E186"/>
    <mergeCell ref="F185:AK185"/>
    <mergeCell ref="P186:Q186"/>
    <mergeCell ref="R186:S186"/>
    <mergeCell ref="T186:U186"/>
    <mergeCell ref="B175:C175"/>
    <mergeCell ref="B176:C176"/>
    <mergeCell ref="B177:C177"/>
    <mergeCell ref="B178:C178"/>
    <mergeCell ref="B179:C179"/>
    <mergeCell ref="B180:C180"/>
    <mergeCell ref="B167:C167"/>
    <mergeCell ref="B168:C168"/>
    <mergeCell ref="B169:C169"/>
    <mergeCell ref="B170:B172"/>
    <mergeCell ref="B173:C173"/>
    <mergeCell ref="B174:C174"/>
    <mergeCell ref="B161:C161"/>
    <mergeCell ref="B162:C162"/>
    <mergeCell ref="B163:C163"/>
    <mergeCell ref="B164:C164"/>
    <mergeCell ref="B165:C165"/>
    <mergeCell ref="B166:C166"/>
    <mergeCell ref="AH159:AI159"/>
    <mergeCell ref="AJ159:AK159"/>
    <mergeCell ref="AL159:AM159"/>
    <mergeCell ref="AL158:AO158"/>
    <mergeCell ref="AP158:AS158"/>
    <mergeCell ref="AT158:AU159"/>
    <mergeCell ref="AV158:AW159"/>
    <mergeCell ref="AX158:AY159"/>
    <mergeCell ref="F159:G159"/>
    <mergeCell ref="H159:I159"/>
    <mergeCell ref="J159:K159"/>
    <mergeCell ref="L159:M159"/>
    <mergeCell ref="N159:O159"/>
    <mergeCell ref="AN159:AO159"/>
    <mergeCell ref="AP159:AQ159"/>
    <mergeCell ref="AR159:AS159"/>
    <mergeCell ref="V159:W159"/>
    <mergeCell ref="X159:Y159"/>
    <mergeCell ref="Z159:AA159"/>
    <mergeCell ref="AB159:AC159"/>
    <mergeCell ref="AD159:AE159"/>
    <mergeCell ref="AF159:AG159"/>
    <mergeCell ref="B152:C152"/>
    <mergeCell ref="B153:B155"/>
    <mergeCell ref="B156:C156"/>
    <mergeCell ref="B157:I157"/>
    <mergeCell ref="B158:C160"/>
    <mergeCell ref="D158:E159"/>
    <mergeCell ref="F158:AK158"/>
    <mergeCell ref="P159:Q159"/>
    <mergeCell ref="R159:S159"/>
    <mergeCell ref="T159:U159"/>
    <mergeCell ref="B144:C144"/>
    <mergeCell ref="B145:B147"/>
    <mergeCell ref="B148:C148"/>
    <mergeCell ref="B149:Q149"/>
    <mergeCell ref="B150:C151"/>
    <mergeCell ref="D150:F150"/>
    <mergeCell ref="G150:I150"/>
    <mergeCell ref="J150:L150"/>
    <mergeCell ref="M150:O150"/>
    <mergeCell ref="P150:Q150"/>
    <mergeCell ref="B141:Q141"/>
    <mergeCell ref="B142:C143"/>
    <mergeCell ref="D142:F142"/>
    <mergeCell ref="G142:I142"/>
    <mergeCell ref="J142:L142"/>
    <mergeCell ref="M142:O142"/>
    <mergeCell ref="P142:Q142"/>
    <mergeCell ref="AI121:AJ121"/>
    <mergeCell ref="AK121:AL121"/>
    <mergeCell ref="W121:X121"/>
    <mergeCell ref="Y121:Z121"/>
    <mergeCell ref="AA121:AB121"/>
    <mergeCell ref="AC121:AD121"/>
    <mergeCell ref="AE121:AF121"/>
    <mergeCell ref="AG121:AH121"/>
    <mergeCell ref="B120:B122"/>
    <mergeCell ref="C120:D121"/>
    <mergeCell ref="AU120:AV121"/>
    <mergeCell ref="AW120:AW122"/>
    <mergeCell ref="AX120:AX122"/>
    <mergeCell ref="E121:F121"/>
    <mergeCell ref="G121:H121"/>
    <mergeCell ref="I121:J121"/>
    <mergeCell ref="K121:L121"/>
    <mergeCell ref="M121:N121"/>
    <mergeCell ref="O121:P121"/>
    <mergeCell ref="Q121:R121"/>
    <mergeCell ref="AT121:AT122"/>
    <mergeCell ref="AM121:AN121"/>
    <mergeCell ref="AO121:AP121"/>
    <mergeCell ref="AQ121:AR121"/>
    <mergeCell ref="AS121:AS122"/>
    <mergeCell ref="E120:AR120"/>
    <mergeCell ref="AS120:AT120"/>
    <mergeCell ref="S121:T121"/>
    <mergeCell ref="U121:V121"/>
    <mergeCell ref="AW98:AW100"/>
    <mergeCell ref="AX98:AX100"/>
    <mergeCell ref="E99:F99"/>
    <mergeCell ref="G99:H99"/>
    <mergeCell ref="I99:J99"/>
    <mergeCell ref="K99:L99"/>
    <mergeCell ref="M99:N99"/>
    <mergeCell ref="O99:P99"/>
    <mergeCell ref="Q99:R99"/>
    <mergeCell ref="S99:T99"/>
    <mergeCell ref="AO99:AP99"/>
    <mergeCell ref="AQ99:AR99"/>
    <mergeCell ref="AS99:AS100"/>
    <mergeCell ref="AT99:AT100"/>
    <mergeCell ref="B98:B100"/>
    <mergeCell ref="C98:D99"/>
    <mergeCell ref="E98:AR98"/>
    <mergeCell ref="AS98:AT98"/>
    <mergeCell ref="AU98:AV99"/>
    <mergeCell ref="U99:V99"/>
    <mergeCell ref="W99:X99"/>
    <mergeCell ref="Y99:Z99"/>
    <mergeCell ref="AA99:AB99"/>
    <mergeCell ref="AC99:AD99"/>
    <mergeCell ref="AE99:AF99"/>
    <mergeCell ref="AG99:AH99"/>
    <mergeCell ref="AI99:AJ99"/>
    <mergeCell ref="AK99:AL99"/>
    <mergeCell ref="AM99:AN99"/>
    <mergeCell ref="AW76:AW78"/>
    <mergeCell ref="AX76:AX78"/>
    <mergeCell ref="E77:F77"/>
    <mergeCell ref="G77:H77"/>
    <mergeCell ref="I77:J77"/>
    <mergeCell ref="K77:L77"/>
    <mergeCell ref="M77:N77"/>
    <mergeCell ref="O77:P77"/>
    <mergeCell ref="Q77:R77"/>
    <mergeCell ref="AT77:AT78"/>
    <mergeCell ref="AI77:AJ77"/>
    <mergeCell ref="AK77:AL77"/>
    <mergeCell ref="AM77:AN77"/>
    <mergeCell ref="AO77:AP77"/>
    <mergeCell ref="AQ77:AR77"/>
    <mergeCell ref="AS77:AS78"/>
    <mergeCell ref="W77:X77"/>
    <mergeCell ref="Y77:Z77"/>
    <mergeCell ref="AA77:AB77"/>
    <mergeCell ref="AC77:AD77"/>
    <mergeCell ref="AE77:AF77"/>
    <mergeCell ref="AG77:AH77"/>
    <mergeCell ref="AU76:AV77"/>
    <mergeCell ref="B76:B78"/>
    <mergeCell ref="C76:D77"/>
    <mergeCell ref="E76:AR76"/>
    <mergeCell ref="AS76:AT76"/>
    <mergeCell ref="S77:T77"/>
    <mergeCell ref="U77:V77"/>
    <mergeCell ref="AC55:AD55"/>
    <mergeCell ref="AE55:AF55"/>
    <mergeCell ref="AG55:AH55"/>
    <mergeCell ref="AI55:AJ55"/>
    <mergeCell ref="AK55:AL55"/>
    <mergeCell ref="AM55:AN55"/>
    <mergeCell ref="B54:B56"/>
    <mergeCell ref="C54:D55"/>
    <mergeCell ref="AW54:AW56"/>
    <mergeCell ref="AX54:AX56"/>
    <mergeCell ref="E55:F55"/>
    <mergeCell ref="G55:H55"/>
    <mergeCell ref="I55:J55"/>
    <mergeCell ref="K55:L55"/>
    <mergeCell ref="M55:N55"/>
    <mergeCell ref="O55:P55"/>
    <mergeCell ref="Q55:R55"/>
    <mergeCell ref="S55:T55"/>
    <mergeCell ref="AO55:AP55"/>
    <mergeCell ref="AQ55:AR55"/>
    <mergeCell ref="AS55:AS56"/>
    <mergeCell ref="AT55:AT56"/>
    <mergeCell ref="E54:AR54"/>
    <mergeCell ref="AS54:AT54"/>
    <mergeCell ref="AU54:AV55"/>
    <mergeCell ref="U55:V55"/>
    <mergeCell ref="W55:X55"/>
    <mergeCell ref="Y55:Z55"/>
    <mergeCell ref="AA55:AB55"/>
    <mergeCell ref="AW32:AW34"/>
    <mergeCell ref="AX32:AX34"/>
    <mergeCell ref="E33:F33"/>
    <mergeCell ref="G33:H33"/>
    <mergeCell ref="I33:J33"/>
    <mergeCell ref="K33:L33"/>
    <mergeCell ref="M33:N33"/>
    <mergeCell ref="O33:P33"/>
    <mergeCell ref="Q33:R33"/>
    <mergeCell ref="AT33:AT34"/>
    <mergeCell ref="AI33:AJ33"/>
    <mergeCell ref="AK33:AL33"/>
    <mergeCell ref="AM33:AN33"/>
    <mergeCell ref="AO33:AP33"/>
    <mergeCell ref="AQ33:AR33"/>
    <mergeCell ref="AS33:AS34"/>
    <mergeCell ref="W33:X33"/>
    <mergeCell ref="Y33:Z33"/>
    <mergeCell ref="AA33:AB33"/>
    <mergeCell ref="AC33:AD33"/>
    <mergeCell ref="AE33:AF33"/>
    <mergeCell ref="AG33:AH33"/>
    <mergeCell ref="AU32:AV33"/>
    <mergeCell ref="B32:B34"/>
    <mergeCell ref="C32:D33"/>
    <mergeCell ref="E32:AR32"/>
    <mergeCell ref="AS32:AT32"/>
    <mergeCell ref="S33:T33"/>
    <mergeCell ref="U33:V33"/>
    <mergeCell ref="AC11:AD11"/>
    <mergeCell ref="AE11:AF11"/>
    <mergeCell ref="AG11:AH11"/>
    <mergeCell ref="AI11:AJ11"/>
    <mergeCell ref="AK11:AL11"/>
    <mergeCell ref="AM11:AN11"/>
    <mergeCell ref="AW10:AW12"/>
    <mergeCell ref="AX10:AX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P11"/>
    <mergeCell ref="AQ11:AR11"/>
    <mergeCell ref="AS11:AS12"/>
    <mergeCell ref="AT11:AT12"/>
    <mergeCell ref="B6:Q6"/>
    <mergeCell ref="B10:B12"/>
    <mergeCell ref="C10:D11"/>
    <mergeCell ref="E10:AR10"/>
    <mergeCell ref="AS10:AT10"/>
    <mergeCell ref="AU10:AV11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sqref="O13:AR20 O24:P25 E25:N25 AS18:AU18 AS22:AS30 D263:O267 Q23:AJ27 AK23:AR26 E21:J22 K21:AR21 E28:AR30 E43:J44 E47:AR47 K43:AR43 Q49:AJ49 E50:AR52 O35:AR42 Q45:AR46 Q48:AR48 AS40:AT40 AV13:AX30 E69:N69 E65:J66 Q67:AR70 AS66:AS74 AO57:AR65 E72:AR74 Q71:AJ71 O68:P69 AU35:AX52 AS88:AS96 AT57:AX74 O79:AR87 E91:N91 E87:N87 E88:J88 O90:P91 E94:AR96 Q89:AR93 AS110:AS118 AT79:AX96 O101:AR109 O112:AJ112 E116:AR118 Q111:AJ111 Q114:AJ115 E113:AJ113 AK111:AR114 K109:N109 E109:J110 AS132:AS140 O123:AR131 AT101:AX118 E138:AR140 AK136:AR136 O134:AR135 Q133:AR133 E132:J132 E135:N135 E131:N131 Q136:AJ137 AT123:AX140 D144:Q148 F165:O166 N161:O163 F169:O169 F173:O175 F179:O183 P161:AG183 AJ173:AK183 AH170:AI183 AH164:AK169 AL164:AM183 AN161:AW183 AX161:AY169 AX173:AY183 AX188:AY196 F192:O193 N188:O190 F196:O196 F200:O202 F206:O210 AJ200:AK210 AH191:AM196 AH197:AI210 P188:AG210 AL197:AM210 AN188:AW210 AX200:AY210 I215:J215 E217:J221 K215:Z221 AA216:AM221 AN215:AR221 AA227:AM232 I226:J226 E228:J232 K226:Z232 AN226:AR232 F241:M241 F244:M244 F247:M247 AN237:AY239 N251:O255 N249:O249 N244:O247 N241:O242 P237:AE239 F256:O259 P240:AY259 F296:AK298 D271:U275 F280:AK285 F290:AE291 AL297:AM298 AT19:AU30 AT13:AU17 AS44:AS52 AT41:AT52 AT35:AT39 O57:AN64 K65:AN65 AS62 AS84 AS106 AS128 D152:Q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RowHeight="14.4" x14ac:dyDescent="0.3"/>
  <cols>
    <col min="1" max="1" width="16" customWidth="1"/>
    <col min="2" max="2" width="60.109375" customWidth="1"/>
    <col min="3" max="3" width="12" customWidth="1"/>
    <col min="4" max="4" width="12.6640625" customWidth="1"/>
    <col min="79" max="79" width="11.44140625" customWidth="1"/>
    <col min="80" max="87" width="11.44140625" hidden="1" customWidth="1"/>
    <col min="88" max="88" width="11.44140625" customWidth="1"/>
  </cols>
  <sheetData>
    <row r="1" spans="1:87" x14ac:dyDescent="0.3">
      <c r="B1" s="774" t="s">
        <v>3879</v>
      </c>
    </row>
    <row r="2" spans="1:87" x14ac:dyDescent="0.3">
      <c r="B2" s="774" t="str">
        <f>CONCATENATE("COMUNA: ",NOMBRE!B2," - ","( ",NOMBRE!C2,NOMBRE!D2,NOMBRE!E2,NOMBRE!F2,NOMBRE!G2," )")</f>
        <v>COMUNA:  - (  )</v>
      </c>
    </row>
    <row r="3" spans="1:87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87" x14ac:dyDescent="0.3">
      <c r="B4" s="774" t="str">
        <f>CONCATENATE("MES: ",NOMBRE!B6," - ","( ",NOMBRE!C6,NOMBRE!D6," )")</f>
        <v>MES:  - (  )</v>
      </c>
    </row>
    <row r="5" spans="1:87" x14ac:dyDescent="0.3">
      <c r="B5" s="774" t="str">
        <f>CONCATENATE("AÑO: ",NOMBRE!B7)</f>
        <v>AÑO: 2024</v>
      </c>
    </row>
    <row r="6" spans="1:87" s="628" customFormat="1" ht="18" customHeight="1" x14ac:dyDescent="0.3">
      <c r="B6" s="6396" t="s">
        <v>2772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</row>
    <row r="8" spans="1:87" ht="18" customHeight="1" x14ac:dyDescent="0.3">
      <c r="B8" s="7662" t="s">
        <v>2773</v>
      </c>
      <c r="C8" s="7662"/>
      <c r="D8" s="7662"/>
      <c r="E8" s="7662"/>
      <c r="F8" s="7662"/>
      <c r="G8" s="7662"/>
      <c r="H8" s="7662"/>
      <c r="I8" s="7662"/>
      <c r="J8" s="7662"/>
      <c r="K8" s="7662"/>
      <c r="L8" s="7662"/>
      <c r="M8" s="3572"/>
      <c r="N8" s="3572"/>
    </row>
    <row r="9" spans="1:87" x14ac:dyDescent="0.3">
      <c r="B9" s="7640"/>
      <c r="C9" s="7647" t="s">
        <v>24</v>
      </c>
      <c r="D9" s="7663" t="s">
        <v>558</v>
      </c>
      <c r="E9" s="7649"/>
      <c r="F9" s="7649"/>
      <c r="G9" s="7649"/>
      <c r="H9" s="7649"/>
      <c r="I9" s="7649"/>
      <c r="J9" s="7649"/>
      <c r="K9" s="7649"/>
      <c r="L9" s="7650"/>
      <c r="M9" s="7664" t="s">
        <v>2</v>
      </c>
      <c r="N9" s="7638" t="s">
        <v>3</v>
      </c>
    </row>
    <row r="10" spans="1:87" x14ac:dyDescent="0.3">
      <c r="B10" s="7641"/>
      <c r="C10" s="7648"/>
      <c r="D10" s="3573" t="s">
        <v>38</v>
      </c>
      <c r="E10" s="3574" t="s">
        <v>4</v>
      </c>
      <c r="F10" s="3574" t="s">
        <v>5</v>
      </c>
      <c r="G10" s="3574" t="s">
        <v>6</v>
      </c>
      <c r="H10" s="3574" t="s">
        <v>7</v>
      </c>
      <c r="I10" s="3574" t="s">
        <v>8</v>
      </c>
      <c r="J10" s="3574" t="s">
        <v>9</v>
      </c>
      <c r="K10" s="3574" t="s">
        <v>10</v>
      </c>
      <c r="L10" s="3575" t="s">
        <v>11</v>
      </c>
      <c r="M10" s="7665"/>
      <c r="N10" s="7639"/>
    </row>
    <row r="11" spans="1:87" ht="18" customHeight="1" x14ac:dyDescent="0.3">
      <c r="A11" s="6274"/>
      <c r="B11" s="4518" t="s">
        <v>3781</v>
      </c>
      <c r="C11" s="4549"/>
      <c r="D11" s="4550"/>
      <c r="E11" s="4550"/>
      <c r="F11" s="4550"/>
      <c r="G11" s="4550"/>
      <c r="H11" s="4550"/>
      <c r="I11" s="4550"/>
      <c r="J11" s="4550"/>
      <c r="K11" s="4550"/>
      <c r="L11" s="4519"/>
      <c r="M11" s="4551"/>
      <c r="N11" s="4520"/>
    </row>
    <row r="12" spans="1:87" ht="21.6" x14ac:dyDescent="0.3">
      <c r="A12" s="6240">
        <v>11061000</v>
      </c>
      <c r="B12" s="5236" t="s">
        <v>2774</v>
      </c>
      <c r="C12" s="5552" t="s">
        <v>5292</v>
      </c>
      <c r="D12" s="5167" t="s">
        <v>5293</v>
      </c>
      <c r="E12" s="5553" t="s">
        <v>5294</v>
      </c>
      <c r="F12" s="5553" t="s">
        <v>5295</v>
      </c>
      <c r="G12" s="5553" t="s">
        <v>5296</v>
      </c>
      <c r="H12" s="5553" t="s">
        <v>5297</v>
      </c>
      <c r="I12" s="5553" t="s">
        <v>5298</v>
      </c>
      <c r="J12" s="5553" t="s">
        <v>5299</v>
      </c>
      <c r="K12" s="5553" t="s">
        <v>5300</v>
      </c>
      <c r="L12" s="5200" t="s">
        <v>5301</v>
      </c>
      <c r="M12" s="5199" t="s">
        <v>5302</v>
      </c>
      <c r="N12" s="5169" t="s">
        <v>5303</v>
      </c>
      <c r="O12" s="3559" t="str">
        <f>$CB12&amp;CC12</f>
        <v xml:space="preserve"> * La variable Pueblos Originarios no puede ser mayor al Total. * La variable Migrantes no puede ser mayor al Total.</v>
      </c>
      <c r="CB12" s="3146" t="str">
        <f>IF(AND(C12&gt;0,M12="")," * No olvide digitar la variable Pueblos Originarios. Digite cero si no tiene.",IF(M12&gt;C12, " * La variable Pueblos Originarios no puede ser mayor al Total.",""))</f>
        <v xml:space="preserve"> * La variable Pueblos Originarios no puede ser mayor al Total.</v>
      </c>
      <c r="CC12" s="3146" t="str">
        <f>IF(AND(C12&gt;0,N12="")," * No olvide digitar la variable Migrantes. Digite cero si no tiene.",IF(N12&gt;C12, " * La variable Migrantes no puede ser mayor al Total.",""))</f>
        <v xml:space="preserve"> * La variable Migrantes no puede ser mayor al Total.</v>
      </c>
      <c r="CD12" s="2630"/>
      <c r="CE12" s="2630"/>
      <c r="CH12" s="1725">
        <f>IF(AND(C12&gt;0,M12=""),1,IF(M12&gt;C12,1,0))</f>
        <v>1</v>
      </c>
      <c r="CI12" s="1725">
        <f>IF(AND(C12&gt;0,N12=""),1,IF(N12&gt;C12,1,0))</f>
        <v>1</v>
      </c>
    </row>
    <row r="13" spans="1:87" x14ac:dyDescent="0.3">
      <c r="A13" s="6240">
        <v>11061010</v>
      </c>
      <c r="B13" s="5554" t="s">
        <v>2775</v>
      </c>
      <c r="C13" s="5555" t="s">
        <v>5292</v>
      </c>
      <c r="D13" s="5556" t="s">
        <v>5293</v>
      </c>
      <c r="E13" s="5557" t="s">
        <v>5294</v>
      </c>
      <c r="F13" s="5557" t="s">
        <v>5295</v>
      </c>
      <c r="G13" s="5557" t="s">
        <v>5296</v>
      </c>
      <c r="H13" s="5557" t="s">
        <v>5297</v>
      </c>
      <c r="I13" s="5557" t="s">
        <v>5298</v>
      </c>
      <c r="J13" s="5557" t="s">
        <v>5299</v>
      </c>
      <c r="K13" s="5557" t="s">
        <v>5300</v>
      </c>
      <c r="L13" s="5558" t="s">
        <v>5301</v>
      </c>
      <c r="M13" s="4531" t="s">
        <v>5302</v>
      </c>
      <c r="N13" s="5559" t="s">
        <v>5303</v>
      </c>
      <c r="O13" s="3559" t="str">
        <f t="shared" ref="O13:O19" si="0">$CB13&amp;CC13</f>
        <v xml:space="preserve"> * La variable Pueblos Originarios no puede ser mayor al Total. * La variable Migrantes no puede ser mayor al Total.</v>
      </c>
      <c r="CB13" s="3146" t="str">
        <f>IF(AND(C13&gt;0,M13="")," * No olvide digitar la variable Pueblos Originarios. Digite cero si no tiene.",IF(M13&gt;C13, " * La variable Pueblos Originarios no puede ser mayor al Total.",""))</f>
        <v xml:space="preserve"> * La variable Pueblos Originarios no puede ser mayor al Total.</v>
      </c>
      <c r="CC13" s="3146" t="str">
        <f>IF(AND(C13&gt;0,N13="")," * No olvide digitar la variable Migrantes. Digite cero si no tiene.",IF(N13&gt;C13, " * La variable Migrantes no puede ser mayor al Total.",""))</f>
        <v xml:space="preserve"> * La variable Migrantes no puede ser mayor al Total.</v>
      </c>
      <c r="CD13" s="628"/>
      <c r="CE13" s="628"/>
      <c r="CF13" s="628"/>
      <c r="CG13" s="628"/>
      <c r="CH13" s="1725">
        <f>IF(AND(C13&gt;0,M13=""),1,IF(M13&gt;C13,1,0))</f>
        <v>1</v>
      </c>
      <c r="CI13" s="1725">
        <f>IF(AND(C13&gt;0,N13=""),1,IF(N13&gt;C13,1,0))</f>
        <v>1</v>
      </c>
    </row>
    <row r="14" spans="1:87" ht="18" customHeight="1" x14ac:dyDescent="0.3">
      <c r="A14" s="6274"/>
      <c r="B14" s="5546" t="s">
        <v>3782</v>
      </c>
      <c r="C14" s="5547"/>
      <c r="D14" s="5548"/>
      <c r="E14" s="5548"/>
      <c r="F14" s="5548"/>
      <c r="G14" s="5548"/>
      <c r="H14" s="5548"/>
      <c r="I14" s="5548"/>
      <c r="J14" s="5548"/>
      <c r="K14" s="5548"/>
      <c r="L14" s="5549"/>
      <c r="M14" s="5550"/>
      <c r="N14" s="5551"/>
      <c r="O14" s="3559" t="str">
        <f t="shared" si="0"/>
        <v/>
      </c>
      <c r="CB14" s="600"/>
    </row>
    <row r="15" spans="1:87" ht="21.6" x14ac:dyDescent="0.3">
      <c r="A15" s="6240">
        <v>11061020</v>
      </c>
      <c r="B15" s="5236" t="s">
        <v>2776</v>
      </c>
      <c r="C15" s="5141" t="s">
        <v>5292</v>
      </c>
      <c r="D15" s="5167" t="s">
        <v>5293</v>
      </c>
      <c r="E15" s="5553" t="s">
        <v>5294</v>
      </c>
      <c r="F15" s="5553" t="s">
        <v>5295</v>
      </c>
      <c r="G15" s="5553" t="s">
        <v>5296</v>
      </c>
      <c r="H15" s="5553" t="s">
        <v>5297</v>
      </c>
      <c r="I15" s="5553" t="s">
        <v>5298</v>
      </c>
      <c r="J15" s="5553" t="s">
        <v>5299</v>
      </c>
      <c r="K15" s="5553" t="s">
        <v>5300</v>
      </c>
      <c r="L15" s="5200" t="s">
        <v>5301</v>
      </c>
      <c r="M15" s="5199" t="s">
        <v>5302</v>
      </c>
      <c r="N15" s="5169" t="s">
        <v>5303</v>
      </c>
      <c r="O15" s="3559" t="str">
        <f t="shared" si="0"/>
        <v xml:space="preserve"> * La variable Pueblos Originarios no puede ser mayor al Total. * La variable Migrantes no puede ser mayor al Total.</v>
      </c>
      <c r="CB15" s="3146" t="str">
        <f>IF(AND(C15&gt;0,M15="")," * No olvide digitar la variable Pueblos Originarios. Digite cero si no tiene.",IF(M15&gt;C15, " * La variable Pueblos Originarios no puede ser mayor al Total.",""))</f>
        <v xml:space="preserve"> * La variable Pueblos Originarios no puede ser mayor al Total.</v>
      </c>
      <c r="CC15" s="3146" t="str">
        <f t="shared" ref="CC15:CC16" si="1">IF(AND(C15&gt;0,N15="")," * No olvide digitar la variable Migrantes. Digite cero si no tiene.",IF(N15&gt;C15, " * La variable Migrantes no puede ser mayor al Total.",""))</f>
        <v xml:space="preserve"> * La variable Migrantes no puede ser mayor al Total.</v>
      </c>
      <c r="CD15" s="628"/>
      <c r="CE15" s="628"/>
      <c r="CF15" s="628"/>
      <c r="CG15" s="628"/>
      <c r="CH15" s="1725">
        <f t="shared" ref="CH15:CH16" si="2">IF(AND(C15&gt;0,M15=""),1,IF(M15&gt;C15,1,0))</f>
        <v>1</v>
      </c>
      <c r="CI15" s="1725">
        <f t="shared" ref="CI15:CI16" si="3">IF(AND(C15&gt;0,N15=""),1,IF(N15&gt;C15,1,0))</f>
        <v>1</v>
      </c>
    </row>
    <row r="16" spans="1:87" x14ac:dyDescent="0.3">
      <c r="A16" s="6240">
        <v>11061030</v>
      </c>
      <c r="B16" s="5554" t="s">
        <v>2777</v>
      </c>
      <c r="C16" s="5555" t="s">
        <v>5292</v>
      </c>
      <c r="D16" s="5556" t="s">
        <v>5293</v>
      </c>
      <c r="E16" s="5557" t="s">
        <v>5294</v>
      </c>
      <c r="F16" s="5557" t="s">
        <v>5295</v>
      </c>
      <c r="G16" s="5557" t="s">
        <v>5296</v>
      </c>
      <c r="H16" s="5557" t="s">
        <v>5297</v>
      </c>
      <c r="I16" s="5557" t="s">
        <v>5298</v>
      </c>
      <c r="J16" s="5557" t="s">
        <v>5299</v>
      </c>
      <c r="K16" s="5557" t="s">
        <v>5300</v>
      </c>
      <c r="L16" s="5558" t="s">
        <v>5301</v>
      </c>
      <c r="M16" s="4531" t="s">
        <v>5302</v>
      </c>
      <c r="N16" s="5559" t="s">
        <v>5303</v>
      </c>
      <c r="O16" s="3559" t="str">
        <f t="shared" si="0"/>
        <v xml:space="preserve"> * La variable Pueblos Originarios no puede ser mayor al Total. * La variable Migrantes no puede ser mayor al Total.</v>
      </c>
      <c r="CB16" s="3146" t="str">
        <f>IF(AND(C16&gt;0,M16="")," * No olvide digitar la variable Pueblos Originarios. Digite cero si no tiene.",IF(M16&gt;C16, " * La variable Pueblos Originarios no puede ser mayor al Total.",""))</f>
        <v xml:space="preserve"> * La variable Pueblos Originarios no puede ser mayor al Total.</v>
      </c>
      <c r="CC16" s="3146" t="str">
        <f t="shared" si="1"/>
        <v xml:space="preserve"> * La variable Migrantes no puede ser mayor al Total.</v>
      </c>
      <c r="CD16" s="628"/>
      <c r="CE16" s="628"/>
      <c r="CF16" s="628"/>
      <c r="CG16" s="628"/>
      <c r="CH16" s="1725">
        <f t="shared" si="2"/>
        <v>1</v>
      </c>
      <c r="CI16" s="1725">
        <f t="shared" si="3"/>
        <v>1</v>
      </c>
    </row>
    <row r="17" spans="1:87" ht="18" customHeight="1" x14ac:dyDescent="0.3">
      <c r="A17" s="6274"/>
      <c r="B17" s="4523" t="s">
        <v>3783</v>
      </c>
      <c r="C17" s="4552"/>
      <c r="D17" s="4553"/>
      <c r="E17" s="4553"/>
      <c r="F17" s="4553"/>
      <c r="G17" s="4553"/>
      <c r="H17" s="4553"/>
      <c r="I17" s="4553"/>
      <c r="J17" s="4553"/>
      <c r="K17" s="4553"/>
      <c r="L17" s="4516"/>
      <c r="M17" s="4554"/>
      <c r="N17" s="4517"/>
      <c r="O17" s="3559" t="str">
        <f t="shared" si="0"/>
        <v/>
      </c>
      <c r="CB17" s="600"/>
    </row>
    <row r="18" spans="1:87" ht="21.6" x14ac:dyDescent="0.3">
      <c r="A18" s="6240">
        <v>11061040</v>
      </c>
      <c r="B18" s="3578" t="s">
        <v>2778</v>
      </c>
      <c r="C18" s="154" t="s">
        <v>5292</v>
      </c>
      <c r="D18" s="276" t="s">
        <v>5293</v>
      </c>
      <c r="E18" s="3504" t="s">
        <v>5294</v>
      </c>
      <c r="F18" s="3504" t="s">
        <v>5295</v>
      </c>
      <c r="G18" s="3504" t="s">
        <v>5296</v>
      </c>
      <c r="H18" s="3504" t="s">
        <v>5297</v>
      </c>
      <c r="I18" s="3504" t="s">
        <v>5298</v>
      </c>
      <c r="J18" s="3504" t="s">
        <v>5299</v>
      </c>
      <c r="K18" s="3504" t="s">
        <v>5300</v>
      </c>
      <c r="L18" s="3510" t="s">
        <v>5301</v>
      </c>
      <c r="M18" s="3522" t="s">
        <v>5302</v>
      </c>
      <c r="N18" s="280" t="s">
        <v>5303</v>
      </c>
      <c r="O18" s="3559" t="str">
        <f t="shared" si="0"/>
        <v xml:space="preserve"> * La variable Pueblos Originarios no puede ser mayor al Total. * La variable Migrantes no puede ser mayor al Total.</v>
      </c>
      <c r="CB18" s="3146" t="str">
        <f>IF(AND(C18&gt;0,M18="")," * No olvide digitar la variable Pueblos Originarios. Digite cero si no tiene.",IF(M18&gt;C18, " * La variable Pueblos Originarios no puede ser mayor al Total.",""))</f>
        <v xml:space="preserve"> * La variable Pueblos Originarios no puede ser mayor al Total.</v>
      </c>
      <c r="CC18" s="3146" t="str">
        <f t="shared" ref="CC18:CC19" si="4">IF(AND(C18&gt;0,N18="")," * No olvide digitar la variable Migrantes. Digite cero si no tiene.",IF(N18&gt;C18, " * La variable Migrantes no puede ser mayor al Total.",""))</f>
        <v xml:space="preserve"> * La variable Migrantes no puede ser mayor al Total.</v>
      </c>
      <c r="CD18" s="628"/>
      <c r="CE18" s="628"/>
      <c r="CF18" s="628"/>
      <c r="CG18" s="628"/>
      <c r="CH18" s="1725">
        <f t="shared" ref="CH18:CH19" si="5">IF(AND(C18&gt;0,M18=""),1,IF(M18&gt;C18,1,0))</f>
        <v>1</v>
      </c>
      <c r="CI18" s="1725">
        <f t="shared" ref="CI18:CI19" si="6">IF(AND(C18&gt;0,N18=""),1,IF(N18&gt;C18,1,0))</f>
        <v>1</v>
      </c>
    </row>
    <row r="19" spans="1:87" x14ac:dyDescent="0.3">
      <c r="A19" s="6240">
        <v>11061050</v>
      </c>
      <c r="B19" s="3568" t="s">
        <v>2777</v>
      </c>
      <c r="C19" s="3490" t="s">
        <v>5292</v>
      </c>
      <c r="D19" s="3505" t="s">
        <v>5293</v>
      </c>
      <c r="E19" s="3506" t="s">
        <v>5294</v>
      </c>
      <c r="F19" s="3506" t="s">
        <v>5295</v>
      </c>
      <c r="G19" s="3506" t="s">
        <v>5296</v>
      </c>
      <c r="H19" s="3506" t="s">
        <v>5297</v>
      </c>
      <c r="I19" s="3506" t="s">
        <v>5298</v>
      </c>
      <c r="J19" s="3506" t="s">
        <v>5299</v>
      </c>
      <c r="K19" s="3506" t="s">
        <v>5300</v>
      </c>
      <c r="L19" s="3576" t="s">
        <v>5301</v>
      </c>
      <c r="M19" s="3577" t="s">
        <v>5302</v>
      </c>
      <c r="N19" s="3507" t="s">
        <v>5303</v>
      </c>
      <c r="O19" s="3559" t="str">
        <f t="shared" si="0"/>
        <v xml:space="preserve"> * La variable Pueblos Originarios no puede ser mayor al Total. * La variable Migrantes no puede ser mayor al Total.</v>
      </c>
      <c r="CB19" s="3146" t="str">
        <f>IF(AND(C19&gt;0,M19="")," * No olvide digitar la variable Pueblos Originarios. Digite cero si no tiene.",IF(M19&gt;C19, " * La variable Pueblos Originarios no puede ser mayor al Total.",""))</f>
        <v xml:space="preserve"> * La variable Pueblos Originarios no puede ser mayor al Total.</v>
      </c>
      <c r="CC19" s="3146" t="str">
        <f t="shared" si="4"/>
        <v xml:space="preserve"> * La variable Migrantes no puede ser mayor al Total.</v>
      </c>
      <c r="CD19" s="628"/>
      <c r="CE19" s="628"/>
      <c r="CF19" s="628"/>
      <c r="CG19" s="628"/>
      <c r="CH19" s="1725">
        <f t="shared" si="5"/>
        <v>1</v>
      </c>
      <c r="CI19" s="1725">
        <f t="shared" si="6"/>
        <v>1</v>
      </c>
    </row>
    <row r="20" spans="1:87" ht="18" customHeight="1" x14ac:dyDescent="0.3">
      <c r="A20" s="628"/>
      <c r="B20" s="7635" t="s">
        <v>2779</v>
      </c>
      <c r="C20" s="7635"/>
      <c r="D20" s="7635"/>
      <c r="E20" s="7635"/>
      <c r="CB20" s="600"/>
    </row>
    <row r="21" spans="1:87" ht="20.399999999999999" x14ac:dyDescent="0.3">
      <c r="A21" s="6275"/>
      <c r="B21" s="3579"/>
      <c r="C21" s="3580" t="s">
        <v>24</v>
      </c>
      <c r="D21" s="3581" t="s">
        <v>2</v>
      </c>
      <c r="E21" s="3535" t="s">
        <v>3</v>
      </c>
      <c r="CB21" s="600"/>
    </row>
    <row r="22" spans="1:87" ht="31.8" x14ac:dyDescent="0.3">
      <c r="A22" s="6240">
        <v>11061060</v>
      </c>
      <c r="B22" s="3578" t="s">
        <v>2780</v>
      </c>
      <c r="C22" s="3582" t="s">
        <v>5292</v>
      </c>
      <c r="D22" s="3520" t="s">
        <v>5293</v>
      </c>
      <c r="E22" s="3502" t="s">
        <v>5294</v>
      </c>
      <c r="F22" s="1687" t="str">
        <f>CB22&amp;CC22</f>
        <v xml:space="preserve"> * La variable Pueblos Originarios no puede ser mayor al Total. * La variable Migrantes no puede ser mayor al Total.</v>
      </c>
      <c r="CB22" s="3146" t="str">
        <f>IF(AND(C22&gt;0,D22="")," * No olvide digitar la variable Pueblos Originarios. Digite cero si no tiene.",IF(D22&gt;C22, " * La variable Pueblos Originarios no puede ser mayor al Total.",""))</f>
        <v xml:space="preserve"> * La variable Pueblos Originarios no puede ser mayor al Total.</v>
      </c>
      <c r="CC22" s="3146" t="str">
        <f>IF(AND(C22&gt;0,E22="")," * No olvide digitar la variable Migrantes. Digite cero si no tiene.",IF(E22&gt;C22, " * La variable Migrantes no puede ser mayor al Total.",""))</f>
        <v xml:space="preserve"> * La variable Migrantes no puede ser mayor al Total.</v>
      </c>
      <c r="CD22" s="628"/>
      <c r="CE22" s="628"/>
      <c r="CF22" s="628"/>
      <c r="CG22" s="628"/>
      <c r="CH22" s="2920">
        <f>IF(AND(C22&gt;0,D22=""),1,IF(D22&gt;C22,1,0))</f>
        <v>1</v>
      </c>
      <c r="CI22" s="2920">
        <f>IF(AND(C22&gt;0,E22=""),1,IF(E22&gt;C22,1,0))</f>
        <v>1</v>
      </c>
    </row>
    <row r="23" spans="1:87" ht="21.6" x14ac:dyDescent="0.3">
      <c r="A23" s="6240">
        <v>11061070</v>
      </c>
      <c r="B23" s="3583" t="s">
        <v>2781</v>
      </c>
      <c r="C23" s="3584" t="s">
        <v>5292</v>
      </c>
      <c r="D23" s="3577" t="s">
        <v>5293</v>
      </c>
      <c r="E23" s="3507" t="s">
        <v>5294</v>
      </c>
      <c r="F23" s="1687" t="str">
        <f>CB23&amp;CC23</f>
        <v xml:space="preserve"> * La variable Pueblos Originarios no puede ser mayor al Total. * La variable Migrantes no puede ser mayor al Total.</v>
      </c>
      <c r="CB23" s="3146" t="str">
        <f>IF(AND(C23&gt;0,D23="")," * No olvide digitar la variable Pueblos Originarios. Digite cero si no tiene.",IF(D23&gt;C23, " * La variable Pueblos Originarios no puede ser mayor al Total.",""))</f>
        <v xml:space="preserve"> * La variable Pueblos Originarios no puede ser mayor al Total.</v>
      </c>
      <c r="CC23" s="3146" t="str">
        <f>IF(AND(C23&gt;0,E23="")," * No olvide digitar la variable Migrantes. Digite cero si no tiene.",IF(E23&gt;C23, " * La variable Migrantes no puede ser mayor al Total.",""))</f>
        <v xml:space="preserve"> * La variable Migrantes no puede ser mayor al Total.</v>
      </c>
      <c r="CD23" s="628"/>
      <c r="CE23" s="628"/>
      <c r="CF23" s="628"/>
      <c r="CG23" s="628"/>
      <c r="CH23" s="2920">
        <f>IF(AND(C23&gt;0,D23=""),1,IF(D23&gt;C23,1,0))</f>
        <v>1</v>
      </c>
      <c r="CI23" s="2920">
        <f>IF(AND(C23&gt;0,E23=""),1,IF(E23&gt;C23,1,0))</f>
        <v>1</v>
      </c>
    </row>
    <row r="24" spans="1:87" ht="18" customHeight="1" x14ac:dyDescent="0.3">
      <c r="A24" s="628"/>
      <c r="B24" s="7646" t="s">
        <v>2782</v>
      </c>
      <c r="C24" s="7646"/>
      <c r="D24" s="7646"/>
      <c r="E24" s="7646"/>
      <c r="F24" s="7646"/>
      <c r="G24" s="7646"/>
      <c r="H24" s="7646"/>
      <c r="I24" s="7646"/>
      <c r="J24" s="7646"/>
      <c r="K24" s="7646"/>
      <c r="L24" s="7646"/>
      <c r="CB24" s="600"/>
    </row>
    <row r="25" spans="1:87" x14ac:dyDescent="0.3">
      <c r="A25" s="6275"/>
      <c r="B25" s="7660"/>
      <c r="C25" s="7640" t="s">
        <v>24</v>
      </c>
      <c r="D25" s="7649" t="s">
        <v>558</v>
      </c>
      <c r="E25" s="7649"/>
      <c r="F25" s="7649"/>
      <c r="G25" s="7649"/>
      <c r="H25" s="7649"/>
      <c r="I25" s="7649"/>
      <c r="J25" s="7649"/>
      <c r="K25" s="7649"/>
      <c r="L25" s="7650"/>
      <c r="M25" s="7638" t="s">
        <v>2</v>
      </c>
      <c r="N25" s="7640" t="s">
        <v>3</v>
      </c>
      <c r="CB25" s="600"/>
    </row>
    <row r="26" spans="1:87" x14ac:dyDescent="0.3">
      <c r="A26" s="6275"/>
      <c r="B26" s="7661"/>
      <c r="C26" s="7641"/>
      <c r="D26" s="3591" t="s">
        <v>38</v>
      </c>
      <c r="E26" s="3574" t="s">
        <v>4</v>
      </c>
      <c r="F26" s="3574" t="s">
        <v>5</v>
      </c>
      <c r="G26" s="3574" t="s">
        <v>6</v>
      </c>
      <c r="H26" s="3574" t="s">
        <v>7</v>
      </c>
      <c r="I26" s="3574" t="s">
        <v>8</v>
      </c>
      <c r="J26" s="3574" t="s">
        <v>9</v>
      </c>
      <c r="K26" s="3574" t="s">
        <v>10</v>
      </c>
      <c r="L26" s="3575" t="s">
        <v>11</v>
      </c>
      <c r="M26" s="7639"/>
      <c r="N26" s="7641"/>
      <c r="CB26" s="600"/>
    </row>
    <row r="27" spans="1:87" ht="21.6" x14ac:dyDescent="0.3">
      <c r="A27" s="6240">
        <v>11061080</v>
      </c>
      <c r="B27" s="3578" t="s">
        <v>2783</v>
      </c>
      <c r="C27" s="3216" t="s">
        <v>5292</v>
      </c>
      <c r="D27" s="276" t="s">
        <v>5293</v>
      </c>
      <c r="E27" s="3504" t="s">
        <v>5294</v>
      </c>
      <c r="F27" s="3504" t="s">
        <v>5295</v>
      </c>
      <c r="G27" s="3504" t="s">
        <v>5296</v>
      </c>
      <c r="H27" s="3504" t="s">
        <v>5297</v>
      </c>
      <c r="I27" s="3504" t="s">
        <v>5298</v>
      </c>
      <c r="J27" s="3504" t="s">
        <v>5299</v>
      </c>
      <c r="K27" s="3504" t="s">
        <v>5300</v>
      </c>
      <c r="L27" s="3510" t="s">
        <v>5301</v>
      </c>
      <c r="M27" s="612" t="s">
        <v>5302</v>
      </c>
      <c r="N27" s="1893" t="s">
        <v>5303</v>
      </c>
      <c r="O27" s="1687" t="str">
        <f>$CB27&amp;CC27</f>
        <v xml:space="preserve"> * La variable Pueblos Originarios no puede ser mayor al Total. * La variable Migrantes no puede ser mayor al Total.</v>
      </c>
      <c r="CB27" s="3146" t="str">
        <f>IF(AND(C27&gt;0,M27="")," No olvide digitar la variable Pueblos Originarios. Digite cero si no tiene.",IF(M27&gt;C27," * La variable Pueblos Originarios no puede ser mayor al Total.",""))</f>
        <v xml:space="preserve"> * La variable Pueblos Originarios no puede ser mayor al Total.</v>
      </c>
      <c r="CC27" s="3146" t="str">
        <f>IF(AND(C27&gt;0,N27="")," No olvide digitar la variable Migrantes. Digite cero si no tiene.",IF(N27&gt;C27," * La variable Migrantes no puede ser mayor al Total.",""))</f>
        <v xml:space="preserve"> * La variable Migrantes no puede ser mayor al Total.</v>
      </c>
      <c r="CD27" s="628"/>
      <c r="CE27" s="628"/>
      <c r="CF27" s="628"/>
      <c r="CG27" s="628"/>
      <c r="CH27" s="2920">
        <f>IF(AND(C27&gt;0,M27=""),1,IF(M27&gt;C27,1,0))</f>
        <v>1</v>
      </c>
      <c r="CI27" s="2920">
        <f>IF(AND(C27&gt;0,N27=""),1,IF(N27&gt;C27,1,0))</f>
        <v>1</v>
      </c>
    </row>
    <row r="28" spans="1:87" x14ac:dyDescent="0.3">
      <c r="A28" s="6240">
        <v>11061090</v>
      </c>
      <c r="B28" s="3578" t="s">
        <v>2784</v>
      </c>
      <c r="C28" s="3242" t="s">
        <v>5292</v>
      </c>
      <c r="D28" s="276" t="s">
        <v>5293</v>
      </c>
      <c r="E28" s="3504" t="s">
        <v>5294</v>
      </c>
      <c r="F28" s="3504" t="s">
        <v>5295</v>
      </c>
      <c r="G28" s="3504" t="s">
        <v>5296</v>
      </c>
      <c r="H28" s="3504" t="s">
        <v>5297</v>
      </c>
      <c r="I28" s="3504" t="s">
        <v>5298</v>
      </c>
      <c r="J28" s="3504" t="s">
        <v>5299</v>
      </c>
      <c r="K28" s="3504" t="s">
        <v>5300</v>
      </c>
      <c r="L28" s="3510" t="s">
        <v>5301</v>
      </c>
      <c r="M28" s="612" t="s">
        <v>5302</v>
      </c>
      <c r="N28" s="1893" t="s">
        <v>5303</v>
      </c>
      <c r="O28" s="1687" t="str">
        <f t="shared" ref="O28:O32" si="7">$CB28&amp;CC28</f>
        <v xml:space="preserve"> * La variable Pueblos Originarios no puede ser mayor al Total. * La variable Migrantes no puede ser mayor al Total.</v>
      </c>
      <c r="CB28" s="3146" t="str">
        <f t="shared" ref="CB28:CB32" si="8">IF(AND(C28&gt;0,M28="")," No olvide digitar la variable Pueblos Originarios. Digite cero si no tiene.",IF(M28&gt;C28," * La variable Pueblos Originarios no puede ser mayor al Total.",""))</f>
        <v xml:space="preserve"> * La variable Pueblos Originarios no puede ser mayor al Total.</v>
      </c>
      <c r="CC28" s="3146" t="str">
        <f t="shared" ref="CC28:CC32" si="9">IF(AND(C28&gt;0,N28="")," No olvide digitar la variable Migrantes. Digite cero si no tiene.",IF(N28&gt;C28," * La variable Migrantes no puede ser mayor al Total.",""))</f>
        <v xml:space="preserve"> * La variable Migrantes no puede ser mayor al Total.</v>
      </c>
      <c r="CD28" s="628"/>
      <c r="CE28" s="628"/>
      <c r="CF28" s="628"/>
      <c r="CG28" s="628"/>
      <c r="CH28" s="2920">
        <f t="shared" ref="CH28:CH32" si="10">IF(AND(C28&gt;0,M28=""),1,IF(M28&gt;C28,1,0))</f>
        <v>1</v>
      </c>
      <c r="CI28" s="2920">
        <f t="shared" ref="CI28:CI32" si="11">IF(AND(C28&gt;0,N28=""),1,IF(N28&gt;C28,1,0))</f>
        <v>1</v>
      </c>
    </row>
    <row r="29" spans="1:87" ht="21.6" x14ac:dyDescent="0.3">
      <c r="A29" s="6240">
        <v>11061100</v>
      </c>
      <c r="B29" s="3578" t="s">
        <v>2785</v>
      </c>
      <c r="C29" s="3242" t="s">
        <v>5292</v>
      </c>
      <c r="D29" s="276" t="s">
        <v>5293</v>
      </c>
      <c r="E29" s="3504" t="s">
        <v>5294</v>
      </c>
      <c r="F29" s="3504" t="s">
        <v>5295</v>
      </c>
      <c r="G29" s="3504" t="s">
        <v>5296</v>
      </c>
      <c r="H29" s="3504" t="s">
        <v>5297</v>
      </c>
      <c r="I29" s="3504" t="s">
        <v>5298</v>
      </c>
      <c r="J29" s="3504" t="s">
        <v>5299</v>
      </c>
      <c r="K29" s="3504" t="s">
        <v>5300</v>
      </c>
      <c r="L29" s="3510" t="s">
        <v>5301</v>
      </c>
      <c r="M29" s="612" t="s">
        <v>5302</v>
      </c>
      <c r="N29" s="1893" t="s">
        <v>5303</v>
      </c>
      <c r="O29" s="1687" t="str">
        <f t="shared" si="7"/>
        <v xml:space="preserve"> * La variable Pueblos Originarios no puede ser mayor al Total. * La variable Migrantes no puede ser mayor al Total.</v>
      </c>
      <c r="CB29" s="3146" t="str">
        <f t="shared" si="8"/>
        <v xml:space="preserve"> * La variable Pueblos Originarios no puede ser mayor al Total.</v>
      </c>
      <c r="CC29" s="3146" t="str">
        <f t="shared" si="9"/>
        <v xml:space="preserve"> * La variable Migrantes no puede ser mayor al Total.</v>
      </c>
      <c r="CD29" s="628"/>
      <c r="CE29" s="628"/>
      <c r="CF29" s="628"/>
      <c r="CG29" s="628"/>
      <c r="CH29" s="2920">
        <f t="shared" si="10"/>
        <v>1</v>
      </c>
      <c r="CI29" s="2920">
        <f t="shared" si="11"/>
        <v>1</v>
      </c>
    </row>
    <row r="30" spans="1:87" x14ac:dyDescent="0.3">
      <c r="A30" s="6240">
        <v>11061110</v>
      </c>
      <c r="B30" s="3578" t="s">
        <v>2786</v>
      </c>
      <c r="C30" s="3242" t="s">
        <v>5292</v>
      </c>
      <c r="D30" s="276" t="s">
        <v>5293</v>
      </c>
      <c r="E30" s="3504" t="s">
        <v>5294</v>
      </c>
      <c r="F30" s="3504" t="s">
        <v>5295</v>
      </c>
      <c r="G30" s="3504" t="s">
        <v>5296</v>
      </c>
      <c r="H30" s="3504" t="s">
        <v>5297</v>
      </c>
      <c r="I30" s="3504" t="s">
        <v>5298</v>
      </c>
      <c r="J30" s="3504" t="s">
        <v>5299</v>
      </c>
      <c r="K30" s="3504" t="s">
        <v>5300</v>
      </c>
      <c r="L30" s="3510" t="s">
        <v>5301</v>
      </c>
      <c r="M30" s="612" t="s">
        <v>5302</v>
      </c>
      <c r="N30" s="1893" t="s">
        <v>5303</v>
      </c>
      <c r="O30" s="1687" t="str">
        <f t="shared" si="7"/>
        <v xml:space="preserve"> * La variable Pueblos Originarios no puede ser mayor al Total. * La variable Migrantes no puede ser mayor al Total.</v>
      </c>
      <c r="CB30" s="3146" t="str">
        <f t="shared" si="8"/>
        <v xml:space="preserve"> * La variable Pueblos Originarios no puede ser mayor al Total.</v>
      </c>
      <c r="CC30" s="3146" t="str">
        <f t="shared" si="9"/>
        <v xml:space="preserve"> * La variable Migrantes no puede ser mayor al Total.</v>
      </c>
      <c r="CD30" s="628"/>
      <c r="CE30" s="628"/>
      <c r="CF30" s="628"/>
      <c r="CG30" s="628"/>
      <c r="CH30" s="2920">
        <f t="shared" si="10"/>
        <v>1</v>
      </c>
      <c r="CI30" s="2920">
        <f t="shared" si="11"/>
        <v>1</v>
      </c>
    </row>
    <row r="31" spans="1:87" ht="21.6" x14ac:dyDescent="0.3">
      <c r="A31" s="6240">
        <v>11061120</v>
      </c>
      <c r="B31" s="3578" t="s">
        <v>2787</v>
      </c>
      <c r="C31" s="3242" t="s">
        <v>5292</v>
      </c>
      <c r="D31" s="276" t="s">
        <v>5293</v>
      </c>
      <c r="E31" s="3504" t="s">
        <v>5294</v>
      </c>
      <c r="F31" s="3504" t="s">
        <v>5295</v>
      </c>
      <c r="G31" s="3504" t="s">
        <v>5296</v>
      </c>
      <c r="H31" s="3504" t="s">
        <v>5297</v>
      </c>
      <c r="I31" s="3504" t="s">
        <v>5298</v>
      </c>
      <c r="J31" s="3504" t="s">
        <v>5299</v>
      </c>
      <c r="K31" s="3504" t="s">
        <v>5300</v>
      </c>
      <c r="L31" s="3510" t="s">
        <v>5301</v>
      </c>
      <c r="M31" s="612" t="s">
        <v>5302</v>
      </c>
      <c r="N31" s="1893" t="s">
        <v>5303</v>
      </c>
      <c r="O31" s="1687" t="str">
        <f t="shared" si="7"/>
        <v xml:space="preserve"> * La variable Pueblos Originarios no puede ser mayor al Total. * La variable Migrantes no puede ser mayor al Total.</v>
      </c>
      <c r="CB31" s="3146" t="str">
        <f t="shared" si="8"/>
        <v xml:space="preserve"> * La variable Pueblos Originarios no puede ser mayor al Total.</v>
      </c>
      <c r="CC31" s="3146" t="str">
        <f t="shared" si="9"/>
        <v xml:space="preserve"> * La variable Migrantes no puede ser mayor al Total.</v>
      </c>
      <c r="CD31" s="628"/>
      <c r="CE31" s="628"/>
      <c r="CF31" s="628"/>
      <c r="CG31" s="628"/>
      <c r="CH31" s="2920">
        <f t="shared" si="10"/>
        <v>1</v>
      </c>
      <c r="CI31" s="2920">
        <f t="shared" si="11"/>
        <v>1</v>
      </c>
    </row>
    <row r="32" spans="1:87" x14ac:dyDescent="0.3">
      <c r="A32" s="6240">
        <v>11061130</v>
      </c>
      <c r="B32" s="3568" t="s">
        <v>2788</v>
      </c>
      <c r="C32" s="3490" t="s">
        <v>5292</v>
      </c>
      <c r="D32" s="3492" t="s">
        <v>5293</v>
      </c>
      <c r="E32" s="3491" t="s">
        <v>5294</v>
      </c>
      <c r="F32" s="3491" t="s">
        <v>5295</v>
      </c>
      <c r="G32" s="3491" t="s">
        <v>5296</v>
      </c>
      <c r="H32" s="3491" t="s">
        <v>5297</v>
      </c>
      <c r="I32" s="3491" t="s">
        <v>5298</v>
      </c>
      <c r="J32" s="3491" t="s">
        <v>5299</v>
      </c>
      <c r="K32" s="3491" t="s">
        <v>5300</v>
      </c>
      <c r="L32" s="385" t="s">
        <v>5301</v>
      </c>
      <c r="M32" s="288" t="s">
        <v>5302</v>
      </c>
      <c r="N32" s="384" t="s">
        <v>5303</v>
      </c>
      <c r="O32" s="1687" t="str">
        <f t="shared" si="7"/>
        <v xml:space="preserve"> * La variable Pueblos Originarios no puede ser mayor al Total. * La variable Migrantes no puede ser mayor al Total.</v>
      </c>
      <c r="CB32" s="3146" t="str">
        <f t="shared" si="8"/>
        <v xml:space="preserve"> * La variable Pueblos Originarios no puede ser mayor al Total.</v>
      </c>
      <c r="CC32" s="3146" t="str">
        <f t="shared" si="9"/>
        <v xml:space="preserve"> * La variable Migrantes no puede ser mayor al Total.</v>
      </c>
      <c r="CD32" s="628"/>
      <c r="CE32" s="628"/>
      <c r="CF32" s="628"/>
      <c r="CG32" s="628"/>
      <c r="CH32" s="2920">
        <f t="shared" si="10"/>
        <v>1</v>
      </c>
      <c r="CI32" s="2920">
        <f t="shared" si="11"/>
        <v>1</v>
      </c>
    </row>
    <row r="33" spans="1:87" ht="18" customHeight="1" x14ac:dyDescent="0.3">
      <c r="A33" s="628"/>
      <c r="B33" s="7635" t="s">
        <v>2789</v>
      </c>
      <c r="C33" s="7635"/>
      <c r="D33" s="7635"/>
      <c r="E33" s="7635"/>
      <c r="CB33" s="600"/>
    </row>
    <row r="34" spans="1:87" ht="20.399999999999999" x14ac:dyDescent="0.3">
      <c r="A34" s="6275"/>
      <c r="B34" s="3585"/>
      <c r="C34" s="3580" t="s">
        <v>24</v>
      </c>
      <c r="D34" s="3581" t="s">
        <v>2</v>
      </c>
      <c r="E34" s="3535" t="s">
        <v>3</v>
      </c>
      <c r="CB34" s="600"/>
    </row>
    <row r="35" spans="1:87" x14ac:dyDescent="0.3">
      <c r="A35" s="6240">
        <v>11061140</v>
      </c>
      <c r="B35" s="3578" t="s">
        <v>2790</v>
      </c>
      <c r="C35" s="3586" t="s">
        <v>5292</v>
      </c>
      <c r="D35" s="612" t="s">
        <v>5293</v>
      </c>
      <c r="E35" s="608" t="s">
        <v>5294</v>
      </c>
      <c r="F35" s="1687" t="str">
        <f>CB35&amp;CC35</f>
        <v xml:space="preserve"> * La variable Pueblos Originarios no puede ser mayor al Total. * La variable Migrantes no puede ser mayor al Total.</v>
      </c>
      <c r="CB35" s="3146" t="str">
        <f>IF(AND(C35&gt;0,D35="")," No olvide digitar la variable Pueblos Originarios. Digite cero si no tiene.",IF(D35&gt;C35," * La variable Pueblos Originarios no puede ser mayor al Total.",""))</f>
        <v xml:space="preserve"> * La variable Pueblos Originarios no puede ser mayor al Total.</v>
      </c>
      <c r="CC35" s="3146" t="str">
        <f>IF(AND(C35&gt;0,E35="")," No olvide digitar la variable Migrantes. Digite cero si no tiene.",IF(E35&gt;C35," * La variable Migrantes no puede ser mayor al Total.",""))</f>
        <v xml:space="preserve"> * La variable Migrantes no puede ser mayor al Total.</v>
      </c>
      <c r="CD35" s="628"/>
      <c r="CE35" s="628"/>
      <c r="CF35" s="628"/>
      <c r="CG35" s="628"/>
      <c r="CH35" s="2920">
        <f>IF(AND(C35&gt;0,D35=""),1,IF(D35&gt;C35,1,0))</f>
        <v>1</v>
      </c>
      <c r="CI35" s="2920">
        <f>IF(AND(C35&gt;0,E35=""),1,IF(E35&gt;C35,1,0))</f>
        <v>1</v>
      </c>
    </row>
    <row r="36" spans="1:87" x14ac:dyDescent="0.3">
      <c r="A36" s="6240">
        <v>11061150</v>
      </c>
      <c r="B36" s="3583" t="s">
        <v>2791</v>
      </c>
      <c r="C36" s="3587" t="s">
        <v>5292</v>
      </c>
      <c r="D36" s="288" t="s">
        <v>5293</v>
      </c>
      <c r="E36" s="3493" t="s">
        <v>5294</v>
      </c>
      <c r="F36" s="1687" t="str">
        <f>CB36&amp;CC36</f>
        <v xml:space="preserve"> * La variable Pueblos Originarios no puede ser mayor al Total. * La variable Migrantes no puede ser mayor al Total.</v>
      </c>
      <c r="CB36" s="3146" t="str">
        <f>IF(AND(C36&gt;0,D36="")," No olvide digitar la variable Pueblos Originarios. Digite cero si no tiene.",IF(D36&gt;C36," * La variable Pueblos Originarios no puede ser mayor al Total.",""))</f>
        <v xml:space="preserve"> * La variable Pueblos Originarios no puede ser mayor al Total.</v>
      </c>
      <c r="CC36" s="3146" t="str">
        <f>IF(AND(C36&gt;0,E36="")," No olvide digitar la variable Migrantes. Digite cero si no tiene.",IF(E36&gt;C36," * La variable Migrantes no puede ser mayor al Total.",""))</f>
        <v xml:space="preserve"> * La variable Migrantes no puede ser mayor al Total.</v>
      </c>
      <c r="CD36" s="628"/>
      <c r="CE36" s="628"/>
      <c r="CF36" s="628"/>
      <c r="CG36" s="628"/>
      <c r="CH36" s="2920">
        <f>IF(AND(C36&gt;0,D36=""),1,IF(D36&gt;C36,1,0))</f>
        <v>1</v>
      </c>
      <c r="CI36" s="2920">
        <f>IF(AND(C36&gt;0,E36=""),1,IF(E36&gt;C36,1,0))</f>
        <v>1</v>
      </c>
    </row>
    <row r="37" spans="1:87" ht="18" customHeight="1" x14ac:dyDescent="0.3">
      <c r="A37" s="628"/>
      <c r="B37" s="7646" t="s">
        <v>2792</v>
      </c>
      <c r="C37" s="7646"/>
      <c r="D37" s="7646"/>
      <c r="E37" s="7646"/>
      <c r="F37" s="7646"/>
      <c r="G37" s="7646"/>
      <c r="H37" s="7646"/>
      <c r="I37" s="7646"/>
      <c r="J37" s="7646"/>
      <c r="K37" s="7646"/>
      <c r="L37" s="7646"/>
      <c r="CB37" s="600"/>
      <c r="CC37" s="600"/>
    </row>
    <row r="38" spans="1:87" x14ac:dyDescent="0.3">
      <c r="A38" s="6275"/>
      <c r="B38" s="7651"/>
      <c r="C38" s="7653" t="s">
        <v>24</v>
      </c>
      <c r="D38" s="7655" t="s">
        <v>558</v>
      </c>
      <c r="E38" s="7644"/>
      <c r="F38" s="7644"/>
      <c r="G38" s="7644"/>
      <c r="H38" s="7644"/>
      <c r="I38" s="7644"/>
      <c r="J38" s="7644"/>
      <c r="K38" s="7644"/>
      <c r="L38" s="7645"/>
      <c r="M38" s="7656" t="s">
        <v>2</v>
      </c>
      <c r="N38" s="7658" t="s">
        <v>3</v>
      </c>
      <c r="CB38" s="600"/>
    </row>
    <row r="39" spans="1:87" x14ac:dyDescent="0.3">
      <c r="A39" s="6275"/>
      <c r="B39" s="7652"/>
      <c r="C39" s="7654"/>
      <c r="D39" s="4526" t="s">
        <v>38</v>
      </c>
      <c r="E39" s="4527" t="s">
        <v>4</v>
      </c>
      <c r="F39" s="4527" t="s">
        <v>5</v>
      </c>
      <c r="G39" s="4527" t="s">
        <v>6</v>
      </c>
      <c r="H39" s="4527" t="s">
        <v>7</v>
      </c>
      <c r="I39" s="4527" t="s">
        <v>8</v>
      </c>
      <c r="J39" s="4527" t="s">
        <v>9</v>
      </c>
      <c r="K39" s="4527" t="s">
        <v>10</v>
      </c>
      <c r="L39" s="4525" t="s">
        <v>11</v>
      </c>
      <c r="M39" s="7657"/>
      <c r="N39" s="7659"/>
      <c r="CB39" s="600"/>
    </row>
    <row r="40" spans="1:87" ht="21.6" x14ac:dyDescent="0.3">
      <c r="A40" s="6240">
        <v>11061160</v>
      </c>
      <c r="B40" s="3578" t="s">
        <v>2793</v>
      </c>
      <c r="C40" s="3588" t="s">
        <v>5292</v>
      </c>
      <c r="D40" s="3479" t="s">
        <v>5293</v>
      </c>
      <c r="E40" s="612" t="s">
        <v>5294</v>
      </c>
      <c r="F40" s="612" t="s">
        <v>5295</v>
      </c>
      <c r="G40" s="612" t="s">
        <v>5296</v>
      </c>
      <c r="H40" s="612" t="s">
        <v>5297</v>
      </c>
      <c r="I40" s="612" t="s">
        <v>5298</v>
      </c>
      <c r="J40" s="612" t="s">
        <v>5299</v>
      </c>
      <c r="K40" s="612" t="s">
        <v>5300</v>
      </c>
      <c r="L40" s="3510" t="s">
        <v>5301</v>
      </c>
      <c r="M40" s="3522" t="s">
        <v>5302</v>
      </c>
      <c r="N40" s="4522" t="s">
        <v>5303</v>
      </c>
      <c r="O40" s="1687" t="str">
        <f>$CB40&amp;CC40</f>
        <v xml:space="preserve"> * La variable Pueblos Originarios no puede ser mayor al Total. * La variable Migrantes no puede ser mayor al Total.</v>
      </c>
      <c r="CB40" s="3146" t="str">
        <f>IF(AND(C40&gt;0,M40="")," No olvide digitar la variable Pueblos Originarios. Digite cero si no tiene.",IF(M40&gt;C40," * La variable Pueblos Originarios no puede ser mayor al Total.",""))</f>
        <v xml:space="preserve"> * La variable Pueblos Originarios no puede ser mayor al Total.</v>
      </c>
      <c r="CC40" s="3146" t="str">
        <f>IF(AND(C40&gt;0,N40="")," No olvide digitar la variable Migrantes. Digite cero si no tiene.",IF(N40&gt;C40," * La variable Migrantes no puede ser mayor al Total.",""))</f>
        <v xml:space="preserve"> * La variable Migrantes no puede ser mayor al Total.</v>
      </c>
      <c r="CD40" s="628"/>
      <c r="CE40" s="628"/>
      <c r="CF40" s="628"/>
      <c r="CG40" s="628"/>
      <c r="CH40" s="2920">
        <f>IF(AND(C40&gt;0,M40=""),1,IF(M40&gt;C40,1,0))</f>
        <v>1</v>
      </c>
      <c r="CI40" s="2920">
        <f>IF(AND(C40&gt;0,N40=""),1,IF(N40&gt;C40,1,0))</f>
        <v>1</v>
      </c>
    </row>
    <row r="41" spans="1:87" ht="21.6" x14ac:dyDescent="0.3">
      <c r="A41" s="6240">
        <v>11061170</v>
      </c>
      <c r="B41" s="3578" t="s">
        <v>2794</v>
      </c>
      <c r="C41" s="3588" t="s">
        <v>5292</v>
      </c>
      <c r="D41" s="3479" t="s">
        <v>5293</v>
      </c>
      <c r="E41" s="612" t="s">
        <v>5294</v>
      </c>
      <c r="F41" s="612" t="s">
        <v>5295</v>
      </c>
      <c r="G41" s="612" t="s">
        <v>5296</v>
      </c>
      <c r="H41" s="612" t="s">
        <v>5297</v>
      </c>
      <c r="I41" s="612" t="s">
        <v>5298</v>
      </c>
      <c r="J41" s="612" t="s">
        <v>5299</v>
      </c>
      <c r="K41" s="612" t="s">
        <v>5300</v>
      </c>
      <c r="L41" s="3510" t="s">
        <v>5301</v>
      </c>
      <c r="M41" s="3522" t="s">
        <v>5302</v>
      </c>
      <c r="N41" s="4522" t="s">
        <v>5303</v>
      </c>
      <c r="O41" s="1687" t="str">
        <f t="shared" ref="O41:O47" si="12">$CB41&amp;CC41</f>
        <v xml:space="preserve"> * La variable Pueblos Originarios no puede ser mayor al Total. * La variable Migrantes no puede ser mayor al Total.</v>
      </c>
      <c r="CB41" s="3146" t="str">
        <f t="shared" ref="CB41:CB47" si="13">IF(AND(C41&gt;0,M41="")," No olvide digitar la variable Pueblos Originarios. Digite cero si no tiene.",IF(M41&gt;C41," * La variable Pueblos Originarios no puede ser mayor al Total.",""))</f>
        <v xml:space="preserve"> * La variable Pueblos Originarios no puede ser mayor al Total.</v>
      </c>
      <c r="CC41" s="3146" t="str">
        <f t="shared" ref="CC41:CC47" si="14">IF(AND(C41&gt;0,N41="")," No olvide digitar la variable Migrantes. Digite cero si no tiene.",IF(N41&gt;C41," * La variable Migrantes no puede ser mayor al Total.",""))</f>
        <v xml:space="preserve"> * La variable Migrantes no puede ser mayor al Total.</v>
      </c>
      <c r="CD41" s="628"/>
      <c r="CE41" s="628"/>
      <c r="CF41" s="628"/>
      <c r="CG41" s="628"/>
      <c r="CH41" s="2920">
        <f t="shared" ref="CH41:CH47" si="15">IF(AND(C41&gt;0,M41=""),1,IF(M41&gt;C41,1,0))</f>
        <v>1</v>
      </c>
      <c r="CI41" s="2920">
        <f t="shared" ref="CI41:CI47" si="16">IF(AND(C41&gt;0,N41=""),1,IF(N41&gt;C41,1,0))</f>
        <v>1</v>
      </c>
    </row>
    <row r="42" spans="1:87" x14ac:dyDescent="0.3">
      <c r="A42" s="6240">
        <v>11061180</v>
      </c>
      <c r="B42" s="3578" t="s">
        <v>2795</v>
      </c>
      <c r="C42" s="3588" t="s">
        <v>5292</v>
      </c>
      <c r="D42" s="3479" t="s">
        <v>5293</v>
      </c>
      <c r="E42" s="612" t="s">
        <v>5294</v>
      </c>
      <c r="F42" s="612" t="s">
        <v>5295</v>
      </c>
      <c r="G42" s="612" t="s">
        <v>5296</v>
      </c>
      <c r="H42" s="612" t="s">
        <v>5297</v>
      </c>
      <c r="I42" s="612" t="s">
        <v>5298</v>
      </c>
      <c r="J42" s="612" t="s">
        <v>5299</v>
      </c>
      <c r="K42" s="612" t="s">
        <v>5300</v>
      </c>
      <c r="L42" s="3510" t="s">
        <v>5301</v>
      </c>
      <c r="M42" s="3522" t="s">
        <v>5302</v>
      </c>
      <c r="N42" s="4522" t="s">
        <v>5303</v>
      </c>
      <c r="O42" s="1687" t="str">
        <f t="shared" si="12"/>
        <v xml:space="preserve"> * La variable Pueblos Originarios no puede ser mayor al Total. * La variable Migrantes no puede ser mayor al Total.</v>
      </c>
      <c r="CB42" s="3146" t="str">
        <f t="shared" si="13"/>
        <v xml:space="preserve"> * La variable Pueblos Originarios no puede ser mayor al Total.</v>
      </c>
      <c r="CC42" s="3146" t="str">
        <f t="shared" si="14"/>
        <v xml:space="preserve"> * La variable Migrantes no puede ser mayor al Total.</v>
      </c>
      <c r="CD42" s="628"/>
      <c r="CE42" s="628"/>
      <c r="CF42" s="628"/>
      <c r="CG42" s="628"/>
      <c r="CH42" s="2920">
        <f t="shared" si="15"/>
        <v>1</v>
      </c>
      <c r="CI42" s="2920">
        <f t="shared" si="16"/>
        <v>1</v>
      </c>
    </row>
    <row r="43" spans="1:87" x14ac:dyDescent="0.3">
      <c r="A43" s="6240">
        <v>11061190</v>
      </c>
      <c r="B43" s="4528" t="s">
        <v>2796</v>
      </c>
      <c r="C43" s="629" t="s">
        <v>5292</v>
      </c>
      <c r="D43" s="288" t="s">
        <v>5293</v>
      </c>
      <c r="E43" s="4529" t="s">
        <v>5294</v>
      </c>
      <c r="F43" s="4529" t="s">
        <v>5295</v>
      </c>
      <c r="G43" s="4529" t="s">
        <v>5296</v>
      </c>
      <c r="H43" s="4529" t="s">
        <v>5297</v>
      </c>
      <c r="I43" s="4529" t="s">
        <v>5298</v>
      </c>
      <c r="J43" s="4529" t="s">
        <v>5299</v>
      </c>
      <c r="K43" s="4529" t="s">
        <v>5300</v>
      </c>
      <c r="L43" s="4530" t="s">
        <v>5301</v>
      </c>
      <c r="M43" s="4531" t="s">
        <v>5302</v>
      </c>
      <c r="N43" s="4532" t="s">
        <v>5303</v>
      </c>
      <c r="O43" s="1687" t="str">
        <f t="shared" si="12"/>
        <v xml:space="preserve"> * La variable Pueblos Originarios no puede ser mayor al Total. * La variable Migrantes no puede ser mayor al Total.</v>
      </c>
      <c r="CB43" s="3146" t="str">
        <f t="shared" si="13"/>
        <v xml:space="preserve"> * La variable Pueblos Originarios no puede ser mayor al Total.</v>
      </c>
      <c r="CC43" s="3146" t="str">
        <f t="shared" si="14"/>
        <v xml:space="preserve"> * La variable Migrantes no puede ser mayor al Total.</v>
      </c>
      <c r="CD43" s="628"/>
      <c r="CE43" s="628"/>
      <c r="CF43" s="628"/>
      <c r="CG43" s="628"/>
      <c r="CH43" s="2920">
        <f t="shared" si="15"/>
        <v>1</v>
      </c>
      <c r="CI43" s="2920">
        <f t="shared" si="16"/>
        <v>1</v>
      </c>
    </row>
    <row r="44" spans="1:87" ht="21.6" x14ac:dyDescent="0.3">
      <c r="A44" s="6240">
        <v>11061200</v>
      </c>
      <c r="B44" s="3578" t="s">
        <v>2797</v>
      </c>
      <c r="C44" s="1682" t="s">
        <v>5292</v>
      </c>
      <c r="D44" s="612" t="s">
        <v>5293</v>
      </c>
      <c r="E44" s="612" t="s">
        <v>5294</v>
      </c>
      <c r="F44" s="612" t="s">
        <v>5295</v>
      </c>
      <c r="G44" s="612" t="s">
        <v>5296</v>
      </c>
      <c r="H44" s="612" t="s">
        <v>5297</v>
      </c>
      <c r="I44" s="612" t="s">
        <v>5298</v>
      </c>
      <c r="J44" s="612" t="s">
        <v>5299</v>
      </c>
      <c r="K44" s="612" t="s">
        <v>5300</v>
      </c>
      <c r="L44" s="3510" t="s">
        <v>5301</v>
      </c>
      <c r="M44" s="3522" t="s">
        <v>5302</v>
      </c>
      <c r="N44" s="4522" t="s">
        <v>5303</v>
      </c>
      <c r="O44" s="1687" t="str">
        <f t="shared" si="12"/>
        <v xml:space="preserve"> * La variable Pueblos Originarios no puede ser mayor al Total. * La variable Migrantes no puede ser mayor al Total.</v>
      </c>
      <c r="CB44" s="3146" t="str">
        <f t="shared" si="13"/>
        <v xml:space="preserve"> * La variable Pueblos Originarios no puede ser mayor al Total.</v>
      </c>
      <c r="CC44" s="3146" t="str">
        <f t="shared" si="14"/>
        <v xml:space="preserve"> * La variable Migrantes no puede ser mayor al Total.</v>
      </c>
      <c r="CD44" s="628"/>
      <c r="CE44" s="628"/>
      <c r="CF44" s="628"/>
      <c r="CG44" s="628"/>
      <c r="CH44" s="2920">
        <f t="shared" si="15"/>
        <v>1</v>
      </c>
      <c r="CI44" s="2920">
        <f t="shared" si="16"/>
        <v>1</v>
      </c>
    </row>
    <row r="45" spans="1:87" ht="21.6" x14ac:dyDescent="0.3">
      <c r="A45" s="6240">
        <v>11061210</v>
      </c>
      <c r="B45" s="3578" t="s">
        <v>2798</v>
      </c>
      <c r="C45" s="3588" t="s">
        <v>5292</v>
      </c>
      <c r="D45" s="3479" t="s">
        <v>5293</v>
      </c>
      <c r="E45" s="612" t="s">
        <v>5294</v>
      </c>
      <c r="F45" s="612" t="s">
        <v>5295</v>
      </c>
      <c r="G45" s="612" t="s">
        <v>5296</v>
      </c>
      <c r="H45" s="612" t="s">
        <v>5297</v>
      </c>
      <c r="I45" s="612" t="s">
        <v>5298</v>
      </c>
      <c r="J45" s="612" t="s">
        <v>5299</v>
      </c>
      <c r="K45" s="612" t="s">
        <v>5300</v>
      </c>
      <c r="L45" s="3510" t="s">
        <v>5301</v>
      </c>
      <c r="M45" s="3522" t="s">
        <v>5302</v>
      </c>
      <c r="N45" s="280" t="s">
        <v>5303</v>
      </c>
      <c r="O45" s="1687" t="str">
        <f t="shared" si="12"/>
        <v xml:space="preserve"> * La variable Pueblos Originarios no puede ser mayor al Total. * La variable Migrantes no puede ser mayor al Total.</v>
      </c>
      <c r="CB45" s="3146" t="str">
        <f t="shared" si="13"/>
        <v xml:space="preserve"> * La variable Pueblos Originarios no puede ser mayor al Total.</v>
      </c>
      <c r="CC45" s="3146" t="str">
        <f t="shared" si="14"/>
        <v xml:space="preserve"> * La variable Migrantes no puede ser mayor al Total.</v>
      </c>
      <c r="CD45" s="628"/>
      <c r="CE45" s="628"/>
      <c r="CF45" s="628"/>
      <c r="CG45" s="628"/>
      <c r="CH45" s="2920">
        <f t="shared" si="15"/>
        <v>1</v>
      </c>
      <c r="CI45" s="2920">
        <f t="shared" si="16"/>
        <v>1</v>
      </c>
    </row>
    <row r="46" spans="1:87" ht="21.6" x14ac:dyDescent="0.3">
      <c r="A46" s="6240">
        <v>11061220</v>
      </c>
      <c r="B46" s="3578" t="s">
        <v>2799</v>
      </c>
      <c r="C46" s="3588" t="s">
        <v>5292</v>
      </c>
      <c r="D46" s="3479" t="s">
        <v>5293</v>
      </c>
      <c r="E46" s="612" t="s">
        <v>5294</v>
      </c>
      <c r="F46" s="612" t="s">
        <v>5295</v>
      </c>
      <c r="G46" s="612" t="s">
        <v>5296</v>
      </c>
      <c r="H46" s="612" t="s">
        <v>5297</v>
      </c>
      <c r="I46" s="612" t="s">
        <v>5298</v>
      </c>
      <c r="J46" s="612" t="s">
        <v>5299</v>
      </c>
      <c r="K46" s="612" t="s">
        <v>5300</v>
      </c>
      <c r="L46" s="3510" t="s">
        <v>5301</v>
      </c>
      <c r="M46" s="3522" t="s">
        <v>5302</v>
      </c>
      <c r="N46" s="280" t="s">
        <v>5303</v>
      </c>
      <c r="O46" s="1687" t="str">
        <f t="shared" si="12"/>
        <v xml:space="preserve"> * La variable Pueblos Originarios no puede ser mayor al Total. * La variable Migrantes no puede ser mayor al Total.</v>
      </c>
      <c r="CB46" s="3146" t="str">
        <f t="shared" si="13"/>
        <v xml:space="preserve"> * La variable Pueblos Originarios no puede ser mayor al Total.</v>
      </c>
      <c r="CC46" s="3146" t="str">
        <f t="shared" si="14"/>
        <v xml:space="preserve"> * La variable Migrantes no puede ser mayor al Total.</v>
      </c>
      <c r="CD46" s="628"/>
      <c r="CE46" s="628"/>
      <c r="CF46" s="628"/>
      <c r="CG46" s="628"/>
      <c r="CH46" s="2920">
        <f t="shared" si="15"/>
        <v>1</v>
      </c>
      <c r="CI46" s="2920">
        <f t="shared" si="16"/>
        <v>1</v>
      </c>
    </row>
    <row r="47" spans="1:87" x14ac:dyDescent="0.3">
      <c r="A47" s="6240">
        <v>11061230</v>
      </c>
      <c r="B47" s="3583" t="s">
        <v>2800</v>
      </c>
      <c r="C47" s="629" t="s">
        <v>5292</v>
      </c>
      <c r="D47" s="288" t="s">
        <v>5293</v>
      </c>
      <c r="E47" s="288" t="s">
        <v>5294</v>
      </c>
      <c r="F47" s="288" t="s">
        <v>5295</v>
      </c>
      <c r="G47" s="288" t="s">
        <v>5296</v>
      </c>
      <c r="H47" s="288" t="s">
        <v>5297</v>
      </c>
      <c r="I47" s="288" t="s">
        <v>5298</v>
      </c>
      <c r="J47" s="288" t="s">
        <v>5299</v>
      </c>
      <c r="K47" s="288" t="s">
        <v>5300</v>
      </c>
      <c r="L47" s="385" t="s">
        <v>5301</v>
      </c>
      <c r="M47" s="3495" t="s">
        <v>5302</v>
      </c>
      <c r="N47" s="290" t="s">
        <v>5303</v>
      </c>
      <c r="O47" s="1687" t="str">
        <f t="shared" si="12"/>
        <v xml:space="preserve"> * La variable Pueblos Originarios no puede ser mayor al Total. * La variable Migrantes no puede ser mayor al Total.</v>
      </c>
      <c r="CB47" s="3146" t="str">
        <f t="shared" si="13"/>
        <v xml:space="preserve"> * La variable Pueblos Originarios no puede ser mayor al Total.</v>
      </c>
      <c r="CC47" s="3146" t="str">
        <f t="shared" si="14"/>
        <v xml:space="preserve"> * La variable Migrantes no puede ser mayor al Total.</v>
      </c>
      <c r="CD47" s="628"/>
      <c r="CE47" s="628"/>
      <c r="CF47" s="628"/>
      <c r="CG47" s="628"/>
      <c r="CH47" s="2920">
        <f t="shared" si="15"/>
        <v>1</v>
      </c>
      <c r="CI47" s="2920">
        <f t="shared" si="16"/>
        <v>1</v>
      </c>
    </row>
    <row r="48" spans="1:87" ht="18" customHeight="1" x14ac:dyDescent="0.3">
      <c r="A48" s="628"/>
      <c r="B48" s="7634" t="s">
        <v>2801</v>
      </c>
      <c r="C48" s="7634"/>
      <c r="D48" s="7634"/>
      <c r="E48" s="7634"/>
      <c r="F48" s="7634"/>
      <c r="G48" s="7634"/>
      <c r="H48" s="7634"/>
      <c r="I48" s="7634"/>
      <c r="J48" s="7634"/>
      <c r="K48" s="7634"/>
      <c r="L48" s="7634"/>
      <c r="CB48" s="600"/>
    </row>
    <row r="49" spans="1:87" ht="20.399999999999999" x14ac:dyDescent="0.3">
      <c r="A49" s="628"/>
      <c r="B49" s="3589"/>
      <c r="C49" s="3580" t="s">
        <v>24</v>
      </c>
      <c r="D49" s="3581" t="s">
        <v>2</v>
      </c>
      <c r="E49" s="3535" t="s">
        <v>3</v>
      </c>
      <c r="CB49" s="600"/>
    </row>
    <row r="50" spans="1:87" ht="21.6" x14ac:dyDescent="0.3">
      <c r="A50" s="6240">
        <v>11061240</v>
      </c>
      <c r="B50" s="3578" t="s">
        <v>2802</v>
      </c>
      <c r="C50" s="3512" t="s">
        <v>5292</v>
      </c>
      <c r="D50" s="3479" t="s">
        <v>5293</v>
      </c>
      <c r="E50" s="3511" t="s">
        <v>5294</v>
      </c>
      <c r="F50" s="1687" t="str">
        <f>CB50&amp;CC50</f>
        <v xml:space="preserve"> * La variable Pueblos Originarios no puede ser mayor al Total. * La variable Migrantes no puede ser mayor al Total.</v>
      </c>
      <c r="CB50" s="3146" t="str">
        <f>IF(AND(C50&gt;0,D50="")," No olvide digitar la variable Pueblos Originarios. Digite cero si no tiene.",IF(D50&gt;C50," * La variable Pueblos Originarios no puede ser mayor al Total.",""))</f>
        <v xml:space="preserve"> * La variable Pueblos Originarios no puede ser mayor al Total.</v>
      </c>
      <c r="CC50" s="3146" t="str">
        <f>IF(AND(C50&gt;0,E50="")," No olvide digitar la variable Migrantes. Digite cero si no tiene.",IF(E50&gt;C50," * La variable Migrantes no puede ser mayor al Total.",""))</f>
        <v xml:space="preserve"> * La variable Migrantes no puede ser mayor al Total.</v>
      </c>
      <c r="CD50" s="628"/>
      <c r="CE50" s="628"/>
      <c r="CF50" s="628"/>
      <c r="CG50" s="628"/>
      <c r="CH50" s="2920">
        <f>IF(AND(C50&gt;0,D50=""),1,IF(D50&gt;C50,1,0))</f>
        <v>1</v>
      </c>
      <c r="CI50" s="2920">
        <f>IF(AND(C50&gt;0,E50=""),1,IF(E50&gt;C50,1,0))</f>
        <v>1</v>
      </c>
    </row>
    <row r="51" spans="1:87" x14ac:dyDescent="0.3">
      <c r="A51" s="6240">
        <v>11061250</v>
      </c>
      <c r="B51" s="3578" t="s">
        <v>2803</v>
      </c>
      <c r="C51" s="3512" t="s">
        <v>5292</v>
      </c>
      <c r="D51" s="3479" t="s">
        <v>5293</v>
      </c>
      <c r="E51" s="3511" t="s">
        <v>5294</v>
      </c>
      <c r="F51" s="1687" t="str">
        <f t="shared" ref="F51:F53" si="17">CB51&amp;CC51</f>
        <v xml:space="preserve"> * La variable Pueblos Originarios no puede ser mayor al Total. * La variable Migrantes no puede ser mayor al Total.</v>
      </c>
      <c r="CB51" s="3146" t="str">
        <f t="shared" ref="CB51:CB53" si="18">IF(AND(C51&gt;0,D51="")," No olvide digitar la variable Pueblos Originarios. Digite cero si no tiene.",IF(D51&gt;C51," * La variable Pueblos Originarios no puede ser mayor al Total.",""))</f>
        <v xml:space="preserve"> * La variable Pueblos Originarios no puede ser mayor al Total.</v>
      </c>
      <c r="CC51" s="3146" t="str">
        <f t="shared" ref="CC51:CC53" si="19">IF(AND(C51&gt;0,E51="")," No olvide digitar la variable Migrantes. Digite cero si no tiene.",IF(E51&gt;C51," * La variable Migrantes no puede ser mayor al Total.",""))</f>
        <v xml:space="preserve"> * La variable Migrantes no puede ser mayor al Total.</v>
      </c>
      <c r="CD51" s="628"/>
      <c r="CE51" s="628"/>
      <c r="CF51" s="628"/>
      <c r="CG51" s="628"/>
      <c r="CH51" s="2920">
        <f t="shared" ref="CH51:CH53" si="20">IF(AND(C51&gt;0,D51=""),1,IF(D51&gt;C51,1,0))</f>
        <v>1</v>
      </c>
      <c r="CI51" s="2920">
        <f t="shared" ref="CI51:CI53" si="21">IF(AND(C51&gt;0,E51=""),1,IF(E51&gt;C51,1,0))</f>
        <v>1</v>
      </c>
    </row>
    <row r="52" spans="1:87" ht="21.6" x14ac:dyDescent="0.3">
      <c r="A52" s="6240">
        <v>11061260</v>
      </c>
      <c r="B52" s="3578" t="s">
        <v>2804</v>
      </c>
      <c r="C52" s="3512" t="s">
        <v>5292</v>
      </c>
      <c r="D52" s="3479" t="s">
        <v>5293</v>
      </c>
      <c r="E52" s="3511" t="s">
        <v>5294</v>
      </c>
      <c r="F52" s="1687" t="str">
        <f t="shared" si="17"/>
        <v xml:space="preserve"> * La variable Pueblos Originarios no puede ser mayor al Total. * La variable Migrantes no puede ser mayor al Total.</v>
      </c>
      <c r="CB52" s="3146" t="str">
        <f t="shared" si="18"/>
        <v xml:space="preserve"> * La variable Pueblos Originarios no puede ser mayor al Total.</v>
      </c>
      <c r="CC52" s="3146" t="str">
        <f t="shared" si="19"/>
        <v xml:space="preserve"> * La variable Migrantes no puede ser mayor al Total.</v>
      </c>
      <c r="CD52" s="628"/>
      <c r="CE52" s="628"/>
      <c r="CF52" s="628"/>
      <c r="CG52" s="628"/>
      <c r="CH52" s="2920">
        <f t="shared" si="20"/>
        <v>1</v>
      </c>
      <c r="CI52" s="2920">
        <f t="shared" si="21"/>
        <v>1</v>
      </c>
    </row>
    <row r="53" spans="1:87" ht="21.6" x14ac:dyDescent="0.3">
      <c r="A53" s="6240">
        <v>11061270</v>
      </c>
      <c r="B53" s="3583" t="s">
        <v>2805</v>
      </c>
      <c r="C53" s="385" t="s">
        <v>5292</v>
      </c>
      <c r="D53" s="288" t="s">
        <v>5293</v>
      </c>
      <c r="E53" s="290" t="s">
        <v>5294</v>
      </c>
      <c r="F53" s="1687" t="str">
        <f t="shared" si="17"/>
        <v xml:space="preserve"> * La variable Pueblos Originarios no puede ser mayor al Total. * La variable Migrantes no puede ser mayor al Total.</v>
      </c>
      <c r="CB53" s="3146" t="str">
        <f t="shared" si="18"/>
        <v xml:space="preserve"> * La variable Pueblos Originarios no puede ser mayor al Total.</v>
      </c>
      <c r="CC53" s="3146" t="str">
        <f t="shared" si="19"/>
        <v xml:space="preserve"> * La variable Migrantes no puede ser mayor al Total.</v>
      </c>
      <c r="CD53" s="628"/>
      <c r="CE53" s="628"/>
      <c r="CF53" s="628"/>
      <c r="CG53" s="628"/>
      <c r="CH53" s="2920">
        <f t="shared" si="20"/>
        <v>1</v>
      </c>
      <c r="CI53" s="2920">
        <f t="shared" si="21"/>
        <v>1</v>
      </c>
    </row>
    <row r="54" spans="1:87" ht="18" customHeight="1" x14ac:dyDescent="0.3">
      <c r="A54" s="628"/>
      <c r="B54" s="7635" t="s">
        <v>2806</v>
      </c>
      <c r="C54" s="7635"/>
      <c r="D54" s="7635"/>
      <c r="E54" s="7635"/>
      <c r="CB54" s="600"/>
    </row>
    <row r="55" spans="1:87" ht="20.399999999999999" x14ac:dyDescent="0.3">
      <c r="A55" s="628"/>
      <c r="B55" s="3590"/>
      <c r="C55" s="3580" t="s">
        <v>24</v>
      </c>
      <c r="D55" s="3581" t="s">
        <v>2</v>
      </c>
      <c r="E55" s="3535" t="s">
        <v>3</v>
      </c>
      <c r="CB55" s="600"/>
    </row>
    <row r="56" spans="1:87" ht="21.6" x14ac:dyDescent="0.3">
      <c r="A56" s="6240">
        <v>11061280</v>
      </c>
      <c r="B56" s="3578" t="s">
        <v>2807</v>
      </c>
      <c r="C56" s="3512" t="s">
        <v>5292</v>
      </c>
      <c r="D56" s="3479" t="s">
        <v>5293</v>
      </c>
      <c r="E56" s="3511" t="s">
        <v>5294</v>
      </c>
      <c r="F56" s="1687" t="str">
        <f>CB56&amp;CC56</f>
        <v xml:space="preserve"> * La variable Pueblos Originarios no puede ser mayor al Total. * La variable Migrantes no puede ser mayor al Total.</v>
      </c>
      <c r="CB56" s="3146" t="str">
        <f>IF(AND(C56&gt;0,D56="")," No olvide digitar la variable Pueblos Originarios. Digite cero si no tiene.",IF(D56&gt;C56," * La variable Pueblos Originarios no puede ser mayor al Total.",""))</f>
        <v xml:space="preserve"> * La variable Pueblos Originarios no puede ser mayor al Total.</v>
      </c>
      <c r="CC56" s="3146" t="str">
        <f>IF(AND(C56&gt;0,E56="")," No olvide digitar la variable Migrantes. Digite cero si no tiene.",IF(E56&gt;C56," * La variable Migrantes no puede ser mayor al Total.",""))</f>
        <v xml:space="preserve"> * La variable Migrantes no puede ser mayor al Total.</v>
      </c>
      <c r="CD56" s="628"/>
      <c r="CE56" s="628"/>
      <c r="CF56" s="628"/>
      <c r="CG56" s="628"/>
      <c r="CH56" s="2920">
        <f>IF(AND(C56&gt;0,D56=""),1,IF(D56&gt;C56,1,0))</f>
        <v>1</v>
      </c>
      <c r="CI56" s="2920">
        <f>IF(AND(C56&gt;0,E56=""),1,IF(E56&gt;C56,1,0))</f>
        <v>1</v>
      </c>
    </row>
    <row r="57" spans="1:87" x14ac:dyDescent="0.3">
      <c r="A57" s="6240">
        <v>11061290</v>
      </c>
      <c r="B57" s="3578" t="s">
        <v>2803</v>
      </c>
      <c r="C57" s="3512" t="s">
        <v>5292</v>
      </c>
      <c r="D57" s="3479" t="s">
        <v>5293</v>
      </c>
      <c r="E57" s="3511" t="s">
        <v>5294</v>
      </c>
      <c r="F57" s="1687" t="str">
        <f t="shared" ref="F57:F59" si="22">CB57&amp;CC57</f>
        <v xml:space="preserve"> * La variable Pueblos Originarios no puede ser mayor al Total. * La variable Migrantes no puede ser mayor al Total.</v>
      </c>
      <c r="CB57" s="3146" t="str">
        <f t="shared" ref="CB57:CB59" si="23">IF(AND(C57&gt;0,D57="")," No olvide digitar la variable Pueblos Originarios. Digite cero si no tiene.",IF(D57&gt;C57," * La variable Pueblos Originarios no puede ser mayor al Total.",""))</f>
        <v xml:space="preserve"> * La variable Pueblos Originarios no puede ser mayor al Total.</v>
      </c>
      <c r="CC57" s="3146" t="str">
        <f t="shared" ref="CC57:CC59" si="24">IF(AND(C57&gt;0,E57="")," No olvide digitar la variable Migrantes. Digite cero si no tiene.",IF(E57&gt;C57," * La variable Migrantes no puede ser mayor al Total.",""))</f>
        <v xml:space="preserve"> * La variable Migrantes no puede ser mayor al Total.</v>
      </c>
      <c r="CD57" s="628"/>
      <c r="CE57" s="628"/>
      <c r="CF57" s="628"/>
      <c r="CG57" s="628"/>
      <c r="CH57" s="2920">
        <f t="shared" ref="CH57:CH59" si="25">IF(AND(C57&gt;0,D57=""),1,IF(D57&gt;C57,1,0))</f>
        <v>1</v>
      </c>
      <c r="CI57" s="2920">
        <f t="shared" ref="CI57:CI59" si="26">IF(AND(C57&gt;0,E57=""),1,IF(E57&gt;C57,1,0))</f>
        <v>1</v>
      </c>
    </row>
    <row r="58" spans="1:87" ht="21.6" x14ac:dyDescent="0.3">
      <c r="A58" s="6240">
        <v>11061300</v>
      </c>
      <c r="B58" s="3578" t="s">
        <v>2808</v>
      </c>
      <c r="C58" s="3512" t="s">
        <v>5292</v>
      </c>
      <c r="D58" s="3479" t="s">
        <v>5293</v>
      </c>
      <c r="E58" s="3511" t="s">
        <v>5294</v>
      </c>
      <c r="F58" s="1687" t="str">
        <f t="shared" si="22"/>
        <v xml:space="preserve"> * La variable Pueblos Originarios no puede ser mayor al Total. * La variable Migrantes no puede ser mayor al Total.</v>
      </c>
      <c r="CB58" s="3146" t="str">
        <f t="shared" si="23"/>
        <v xml:space="preserve"> * La variable Pueblos Originarios no puede ser mayor al Total.</v>
      </c>
      <c r="CC58" s="3146" t="str">
        <f t="shared" si="24"/>
        <v xml:space="preserve"> * La variable Migrantes no puede ser mayor al Total.</v>
      </c>
      <c r="CD58" s="628"/>
      <c r="CE58" s="628"/>
      <c r="CF58" s="628"/>
      <c r="CG58" s="628"/>
      <c r="CH58" s="2920">
        <f t="shared" si="25"/>
        <v>1</v>
      </c>
      <c r="CI58" s="2920">
        <f t="shared" si="26"/>
        <v>1</v>
      </c>
    </row>
    <row r="59" spans="1:87" ht="21.6" x14ac:dyDescent="0.3">
      <c r="A59" s="6240">
        <v>11061310</v>
      </c>
      <c r="B59" s="3568" t="s">
        <v>2809</v>
      </c>
      <c r="C59" s="3587" t="s">
        <v>5292</v>
      </c>
      <c r="D59" s="3495" t="s">
        <v>5293</v>
      </c>
      <c r="E59" s="290" t="s">
        <v>5294</v>
      </c>
      <c r="F59" s="1687" t="str">
        <f t="shared" si="22"/>
        <v xml:space="preserve"> * La variable Pueblos Originarios no puede ser mayor al Total. * La variable Migrantes no puede ser mayor al Total.</v>
      </c>
      <c r="CB59" s="3146" t="str">
        <f t="shared" si="23"/>
        <v xml:space="preserve"> * La variable Pueblos Originarios no puede ser mayor al Total.</v>
      </c>
      <c r="CC59" s="3146" t="str">
        <f t="shared" si="24"/>
        <v xml:space="preserve"> * La variable Migrantes no puede ser mayor al Total.</v>
      </c>
      <c r="CD59" s="628"/>
      <c r="CE59" s="628"/>
      <c r="CF59" s="628"/>
      <c r="CG59" s="628"/>
      <c r="CH59" s="2920">
        <f t="shared" si="25"/>
        <v>1</v>
      </c>
      <c r="CI59" s="2920">
        <f t="shared" si="26"/>
        <v>1</v>
      </c>
    </row>
    <row r="60" spans="1:87" ht="18" customHeight="1" x14ac:dyDescent="0.3">
      <c r="A60" s="628"/>
      <c r="B60" s="7646" t="s">
        <v>3891</v>
      </c>
      <c r="C60" s="7646"/>
      <c r="D60" s="7646"/>
      <c r="E60" s="7646"/>
      <c r="F60" s="7646"/>
      <c r="G60" s="7646"/>
      <c r="H60" s="7646"/>
      <c r="I60" s="7646"/>
      <c r="J60" s="7646"/>
      <c r="K60" s="7646"/>
      <c r="L60" s="7646"/>
      <c r="M60" s="17"/>
      <c r="N60" s="17"/>
      <c r="CB60" s="600"/>
    </row>
    <row r="61" spans="1:87" x14ac:dyDescent="0.3">
      <c r="A61" s="6275"/>
      <c r="B61" s="7640"/>
      <c r="C61" s="7647" t="s">
        <v>24</v>
      </c>
      <c r="D61" s="7649" t="s">
        <v>558</v>
      </c>
      <c r="E61" s="7649"/>
      <c r="F61" s="7649"/>
      <c r="G61" s="7649"/>
      <c r="H61" s="7649"/>
      <c r="I61" s="7649"/>
      <c r="J61" s="7649"/>
      <c r="K61" s="7649"/>
      <c r="L61" s="7650"/>
      <c r="M61" s="7636" t="s">
        <v>2</v>
      </c>
      <c r="N61" s="7638" t="s">
        <v>3</v>
      </c>
      <c r="CB61" s="600"/>
    </row>
    <row r="62" spans="1:87" x14ac:dyDescent="0.3">
      <c r="A62" s="6275"/>
      <c r="B62" s="7641"/>
      <c r="C62" s="7648"/>
      <c r="D62" s="3591" t="s">
        <v>38</v>
      </c>
      <c r="E62" s="3574" t="s">
        <v>4</v>
      </c>
      <c r="F62" s="3574" t="s">
        <v>5</v>
      </c>
      <c r="G62" s="3574" t="s">
        <v>6</v>
      </c>
      <c r="H62" s="3574" t="s">
        <v>7</v>
      </c>
      <c r="I62" s="3574" t="s">
        <v>8</v>
      </c>
      <c r="J62" s="3574" t="s">
        <v>9</v>
      </c>
      <c r="K62" s="3574" t="s">
        <v>10</v>
      </c>
      <c r="L62" s="3592" t="s">
        <v>11</v>
      </c>
      <c r="M62" s="7637"/>
      <c r="N62" s="7639"/>
      <c r="CB62" s="600"/>
    </row>
    <row r="63" spans="1:87" x14ac:dyDescent="0.3">
      <c r="A63" s="6276"/>
      <c r="B63" s="4555" t="s">
        <v>3785</v>
      </c>
      <c r="C63" s="4540"/>
      <c r="D63" s="4539"/>
      <c r="E63" s="4539"/>
      <c r="F63" s="4539"/>
      <c r="G63" s="4539"/>
      <c r="H63" s="4539"/>
      <c r="I63" s="4539"/>
      <c r="J63" s="4539"/>
      <c r="K63" s="4539"/>
      <c r="L63" s="4538"/>
      <c r="M63" s="4542"/>
      <c r="N63" s="4520"/>
      <c r="CB63" s="600"/>
    </row>
    <row r="64" spans="1:87" x14ac:dyDescent="0.3">
      <c r="A64" s="6240">
        <v>11061320</v>
      </c>
      <c r="B64" s="5236" t="s">
        <v>2810</v>
      </c>
      <c r="C64" s="5567" t="s">
        <v>5292</v>
      </c>
      <c r="D64" s="5201" t="s">
        <v>5293</v>
      </c>
      <c r="E64" s="5201" t="s">
        <v>5294</v>
      </c>
      <c r="F64" s="5201" t="s">
        <v>5295</v>
      </c>
      <c r="G64" s="5201" t="s">
        <v>5296</v>
      </c>
      <c r="H64" s="5201" t="s">
        <v>5297</v>
      </c>
      <c r="I64" s="5201" t="s">
        <v>5298</v>
      </c>
      <c r="J64" s="5201" t="s">
        <v>5299</v>
      </c>
      <c r="K64" s="5201" t="s">
        <v>5300</v>
      </c>
      <c r="L64" s="5213" t="s">
        <v>5301</v>
      </c>
      <c r="M64" s="5201" t="s">
        <v>5302</v>
      </c>
      <c r="N64" s="5169" t="s">
        <v>5303</v>
      </c>
      <c r="O64" s="1687" t="str">
        <f t="shared" ref="O64:O73" si="27">$CB64&amp;$CC64</f>
        <v xml:space="preserve"> * La variable Pueblos Originarios no puede ser mayor al Total. * La variable Migrantes no puede ser mayor al Total.</v>
      </c>
      <c r="CB64" s="3146" t="str">
        <f>IF(AND(C64&gt;0,M64="")," No olvide digitar la variable Pueblos Originarios. Digite cero si no tiene.",IF(M64&gt;C64," * La variable Pueblos Originarios no puede ser mayor al Total.",""))</f>
        <v xml:space="preserve"> * La variable Pueblos Originarios no puede ser mayor al Total.</v>
      </c>
      <c r="CC64" s="3146" t="str">
        <f>IF(AND(C64&gt;0,N64="")," No olvide digitar la variable Migrantes. Digite cero si no tiene.",IF(N64&gt;C64," * La variable Migrantes no puede ser mayor al Total.",""))</f>
        <v xml:space="preserve"> * La variable Migrantes no puede ser mayor al Total.</v>
      </c>
      <c r="CD64" s="628"/>
      <c r="CE64" s="628"/>
      <c r="CF64" s="628"/>
      <c r="CG64" s="628"/>
      <c r="CH64" s="2920">
        <f>IF(AND(C64&gt;0,M64=""),1,IF(M64&gt;C64,1,0))</f>
        <v>1</v>
      </c>
      <c r="CI64" s="2920">
        <f>IF(AND(C64&gt;0,N64=""),1,IF(N64&gt;C64,1,0))</f>
        <v>1</v>
      </c>
    </row>
    <row r="65" spans="1:87" x14ac:dyDescent="0.3">
      <c r="A65" s="6240">
        <v>11061330</v>
      </c>
      <c r="B65" s="3583" t="s">
        <v>2811</v>
      </c>
      <c r="C65" s="5568" t="s">
        <v>5292</v>
      </c>
      <c r="D65" s="288" t="s">
        <v>5293</v>
      </c>
      <c r="E65" s="288" t="s">
        <v>5294</v>
      </c>
      <c r="F65" s="288" t="s">
        <v>5295</v>
      </c>
      <c r="G65" s="288" t="s">
        <v>5296</v>
      </c>
      <c r="H65" s="288" t="s">
        <v>5297</v>
      </c>
      <c r="I65" s="288" t="s">
        <v>5298</v>
      </c>
      <c r="J65" s="288" t="s">
        <v>5299</v>
      </c>
      <c r="K65" s="288" t="s">
        <v>5300</v>
      </c>
      <c r="L65" s="3494" t="s">
        <v>5301</v>
      </c>
      <c r="M65" s="288" t="s">
        <v>5302</v>
      </c>
      <c r="N65" s="3724" t="s">
        <v>5303</v>
      </c>
      <c r="O65" s="1687" t="str">
        <f t="shared" si="27"/>
        <v xml:space="preserve"> * La variable Pueblos Originarios no puede ser mayor al Total. * La variable Migrantes no puede ser mayor al Total.</v>
      </c>
      <c r="CB65" s="3146" t="str">
        <f>IF(AND(C65&gt;0,M65="")," No olvide digitar la variable Pueblos Originarios. Digite cero si no tiene.",IF(M65&gt;C65," * La variable Pueblos Originarios no puede ser mayor al Total.",""))</f>
        <v xml:space="preserve"> * La variable Pueblos Originarios no puede ser mayor al Total.</v>
      </c>
      <c r="CC65" s="3146" t="str">
        <f>IF(AND(C65&gt;0,N65="")," No olvide digitar la variable Migrantes. Digite cero si no tiene.",IF(N65&gt;C65," * La variable Migrantes no puede ser mayor al Total.",""))</f>
        <v xml:space="preserve"> * La variable Migrantes no puede ser mayor al Total.</v>
      </c>
      <c r="CD65" s="628"/>
      <c r="CE65" s="628"/>
      <c r="CF65" s="628"/>
      <c r="CG65" s="628"/>
      <c r="CH65" s="2920">
        <f>IF(AND(C65&gt;0,M65=""),1,IF(M65&gt;C65,1,0))</f>
        <v>1</v>
      </c>
      <c r="CI65" s="2920">
        <f>IF(AND(C65&gt;0,N65=""),1,IF(N65&gt;C65,1,0))</f>
        <v>1</v>
      </c>
    </row>
    <row r="66" spans="1:87" ht="20.399999999999999" x14ac:dyDescent="0.3">
      <c r="A66" s="6276"/>
      <c r="B66" s="5560" t="s">
        <v>3786</v>
      </c>
      <c r="C66" s="5561"/>
      <c r="D66" s="5562"/>
      <c r="E66" s="5563"/>
      <c r="F66" s="5562"/>
      <c r="G66" s="5563"/>
      <c r="H66" s="5562"/>
      <c r="I66" s="5563"/>
      <c r="J66" s="5562"/>
      <c r="K66" s="5563"/>
      <c r="L66" s="5564"/>
      <c r="M66" s="5565"/>
      <c r="N66" s="5566"/>
      <c r="CB66" s="600"/>
    </row>
    <row r="67" spans="1:87" x14ac:dyDescent="0.3">
      <c r="A67" s="6240">
        <v>11061340</v>
      </c>
      <c r="B67" s="5236" t="s">
        <v>2812</v>
      </c>
      <c r="C67" s="5567" t="s">
        <v>5292</v>
      </c>
      <c r="D67" s="5201" t="s">
        <v>5293</v>
      </c>
      <c r="E67" s="5201" t="s">
        <v>5294</v>
      </c>
      <c r="F67" s="5201" t="s">
        <v>5295</v>
      </c>
      <c r="G67" s="5201" t="s">
        <v>5296</v>
      </c>
      <c r="H67" s="5201" t="s">
        <v>5297</v>
      </c>
      <c r="I67" s="5201" t="s">
        <v>5298</v>
      </c>
      <c r="J67" s="5201" t="s">
        <v>5299</v>
      </c>
      <c r="K67" s="5201" t="s">
        <v>5300</v>
      </c>
      <c r="L67" s="5570" t="s">
        <v>5301</v>
      </c>
      <c r="M67" s="5571" t="s">
        <v>5302</v>
      </c>
      <c r="N67" s="5572" t="s">
        <v>5303</v>
      </c>
      <c r="O67" s="1687" t="str">
        <f t="shared" si="27"/>
        <v xml:space="preserve"> * La variable Pueblos Originarios no puede ser mayor al Total. * La variable Migrantes no puede ser mayor al Total.</v>
      </c>
      <c r="CB67" s="3146" t="str">
        <f>IF(AND(C67&gt;0,M67="")," No olvide digitar la variable Pueblos Originarios. Digite cero si no tiene.",IF(M67&gt;C67," * La variable Pueblos Originarios no puede ser mayor al Total.",""))</f>
        <v xml:space="preserve"> * La variable Pueblos Originarios no puede ser mayor al Total.</v>
      </c>
      <c r="CC67" s="3146" t="str">
        <f t="shared" ref="CC67:CC68" si="28">IF(AND(C67&gt;0,N67="")," No olvide digitar la variable Migrantes. Digite cero si no tiene.",IF(N67&gt;C67," * La variable Migrantes no puede ser mayor al Total.",""))</f>
        <v xml:space="preserve"> * La variable Migrantes no puede ser mayor al Total.</v>
      </c>
      <c r="CD67" s="628"/>
      <c r="CE67" s="628"/>
      <c r="CF67" s="628"/>
      <c r="CG67" s="628"/>
      <c r="CH67" s="2920">
        <f>IF(AND(C67&gt;0,M67=""),1,IF(M67&gt;C67,1,0))</f>
        <v>1</v>
      </c>
      <c r="CI67" s="2920">
        <f>IF(AND(C67&gt;0,N67=""),1,IF(N67&gt;C67,1,0))</f>
        <v>1</v>
      </c>
    </row>
    <row r="68" spans="1:87" x14ac:dyDescent="0.3">
      <c r="A68" s="6240">
        <v>11061350</v>
      </c>
      <c r="B68" s="3583" t="s">
        <v>2813</v>
      </c>
      <c r="C68" s="5568" t="s">
        <v>5292</v>
      </c>
      <c r="D68" s="288" t="s">
        <v>5293</v>
      </c>
      <c r="E68" s="288" t="s">
        <v>5294</v>
      </c>
      <c r="F68" s="288" t="s">
        <v>5295</v>
      </c>
      <c r="G68" s="288" t="s">
        <v>5296</v>
      </c>
      <c r="H68" s="288" t="s">
        <v>5297</v>
      </c>
      <c r="I68" s="288" t="s">
        <v>5298</v>
      </c>
      <c r="J68" s="288" t="s">
        <v>5299</v>
      </c>
      <c r="K68" s="288" t="s">
        <v>5300</v>
      </c>
      <c r="L68" s="3494" t="s">
        <v>5301</v>
      </c>
      <c r="M68" s="5573" t="s">
        <v>5302</v>
      </c>
      <c r="N68" s="5559" t="s">
        <v>5303</v>
      </c>
      <c r="O68" s="1687" t="str">
        <f t="shared" si="27"/>
        <v xml:space="preserve"> * La variable Pueblos Originarios no puede ser mayor al Total. * La variable Migrantes no puede ser mayor al Total.</v>
      </c>
      <c r="CB68" s="3146" t="str">
        <f>IF(AND(C68&gt;0,M68="")," No olvide digitar la variable Pueblos Originarios. Digite cero si no tiene.",IF(M68&gt;C68," * La variable Pueblos Originarios no puede ser mayor al Total.",""))</f>
        <v xml:space="preserve"> * La variable Pueblos Originarios no puede ser mayor al Total.</v>
      </c>
      <c r="CC68" s="3146" t="str">
        <f t="shared" si="28"/>
        <v xml:space="preserve"> * La variable Migrantes no puede ser mayor al Total.</v>
      </c>
      <c r="CD68" s="628"/>
      <c r="CE68" s="628"/>
      <c r="CF68" s="628"/>
      <c r="CG68" s="628"/>
      <c r="CH68" s="2920">
        <f>IF(AND(C68&gt;0,M68=""),1,IF(M68&gt;C68,1,0))</f>
        <v>1</v>
      </c>
      <c r="CI68" s="2920">
        <f>IF(AND(C68&gt;0,N68=""),1,IF(N68&gt;C68,1,0))</f>
        <v>1</v>
      </c>
    </row>
    <row r="69" spans="1:87" ht="20.399999999999999" x14ac:dyDescent="0.3">
      <c r="A69" s="6276"/>
      <c r="B69" s="5560" t="s">
        <v>3787</v>
      </c>
      <c r="C69" s="5561"/>
      <c r="D69" s="5562"/>
      <c r="E69" s="5563"/>
      <c r="F69" s="5562"/>
      <c r="G69" s="5563"/>
      <c r="H69" s="5562"/>
      <c r="I69" s="5563"/>
      <c r="J69" s="5562"/>
      <c r="K69" s="5563"/>
      <c r="L69" s="5564"/>
      <c r="M69" s="5569"/>
      <c r="N69" s="5566"/>
      <c r="CB69" s="600"/>
    </row>
    <row r="70" spans="1:87" x14ac:dyDescent="0.3">
      <c r="A70" s="6240">
        <v>11061360</v>
      </c>
      <c r="B70" s="5574" t="s">
        <v>2814</v>
      </c>
      <c r="C70" s="5575" t="s">
        <v>5292</v>
      </c>
      <c r="D70" s="5571" t="s">
        <v>5293</v>
      </c>
      <c r="E70" s="5571" t="s">
        <v>5294</v>
      </c>
      <c r="F70" s="5571" t="s">
        <v>5295</v>
      </c>
      <c r="G70" s="5571" t="s">
        <v>5296</v>
      </c>
      <c r="H70" s="5571" t="s">
        <v>5297</v>
      </c>
      <c r="I70" s="5571" t="s">
        <v>5298</v>
      </c>
      <c r="J70" s="5571" t="s">
        <v>5299</v>
      </c>
      <c r="K70" s="5571" t="s">
        <v>5300</v>
      </c>
      <c r="L70" s="5570" t="s">
        <v>5301</v>
      </c>
      <c r="M70" s="5571" t="s">
        <v>5302</v>
      </c>
      <c r="N70" s="5572" t="s">
        <v>5303</v>
      </c>
      <c r="O70" s="1687" t="str">
        <f t="shared" si="27"/>
        <v xml:space="preserve"> * La variable Pueblos Originarios no puede ser mayor al Total. * La variable Migrantes no puede ser mayor al Total.</v>
      </c>
      <c r="CB70" s="3146" t="str">
        <f>IF(AND(C70&gt;0,M70="")," No olvide digitar la variable Pueblos Originarios. Digite cero si no tiene.",IF(M70&gt;C70," * La variable Pueblos Originarios no puede ser mayor al Total.",""))</f>
        <v xml:space="preserve"> * La variable Pueblos Originarios no puede ser mayor al Total.</v>
      </c>
      <c r="CC70" s="3146" t="str">
        <f t="shared" ref="CC70:CC71" si="29">IF(AND(C70&gt;0,N70="")," No olvide digitar la variable Migrantes. Digite cero si no tiene.",IF(N70&gt;C70," * La variable Migrantes no puede ser mayor al Total.",""))</f>
        <v xml:space="preserve"> * La variable Migrantes no puede ser mayor al Total.</v>
      </c>
      <c r="CD70" s="628"/>
      <c r="CE70" s="628"/>
      <c r="CF70" s="628"/>
      <c r="CG70" s="628"/>
      <c r="CH70" s="2920">
        <f t="shared" ref="CH70:CH71" si="30">IF(AND(C70&gt;0,M70=""),1,IF(M70&gt;C70,1,0))</f>
        <v>1</v>
      </c>
      <c r="CI70" s="2920">
        <f t="shared" ref="CI70:CI71" si="31">IF(AND(C70&gt;0,N70=""),1,IF(N70&gt;C70,1,0))</f>
        <v>1</v>
      </c>
    </row>
    <row r="71" spans="1:87" x14ac:dyDescent="0.3">
      <c r="A71" s="6240">
        <v>11061370</v>
      </c>
      <c r="B71" s="3583" t="s">
        <v>2815</v>
      </c>
      <c r="C71" s="5568" t="s">
        <v>5292</v>
      </c>
      <c r="D71" s="288" t="s">
        <v>5293</v>
      </c>
      <c r="E71" s="288" t="s">
        <v>5294</v>
      </c>
      <c r="F71" s="288" t="s">
        <v>5295</v>
      </c>
      <c r="G71" s="288" t="s">
        <v>5296</v>
      </c>
      <c r="H71" s="288" t="s">
        <v>5297</v>
      </c>
      <c r="I71" s="288" t="s">
        <v>5298</v>
      </c>
      <c r="J71" s="288" t="s">
        <v>5299</v>
      </c>
      <c r="K71" s="288" t="s">
        <v>5300</v>
      </c>
      <c r="L71" s="3494" t="s">
        <v>5301</v>
      </c>
      <c r="M71" s="288" t="s">
        <v>5302</v>
      </c>
      <c r="N71" s="3724" t="s">
        <v>5303</v>
      </c>
      <c r="O71" s="1687" t="str">
        <f t="shared" si="27"/>
        <v xml:space="preserve"> * La variable Pueblos Originarios no puede ser mayor al Total. * La variable Migrantes no puede ser mayor al Total.</v>
      </c>
      <c r="CB71" s="3146" t="str">
        <f>IF(AND(C71&gt;0,M71="")," No olvide digitar la variable Pueblos Originarios. Digite cero si no tiene.",IF(M71&gt;C71," * La variable Pueblos Originarios no puede ser mayor al Total.",""))</f>
        <v xml:space="preserve"> * La variable Pueblos Originarios no puede ser mayor al Total.</v>
      </c>
      <c r="CC71" s="3146" t="str">
        <f t="shared" si="29"/>
        <v xml:space="preserve"> * La variable Migrantes no puede ser mayor al Total.</v>
      </c>
      <c r="CD71" s="628"/>
      <c r="CE71" s="628"/>
      <c r="CF71" s="628"/>
      <c r="CG71" s="628"/>
      <c r="CH71" s="2920">
        <f t="shared" si="30"/>
        <v>1</v>
      </c>
      <c r="CI71" s="2920">
        <f t="shared" si="31"/>
        <v>1</v>
      </c>
    </row>
    <row r="72" spans="1:87" ht="20.399999999999999" x14ac:dyDescent="0.3">
      <c r="A72" s="6276"/>
      <c r="B72" s="4533" t="s">
        <v>3788</v>
      </c>
      <c r="C72" s="4544"/>
      <c r="D72" s="4534"/>
      <c r="E72" s="4543"/>
      <c r="F72" s="4534"/>
      <c r="G72" s="4543"/>
      <c r="H72" s="4534"/>
      <c r="I72" s="4543"/>
      <c r="J72" s="4534"/>
      <c r="K72" s="4543"/>
      <c r="L72" s="4541"/>
      <c r="M72" s="4543"/>
      <c r="N72" s="4536"/>
      <c r="CB72" s="600"/>
    </row>
    <row r="73" spans="1:87" x14ac:dyDescent="0.3">
      <c r="A73" s="6240">
        <v>11061380</v>
      </c>
      <c r="B73" s="3568" t="s">
        <v>3893</v>
      </c>
      <c r="C73" s="3594" t="s">
        <v>5292</v>
      </c>
      <c r="D73" s="3595" t="s">
        <v>5293</v>
      </c>
      <c r="E73" s="3595" t="s">
        <v>5294</v>
      </c>
      <c r="F73" s="3595" t="s">
        <v>5295</v>
      </c>
      <c r="G73" s="3595" t="s">
        <v>5296</v>
      </c>
      <c r="H73" s="3595" t="s">
        <v>5297</v>
      </c>
      <c r="I73" s="3595" t="s">
        <v>5298</v>
      </c>
      <c r="J73" s="3595" t="s">
        <v>5299</v>
      </c>
      <c r="K73" s="3595" t="s">
        <v>5300</v>
      </c>
      <c r="L73" s="3596" t="s">
        <v>5301</v>
      </c>
      <c r="M73" s="3595" t="s">
        <v>5302</v>
      </c>
      <c r="N73" s="3507" t="s">
        <v>5303</v>
      </c>
      <c r="O73" s="1687" t="str">
        <f t="shared" si="27"/>
        <v xml:space="preserve"> * La variable Pueblos Originarios no puede ser mayor al Total. * La variable Migrantes no puede ser mayor al Total.</v>
      </c>
      <c r="CB73" s="3146" t="str">
        <f>IF(AND(C73&gt;0,M73="")," No olvide digitar la variable Pueblos Originarios. Digite cero si no tiene.",IF(M73&gt;C73," * La variable Pueblos Originarios no puede ser mayor al Total.",""))</f>
        <v xml:space="preserve"> * La variable Pueblos Originarios no puede ser mayor al Total.</v>
      </c>
      <c r="CC73" s="3146" t="str">
        <f>IF(AND(C73&gt;0,N73="")," No olvide digitar la variable Migrantes. Digite cero si no tiene.",IF(N73&gt;C73," * La variable Migrantes no puede ser mayor al Total.",""))</f>
        <v xml:space="preserve"> * La variable Migrantes no puede ser mayor al Total.</v>
      </c>
      <c r="CD73" s="628"/>
      <c r="CE73" s="628"/>
      <c r="CF73" s="628"/>
      <c r="CG73" s="628"/>
      <c r="CH73" s="2920">
        <f>IF(AND(C73&gt;0,M73=""),1,IF(M73&gt;C73,1,0))</f>
        <v>1</v>
      </c>
      <c r="CI73" s="2920">
        <f>IF(AND(C73&gt;0,N73=""),1,IF(N73&gt;C73,1,0))</f>
        <v>1</v>
      </c>
    </row>
    <row r="74" spans="1:87" ht="18" customHeight="1" x14ac:dyDescent="0.3">
      <c r="A74" s="628"/>
      <c r="B74" s="7635" t="s">
        <v>3892</v>
      </c>
      <c r="C74" s="7635"/>
      <c r="D74" s="7635"/>
      <c r="E74" s="7635"/>
      <c r="F74" s="7635"/>
      <c r="G74" s="7635"/>
      <c r="H74" s="7635"/>
      <c r="I74" s="7635"/>
      <c r="J74" s="7635"/>
      <c r="K74" s="7635"/>
      <c r="L74" s="7635"/>
      <c r="CB74" s="600"/>
    </row>
    <row r="75" spans="1:87" x14ac:dyDescent="0.3">
      <c r="A75" s="6275"/>
      <c r="B75" s="7640"/>
      <c r="C75" s="7642" t="s">
        <v>24</v>
      </c>
      <c r="D75" s="7644" t="s">
        <v>12</v>
      </c>
      <c r="E75" s="7644"/>
      <c r="F75" s="7644"/>
      <c r="G75" s="7644"/>
      <c r="H75" s="7644"/>
      <c r="I75" s="7644"/>
      <c r="J75" s="7644"/>
      <c r="K75" s="7644"/>
      <c r="L75" s="7645"/>
      <c r="M75" s="7636" t="s">
        <v>2</v>
      </c>
      <c r="N75" s="7638" t="s">
        <v>3</v>
      </c>
      <c r="CB75" s="600"/>
    </row>
    <row r="76" spans="1:87" x14ac:dyDescent="0.3">
      <c r="A76" s="6275"/>
      <c r="B76" s="7641"/>
      <c r="C76" s="7643"/>
      <c r="D76" s="4547" t="s">
        <v>38</v>
      </c>
      <c r="E76" s="4527" t="s">
        <v>4</v>
      </c>
      <c r="F76" s="4527" t="s">
        <v>5</v>
      </c>
      <c r="G76" s="4527" t="s">
        <v>6</v>
      </c>
      <c r="H76" s="4527" t="s">
        <v>7</v>
      </c>
      <c r="I76" s="4527" t="s">
        <v>8</v>
      </c>
      <c r="J76" s="4527" t="s">
        <v>9</v>
      </c>
      <c r="K76" s="4527" t="s">
        <v>10</v>
      </c>
      <c r="L76" s="4548" t="s">
        <v>11</v>
      </c>
      <c r="M76" s="7637"/>
      <c r="N76" s="7639"/>
      <c r="CB76" s="600"/>
    </row>
    <row r="77" spans="1:87" ht="22.5" customHeight="1" x14ac:dyDescent="0.3">
      <c r="A77" s="6276"/>
      <c r="B77" s="4556" t="s">
        <v>3784</v>
      </c>
      <c r="C77" s="4545"/>
      <c r="D77" s="4539"/>
      <c r="E77" s="4539"/>
      <c r="F77" s="4539"/>
      <c r="G77" s="4539"/>
      <c r="H77" s="4539"/>
      <c r="I77" s="4539"/>
      <c r="J77" s="4539"/>
      <c r="K77" s="4539"/>
      <c r="L77" s="4537"/>
      <c r="M77" s="4542"/>
      <c r="N77" s="4520"/>
      <c r="CB77" s="600"/>
    </row>
    <row r="78" spans="1:87" x14ac:dyDescent="0.3">
      <c r="A78" s="6240">
        <v>11061390</v>
      </c>
      <c r="B78" s="3578" t="s">
        <v>2816</v>
      </c>
      <c r="C78" s="1894" t="s">
        <v>5292</v>
      </c>
      <c r="D78" s="612" t="s">
        <v>5293</v>
      </c>
      <c r="E78" s="612" t="s">
        <v>5294</v>
      </c>
      <c r="F78" s="612" t="s">
        <v>5295</v>
      </c>
      <c r="G78" s="612" t="s">
        <v>5296</v>
      </c>
      <c r="H78" s="612" t="s">
        <v>5297</v>
      </c>
      <c r="I78" s="612" t="s">
        <v>5298</v>
      </c>
      <c r="J78" s="612" t="s">
        <v>5299</v>
      </c>
      <c r="K78" s="612" t="s">
        <v>5300</v>
      </c>
      <c r="L78" s="614" t="s">
        <v>5301</v>
      </c>
      <c r="M78" s="612" t="s">
        <v>5302</v>
      </c>
      <c r="N78" s="4522" t="s">
        <v>5303</v>
      </c>
      <c r="O78" s="1687" t="str">
        <f t="shared" ref="O78:O88" si="32">$CB78&amp;$CC78</f>
        <v xml:space="preserve"> * La variable Pueblos Originarios no puede ser mayor al Total. * La variable Migrantes no puede ser mayor al Total.</v>
      </c>
      <c r="CB78" s="3146" t="str">
        <f>IF(AND(C78&gt;0,M78="")," No olvide digitar la variable Pueblos Originarios. Digite cero si no tiene.",IF(M78&gt;C78," * La variable Pueblos Originarios no puede ser mayor al Total.",""))</f>
        <v xml:space="preserve"> * La variable Pueblos Originarios no puede ser mayor al Total.</v>
      </c>
      <c r="CC78" s="3146" t="str">
        <f t="shared" ref="CC78:CC80" si="33">IF(AND(C78&gt;0,N78="")," No olvide digitar la variable Migrantes. Digite cero si no tiene.",IF(N78&gt;C78," * La variable Migrantes no puede ser mayor al Total.",""))</f>
        <v xml:space="preserve"> * La variable Migrantes no puede ser mayor al Total.</v>
      </c>
      <c r="CD78" s="628"/>
      <c r="CE78" s="628"/>
      <c r="CF78" s="628"/>
      <c r="CG78" s="628"/>
      <c r="CH78" s="2920">
        <f t="shared" ref="CH78:CH80" si="34">IF(AND(C78&gt;0,M78=""),1,IF(M78&gt;C78,1,0))</f>
        <v>1</v>
      </c>
      <c r="CI78" s="2920">
        <f t="shared" ref="CI78:CI80" si="35">IF(AND(C78&gt;0,N78=""),1,IF(N78&gt;C78,1,0))</f>
        <v>1</v>
      </c>
    </row>
    <row r="79" spans="1:87" x14ac:dyDescent="0.3">
      <c r="A79" s="6240">
        <v>11061400</v>
      </c>
      <c r="B79" s="3578" t="s">
        <v>2817</v>
      </c>
      <c r="C79" s="1894" t="s">
        <v>5292</v>
      </c>
      <c r="D79" s="612" t="s">
        <v>5293</v>
      </c>
      <c r="E79" s="612" t="s">
        <v>5294</v>
      </c>
      <c r="F79" s="612" t="s">
        <v>5295</v>
      </c>
      <c r="G79" s="612" t="s">
        <v>5296</v>
      </c>
      <c r="H79" s="612" t="s">
        <v>5297</v>
      </c>
      <c r="I79" s="612" t="s">
        <v>5298</v>
      </c>
      <c r="J79" s="612" t="s">
        <v>5299</v>
      </c>
      <c r="K79" s="612" t="s">
        <v>5300</v>
      </c>
      <c r="L79" s="614" t="s">
        <v>5301</v>
      </c>
      <c r="M79" s="612" t="s">
        <v>5302</v>
      </c>
      <c r="N79" s="4522" t="s">
        <v>5303</v>
      </c>
      <c r="O79" s="1687" t="str">
        <f t="shared" si="32"/>
        <v xml:space="preserve"> * La variable Pueblos Originarios no puede ser mayor al Total. * La variable Migrantes no puede ser mayor al Total.</v>
      </c>
      <c r="CB79" s="3146" t="str">
        <f t="shared" ref="CB79:CB80" si="36">IF(AND(C79&gt;0,M79="")," No olvide digitar la variable Pueblos Originarios. Digite cero si no tiene.",IF(M79&gt;C79," * La variable Pueblos Originarios no puede ser mayor al Total.",""))</f>
        <v xml:space="preserve"> * La variable Pueblos Originarios no puede ser mayor al Total.</v>
      </c>
      <c r="CC79" s="3146" t="str">
        <f t="shared" si="33"/>
        <v xml:space="preserve"> * La variable Migrantes no puede ser mayor al Total.</v>
      </c>
      <c r="CD79" s="628"/>
      <c r="CE79" s="628"/>
      <c r="CF79" s="628"/>
      <c r="CG79" s="628"/>
      <c r="CH79" s="2920">
        <f t="shared" si="34"/>
        <v>1</v>
      </c>
      <c r="CI79" s="2920">
        <f t="shared" si="35"/>
        <v>1</v>
      </c>
    </row>
    <row r="80" spans="1:87" ht="20.399999999999999" x14ac:dyDescent="0.3">
      <c r="A80" s="6240">
        <v>11061410</v>
      </c>
      <c r="B80" s="3597" t="s">
        <v>2818</v>
      </c>
      <c r="C80" s="631" t="s">
        <v>5292</v>
      </c>
      <c r="D80" s="288" t="s">
        <v>5293</v>
      </c>
      <c r="E80" s="288" t="s">
        <v>5294</v>
      </c>
      <c r="F80" s="288" t="s">
        <v>5295</v>
      </c>
      <c r="G80" s="288" t="s">
        <v>5296</v>
      </c>
      <c r="H80" s="288" t="s">
        <v>5297</v>
      </c>
      <c r="I80" s="288" t="s">
        <v>5298</v>
      </c>
      <c r="J80" s="288" t="s">
        <v>5299</v>
      </c>
      <c r="K80" s="288" t="s">
        <v>5300</v>
      </c>
      <c r="L80" s="3494" t="s">
        <v>5301</v>
      </c>
      <c r="M80" s="288" t="s">
        <v>5302</v>
      </c>
      <c r="N80" s="3724" t="s">
        <v>5303</v>
      </c>
      <c r="O80" s="1687" t="str">
        <f t="shared" si="32"/>
        <v xml:space="preserve"> * La variable Pueblos Originarios no puede ser mayor al Total. * La variable Migrantes no puede ser mayor al Total.</v>
      </c>
      <c r="CB80" s="3146" t="str">
        <f t="shared" si="36"/>
        <v xml:space="preserve"> * La variable Pueblos Originarios no puede ser mayor al Total.</v>
      </c>
      <c r="CC80" s="3146" t="str">
        <f t="shared" si="33"/>
        <v xml:space="preserve"> * La variable Migrantes no puede ser mayor al Total.</v>
      </c>
      <c r="CD80" s="628"/>
      <c r="CE80" s="628"/>
      <c r="CF80" s="628"/>
      <c r="CG80" s="628"/>
      <c r="CH80" s="2920">
        <f t="shared" si="34"/>
        <v>1</v>
      </c>
      <c r="CI80" s="2920">
        <f t="shared" si="35"/>
        <v>1</v>
      </c>
    </row>
    <row r="81" spans="1:87" ht="21" customHeight="1" x14ac:dyDescent="0.3">
      <c r="A81" s="6276"/>
      <c r="B81" s="5576" t="s">
        <v>3789</v>
      </c>
      <c r="C81" s="5577"/>
      <c r="D81" s="5565"/>
      <c r="E81" s="5565"/>
      <c r="F81" s="5565"/>
      <c r="G81" s="5565"/>
      <c r="H81" s="5565"/>
      <c r="I81" s="5565"/>
      <c r="J81" s="5565"/>
      <c r="K81" s="5565"/>
      <c r="L81" s="5578"/>
      <c r="M81" s="5565"/>
      <c r="N81" s="5566"/>
      <c r="CB81" s="600"/>
    </row>
    <row r="82" spans="1:87" x14ac:dyDescent="0.3">
      <c r="A82" s="6240">
        <v>11061420</v>
      </c>
      <c r="B82" s="3578" t="s">
        <v>2816</v>
      </c>
      <c r="C82" s="1894" t="s">
        <v>5292</v>
      </c>
      <c r="D82" s="612" t="s">
        <v>5293</v>
      </c>
      <c r="E82" s="612" t="s">
        <v>5294</v>
      </c>
      <c r="F82" s="612" t="s">
        <v>5295</v>
      </c>
      <c r="G82" s="612" t="s">
        <v>5296</v>
      </c>
      <c r="H82" s="612" t="s">
        <v>5297</v>
      </c>
      <c r="I82" s="612" t="s">
        <v>5298</v>
      </c>
      <c r="J82" s="612" t="s">
        <v>5299</v>
      </c>
      <c r="K82" s="612" t="s">
        <v>5300</v>
      </c>
      <c r="L82" s="614" t="s">
        <v>5301</v>
      </c>
      <c r="M82" s="612" t="s">
        <v>5302</v>
      </c>
      <c r="N82" s="4522" t="s">
        <v>5303</v>
      </c>
      <c r="O82" s="1687" t="str">
        <f t="shared" si="32"/>
        <v xml:space="preserve"> * La variable Pueblos Originarios no puede ser mayor al Total. * La variable Migrantes no puede ser mayor al Total.</v>
      </c>
      <c r="CB82" s="3146" t="str">
        <f>IF(AND(C82&gt;0,M82="")," No olvide digitar la variable Pueblos Originarios. Digite cero si no tiene.",IF(M82&gt;C82," * La variable Pueblos Originarios no puede ser mayor al Total.",""))</f>
        <v xml:space="preserve"> * La variable Pueblos Originarios no puede ser mayor al Total.</v>
      </c>
      <c r="CC82" s="3146" t="str">
        <f t="shared" ref="CC82:CC84" si="37">IF(AND(C82&gt;0,N82="")," No olvide digitar la variable Migrantes. Digite cero si no tiene.",IF(N82&gt;C82," * La variable Migrantes no puede ser mayor al Total.",""))</f>
        <v xml:space="preserve"> * La variable Migrantes no puede ser mayor al Total.</v>
      </c>
      <c r="CD82" s="628"/>
      <c r="CE82" s="628"/>
      <c r="CF82" s="628"/>
      <c r="CG82" s="628"/>
      <c r="CH82" s="2920">
        <f t="shared" ref="CH82:CH84" si="38">IF(AND(C82&gt;0,M82=""),1,IF(M82&gt;C82,1,0))</f>
        <v>1</v>
      </c>
      <c r="CI82" s="2920">
        <f t="shared" ref="CI82:CI84" si="39">IF(AND(C82&gt;0,N82=""),1,IF(N82&gt;C82,1,0))</f>
        <v>1</v>
      </c>
    </row>
    <row r="83" spans="1:87" x14ac:dyDescent="0.3">
      <c r="A83" s="6240">
        <v>11061430</v>
      </c>
      <c r="B83" s="3578" t="s">
        <v>2817</v>
      </c>
      <c r="C83" s="1894" t="s">
        <v>5292</v>
      </c>
      <c r="D83" s="612" t="s">
        <v>5293</v>
      </c>
      <c r="E83" s="612" t="s">
        <v>5294</v>
      </c>
      <c r="F83" s="612" t="s">
        <v>5295</v>
      </c>
      <c r="G83" s="612" t="s">
        <v>5296</v>
      </c>
      <c r="H83" s="612" t="s">
        <v>5297</v>
      </c>
      <c r="I83" s="612" t="s">
        <v>5298</v>
      </c>
      <c r="J83" s="612" t="s">
        <v>5299</v>
      </c>
      <c r="K83" s="612" t="s">
        <v>5300</v>
      </c>
      <c r="L83" s="614" t="s">
        <v>5301</v>
      </c>
      <c r="M83" s="612" t="s">
        <v>5302</v>
      </c>
      <c r="N83" s="4522" t="s">
        <v>5303</v>
      </c>
      <c r="O83" s="1687" t="str">
        <f t="shared" si="32"/>
        <v xml:space="preserve"> * La variable Pueblos Originarios no puede ser mayor al Total. * La variable Migrantes no puede ser mayor al Total.</v>
      </c>
      <c r="CB83" s="3146" t="str">
        <f t="shared" ref="CB83:CB84" si="40">IF(AND(C83&gt;0,M83="")," No olvide digitar la variable Pueblos Originarios. Digite cero si no tiene.",IF(M83&gt;C83," * La variable Pueblos Originarios no puede ser mayor al Total.",""))</f>
        <v xml:space="preserve"> * La variable Pueblos Originarios no puede ser mayor al Total.</v>
      </c>
      <c r="CC83" s="3146" t="str">
        <f t="shared" si="37"/>
        <v xml:space="preserve"> * La variable Migrantes no puede ser mayor al Total.</v>
      </c>
      <c r="CD83" s="628"/>
      <c r="CE83" s="628"/>
      <c r="CF83" s="628"/>
      <c r="CG83" s="628"/>
      <c r="CH83" s="2920">
        <f t="shared" si="38"/>
        <v>1</v>
      </c>
      <c r="CI83" s="2920">
        <f t="shared" si="39"/>
        <v>1</v>
      </c>
    </row>
    <row r="84" spans="1:87" ht="20.399999999999999" x14ac:dyDescent="0.3">
      <c r="A84" s="6240">
        <v>11061440</v>
      </c>
      <c r="B84" s="3597" t="s">
        <v>2818</v>
      </c>
      <c r="C84" s="631" t="s">
        <v>5292</v>
      </c>
      <c r="D84" s="288" t="s">
        <v>5293</v>
      </c>
      <c r="E84" s="288" t="s">
        <v>5294</v>
      </c>
      <c r="F84" s="288" t="s">
        <v>5295</v>
      </c>
      <c r="G84" s="288" t="s">
        <v>5296</v>
      </c>
      <c r="H84" s="288" t="s">
        <v>5297</v>
      </c>
      <c r="I84" s="288" t="s">
        <v>5298</v>
      </c>
      <c r="J84" s="288" t="s">
        <v>5299</v>
      </c>
      <c r="K84" s="288" t="s">
        <v>5300</v>
      </c>
      <c r="L84" s="3494" t="s">
        <v>5301</v>
      </c>
      <c r="M84" s="288" t="s">
        <v>5302</v>
      </c>
      <c r="N84" s="3724" t="s">
        <v>5303</v>
      </c>
      <c r="O84" s="1687" t="str">
        <f t="shared" si="32"/>
        <v xml:space="preserve"> * La variable Pueblos Originarios no puede ser mayor al Total. * La variable Migrantes no puede ser mayor al Total.</v>
      </c>
      <c r="CB84" s="3146" t="str">
        <f t="shared" si="40"/>
        <v xml:space="preserve"> * La variable Pueblos Originarios no puede ser mayor al Total.</v>
      </c>
      <c r="CC84" s="3146" t="str">
        <f t="shared" si="37"/>
        <v xml:space="preserve"> * La variable Migrantes no puede ser mayor al Total.</v>
      </c>
      <c r="CD84" s="628"/>
      <c r="CE84" s="628"/>
      <c r="CF84" s="628"/>
      <c r="CG84" s="628"/>
      <c r="CH84" s="2920">
        <f t="shared" si="38"/>
        <v>1</v>
      </c>
      <c r="CI84" s="2920">
        <f t="shared" si="39"/>
        <v>1</v>
      </c>
    </row>
    <row r="85" spans="1:87" ht="21" customHeight="1" x14ac:dyDescent="0.3">
      <c r="A85" s="6276"/>
      <c r="B85" s="4557" t="s">
        <v>3790</v>
      </c>
      <c r="C85" s="4546"/>
      <c r="D85" s="4543"/>
      <c r="E85" s="4543"/>
      <c r="F85" s="4543"/>
      <c r="G85" s="4543"/>
      <c r="H85" s="4543"/>
      <c r="I85" s="4543"/>
      <c r="J85" s="4543"/>
      <c r="K85" s="4543"/>
      <c r="L85" s="4535"/>
      <c r="M85" s="4543"/>
      <c r="N85" s="4536"/>
      <c r="CB85" s="600"/>
    </row>
    <row r="86" spans="1:87" x14ac:dyDescent="0.3">
      <c r="A86" s="6240">
        <v>11061450</v>
      </c>
      <c r="B86" s="3578" t="s">
        <v>2816</v>
      </c>
      <c r="C86" s="1894" t="s">
        <v>5292</v>
      </c>
      <c r="D86" s="612" t="s">
        <v>5293</v>
      </c>
      <c r="E86" s="612" t="s">
        <v>5294</v>
      </c>
      <c r="F86" s="612" t="s">
        <v>5295</v>
      </c>
      <c r="G86" s="612" t="s">
        <v>5296</v>
      </c>
      <c r="H86" s="612" t="s">
        <v>5297</v>
      </c>
      <c r="I86" s="612" t="s">
        <v>5298</v>
      </c>
      <c r="J86" s="612" t="s">
        <v>5299</v>
      </c>
      <c r="K86" s="612" t="s">
        <v>5300</v>
      </c>
      <c r="L86" s="614" t="s">
        <v>5301</v>
      </c>
      <c r="M86" s="612" t="s">
        <v>5302</v>
      </c>
      <c r="N86" s="280" t="s">
        <v>5303</v>
      </c>
      <c r="O86" s="1687" t="str">
        <f t="shared" si="32"/>
        <v xml:space="preserve"> * La variable Pueblos Originarios no puede ser mayor al Total. * La variable Migrantes no puede ser mayor al Total.</v>
      </c>
      <c r="CB86" s="3146" t="str">
        <f>IF(AND(C86&gt;0,M86="")," No olvide digitar la variable Pueblos Originarios. Digite cero si no tiene.",IF(M86&gt;C86," * La variable Pueblos Originarios no puede ser mayor al Total.",""))</f>
        <v xml:space="preserve"> * La variable Pueblos Originarios no puede ser mayor al Total.</v>
      </c>
      <c r="CC86" s="3146" t="str">
        <f t="shared" ref="CC86:CC88" si="41">IF(AND(C86&gt;0,N86="")," No olvide digitar la variable Migrantes. Digite cero si no tiene.",IF(N86&gt;C86," * La variable Migrantes no puede ser mayor al Total.",""))</f>
        <v xml:space="preserve"> * La variable Migrantes no puede ser mayor al Total.</v>
      </c>
      <c r="CD86" s="628"/>
      <c r="CE86" s="628"/>
      <c r="CF86" s="628"/>
      <c r="CG86" s="628"/>
      <c r="CH86" s="2920">
        <f t="shared" ref="CH86:CH88" si="42">IF(AND(C86&gt;0,M86=""),1,IF(M86&gt;C86,1,0))</f>
        <v>1</v>
      </c>
      <c r="CI86" s="2920">
        <f t="shared" ref="CI86:CI88" si="43">IF(AND(C86&gt;0,N86=""),1,IF(N86&gt;C86,1,0))</f>
        <v>1</v>
      </c>
    </row>
    <row r="87" spans="1:87" x14ac:dyDescent="0.3">
      <c r="A87" s="6240">
        <v>11061460</v>
      </c>
      <c r="B87" s="3578" t="s">
        <v>2817</v>
      </c>
      <c r="C87" s="1894" t="s">
        <v>5292</v>
      </c>
      <c r="D87" s="612" t="s">
        <v>5293</v>
      </c>
      <c r="E87" s="612" t="s">
        <v>5294</v>
      </c>
      <c r="F87" s="612" t="s">
        <v>5295</v>
      </c>
      <c r="G87" s="612" t="s">
        <v>5296</v>
      </c>
      <c r="H87" s="612" t="s">
        <v>5297</v>
      </c>
      <c r="I87" s="612" t="s">
        <v>5298</v>
      </c>
      <c r="J87" s="612" t="s">
        <v>5299</v>
      </c>
      <c r="K87" s="612" t="s">
        <v>5300</v>
      </c>
      <c r="L87" s="614" t="s">
        <v>5301</v>
      </c>
      <c r="M87" s="612" t="s">
        <v>5302</v>
      </c>
      <c r="N87" s="280" t="s">
        <v>5303</v>
      </c>
      <c r="O87" s="1687" t="str">
        <f t="shared" si="32"/>
        <v xml:space="preserve"> * La variable Pueblos Originarios no puede ser mayor al Total. * La variable Migrantes no puede ser mayor al Total.</v>
      </c>
      <c r="CB87" s="3146" t="str">
        <f t="shared" ref="CB87:CB88" si="44">IF(AND(C87&gt;0,M87="")," No olvide digitar la variable Pueblos Originarios. Digite cero si no tiene.",IF(M87&gt;C87," * La variable Pueblos Originarios no puede ser mayor al Total.",""))</f>
        <v xml:space="preserve"> * La variable Pueblos Originarios no puede ser mayor al Total.</v>
      </c>
      <c r="CC87" s="3146" t="str">
        <f t="shared" si="41"/>
        <v xml:space="preserve"> * La variable Migrantes no puede ser mayor al Total.</v>
      </c>
      <c r="CD87" s="628"/>
      <c r="CE87" s="628"/>
      <c r="CF87" s="628"/>
      <c r="CG87" s="628"/>
      <c r="CH87" s="2920">
        <f t="shared" si="42"/>
        <v>1</v>
      </c>
      <c r="CI87" s="2920">
        <f t="shared" si="43"/>
        <v>1</v>
      </c>
    </row>
    <row r="88" spans="1:87" ht="20.399999999999999" x14ac:dyDescent="0.3">
      <c r="A88" s="6240">
        <v>11061470</v>
      </c>
      <c r="B88" s="3597" t="s">
        <v>2819</v>
      </c>
      <c r="C88" s="631" t="s">
        <v>5292</v>
      </c>
      <c r="D88" s="288" t="s">
        <v>5293</v>
      </c>
      <c r="E88" s="288" t="s">
        <v>5294</v>
      </c>
      <c r="F88" s="288" t="s">
        <v>5295</v>
      </c>
      <c r="G88" s="288" t="s">
        <v>5296</v>
      </c>
      <c r="H88" s="288" t="s">
        <v>5297</v>
      </c>
      <c r="I88" s="288" t="s">
        <v>5298</v>
      </c>
      <c r="J88" s="288" t="s">
        <v>5299</v>
      </c>
      <c r="K88" s="288" t="s">
        <v>5300</v>
      </c>
      <c r="L88" s="3494" t="s">
        <v>5301</v>
      </c>
      <c r="M88" s="3595" t="s">
        <v>5302</v>
      </c>
      <c r="N88" s="3507" t="s">
        <v>5303</v>
      </c>
      <c r="O88" s="1687" t="str">
        <f t="shared" si="32"/>
        <v xml:space="preserve"> * La variable Pueblos Originarios no puede ser mayor al Total. * La variable Migrantes no puede ser mayor al Total.</v>
      </c>
      <c r="CB88" s="3146" t="str">
        <f t="shared" si="44"/>
        <v xml:space="preserve"> * La variable Pueblos Originarios no puede ser mayor al Total.</v>
      </c>
      <c r="CC88" s="3146" t="str">
        <f t="shared" si="41"/>
        <v xml:space="preserve"> * La variable Migrantes no puede ser mayor al Total.</v>
      </c>
      <c r="CD88" s="628"/>
      <c r="CE88" s="628"/>
      <c r="CF88" s="628"/>
      <c r="CG88" s="628"/>
      <c r="CH88" s="2920">
        <f t="shared" si="42"/>
        <v>1</v>
      </c>
      <c r="CI88" s="2920">
        <f t="shared" si="43"/>
        <v>1</v>
      </c>
    </row>
    <row r="89" spans="1:87" ht="18" customHeight="1" x14ac:dyDescent="0.3">
      <c r="A89" s="628"/>
      <c r="B89" s="7634" t="s">
        <v>2820</v>
      </c>
      <c r="C89" s="7634"/>
      <c r="D89" s="7634"/>
      <c r="E89" s="7634"/>
      <c r="F89" s="7634"/>
      <c r="G89" s="7634"/>
      <c r="H89" s="7634"/>
      <c r="I89" s="7634"/>
      <c r="J89" s="7634"/>
      <c r="K89" s="7634"/>
      <c r="L89" s="7634"/>
      <c r="CB89" s="600"/>
    </row>
    <row r="90" spans="1:87" ht="20.399999999999999" x14ac:dyDescent="0.3">
      <c r="A90" s="6275"/>
      <c r="B90" s="3589"/>
      <c r="C90" s="3580" t="s">
        <v>24</v>
      </c>
      <c r="D90" s="3599" t="s">
        <v>2</v>
      </c>
      <c r="E90" s="3535" t="s">
        <v>3</v>
      </c>
      <c r="CB90" s="600"/>
    </row>
    <row r="91" spans="1:87" x14ac:dyDescent="0.3">
      <c r="A91" s="6240">
        <v>11061480</v>
      </c>
      <c r="B91" s="3569" t="s">
        <v>2821</v>
      </c>
      <c r="C91" s="3586" t="s">
        <v>5292</v>
      </c>
      <c r="D91" s="612" t="s">
        <v>5293</v>
      </c>
      <c r="E91" s="280" t="s">
        <v>5294</v>
      </c>
      <c r="F91" s="1687" t="str">
        <f>CB91&amp;CC91</f>
        <v xml:space="preserve"> * La variable Pueblos Originarios no puede ser mayor al Total. * La variable Migrantes no puede ser mayor al Total.</v>
      </c>
      <c r="CB91" s="3146" t="str">
        <f>IF(AND(C91&gt;0,D91="")," No olvide digitar la variable Pueblos Originarios. Digite cero si no tiene.",IF(D91&gt;C91," * La variable Pueblos Originarios no puede ser mayor al Total.",""))</f>
        <v xml:space="preserve"> * La variable Pueblos Originarios no puede ser mayor al Total.</v>
      </c>
      <c r="CC91" s="3146" t="str">
        <f>IF(AND(C91&gt;0,E91="")," No olvide digitar la variable Migrantes. Digite cero si no tiene.",IF(E91&gt;C91," * La variable Migrantes no puede ser mayor al Total.",""))</f>
        <v xml:space="preserve"> * La variable Migrantes no puede ser mayor al Total.</v>
      </c>
      <c r="CD91" s="628"/>
      <c r="CE91" s="628"/>
      <c r="CF91" s="628"/>
      <c r="CG91" s="628"/>
      <c r="CH91" s="2920">
        <f>IF(AND(C91&gt;0,D91=""),1,IF(D91&gt;C91,1,0))</f>
        <v>1</v>
      </c>
      <c r="CI91" s="2920">
        <f>IF(AND(C91&gt;0,E91=""),1,IF(E91&gt;C91,1,0))</f>
        <v>1</v>
      </c>
    </row>
    <row r="92" spans="1:87" ht="20.399999999999999" x14ac:dyDescent="0.3">
      <c r="A92" s="6240">
        <v>11061490</v>
      </c>
      <c r="B92" s="3597" t="s">
        <v>2822</v>
      </c>
      <c r="C92" s="3587" t="s">
        <v>5292</v>
      </c>
      <c r="D92" s="288" t="s">
        <v>5293</v>
      </c>
      <c r="E92" s="290" t="s">
        <v>5294</v>
      </c>
      <c r="F92" s="1687" t="str">
        <f>CB92&amp;CC92</f>
        <v xml:space="preserve"> * La variable Pueblos Originarios no puede ser mayor al Total. * La variable Migrantes no puede ser mayor al Total.</v>
      </c>
      <c r="CB92" s="3146" t="str">
        <f>IF(AND(C92&gt;0,D92="")," No olvide digitar la variable Pueblos Originarios. Digite cero si no tiene.",IF(D92&gt;C92," * La variable Pueblos Originarios no puede ser mayor al Total.",""))</f>
        <v xml:space="preserve"> * La variable Pueblos Originarios no puede ser mayor al Total.</v>
      </c>
      <c r="CC92" s="3146" t="str">
        <f>IF(AND(C92&gt;0,E92="")," No olvide digitar la variable Migrantes. Digite cero si no tiene.",IF(E92&gt;C92," * La variable Migrantes no puede ser mayor al Total.",""))</f>
        <v xml:space="preserve"> * La variable Migrantes no puede ser mayor al Total.</v>
      </c>
      <c r="CD92" s="628"/>
      <c r="CE92" s="628"/>
      <c r="CF92" s="628"/>
      <c r="CG92" s="628"/>
      <c r="CH92" s="2920">
        <f>IF(AND(C92&gt;0,D92=""),1,IF(D92&gt;C92,1,0))</f>
        <v>1</v>
      </c>
      <c r="CI92" s="2920">
        <f>IF(AND(C92&gt;0,E92=""),1,IF(E92&gt;C92,1,0))</f>
        <v>1</v>
      </c>
    </row>
    <row r="93" spans="1:87" ht="18" customHeight="1" x14ac:dyDescent="0.3">
      <c r="A93" s="628"/>
      <c r="B93" s="7635" t="s">
        <v>2823</v>
      </c>
      <c r="C93" s="7635"/>
      <c r="D93" s="7635"/>
      <c r="E93" s="7635"/>
      <c r="CB93" s="600"/>
    </row>
    <row r="94" spans="1:87" ht="20.399999999999999" x14ac:dyDescent="0.3">
      <c r="A94" s="6275"/>
      <c r="B94" s="3589"/>
      <c r="C94" s="3580" t="s">
        <v>24</v>
      </c>
      <c r="D94" s="3599" t="s">
        <v>2</v>
      </c>
      <c r="E94" s="3535" t="s">
        <v>3</v>
      </c>
      <c r="CB94" s="600"/>
    </row>
    <row r="95" spans="1:87" ht="17.25" customHeight="1" x14ac:dyDescent="0.3">
      <c r="A95" s="6240">
        <v>11061500</v>
      </c>
      <c r="B95" s="3578" t="s">
        <v>2824</v>
      </c>
      <c r="C95" s="3586" t="s">
        <v>5292</v>
      </c>
      <c r="D95" s="612" t="s">
        <v>5293</v>
      </c>
      <c r="E95" s="280" t="s">
        <v>5294</v>
      </c>
      <c r="F95" s="1687" t="str">
        <f>CB95&amp;CC95</f>
        <v xml:space="preserve"> * La variable Pueblos Originarios no puede ser mayor al Total. * La variable Migrantes no puede ser mayor al Total.</v>
      </c>
      <c r="CB95" s="3146" t="str">
        <f>IF(AND(C95&gt;0,D95="")," No olvide digitar la variable Pueblos Originarios. Digite cero si no tiene.",IF(D95&gt;C95," * La variable Pueblos Originarios no puede ser mayor al Total.",""))</f>
        <v xml:space="preserve"> * La variable Pueblos Originarios no puede ser mayor al Total.</v>
      </c>
      <c r="CC95" s="3146" t="str">
        <f t="shared" ref="CC95:CC96" si="45">IF(AND(C95&gt;0,E95="")," No olvide digitar la variable Migrantes. Digite cero si no tiene.",IF(E95&gt;C95," * La variable Migrantes no puede ser mayor al Total.",""))</f>
        <v xml:space="preserve"> * La variable Migrantes no puede ser mayor al Total.</v>
      </c>
      <c r="CD95" s="628"/>
      <c r="CE95" s="628"/>
      <c r="CF95" s="628"/>
      <c r="CG95" s="628"/>
      <c r="CH95" s="2920">
        <f t="shared" ref="CH95:CH96" si="46">IF(AND(C95&gt;0,D95=""),1,IF(D95&gt;C95,1,0))</f>
        <v>1</v>
      </c>
      <c r="CI95" s="2920">
        <f t="shared" ref="CI95:CI96" si="47">IF(AND(C95&gt;0,E95=""),1,IF(E95&gt;C95,1,0))</f>
        <v>1</v>
      </c>
    </row>
    <row r="96" spans="1:87" ht="21.6" x14ac:dyDescent="0.3">
      <c r="A96" s="6240">
        <v>11061510</v>
      </c>
      <c r="B96" s="3583" t="s">
        <v>2825</v>
      </c>
      <c r="C96" s="3584" t="s">
        <v>5292</v>
      </c>
      <c r="D96" s="3595" t="s">
        <v>5293</v>
      </c>
      <c r="E96" s="3507" t="s">
        <v>5294</v>
      </c>
      <c r="F96" s="1687" t="str">
        <f>CB96&amp;CC96</f>
        <v xml:space="preserve"> * La variable Pueblos Originarios no puede ser mayor al Total. * La variable Migrantes no puede ser mayor al Total.</v>
      </c>
      <c r="CB96" s="3146" t="str">
        <f>IF(AND(C96&gt;0,D96="")," No olvide digitar la variable Pueblos Originarios. Digite cero si no tiene.",IF(D96&gt;C96," * La variable Pueblos Originarios no puede ser mayor al Total.",""))</f>
        <v xml:space="preserve"> * La variable Pueblos Originarios no puede ser mayor al Total.</v>
      </c>
      <c r="CC96" s="3146" t="str">
        <f t="shared" si="45"/>
        <v xml:space="preserve"> * La variable Migrantes no puede ser mayor al Total.</v>
      </c>
      <c r="CD96" s="628"/>
      <c r="CE96" s="628"/>
      <c r="CF96" s="628"/>
      <c r="CG96" s="628"/>
      <c r="CH96" s="2920">
        <f t="shared" si="46"/>
        <v>1</v>
      </c>
      <c r="CI96" s="2920">
        <f t="shared" si="47"/>
        <v>1</v>
      </c>
    </row>
    <row r="150" spans="2:3" hidden="1" x14ac:dyDescent="0.3">
      <c r="B150" s="3600">
        <f>SUM(C12:C13,C15:C16,C18:C19,C22:C23,C27:C32,C35:C36,C40:C47,C50:C53,C56:C59,C64:C65,C67:C68,C70:C71,C73,C78:C80,C82:C84,C86:C88,C91:C92,C95:C96)</f>
        <v>0</v>
      </c>
      <c r="C150" s="3601">
        <f>SUM(CH12:CJ96)</f>
        <v>104</v>
      </c>
    </row>
  </sheetData>
  <mergeCells count="37">
    <mergeCell ref="B6:N6"/>
    <mergeCell ref="B8:L8"/>
    <mergeCell ref="B9:B10"/>
    <mergeCell ref="C9:C10"/>
    <mergeCell ref="D9:L9"/>
    <mergeCell ref="M9:M10"/>
    <mergeCell ref="N9:N10"/>
    <mergeCell ref="B20:E20"/>
    <mergeCell ref="B24:L24"/>
    <mergeCell ref="B25:B26"/>
    <mergeCell ref="C25:C26"/>
    <mergeCell ref="D25:L25"/>
    <mergeCell ref="N25:N26"/>
    <mergeCell ref="B33:E33"/>
    <mergeCell ref="B37:L37"/>
    <mergeCell ref="B38:B39"/>
    <mergeCell ref="C38:C39"/>
    <mergeCell ref="D38:L38"/>
    <mergeCell ref="M38:M39"/>
    <mergeCell ref="N38:N39"/>
    <mergeCell ref="M25:M26"/>
    <mergeCell ref="B48:L48"/>
    <mergeCell ref="B54:E54"/>
    <mergeCell ref="B60:L60"/>
    <mergeCell ref="B61:B62"/>
    <mergeCell ref="C61:C62"/>
    <mergeCell ref="D61:L61"/>
    <mergeCell ref="B89:L89"/>
    <mergeCell ref="B93:E93"/>
    <mergeCell ref="M61:M62"/>
    <mergeCell ref="N61:N62"/>
    <mergeCell ref="B74:L74"/>
    <mergeCell ref="B75:B76"/>
    <mergeCell ref="C75:C76"/>
    <mergeCell ref="D75:L75"/>
    <mergeCell ref="M75:M76"/>
    <mergeCell ref="N75:N76"/>
  </mergeCells>
  <dataValidations count="2">
    <dataValidation type="whole" operator="greaterThanOrEqual" allowBlank="1" showInputMessage="1" showErrorMessage="1" sqref="D12:N13 D15:N16 D18:N19 C22:E23 D27:N32 C35:E36 D40:N47 C50:E53 C56:E59 D73:N73 D64:N65 D70:N71 D67:N68 C91:E92 C95:E96" xr:uid="{00000000-0002-0000-0B00-000000000000}">
      <formula1>0</formula1>
    </dataValidation>
    <dataValidation operator="greaterThanOrEqual" allowBlank="1" showInputMessage="1" showErrorMessage="1" sqref="A11:A96" xr:uid="{7ACAE59B-4684-46F0-8B04-3FDF1A82C7B2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H207"/>
  <sheetViews>
    <sheetView showGridLines="0" workbookViewId="0"/>
  </sheetViews>
  <sheetFormatPr baseColWidth="10" defaultColWidth="11.44140625" defaultRowHeight="14.4" x14ac:dyDescent="0.3"/>
  <cols>
    <col min="1" max="1" width="16.21875" customWidth="1"/>
    <col min="2" max="2" width="43.109375" customWidth="1"/>
    <col min="3" max="3" width="31.6640625" customWidth="1"/>
    <col min="4" max="4" width="20.33203125" customWidth="1"/>
    <col min="5" max="5" width="18" customWidth="1"/>
    <col min="6" max="6" width="16" customWidth="1"/>
    <col min="7" max="7" width="14.88671875" customWidth="1"/>
    <col min="8" max="8" width="16" customWidth="1"/>
    <col min="9" max="9" width="16.44140625" customWidth="1"/>
    <col min="10" max="10" width="13.33203125" customWidth="1"/>
    <col min="11" max="11" width="15.44140625" customWidth="1"/>
    <col min="12" max="12" width="17" customWidth="1"/>
    <col min="13" max="13" width="14.88671875" customWidth="1"/>
    <col min="39" max="39" width="13.6640625" customWidth="1"/>
    <col min="41" max="41" width="12.6640625" customWidth="1"/>
    <col min="42" max="42" width="13" customWidth="1"/>
    <col min="43" max="43" width="13.109375" customWidth="1"/>
    <col min="45" max="45" width="12.44140625" customWidth="1"/>
    <col min="76" max="77" width="11.6640625" customWidth="1"/>
    <col min="78" max="78" width="11.44140625" customWidth="1"/>
    <col min="79" max="96" width="11.44140625" hidden="1" customWidth="1"/>
    <col min="97" max="106" width="11.44140625" customWidth="1"/>
  </cols>
  <sheetData>
    <row r="1" spans="1:105" x14ac:dyDescent="0.3">
      <c r="B1" s="774" t="s">
        <v>3879</v>
      </c>
    </row>
    <row r="2" spans="1:105" x14ac:dyDescent="0.3">
      <c r="B2" s="774" t="str">
        <f>CONCATENATE("COMUNA: ",NOMBRE!B2," - ","( ",NOMBRE!C2,NOMBRE!D2,NOMBRE!E2,NOMBRE!F2,NOMBRE!G2," )")</f>
        <v>COMUNA:  - (  )</v>
      </c>
    </row>
    <row r="3" spans="1:105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05" x14ac:dyDescent="0.3">
      <c r="B4" s="774" t="str">
        <f>CONCATENATE("MES: ",NOMBRE!B6," - ","( ",NOMBRE!C6,NOMBRE!D6," )")</f>
        <v>MES:  - (  )</v>
      </c>
    </row>
    <row r="5" spans="1:105" x14ac:dyDescent="0.3">
      <c r="B5" s="774" t="str">
        <f>CONCATENATE("AÑO: ",NOMBRE!B7)</f>
        <v>AÑO: 2024</v>
      </c>
    </row>
    <row r="6" spans="1:105" s="599" customFormat="1" ht="18" customHeight="1" x14ac:dyDescent="0.3">
      <c r="B6" s="6396" t="s">
        <v>2826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6396"/>
      <c r="S6" s="6396"/>
      <c r="T6" s="6396"/>
      <c r="U6" s="6396"/>
      <c r="BY6" s="632"/>
      <c r="BZ6" s="632"/>
      <c r="CA6" s="632"/>
      <c r="CB6" s="3201"/>
      <c r="CC6" s="3201"/>
      <c r="CD6" s="3201"/>
      <c r="CE6" s="3201"/>
      <c r="CF6" s="3201"/>
      <c r="CG6" s="3201"/>
      <c r="CH6" s="3201"/>
      <c r="CI6" s="3201"/>
      <c r="CJ6" s="3201"/>
      <c r="CK6" s="3201"/>
      <c r="CL6" s="3201"/>
      <c r="CM6" s="3201"/>
      <c r="CN6" s="3201"/>
      <c r="CO6" s="3201"/>
      <c r="CP6" s="3201"/>
      <c r="CQ6" s="3201"/>
      <c r="CR6" s="3201"/>
      <c r="CS6" s="3201"/>
      <c r="CT6" s="3201"/>
      <c r="CU6" s="3201"/>
      <c r="CV6" s="3201"/>
      <c r="CW6" s="3201"/>
      <c r="CX6" s="3201"/>
      <c r="CY6" s="3201"/>
      <c r="CZ6" s="3201"/>
      <c r="DA6" s="3201"/>
    </row>
    <row r="8" spans="1:105" ht="18" customHeight="1" x14ac:dyDescent="0.3">
      <c r="B8" s="6623" t="s">
        <v>2827</v>
      </c>
      <c r="C8" s="6623"/>
      <c r="D8" s="6623"/>
      <c r="E8" s="6623"/>
      <c r="F8" s="6623"/>
      <c r="G8" s="6623"/>
      <c r="H8" s="6623"/>
      <c r="I8" s="6623"/>
      <c r="J8" s="6623"/>
      <c r="K8" s="6623"/>
      <c r="L8" s="6623"/>
      <c r="M8" s="6623"/>
      <c r="N8" s="6623"/>
      <c r="O8" s="6623"/>
      <c r="P8" s="6623"/>
      <c r="Q8" s="6623"/>
      <c r="R8" s="6623"/>
      <c r="S8" s="6623"/>
      <c r="T8" s="6623"/>
      <c r="U8" s="6623"/>
      <c r="V8" s="6623"/>
      <c r="W8" s="6623"/>
      <c r="X8" s="6623"/>
      <c r="Y8" s="6623"/>
      <c r="Z8" s="6623"/>
      <c r="AA8" s="6623"/>
      <c r="AB8" s="6623"/>
      <c r="AC8" s="6623"/>
      <c r="AD8" s="6623"/>
      <c r="AE8" s="6623"/>
      <c r="AF8" s="6623"/>
      <c r="AG8" s="6623"/>
      <c r="AH8" s="6623"/>
      <c r="AI8" s="6623"/>
      <c r="AJ8" s="6623"/>
      <c r="AK8" s="6623"/>
      <c r="AL8" s="6623"/>
      <c r="AM8" s="6623"/>
      <c r="AN8" s="6623"/>
    </row>
    <row r="9" spans="1:105" ht="18" customHeight="1" x14ac:dyDescent="0.3">
      <c r="B9" s="9047" t="s">
        <v>2828</v>
      </c>
      <c r="C9" s="9047"/>
      <c r="D9" s="9047"/>
      <c r="E9" s="9047"/>
      <c r="F9" s="9047"/>
      <c r="G9" s="9047"/>
      <c r="H9" s="9047"/>
      <c r="I9" s="9047"/>
      <c r="J9" s="9047"/>
      <c r="K9" s="9047"/>
      <c r="L9" s="9047"/>
      <c r="M9" s="9047"/>
      <c r="N9" s="9047"/>
      <c r="O9" s="9047"/>
      <c r="P9" s="9047"/>
      <c r="Q9" s="9047"/>
      <c r="R9" s="9047"/>
      <c r="S9" s="9047"/>
      <c r="T9" s="9047"/>
      <c r="U9" s="9047"/>
      <c r="V9" s="9047"/>
      <c r="W9" s="9047"/>
      <c r="X9" s="9047"/>
      <c r="Y9" s="9047"/>
      <c r="Z9" s="9047"/>
      <c r="AA9" s="9047"/>
      <c r="AB9" s="9047"/>
      <c r="AC9" s="9047"/>
      <c r="AD9" s="9047"/>
      <c r="AE9" s="9047"/>
      <c r="AF9" s="9047"/>
      <c r="AG9" s="9047"/>
      <c r="AH9" s="9047"/>
      <c r="AI9" s="9047"/>
      <c r="AJ9" s="9047"/>
      <c r="AK9" s="9047"/>
      <c r="AL9" s="9047"/>
      <c r="AM9" s="9047"/>
      <c r="AN9" s="9047"/>
    </row>
    <row r="10" spans="1:105" x14ac:dyDescent="0.3">
      <c r="A10" s="6236"/>
      <c r="B10" s="7283" t="s">
        <v>2829</v>
      </c>
      <c r="C10" s="6337" t="s">
        <v>61</v>
      </c>
      <c r="D10" s="6340" t="s">
        <v>2526</v>
      </c>
      <c r="E10" s="6341"/>
      <c r="F10" s="6342"/>
      <c r="G10" s="6624" t="s">
        <v>30</v>
      </c>
      <c r="H10" s="6611"/>
      <c r="I10" s="6611"/>
      <c r="J10" s="6611"/>
      <c r="K10" s="6611"/>
      <c r="L10" s="6611"/>
      <c r="M10" s="6611"/>
      <c r="N10" s="6611"/>
      <c r="O10" s="6611"/>
      <c r="P10" s="6611"/>
      <c r="Q10" s="6611"/>
      <c r="R10" s="6611"/>
      <c r="S10" s="6611"/>
      <c r="T10" s="6611"/>
      <c r="U10" s="6611"/>
      <c r="V10" s="6611"/>
      <c r="W10" s="6611"/>
      <c r="X10" s="6611"/>
      <c r="Y10" s="6611"/>
      <c r="Z10" s="6611"/>
      <c r="AA10" s="6611"/>
      <c r="AB10" s="6611"/>
      <c r="AC10" s="6611"/>
      <c r="AD10" s="6611"/>
      <c r="AE10" s="6611"/>
      <c r="AF10" s="6611"/>
      <c r="AG10" s="6611"/>
      <c r="AH10" s="6611"/>
      <c r="AI10" s="6611"/>
      <c r="AJ10" s="6611"/>
      <c r="AK10" s="6611"/>
      <c r="AL10" s="6611"/>
      <c r="AM10" s="6611"/>
      <c r="AN10" s="7682"/>
      <c r="AO10" s="6402" t="s">
        <v>2830</v>
      </c>
      <c r="AP10" s="6341" t="s">
        <v>48</v>
      </c>
      <c r="AQ10" s="6342"/>
      <c r="AR10" s="6323" t="s">
        <v>2</v>
      </c>
      <c r="AS10" s="6323" t="s">
        <v>3</v>
      </c>
      <c r="AT10" s="6323" t="s">
        <v>2697</v>
      </c>
      <c r="AU10" s="6323" t="s">
        <v>49</v>
      </c>
      <c r="AV10" s="6323" t="s">
        <v>45</v>
      </c>
    </row>
    <row r="11" spans="1:105" ht="22.5" customHeight="1" x14ac:dyDescent="0.3">
      <c r="A11" s="6236"/>
      <c r="B11" s="7283"/>
      <c r="C11" s="6338"/>
      <c r="D11" s="6459"/>
      <c r="E11" s="6383"/>
      <c r="F11" s="6460"/>
      <c r="G11" s="6461" t="s">
        <v>36</v>
      </c>
      <c r="H11" s="6461"/>
      <c r="I11" s="6326" t="s">
        <v>37</v>
      </c>
      <c r="J11" s="6462"/>
      <c r="K11" s="6326" t="s">
        <v>38</v>
      </c>
      <c r="L11" s="6462"/>
      <c r="M11" s="6326" t="s">
        <v>2831</v>
      </c>
      <c r="N11" s="6462"/>
      <c r="O11" s="6326" t="s">
        <v>559</v>
      </c>
      <c r="P11" s="6462"/>
      <c r="Q11" s="6326" t="s">
        <v>560</v>
      </c>
      <c r="R11" s="6462"/>
      <c r="S11" s="6326" t="s">
        <v>561</v>
      </c>
      <c r="T11" s="6462"/>
      <c r="U11" s="6326" t="s">
        <v>562</v>
      </c>
      <c r="V11" s="6462"/>
      <c r="W11" s="6326" t="s">
        <v>563</v>
      </c>
      <c r="X11" s="6462"/>
      <c r="Y11" s="6326" t="s">
        <v>564</v>
      </c>
      <c r="Z11" s="6462"/>
      <c r="AA11" s="6326" t="s">
        <v>565</v>
      </c>
      <c r="AB11" s="6462"/>
      <c r="AC11" s="6326" t="s">
        <v>555</v>
      </c>
      <c r="AD11" s="6462"/>
      <c r="AE11" s="6326" t="s">
        <v>556</v>
      </c>
      <c r="AF11" s="6462"/>
      <c r="AG11" s="6326" t="s">
        <v>557</v>
      </c>
      <c r="AH11" s="6462"/>
      <c r="AI11" s="6326" t="s">
        <v>2832</v>
      </c>
      <c r="AJ11" s="6462"/>
      <c r="AK11" s="6326" t="s">
        <v>2833</v>
      </c>
      <c r="AL11" s="6462"/>
      <c r="AM11" s="6330" t="s">
        <v>32</v>
      </c>
      <c r="AN11" s="6333"/>
      <c r="AO11" s="6668"/>
      <c r="AP11" s="6383"/>
      <c r="AQ11" s="6460"/>
      <c r="AR11" s="6373"/>
      <c r="AS11" s="6373"/>
      <c r="AT11" s="6373"/>
      <c r="AU11" s="6373"/>
      <c r="AV11" s="6373"/>
    </row>
    <row r="12" spans="1:105" x14ac:dyDescent="0.3">
      <c r="A12" s="6236"/>
      <c r="B12" s="7283"/>
      <c r="C12" s="6339"/>
      <c r="D12" s="4560" t="s">
        <v>26</v>
      </c>
      <c r="E12" s="4558" t="s">
        <v>22</v>
      </c>
      <c r="F12" s="3226" t="s">
        <v>27</v>
      </c>
      <c r="G12" s="3153" t="s">
        <v>22</v>
      </c>
      <c r="H12" s="3226" t="s">
        <v>27</v>
      </c>
      <c r="I12" s="3153" t="s">
        <v>22</v>
      </c>
      <c r="J12" s="3226" t="s">
        <v>27</v>
      </c>
      <c r="K12" s="3153" t="s">
        <v>22</v>
      </c>
      <c r="L12" s="3226" t="s">
        <v>27</v>
      </c>
      <c r="M12" s="3153" t="s">
        <v>22</v>
      </c>
      <c r="N12" s="3226" t="s">
        <v>27</v>
      </c>
      <c r="O12" s="3153" t="s">
        <v>22</v>
      </c>
      <c r="P12" s="3226" t="s">
        <v>27</v>
      </c>
      <c r="Q12" s="3153" t="s">
        <v>22</v>
      </c>
      <c r="R12" s="3226" t="s">
        <v>27</v>
      </c>
      <c r="S12" s="3153" t="s">
        <v>22</v>
      </c>
      <c r="T12" s="3226" t="s">
        <v>27</v>
      </c>
      <c r="U12" s="3153" t="s">
        <v>22</v>
      </c>
      <c r="V12" s="3226" t="s">
        <v>27</v>
      </c>
      <c r="W12" s="3153" t="s">
        <v>22</v>
      </c>
      <c r="X12" s="3226" t="s">
        <v>27</v>
      </c>
      <c r="Y12" s="3153" t="s">
        <v>22</v>
      </c>
      <c r="Z12" s="3226" t="s">
        <v>27</v>
      </c>
      <c r="AA12" s="3153" t="s">
        <v>22</v>
      </c>
      <c r="AB12" s="3226" t="s">
        <v>27</v>
      </c>
      <c r="AC12" s="3153" t="s">
        <v>22</v>
      </c>
      <c r="AD12" s="3226" t="s">
        <v>27</v>
      </c>
      <c r="AE12" s="3153" t="s">
        <v>22</v>
      </c>
      <c r="AF12" s="3226" t="s">
        <v>27</v>
      </c>
      <c r="AG12" s="3153" t="s">
        <v>22</v>
      </c>
      <c r="AH12" s="3226" t="s">
        <v>27</v>
      </c>
      <c r="AI12" s="3153" t="s">
        <v>22</v>
      </c>
      <c r="AJ12" s="3226" t="s">
        <v>27</v>
      </c>
      <c r="AK12" s="3153" t="s">
        <v>22</v>
      </c>
      <c r="AL12" s="3226" t="s">
        <v>27</v>
      </c>
      <c r="AM12" s="3153" t="s">
        <v>22</v>
      </c>
      <c r="AN12" s="3226" t="s">
        <v>27</v>
      </c>
      <c r="AO12" s="6403"/>
      <c r="AP12" s="3463" t="s">
        <v>41</v>
      </c>
      <c r="AQ12" s="2556" t="s">
        <v>42</v>
      </c>
      <c r="AR12" s="6362"/>
      <c r="AS12" s="6362"/>
      <c r="AT12" s="6362"/>
      <c r="AU12" s="6362"/>
      <c r="AV12" s="6362"/>
    </row>
    <row r="13" spans="1:105" x14ac:dyDescent="0.3">
      <c r="A13" s="6234" t="s">
        <v>5174</v>
      </c>
      <c r="B13" s="6367" t="s">
        <v>2834</v>
      </c>
      <c r="C13" s="3378" t="s">
        <v>74</v>
      </c>
      <c r="D13" s="8774" t="s">
        <v>5292</v>
      </c>
      <c r="E13" s="8775" t="s">
        <v>5293</v>
      </c>
      <c r="F13" s="6218" t="s">
        <v>5294</v>
      </c>
      <c r="G13" s="8776" t="s">
        <v>5295</v>
      </c>
      <c r="H13" s="8777" t="s">
        <v>5296</v>
      </c>
      <c r="I13" s="8776" t="s">
        <v>5297</v>
      </c>
      <c r="J13" s="8777" t="s">
        <v>5298</v>
      </c>
      <c r="K13" s="8776" t="s">
        <v>5299</v>
      </c>
      <c r="L13" s="8778" t="s">
        <v>5300</v>
      </c>
      <c r="M13" s="8776" t="s">
        <v>5301</v>
      </c>
      <c r="N13" s="8778" t="s">
        <v>5302</v>
      </c>
      <c r="O13" s="8776" t="s">
        <v>5303</v>
      </c>
      <c r="P13" s="8778" t="s">
        <v>5304</v>
      </c>
      <c r="Q13" s="8776" t="s">
        <v>5305</v>
      </c>
      <c r="R13" s="8778" t="s">
        <v>5306</v>
      </c>
      <c r="S13" s="8776" t="s">
        <v>5307</v>
      </c>
      <c r="T13" s="8778" t="s">
        <v>5308</v>
      </c>
      <c r="U13" s="8776" t="s">
        <v>5309</v>
      </c>
      <c r="V13" s="8778" t="s">
        <v>5310</v>
      </c>
      <c r="W13" s="8776" t="s">
        <v>5311</v>
      </c>
      <c r="X13" s="8778" t="s">
        <v>5312</v>
      </c>
      <c r="Y13" s="8776" t="s">
        <v>5313</v>
      </c>
      <c r="Z13" s="8778" t="s">
        <v>5314</v>
      </c>
      <c r="AA13" s="8776" t="s">
        <v>5315</v>
      </c>
      <c r="AB13" s="8778" t="s">
        <v>5316</v>
      </c>
      <c r="AC13" s="8776" t="s">
        <v>5317</v>
      </c>
      <c r="AD13" s="8778" t="s">
        <v>5318</v>
      </c>
      <c r="AE13" s="8776" t="s">
        <v>5319</v>
      </c>
      <c r="AF13" s="8778" t="s">
        <v>5320</v>
      </c>
      <c r="AG13" s="8776" t="s">
        <v>5321</v>
      </c>
      <c r="AH13" s="8778" t="s">
        <v>5322</v>
      </c>
      <c r="AI13" s="8776" t="s">
        <v>5323</v>
      </c>
      <c r="AJ13" s="8778" t="s">
        <v>5324</v>
      </c>
      <c r="AK13" s="8776" t="s">
        <v>5325</v>
      </c>
      <c r="AL13" s="8778" t="s">
        <v>5326</v>
      </c>
      <c r="AM13" s="8710" t="s">
        <v>5327</v>
      </c>
      <c r="AN13" s="8779" t="s">
        <v>5328</v>
      </c>
      <c r="AO13" s="8780" t="s">
        <v>5329</v>
      </c>
      <c r="AP13" s="8781" t="s">
        <v>5330</v>
      </c>
      <c r="AQ13" s="8782" t="s">
        <v>5331</v>
      </c>
      <c r="AR13" s="8783" t="s">
        <v>5332</v>
      </c>
      <c r="AS13" s="8783" t="s">
        <v>5333</v>
      </c>
      <c r="AT13" s="8784" t="s">
        <v>5334</v>
      </c>
      <c r="AU13" s="8785" t="s">
        <v>5335</v>
      </c>
      <c r="AV13" s="8785" t="s">
        <v>5336</v>
      </c>
      <c r="AW13" s="1687" t="str">
        <f>$CB13&amp;$CC13&amp;CD13&amp;CE13&amp;CF13&amp;CH13&amp;CI13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3" s="2784" t="str">
        <f>IF(AND($D13&lt;&gt;0,AO13=""),"* No olvide ingresar la columna Espacios Amigables /adolescentes (Digite CERO si no tiene). ",IF(AO13&gt;$D13,"* El Número de Espacios Amigables no puede superar el Total. ",""))</f>
        <v xml:space="preserve">* El Número de Espacios Amigables no puede superar el Total. </v>
      </c>
      <c r="CC13" s="2784" t="str">
        <f>IF(AND(F13&gt;0,OR(AP13="")),"No olvide digitar los campos *TRANS Masculino (Digite CERO si no tiene).",IF(AP13&gt;F13,"* El Número de TRANS Masculino no puede superar el Total Mujeres. ",""))</f>
        <v xml:space="preserve">* El Número de TRANS Masculino no puede superar el Total Mujeres. </v>
      </c>
      <c r="CD13" s="2784" t="str">
        <f>IF(AND(E13&gt;0,OR(AQ13="")),"No olvide digitar los campos *TRANS Femenino (Digite CERO si no tiene).",IF(AQ13&gt;$E13,"* El Número de TRANS Femenino no puede superar el Total Hombres. ",""))</f>
        <v xml:space="preserve">* El Número de TRANS Femenino no puede superar el Total Hombres. </v>
      </c>
      <c r="CE13" s="2784" t="str">
        <f>IF(AND($D13&lt;&gt;0,AR13=""),"* No olvide ingresar la columna Pueblos Originarios (Digite CERO si no tiene).  ",IF(AR13&gt;$D13,"* El Número de Pueblos Originarios no puede superar el Total. ",""))</f>
        <v xml:space="preserve">* El Número de Pueblos Originarios no puede superar el Total. </v>
      </c>
      <c r="CF13" s="2784" t="str">
        <f>IF(AND($D13&lt;&gt;0,AS13=""),"* No olvide ingresar la columna Migrantes (Digite CERO si no tiene).  ",IF(AS13&gt;$D13,"* El Número de Migrantes no puede superar el Total. ",""))</f>
        <v xml:space="preserve">* El Número de Migrantes no puede superar el Total. </v>
      </c>
      <c r="CG13" s="3018"/>
      <c r="CH13" s="2784" t="str">
        <f>IF(AND($D13&lt;&gt;0,AU13=""),"* No olvide ingresar la columna Niños, Niñas, Adolescentes y Jóvenes SENAME (Digite CERO si no tiene).  ",IF(AU13&gt;$D13,"* El Número de Niños, Niñas, Adolescentes y Jóvenes SENAME no puede superar el Total. ",""))</f>
        <v xml:space="preserve">* El Número de Niños, Niñas, Adolescentes y Jóvenes SENAME no puede superar el Total. </v>
      </c>
      <c r="CI13" s="2784" t="str">
        <f>IF(AND($D13&lt;&gt;0,AV13=""),"* No olvide ingresar la columna Niños, Niñas, Adolescentes y Jóvenes Mejor Niñez (Digite CERO si no tiene). ",IF(AV13&gt;$D13,"* El Número de Niños, Niñas, Adolescentes y Jóvenes Mejor Niñez no puede superar el Total. ",""))</f>
        <v xml:space="preserve">* El Número de Niños, Niñas, Adolescentes y Jóvenes Mejor Niñez no puede superar el Total. </v>
      </c>
      <c r="CJ13" s="2630"/>
      <c r="CK13" s="1725">
        <f>IF(AND($D13&lt;&gt;0,AO13=""),1,IF(AO13&gt;$D13,1,0))</f>
        <v>1</v>
      </c>
      <c r="CL13" s="1725">
        <f>IF(AND(F13&gt;0,OR(AP13="")),1,IF(AP13&gt;F13,1,0))</f>
        <v>1</v>
      </c>
      <c r="CM13" s="1725">
        <f>IF(AND(E13&gt;0,OR(AQ13="")),1,IF(AQ13&gt;E13,1,0))</f>
        <v>1</v>
      </c>
      <c r="CN13" s="1725">
        <f>IF(AND($D13&lt;&gt;0,AR13=""),1,IF(AR13&gt;$D13,1,0))</f>
        <v>1</v>
      </c>
      <c r="CO13" s="1725">
        <f>IF(AND($D13&lt;&gt;0,AS13=""),1,IF(AS13&gt;$D13,1,0))</f>
        <v>1</v>
      </c>
      <c r="CP13" s="2783"/>
      <c r="CQ13" s="1725">
        <f>IF(AND($D13&lt;&gt;0,AU13=""),1,IF(AU13&gt;$D13,1,0))</f>
        <v>1</v>
      </c>
      <c r="CR13" s="1725">
        <f>IF(AND($D13&lt;&gt;0,AV13=""),1,IF(AV13&gt;$D13,1,0))</f>
        <v>1</v>
      </c>
      <c r="CS13" s="2630"/>
      <c r="CT13" s="2630"/>
      <c r="CU13" s="2630"/>
      <c r="CV13" s="2630"/>
    </row>
    <row r="14" spans="1:105" x14ac:dyDescent="0.3">
      <c r="A14" s="6234" t="s">
        <v>5175</v>
      </c>
      <c r="B14" s="6349"/>
      <c r="C14" s="3381" t="s">
        <v>275</v>
      </c>
      <c r="D14" s="3875" t="s">
        <v>5292</v>
      </c>
      <c r="E14" s="8786" t="s">
        <v>5293</v>
      </c>
      <c r="F14" s="6219" t="s">
        <v>5294</v>
      </c>
      <c r="G14" s="8787" t="s">
        <v>5295</v>
      </c>
      <c r="H14" s="8788" t="s">
        <v>5296</v>
      </c>
      <c r="I14" s="8787" t="s">
        <v>5297</v>
      </c>
      <c r="J14" s="8788" t="s">
        <v>5298</v>
      </c>
      <c r="K14" s="8787" t="s">
        <v>5299</v>
      </c>
      <c r="L14" s="8789" t="s">
        <v>5300</v>
      </c>
      <c r="M14" s="8787" t="s">
        <v>5301</v>
      </c>
      <c r="N14" s="8789" t="s">
        <v>5302</v>
      </c>
      <c r="O14" s="8787" t="s">
        <v>5303</v>
      </c>
      <c r="P14" s="8789" t="s">
        <v>5304</v>
      </c>
      <c r="Q14" s="8787" t="s">
        <v>5305</v>
      </c>
      <c r="R14" s="8789" t="s">
        <v>5306</v>
      </c>
      <c r="S14" s="8787" t="s">
        <v>5307</v>
      </c>
      <c r="T14" s="8789" t="s">
        <v>5308</v>
      </c>
      <c r="U14" s="8787" t="s">
        <v>5309</v>
      </c>
      <c r="V14" s="8789" t="s">
        <v>5310</v>
      </c>
      <c r="W14" s="8787" t="s">
        <v>5311</v>
      </c>
      <c r="X14" s="8789" t="s">
        <v>5312</v>
      </c>
      <c r="Y14" s="8787" t="s">
        <v>5313</v>
      </c>
      <c r="Z14" s="8789" t="s">
        <v>5314</v>
      </c>
      <c r="AA14" s="8787" t="s">
        <v>5315</v>
      </c>
      <c r="AB14" s="8789" t="s">
        <v>5316</v>
      </c>
      <c r="AC14" s="8787" t="s">
        <v>5317</v>
      </c>
      <c r="AD14" s="8789" t="s">
        <v>5318</v>
      </c>
      <c r="AE14" s="8787" t="s">
        <v>5319</v>
      </c>
      <c r="AF14" s="8789" t="s">
        <v>5320</v>
      </c>
      <c r="AG14" s="8787" t="s">
        <v>5321</v>
      </c>
      <c r="AH14" s="8789" t="s">
        <v>5322</v>
      </c>
      <c r="AI14" s="8787" t="s">
        <v>5323</v>
      </c>
      <c r="AJ14" s="8789" t="s">
        <v>5324</v>
      </c>
      <c r="AK14" s="8787" t="s">
        <v>5325</v>
      </c>
      <c r="AL14" s="8789" t="s">
        <v>5326</v>
      </c>
      <c r="AM14" s="8790" t="s">
        <v>5327</v>
      </c>
      <c r="AN14" s="8791" t="s">
        <v>5328</v>
      </c>
      <c r="AO14" s="8792" t="s">
        <v>5329</v>
      </c>
      <c r="AP14" s="8793" t="s">
        <v>5330</v>
      </c>
      <c r="AQ14" s="8788" t="s">
        <v>5331</v>
      </c>
      <c r="AR14" s="8785" t="s">
        <v>5332</v>
      </c>
      <c r="AS14" s="8785" t="s">
        <v>5333</v>
      </c>
      <c r="AT14" s="8794" t="s">
        <v>5334</v>
      </c>
      <c r="AU14" s="8785" t="s">
        <v>5335</v>
      </c>
      <c r="AV14" s="8785" t="s">
        <v>5336</v>
      </c>
      <c r="AW14" s="1687" t="str">
        <f t="shared" ref="AW14:AW45" si="0">$CB14&amp;$CC14&amp;CD14&amp;CE14&amp;CF14&amp;CH14&amp;CI14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4" s="2784" t="str">
        <f t="shared" ref="CB14:CB76" si="1">IF(AND($D14&lt;&gt;0,AO14=""),"* No olvide ingresar la columna Espacios Amigables /adolescentes (Digite CERO si no tiene). ",IF(AO14&gt;$D14,"* El Número de Espacios Amigables no puede superar el Total. ",""))</f>
        <v xml:space="preserve">* El Número de Espacios Amigables no puede superar el Total. </v>
      </c>
      <c r="CC14" s="2784" t="str">
        <f t="shared" ref="CC14:CC76" si="2">IF(AND(F14&gt;0,OR(AP14="")),"No olvide digitar los campos *TRANS Masculino (Digite CERO si no tiene).",IF(AP14&gt;F14,"* El Número de TRANS Masculino no puede superar el Total Mujeres. ",""))</f>
        <v xml:space="preserve">* El Número de TRANS Masculino no puede superar el Total Mujeres. </v>
      </c>
      <c r="CD14" s="2784" t="str">
        <f t="shared" ref="CD14:CD76" si="3">IF(AND(E14&gt;0,OR(AQ14="")),"No olvide digitar los campos *TRANS Femenino (Digite CERO si no tiene).",IF(AQ14&gt;$E14,"* El Número de TRANS Femenino no puede superar el Total Hombres. ",""))</f>
        <v xml:space="preserve">* El Número de TRANS Femenino no puede superar el Total Hombres. </v>
      </c>
      <c r="CE14" s="2784" t="str">
        <f t="shared" ref="CE14:CE76" si="4">IF(AND($D14&lt;&gt;0,AR14=""),"* No olvide ingresar la columna Pueblos Originarios (Digite CERO si no tiene).  ",IF(AR14&gt;$D14,"* El Número de Pueblos Originarios no puede superar el Total. ",""))</f>
        <v xml:space="preserve">* El Número de Pueblos Originarios no puede superar el Total. </v>
      </c>
      <c r="CF14" s="2784" t="str">
        <f t="shared" ref="CF14:CF76" si="5">IF(AND($D14&lt;&gt;0,AS14=""),"* No olvide ingresar la columna Migrantes (Digite CERO si no tiene).  ",IF(AS14&gt;$D14,"* El Número de Migrantes no puede superar el Total. ",""))</f>
        <v xml:space="preserve">* El Número de Migrantes no puede superar el Total. </v>
      </c>
      <c r="CG14" s="3018"/>
      <c r="CH14" s="2784" t="str">
        <f t="shared" ref="CH14:CH76" si="6">IF(AND($D14&lt;&gt;0,AU14=""),"* No olvide ingresar la columna Niños, Niñas, Adolescentes y Jóvenes SENAME (Digite CERO si no tiene).  ",IF(AU14&gt;$D14,"* El Número de Niños, Niñas, Adolescentes y Jóvenes SENAME no puede superar el Total. ",""))</f>
        <v xml:space="preserve">* El Número de Niños, Niñas, Adolescentes y Jóvenes SENAME no puede superar el Total. </v>
      </c>
      <c r="CI14" s="2784" t="str">
        <f t="shared" ref="CI14:CI76" si="7">IF(AND($D14&lt;&gt;0,AV14=""),"* No olvide ingresar la columna Niños, Niñas, Adolescentes y Jóvenes Mejor Niñez (Digite CERO si no tiene). ",IF(AV14&gt;$D14,"* El Número de Niños, Niñas, Adolescentes y Jóvenes Mejor Niñez no puede superar el Total. ",""))</f>
        <v xml:space="preserve">* El Número de Niños, Niñas, Adolescentes y Jóvenes Mejor Niñez no puede superar el Total. </v>
      </c>
      <c r="CJ14" s="2630"/>
      <c r="CK14" s="1725">
        <f t="shared" ref="CK14:CK76" si="8">IF(AND($D14&lt;&gt;0,AO14=""),1,IF(AO14&gt;$D14,1,0))</f>
        <v>1</v>
      </c>
      <c r="CL14" s="1725">
        <f t="shared" ref="CL14:CL76" si="9">IF(AND(F14&gt;0,OR(AP14="")),1,IF(AP14&gt;F14,1,0))</f>
        <v>1</v>
      </c>
      <c r="CM14" s="1725">
        <f t="shared" ref="CM14:CM76" si="10">IF(AND(E14&gt;0,OR(AQ14="")),1,IF(AQ14&gt;E14,1,0))</f>
        <v>1</v>
      </c>
      <c r="CN14" s="1725">
        <f t="shared" ref="CN14:CN76" si="11">IF(AND($D14&lt;&gt;0,AR14=""),1,IF(AR14&gt;$D14,1,0))</f>
        <v>1</v>
      </c>
      <c r="CO14" s="1725">
        <f t="shared" ref="CO14:CO76" si="12">IF(AND($D14&lt;&gt;0,AS14=""),1,IF(AS14&gt;$D14,1,0))</f>
        <v>1</v>
      </c>
      <c r="CP14" s="2783"/>
      <c r="CQ14" s="1725">
        <f t="shared" ref="CQ14:CQ76" si="13">IF(AND($D14&lt;&gt;0,AU14=""),1,IF(AU14&gt;$D14,1,0))</f>
        <v>1</v>
      </c>
      <c r="CR14" s="1725">
        <f t="shared" ref="CR14:CR76" si="14">IF(AND($D14&lt;&gt;0,AV14=""),1,IF(AV14&gt;$D14,1,0))</f>
        <v>1</v>
      </c>
    </row>
    <row r="15" spans="1:105" x14ac:dyDescent="0.3">
      <c r="A15" s="6234" t="s">
        <v>5176</v>
      </c>
      <c r="B15" s="6349"/>
      <c r="C15" s="3381" t="s">
        <v>77</v>
      </c>
      <c r="D15" s="3875" t="s">
        <v>5292</v>
      </c>
      <c r="E15" s="8786" t="s">
        <v>5293</v>
      </c>
      <c r="F15" s="6219" t="s">
        <v>5294</v>
      </c>
      <c r="G15" s="8787" t="s">
        <v>5295</v>
      </c>
      <c r="H15" s="8788" t="s">
        <v>5296</v>
      </c>
      <c r="I15" s="8787" t="s">
        <v>5297</v>
      </c>
      <c r="J15" s="8788" t="s">
        <v>5298</v>
      </c>
      <c r="K15" s="8787" t="s">
        <v>5299</v>
      </c>
      <c r="L15" s="8789" t="s">
        <v>5300</v>
      </c>
      <c r="M15" s="8787" t="s">
        <v>5301</v>
      </c>
      <c r="N15" s="8789" t="s">
        <v>5302</v>
      </c>
      <c r="O15" s="8787" t="s">
        <v>5303</v>
      </c>
      <c r="P15" s="8789" t="s">
        <v>5304</v>
      </c>
      <c r="Q15" s="8787" t="s">
        <v>5305</v>
      </c>
      <c r="R15" s="8789" t="s">
        <v>5306</v>
      </c>
      <c r="S15" s="8787" t="s">
        <v>5307</v>
      </c>
      <c r="T15" s="8789" t="s">
        <v>5308</v>
      </c>
      <c r="U15" s="8787" t="s">
        <v>5309</v>
      </c>
      <c r="V15" s="8789" t="s">
        <v>5310</v>
      </c>
      <c r="W15" s="8787" t="s">
        <v>5311</v>
      </c>
      <c r="X15" s="8789" t="s">
        <v>5312</v>
      </c>
      <c r="Y15" s="8787" t="s">
        <v>5313</v>
      </c>
      <c r="Z15" s="8789" t="s">
        <v>5314</v>
      </c>
      <c r="AA15" s="8787" t="s">
        <v>5315</v>
      </c>
      <c r="AB15" s="8789" t="s">
        <v>5316</v>
      </c>
      <c r="AC15" s="8787" t="s">
        <v>5317</v>
      </c>
      <c r="AD15" s="8789" t="s">
        <v>5318</v>
      </c>
      <c r="AE15" s="8787" t="s">
        <v>5319</v>
      </c>
      <c r="AF15" s="8789" t="s">
        <v>5320</v>
      </c>
      <c r="AG15" s="8787" t="s">
        <v>5321</v>
      </c>
      <c r="AH15" s="8789" t="s">
        <v>5322</v>
      </c>
      <c r="AI15" s="8787" t="s">
        <v>5323</v>
      </c>
      <c r="AJ15" s="8789" t="s">
        <v>5324</v>
      </c>
      <c r="AK15" s="8787" t="s">
        <v>5325</v>
      </c>
      <c r="AL15" s="8789" t="s">
        <v>5326</v>
      </c>
      <c r="AM15" s="8790" t="s">
        <v>5327</v>
      </c>
      <c r="AN15" s="8791" t="s">
        <v>5328</v>
      </c>
      <c r="AO15" s="8792" t="s">
        <v>5329</v>
      </c>
      <c r="AP15" s="8793" t="s">
        <v>5330</v>
      </c>
      <c r="AQ15" s="8788" t="s">
        <v>5331</v>
      </c>
      <c r="AR15" s="8785" t="s">
        <v>5332</v>
      </c>
      <c r="AS15" s="8785" t="s">
        <v>5333</v>
      </c>
      <c r="AT15" s="8794" t="s">
        <v>5334</v>
      </c>
      <c r="AU15" s="8785" t="s">
        <v>5335</v>
      </c>
      <c r="AV15" s="8785" t="s">
        <v>5336</v>
      </c>
      <c r="AW15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5" s="2784" t="str">
        <f t="shared" si="1"/>
        <v xml:space="preserve">* El Número de Espacios Amigables no puede superar el Total. </v>
      </c>
      <c r="CC15" s="2784" t="str">
        <f t="shared" si="2"/>
        <v xml:space="preserve">* El Número de TRANS Masculino no puede superar el Total Mujeres. </v>
      </c>
      <c r="CD15" s="2784" t="str">
        <f t="shared" si="3"/>
        <v xml:space="preserve">* El Número de TRANS Femenino no puede superar el Total Hombres. </v>
      </c>
      <c r="CE15" s="2784" t="str">
        <f t="shared" si="4"/>
        <v xml:space="preserve">* El Número de Pueblos Originarios no puede superar el Total. </v>
      </c>
      <c r="CF15" s="2784" t="str">
        <f t="shared" si="5"/>
        <v xml:space="preserve">* El Número de Migrantes no puede superar el Total. </v>
      </c>
      <c r="CG15" s="3018"/>
      <c r="CH15" s="2784" t="str">
        <f t="shared" si="6"/>
        <v xml:space="preserve">* El Número de Niños, Niñas, Adolescentes y Jóvenes SENAME no puede superar el Total. </v>
      </c>
      <c r="CI15" s="2784" t="str">
        <f t="shared" si="7"/>
        <v xml:space="preserve">* El Número de Niños, Niñas, Adolescentes y Jóvenes Mejor Niñez no puede superar el Total. </v>
      </c>
      <c r="CJ15" s="2630"/>
      <c r="CK15" s="1725">
        <f t="shared" si="8"/>
        <v>1</v>
      </c>
      <c r="CL15" s="1725">
        <f t="shared" si="9"/>
        <v>1</v>
      </c>
      <c r="CM15" s="1725">
        <f t="shared" si="10"/>
        <v>1</v>
      </c>
      <c r="CN15" s="1725">
        <f t="shared" si="11"/>
        <v>1</v>
      </c>
      <c r="CO15" s="1725">
        <f t="shared" si="12"/>
        <v>1</v>
      </c>
      <c r="CP15" s="2783"/>
      <c r="CQ15" s="1725">
        <f t="shared" si="13"/>
        <v>1</v>
      </c>
      <c r="CR15" s="1725">
        <f t="shared" si="14"/>
        <v>1</v>
      </c>
    </row>
    <row r="16" spans="1:105" x14ac:dyDescent="0.3">
      <c r="A16" s="6234" t="s">
        <v>5177</v>
      </c>
      <c r="B16" s="6349"/>
      <c r="C16" s="3381" t="s">
        <v>247</v>
      </c>
      <c r="D16" s="3875" t="s">
        <v>5292</v>
      </c>
      <c r="E16" s="8786" t="s">
        <v>5293</v>
      </c>
      <c r="F16" s="6219" t="s">
        <v>5294</v>
      </c>
      <c r="G16" s="8787" t="s">
        <v>5295</v>
      </c>
      <c r="H16" s="8788" t="s">
        <v>5296</v>
      </c>
      <c r="I16" s="8787" t="s">
        <v>5297</v>
      </c>
      <c r="J16" s="8788" t="s">
        <v>5298</v>
      </c>
      <c r="K16" s="8787" t="s">
        <v>5299</v>
      </c>
      <c r="L16" s="8789" t="s">
        <v>5300</v>
      </c>
      <c r="M16" s="8787" t="s">
        <v>5301</v>
      </c>
      <c r="N16" s="8789" t="s">
        <v>5302</v>
      </c>
      <c r="O16" s="8787" t="s">
        <v>5303</v>
      </c>
      <c r="P16" s="8789" t="s">
        <v>5304</v>
      </c>
      <c r="Q16" s="8787" t="s">
        <v>5305</v>
      </c>
      <c r="R16" s="8789" t="s">
        <v>5306</v>
      </c>
      <c r="S16" s="8787" t="s">
        <v>5307</v>
      </c>
      <c r="T16" s="8789" t="s">
        <v>5308</v>
      </c>
      <c r="U16" s="8787" t="s">
        <v>5309</v>
      </c>
      <c r="V16" s="8789" t="s">
        <v>5310</v>
      </c>
      <c r="W16" s="8787" t="s">
        <v>5311</v>
      </c>
      <c r="X16" s="8789" t="s">
        <v>5312</v>
      </c>
      <c r="Y16" s="8787" t="s">
        <v>5313</v>
      </c>
      <c r="Z16" s="8789" t="s">
        <v>5314</v>
      </c>
      <c r="AA16" s="8787" t="s">
        <v>5315</v>
      </c>
      <c r="AB16" s="8789" t="s">
        <v>5316</v>
      </c>
      <c r="AC16" s="8787" t="s">
        <v>5317</v>
      </c>
      <c r="AD16" s="8789" t="s">
        <v>5318</v>
      </c>
      <c r="AE16" s="8787" t="s">
        <v>5319</v>
      </c>
      <c r="AF16" s="8789" t="s">
        <v>5320</v>
      </c>
      <c r="AG16" s="8787" t="s">
        <v>5321</v>
      </c>
      <c r="AH16" s="8789" t="s">
        <v>5322</v>
      </c>
      <c r="AI16" s="8787" t="s">
        <v>5323</v>
      </c>
      <c r="AJ16" s="8789" t="s">
        <v>5324</v>
      </c>
      <c r="AK16" s="8787" t="s">
        <v>5325</v>
      </c>
      <c r="AL16" s="8789" t="s">
        <v>5326</v>
      </c>
      <c r="AM16" s="8790" t="s">
        <v>5327</v>
      </c>
      <c r="AN16" s="8791" t="s">
        <v>5328</v>
      </c>
      <c r="AO16" s="8792" t="s">
        <v>5329</v>
      </c>
      <c r="AP16" s="8793" t="s">
        <v>5330</v>
      </c>
      <c r="AQ16" s="8788" t="s">
        <v>5331</v>
      </c>
      <c r="AR16" s="8785" t="s">
        <v>5332</v>
      </c>
      <c r="AS16" s="8785" t="s">
        <v>5333</v>
      </c>
      <c r="AT16" s="8794" t="s">
        <v>5334</v>
      </c>
      <c r="AU16" s="8785" t="s">
        <v>5335</v>
      </c>
      <c r="AV16" s="8785" t="s">
        <v>5336</v>
      </c>
      <c r="AW16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6" s="2784" t="str">
        <f t="shared" si="1"/>
        <v xml:space="preserve">* El Número de Espacios Amigables no puede superar el Total. </v>
      </c>
      <c r="CC16" s="2784" t="str">
        <f t="shared" si="2"/>
        <v xml:space="preserve">* El Número de TRANS Masculino no puede superar el Total Mujeres. </v>
      </c>
      <c r="CD16" s="2784" t="str">
        <f t="shared" si="3"/>
        <v xml:space="preserve">* El Número de TRANS Femenino no puede superar el Total Hombres. </v>
      </c>
      <c r="CE16" s="2784" t="str">
        <f t="shared" si="4"/>
        <v xml:space="preserve">* El Número de Pueblos Originarios no puede superar el Total. </v>
      </c>
      <c r="CF16" s="2784" t="str">
        <f t="shared" si="5"/>
        <v xml:space="preserve">* El Número de Migrantes no puede superar el Total. </v>
      </c>
      <c r="CG16" s="3018"/>
      <c r="CH16" s="2784" t="str">
        <f t="shared" si="6"/>
        <v xml:space="preserve">* El Número de Niños, Niñas, Adolescentes y Jóvenes SENAME no puede superar el Total. </v>
      </c>
      <c r="CI16" s="2784" t="str">
        <f t="shared" si="7"/>
        <v xml:space="preserve">* El Número de Niños, Niñas, Adolescentes y Jóvenes Mejor Niñez no puede superar el Total. </v>
      </c>
      <c r="CJ16" s="2630"/>
      <c r="CK16" s="1725">
        <f t="shared" si="8"/>
        <v>1</v>
      </c>
      <c r="CL16" s="1725">
        <f t="shared" si="9"/>
        <v>1</v>
      </c>
      <c r="CM16" s="1725">
        <f t="shared" si="10"/>
        <v>1</v>
      </c>
      <c r="CN16" s="1725">
        <f t="shared" si="11"/>
        <v>1</v>
      </c>
      <c r="CO16" s="1725">
        <f t="shared" si="12"/>
        <v>1</v>
      </c>
      <c r="CP16" s="2783"/>
      <c r="CQ16" s="1725">
        <f t="shared" si="13"/>
        <v>1</v>
      </c>
      <c r="CR16" s="1725">
        <f t="shared" si="14"/>
        <v>1</v>
      </c>
    </row>
    <row r="17" spans="1:96" x14ac:dyDescent="0.3">
      <c r="A17" s="6234" t="s">
        <v>5178</v>
      </c>
      <c r="B17" s="6349"/>
      <c r="C17" s="3381" t="s">
        <v>62</v>
      </c>
      <c r="D17" s="3875" t="s">
        <v>5292</v>
      </c>
      <c r="E17" s="8786" t="s">
        <v>5293</v>
      </c>
      <c r="F17" s="6219" t="s">
        <v>5294</v>
      </c>
      <c r="G17" s="8787" t="s">
        <v>5295</v>
      </c>
      <c r="H17" s="8788" t="s">
        <v>5296</v>
      </c>
      <c r="I17" s="8787" t="s">
        <v>5297</v>
      </c>
      <c r="J17" s="8788" t="s">
        <v>5298</v>
      </c>
      <c r="K17" s="8787" t="s">
        <v>5299</v>
      </c>
      <c r="L17" s="8789" t="s">
        <v>5300</v>
      </c>
      <c r="M17" s="8787" t="s">
        <v>5301</v>
      </c>
      <c r="N17" s="8789" t="s">
        <v>5302</v>
      </c>
      <c r="O17" s="8787" t="s">
        <v>5303</v>
      </c>
      <c r="P17" s="8789" t="s">
        <v>5304</v>
      </c>
      <c r="Q17" s="8787" t="s">
        <v>5305</v>
      </c>
      <c r="R17" s="8789" t="s">
        <v>5306</v>
      </c>
      <c r="S17" s="8787" t="s">
        <v>5307</v>
      </c>
      <c r="T17" s="8789" t="s">
        <v>5308</v>
      </c>
      <c r="U17" s="8787" t="s">
        <v>5309</v>
      </c>
      <c r="V17" s="8789" t="s">
        <v>5310</v>
      </c>
      <c r="W17" s="8787" t="s">
        <v>5311</v>
      </c>
      <c r="X17" s="8789" t="s">
        <v>5312</v>
      </c>
      <c r="Y17" s="8787" t="s">
        <v>5313</v>
      </c>
      <c r="Z17" s="8789" t="s">
        <v>5314</v>
      </c>
      <c r="AA17" s="8787" t="s">
        <v>5315</v>
      </c>
      <c r="AB17" s="8789" t="s">
        <v>5316</v>
      </c>
      <c r="AC17" s="8787" t="s">
        <v>5317</v>
      </c>
      <c r="AD17" s="8789" t="s">
        <v>5318</v>
      </c>
      <c r="AE17" s="8787" t="s">
        <v>5319</v>
      </c>
      <c r="AF17" s="8789" t="s">
        <v>5320</v>
      </c>
      <c r="AG17" s="8787" t="s">
        <v>5321</v>
      </c>
      <c r="AH17" s="8789" t="s">
        <v>5322</v>
      </c>
      <c r="AI17" s="8787" t="s">
        <v>5323</v>
      </c>
      <c r="AJ17" s="8789" t="s">
        <v>5324</v>
      </c>
      <c r="AK17" s="8787" t="s">
        <v>5325</v>
      </c>
      <c r="AL17" s="8789" t="s">
        <v>5326</v>
      </c>
      <c r="AM17" s="8790" t="s">
        <v>5327</v>
      </c>
      <c r="AN17" s="8791" t="s">
        <v>5328</v>
      </c>
      <c r="AO17" s="8792" t="s">
        <v>5329</v>
      </c>
      <c r="AP17" s="8793" t="s">
        <v>5330</v>
      </c>
      <c r="AQ17" s="8788" t="s">
        <v>5331</v>
      </c>
      <c r="AR17" s="8785" t="s">
        <v>5332</v>
      </c>
      <c r="AS17" s="8785" t="s">
        <v>5333</v>
      </c>
      <c r="AT17" s="8794" t="s">
        <v>5334</v>
      </c>
      <c r="AU17" s="8785" t="s">
        <v>5335</v>
      </c>
      <c r="AV17" s="8785" t="s">
        <v>5336</v>
      </c>
      <c r="AW17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7" s="2784" t="str">
        <f t="shared" si="1"/>
        <v xml:space="preserve">* El Número de Espacios Amigables no puede superar el Total. </v>
      </c>
      <c r="CC17" s="2784" t="str">
        <f t="shared" si="2"/>
        <v xml:space="preserve">* El Número de TRANS Masculino no puede superar el Total Mujeres. </v>
      </c>
      <c r="CD17" s="2784" t="str">
        <f t="shared" si="3"/>
        <v xml:space="preserve">* El Número de TRANS Femenino no puede superar el Total Hombres. </v>
      </c>
      <c r="CE17" s="2784" t="str">
        <f t="shared" si="4"/>
        <v xml:space="preserve">* El Número de Pueblos Originarios no puede superar el Total. </v>
      </c>
      <c r="CF17" s="2784" t="str">
        <f t="shared" si="5"/>
        <v xml:space="preserve">* El Número de Migrantes no puede superar el Total. </v>
      </c>
      <c r="CG17" s="3018"/>
      <c r="CH17" s="2784" t="str">
        <f t="shared" si="6"/>
        <v xml:space="preserve">* El Número de Niños, Niñas, Adolescentes y Jóvenes SENAME no puede superar el Total. </v>
      </c>
      <c r="CI17" s="2784" t="str">
        <f t="shared" si="7"/>
        <v xml:space="preserve">* El Número de Niños, Niñas, Adolescentes y Jóvenes Mejor Niñez no puede superar el Total. </v>
      </c>
      <c r="CJ17" s="2630"/>
      <c r="CK17" s="1725">
        <f t="shared" si="8"/>
        <v>1</v>
      </c>
      <c r="CL17" s="1725">
        <f t="shared" si="9"/>
        <v>1</v>
      </c>
      <c r="CM17" s="1725">
        <f t="shared" si="10"/>
        <v>1</v>
      </c>
      <c r="CN17" s="1725">
        <f t="shared" si="11"/>
        <v>1</v>
      </c>
      <c r="CO17" s="1725">
        <f t="shared" si="12"/>
        <v>1</v>
      </c>
      <c r="CP17" s="2783"/>
      <c r="CQ17" s="1725">
        <f t="shared" si="13"/>
        <v>1</v>
      </c>
      <c r="CR17" s="1725">
        <f t="shared" si="14"/>
        <v>1</v>
      </c>
    </row>
    <row r="18" spans="1:96" x14ac:dyDescent="0.3">
      <c r="A18" s="6234" t="s">
        <v>5179</v>
      </c>
      <c r="B18" s="6349"/>
      <c r="C18" s="3381" t="s">
        <v>2835</v>
      </c>
      <c r="D18" s="3875" t="s">
        <v>5292</v>
      </c>
      <c r="E18" s="8786" t="s">
        <v>5293</v>
      </c>
      <c r="F18" s="6219" t="s">
        <v>5294</v>
      </c>
      <c r="G18" s="8787" t="s">
        <v>5295</v>
      </c>
      <c r="H18" s="8788" t="s">
        <v>5296</v>
      </c>
      <c r="I18" s="8787" t="s">
        <v>5297</v>
      </c>
      <c r="J18" s="8788" t="s">
        <v>5298</v>
      </c>
      <c r="K18" s="8787" t="s">
        <v>5299</v>
      </c>
      <c r="L18" s="8789" t="s">
        <v>5300</v>
      </c>
      <c r="M18" s="8787" t="s">
        <v>5301</v>
      </c>
      <c r="N18" s="8789" t="s">
        <v>5302</v>
      </c>
      <c r="O18" s="8787" t="s">
        <v>5303</v>
      </c>
      <c r="P18" s="8789" t="s">
        <v>5304</v>
      </c>
      <c r="Q18" s="8787" t="s">
        <v>5305</v>
      </c>
      <c r="R18" s="8789" t="s">
        <v>5306</v>
      </c>
      <c r="S18" s="8787" t="s">
        <v>5307</v>
      </c>
      <c r="T18" s="8789" t="s">
        <v>5308</v>
      </c>
      <c r="U18" s="8787" t="s">
        <v>5309</v>
      </c>
      <c r="V18" s="8789" t="s">
        <v>5310</v>
      </c>
      <c r="W18" s="8787" t="s">
        <v>5311</v>
      </c>
      <c r="X18" s="8789" t="s">
        <v>5312</v>
      </c>
      <c r="Y18" s="8787" t="s">
        <v>5313</v>
      </c>
      <c r="Z18" s="8789" t="s">
        <v>5314</v>
      </c>
      <c r="AA18" s="8787" t="s">
        <v>5315</v>
      </c>
      <c r="AB18" s="8789" t="s">
        <v>5316</v>
      </c>
      <c r="AC18" s="8787" t="s">
        <v>5317</v>
      </c>
      <c r="AD18" s="8789" t="s">
        <v>5318</v>
      </c>
      <c r="AE18" s="8787" t="s">
        <v>5319</v>
      </c>
      <c r="AF18" s="8789" t="s">
        <v>5320</v>
      </c>
      <c r="AG18" s="8787" t="s">
        <v>5321</v>
      </c>
      <c r="AH18" s="8789" t="s">
        <v>5322</v>
      </c>
      <c r="AI18" s="8787" t="s">
        <v>5323</v>
      </c>
      <c r="AJ18" s="8789" t="s">
        <v>5324</v>
      </c>
      <c r="AK18" s="8787" t="s">
        <v>5325</v>
      </c>
      <c r="AL18" s="8789" t="s">
        <v>5326</v>
      </c>
      <c r="AM18" s="8790" t="s">
        <v>5327</v>
      </c>
      <c r="AN18" s="8791" t="s">
        <v>5328</v>
      </c>
      <c r="AO18" s="8792" t="s">
        <v>5329</v>
      </c>
      <c r="AP18" s="8793" t="s">
        <v>5330</v>
      </c>
      <c r="AQ18" s="8788" t="s">
        <v>5331</v>
      </c>
      <c r="AR18" s="8785" t="s">
        <v>5332</v>
      </c>
      <c r="AS18" s="8785" t="s">
        <v>5333</v>
      </c>
      <c r="AT18" s="8794" t="s">
        <v>5334</v>
      </c>
      <c r="AU18" s="8785" t="s">
        <v>5335</v>
      </c>
      <c r="AV18" s="8785" t="s">
        <v>5336</v>
      </c>
      <c r="AW18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8" s="2784" t="str">
        <f t="shared" si="1"/>
        <v xml:space="preserve">* El Número de Espacios Amigables no puede superar el Total. </v>
      </c>
      <c r="CC18" s="2784" t="str">
        <f t="shared" si="2"/>
        <v xml:space="preserve">* El Número de TRANS Masculino no puede superar el Total Mujeres. </v>
      </c>
      <c r="CD18" s="2784" t="str">
        <f t="shared" si="3"/>
        <v xml:space="preserve">* El Número de TRANS Femenino no puede superar el Total Hombres. </v>
      </c>
      <c r="CE18" s="2784" t="str">
        <f t="shared" si="4"/>
        <v xml:space="preserve">* El Número de Pueblos Originarios no puede superar el Total. </v>
      </c>
      <c r="CF18" s="2784" t="str">
        <f t="shared" si="5"/>
        <v xml:space="preserve">* El Número de Migrantes no puede superar el Total. </v>
      </c>
      <c r="CG18" s="3018"/>
      <c r="CH18" s="2784" t="str">
        <f t="shared" si="6"/>
        <v xml:space="preserve">* El Número de Niños, Niñas, Adolescentes y Jóvenes SENAME no puede superar el Total. </v>
      </c>
      <c r="CI18" s="2784" t="str">
        <f t="shared" si="7"/>
        <v xml:space="preserve">* El Número de Niños, Niñas, Adolescentes y Jóvenes Mejor Niñez no puede superar el Total. </v>
      </c>
      <c r="CJ18" s="2630"/>
      <c r="CK18" s="1725">
        <f t="shared" si="8"/>
        <v>1</v>
      </c>
      <c r="CL18" s="1725">
        <f t="shared" si="9"/>
        <v>1</v>
      </c>
      <c r="CM18" s="1725">
        <f t="shared" si="10"/>
        <v>1</v>
      </c>
      <c r="CN18" s="1725">
        <f t="shared" si="11"/>
        <v>1</v>
      </c>
      <c r="CO18" s="1725">
        <f t="shared" si="12"/>
        <v>1</v>
      </c>
      <c r="CP18" s="2783"/>
      <c r="CQ18" s="1725">
        <f t="shared" si="13"/>
        <v>1</v>
      </c>
      <c r="CR18" s="1725">
        <f t="shared" si="14"/>
        <v>1</v>
      </c>
    </row>
    <row r="19" spans="1:96" x14ac:dyDescent="0.3">
      <c r="A19" s="6234" t="s">
        <v>5180</v>
      </c>
      <c r="B19" s="6349"/>
      <c r="C19" s="3381" t="s">
        <v>277</v>
      </c>
      <c r="D19" s="3875" t="s">
        <v>5292</v>
      </c>
      <c r="E19" s="8786" t="s">
        <v>5293</v>
      </c>
      <c r="F19" s="6219" t="s">
        <v>5294</v>
      </c>
      <c r="G19" s="8787" t="s">
        <v>5295</v>
      </c>
      <c r="H19" s="8788" t="s">
        <v>5296</v>
      </c>
      <c r="I19" s="8787" t="s">
        <v>5297</v>
      </c>
      <c r="J19" s="8788" t="s">
        <v>5298</v>
      </c>
      <c r="K19" s="8787" t="s">
        <v>5299</v>
      </c>
      <c r="L19" s="8789" t="s">
        <v>5300</v>
      </c>
      <c r="M19" s="8787" t="s">
        <v>5301</v>
      </c>
      <c r="N19" s="8789" t="s">
        <v>5302</v>
      </c>
      <c r="O19" s="8787" t="s">
        <v>5303</v>
      </c>
      <c r="P19" s="8789" t="s">
        <v>5304</v>
      </c>
      <c r="Q19" s="8787" t="s">
        <v>5305</v>
      </c>
      <c r="R19" s="8789" t="s">
        <v>5306</v>
      </c>
      <c r="S19" s="8787" t="s">
        <v>5307</v>
      </c>
      <c r="T19" s="8789" t="s">
        <v>5308</v>
      </c>
      <c r="U19" s="8787" t="s">
        <v>5309</v>
      </c>
      <c r="V19" s="8789" t="s">
        <v>5310</v>
      </c>
      <c r="W19" s="8787" t="s">
        <v>5311</v>
      </c>
      <c r="X19" s="8789" t="s">
        <v>5312</v>
      </c>
      <c r="Y19" s="8787" t="s">
        <v>5313</v>
      </c>
      <c r="Z19" s="8789" t="s">
        <v>5314</v>
      </c>
      <c r="AA19" s="8787" t="s">
        <v>5315</v>
      </c>
      <c r="AB19" s="8789" t="s">
        <v>5316</v>
      </c>
      <c r="AC19" s="8787" t="s">
        <v>5317</v>
      </c>
      <c r="AD19" s="8789" t="s">
        <v>5318</v>
      </c>
      <c r="AE19" s="8787" t="s">
        <v>5319</v>
      </c>
      <c r="AF19" s="8789" t="s">
        <v>5320</v>
      </c>
      <c r="AG19" s="8787" t="s">
        <v>5321</v>
      </c>
      <c r="AH19" s="8789" t="s">
        <v>5322</v>
      </c>
      <c r="AI19" s="8787" t="s">
        <v>5323</v>
      </c>
      <c r="AJ19" s="8789" t="s">
        <v>5324</v>
      </c>
      <c r="AK19" s="8787" t="s">
        <v>5325</v>
      </c>
      <c r="AL19" s="8789" t="s">
        <v>5326</v>
      </c>
      <c r="AM19" s="8790" t="s">
        <v>5327</v>
      </c>
      <c r="AN19" s="8791" t="s">
        <v>5328</v>
      </c>
      <c r="AO19" s="8792" t="s">
        <v>5329</v>
      </c>
      <c r="AP19" s="8793" t="s">
        <v>5330</v>
      </c>
      <c r="AQ19" s="8788" t="s">
        <v>5331</v>
      </c>
      <c r="AR19" s="8785" t="s">
        <v>5332</v>
      </c>
      <c r="AS19" s="8785" t="s">
        <v>5333</v>
      </c>
      <c r="AT19" s="8794" t="s">
        <v>5334</v>
      </c>
      <c r="AU19" s="8785" t="s">
        <v>5335</v>
      </c>
      <c r="AV19" s="8785" t="s">
        <v>5336</v>
      </c>
      <c r="AW19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9" s="2784" t="str">
        <f t="shared" si="1"/>
        <v xml:space="preserve">* El Número de Espacios Amigables no puede superar el Total. </v>
      </c>
      <c r="CC19" s="2784" t="str">
        <f t="shared" si="2"/>
        <v xml:space="preserve">* El Número de TRANS Masculino no puede superar el Total Mujeres. </v>
      </c>
      <c r="CD19" s="2784" t="str">
        <f t="shared" si="3"/>
        <v xml:space="preserve">* El Número de TRANS Femenino no puede superar el Total Hombres. </v>
      </c>
      <c r="CE19" s="2784" t="str">
        <f t="shared" si="4"/>
        <v xml:space="preserve">* El Número de Pueblos Originarios no puede superar el Total. </v>
      </c>
      <c r="CF19" s="2784" t="str">
        <f t="shared" si="5"/>
        <v xml:space="preserve">* El Número de Migrantes no puede superar el Total. </v>
      </c>
      <c r="CG19" s="3018"/>
      <c r="CH19" s="2784" t="str">
        <f t="shared" si="6"/>
        <v xml:space="preserve">* El Número de Niños, Niñas, Adolescentes y Jóvenes SENAME no puede superar el Total. </v>
      </c>
      <c r="CI19" s="2784" t="str">
        <f t="shared" si="7"/>
        <v xml:space="preserve">* El Número de Niños, Niñas, Adolescentes y Jóvenes Mejor Niñez no puede superar el Total. </v>
      </c>
      <c r="CJ19" s="2630"/>
      <c r="CK19" s="1725">
        <f t="shared" si="8"/>
        <v>1</v>
      </c>
      <c r="CL19" s="1725">
        <f t="shared" si="9"/>
        <v>1</v>
      </c>
      <c r="CM19" s="1725">
        <f t="shared" si="10"/>
        <v>1</v>
      </c>
      <c r="CN19" s="1725">
        <f t="shared" si="11"/>
        <v>1</v>
      </c>
      <c r="CO19" s="1725">
        <f t="shared" si="12"/>
        <v>1</v>
      </c>
      <c r="CP19" s="2783"/>
      <c r="CQ19" s="1725">
        <f t="shared" si="13"/>
        <v>1</v>
      </c>
      <c r="CR19" s="1725">
        <f t="shared" si="14"/>
        <v>1</v>
      </c>
    </row>
    <row r="20" spans="1:96" x14ac:dyDescent="0.3">
      <c r="A20" s="6234" t="s">
        <v>5181</v>
      </c>
      <c r="B20" s="6349"/>
      <c r="C20" s="3611" t="s">
        <v>2836</v>
      </c>
      <c r="D20" s="3887" t="s">
        <v>5292</v>
      </c>
      <c r="E20" s="8795" t="s">
        <v>5293</v>
      </c>
      <c r="F20" s="8796" t="s">
        <v>5294</v>
      </c>
      <c r="G20" s="8713" t="s">
        <v>5295</v>
      </c>
      <c r="H20" s="8719" t="s">
        <v>5296</v>
      </c>
      <c r="I20" s="8713" t="s">
        <v>5297</v>
      </c>
      <c r="J20" s="8719" t="s">
        <v>5298</v>
      </c>
      <c r="K20" s="8713" t="s">
        <v>5299</v>
      </c>
      <c r="L20" s="8714" t="s">
        <v>5300</v>
      </c>
      <c r="M20" s="8713" t="s">
        <v>5301</v>
      </c>
      <c r="N20" s="8714" t="s">
        <v>5302</v>
      </c>
      <c r="O20" s="8713" t="s">
        <v>5303</v>
      </c>
      <c r="P20" s="8714" t="s">
        <v>5304</v>
      </c>
      <c r="Q20" s="8713" t="s">
        <v>5305</v>
      </c>
      <c r="R20" s="8714" t="s">
        <v>5306</v>
      </c>
      <c r="S20" s="8713" t="s">
        <v>5307</v>
      </c>
      <c r="T20" s="8714" t="s">
        <v>5308</v>
      </c>
      <c r="U20" s="8713" t="s">
        <v>5309</v>
      </c>
      <c r="V20" s="8714" t="s">
        <v>5310</v>
      </c>
      <c r="W20" s="8713" t="s">
        <v>5311</v>
      </c>
      <c r="X20" s="8714" t="s">
        <v>5312</v>
      </c>
      <c r="Y20" s="8713" t="s">
        <v>5313</v>
      </c>
      <c r="Z20" s="8714" t="s">
        <v>5314</v>
      </c>
      <c r="AA20" s="8713" t="s">
        <v>5315</v>
      </c>
      <c r="AB20" s="8714" t="s">
        <v>5316</v>
      </c>
      <c r="AC20" s="8713" t="s">
        <v>5317</v>
      </c>
      <c r="AD20" s="8714" t="s">
        <v>5318</v>
      </c>
      <c r="AE20" s="8713" t="s">
        <v>5319</v>
      </c>
      <c r="AF20" s="8714" t="s">
        <v>5320</v>
      </c>
      <c r="AG20" s="8713" t="s">
        <v>5321</v>
      </c>
      <c r="AH20" s="8714" t="s">
        <v>5322</v>
      </c>
      <c r="AI20" s="8713" t="s">
        <v>5323</v>
      </c>
      <c r="AJ20" s="8714" t="s">
        <v>5324</v>
      </c>
      <c r="AK20" s="8713" t="s">
        <v>5325</v>
      </c>
      <c r="AL20" s="8714" t="s">
        <v>5326</v>
      </c>
      <c r="AM20" s="8720" t="s">
        <v>5327</v>
      </c>
      <c r="AN20" s="8797" t="s">
        <v>5328</v>
      </c>
      <c r="AO20" s="8792" t="s">
        <v>5329</v>
      </c>
      <c r="AP20" s="8715" t="s">
        <v>5330</v>
      </c>
      <c r="AQ20" s="8788" t="s">
        <v>5331</v>
      </c>
      <c r="AR20" s="8785" t="s">
        <v>5332</v>
      </c>
      <c r="AS20" s="8785" t="s">
        <v>5333</v>
      </c>
      <c r="AT20" s="8794" t="s">
        <v>5334</v>
      </c>
      <c r="AU20" s="8785" t="s">
        <v>5335</v>
      </c>
      <c r="AV20" s="8785" t="s">
        <v>5336</v>
      </c>
      <c r="AW20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0" s="2784" t="str">
        <f t="shared" si="1"/>
        <v xml:space="preserve">* El Número de Espacios Amigables no puede superar el Total. </v>
      </c>
      <c r="CC20" s="2784" t="str">
        <f t="shared" si="2"/>
        <v xml:space="preserve">* El Número de TRANS Masculino no puede superar el Total Mujeres. </v>
      </c>
      <c r="CD20" s="2784" t="str">
        <f t="shared" si="3"/>
        <v xml:space="preserve">* El Número de TRANS Femenino no puede superar el Total Hombres. </v>
      </c>
      <c r="CE20" s="2784" t="str">
        <f t="shared" si="4"/>
        <v xml:space="preserve">* El Número de Pueblos Originarios no puede superar el Total. </v>
      </c>
      <c r="CF20" s="2784" t="str">
        <f t="shared" si="5"/>
        <v xml:space="preserve">* El Número de Migrantes no puede superar el Total. </v>
      </c>
      <c r="CG20" s="3018"/>
      <c r="CH20" s="2784" t="str">
        <f t="shared" si="6"/>
        <v xml:space="preserve">* El Número de Niños, Niñas, Adolescentes y Jóvenes SENAME no puede superar el Total. </v>
      </c>
      <c r="CI20" s="2784" t="str">
        <f t="shared" si="7"/>
        <v xml:space="preserve">* El Número de Niños, Niñas, Adolescentes y Jóvenes Mejor Niñez no puede superar el Total. </v>
      </c>
      <c r="CJ20" s="2630"/>
      <c r="CK20" s="1725">
        <f t="shared" si="8"/>
        <v>1</v>
      </c>
      <c r="CL20" s="1725">
        <f t="shared" si="9"/>
        <v>1</v>
      </c>
      <c r="CM20" s="1725">
        <f t="shared" si="10"/>
        <v>1</v>
      </c>
      <c r="CN20" s="1725">
        <f t="shared" si="11"/>
        <v>1</v>
      </c>
      <c r="CO20" s="1725">
        <f t="shared" si="12"/>
        <v>1</v>
      </c>
      <c r="CP20" s="2783"/>
      <c r="CQ20" s="1725">
        <f t="shared" si="13"/>
        <v>1</v>
      </c>
      <c r="CR20" s="1725">
        <f t="shared" si="14"/>
        <v>1</v>
      </c>
    </row>
    <row r="21" spans="1:96" x14ac:dyDescent="0.3">
      <c r="A21" s="6234" t="s">
        <v>5182</v>
      </c>
      <c r="B21" s="6349"/>
      <c r="C21" s="3381" t="s">
        <v>2643</v>
      </c>
      <c r="D21" s="3875" t="s">
        <v>5292</v>
      </c>
      <c r="E21" s="8786" t="s">
        <v>5293</v>
      </c>
      <c r="F21" s="6219" t="s">
        <v>5294</v>
      </c>
      <c r="G21" s="8787" t="s">
        <v>5295</v>
      </c>
      <c r="H21" s="8788" t="s">
        <v>5296</v>
      </c>
      <c r="I21" s="8787" t="s">
        <v>5297</v>
      </c>
      <c r="J21" s="8788" t="s">
        <v>5298</v>
      </c>
      <c r="K21" s="8787" t="s">
        <v>5299</v>
      </c>
      <c r="L21" s="8789" t="s">
        <v>5300</v>
      </c>
      <c r="M21" s="8787" t="s">
        <v>5301</v>
      </c>
      <c r="N21" s="8789" t="s">
        <v>5302</v>
      </c>
      <c r="O21" s="8787" t="s">
        <v>5303</v>
      </c>
      <c r="P21" s="8789" t="s">
        <v>5304</v>
      </c>
      <c r="Q21" s="8787" t="s">
        <v>5305</v>
      </c>
      <c r="R21" s="8789" t="s">
        <v>5306</v>
      </c>
      <c r="S21" s="8787" t="s">
        <v>5307</v>
      </c>
      <c r="T21" s="8789" t="s">
        <v>5308</v>
      </c>
      <c r="U21" s="8787" t="s">
        <v>5309</v>
      </c>
      <c r="V21" s="8789" t="s">
        <v>5310</v>
      </c>
      <c r="W21" s="8787" t="s">
        <v>5311</v>
      </c>
      <c r="X21" s="8789" t="s">
        <v>5312</v>
      </c>
      <c r="Y21" s="8787" t="s">
        <v>5313</v>
      </c>
      <c r="Z21" s="8789" t="s">
        <v>5314</v>
      </c>
      <c r="AA21" s="8787" t="s">
        <v>5315</v>
      </c>
      <c r="AB21" s="8789" t="s">
        <v>5316</v>
      </c>
      <c r="AC21" s="8787" t="s">
        <v>5317</v>
      </c>
      <c r="AD21" s="8789" t="s">
        <v>5318</v>
      </c>
      <c r="AE21" s="8787" t="s">
        <v>5319</v>
      </c>
      <c r="AF21" s="8789" t="s">
        <v>5320</v>
      </c>
      <c r="AG21" s="8787" t="s">
        <v>5321</v>
      </c>
      <c r="AH21" s="8789" t="s">
        <v>5322</v>
      </c>
      <c r="AI21" s="8787" t="s">
        <v>5323</v>
      </c>
      <c r="AJ21" s="8789" t="s">
        <v>5324</v>
      </c>
      <c r="AK21" s="8787" t="s">
        <v>5325</v>
      </c>
      <c r="AL21" s="8789" t="s">
        <v>5326</v>
      </c>
      <c r="AM21" s="8790" t="s">
        <v>5327</v>
      </c>
      <c r="AN21" s="8791" t="s">
        <v>5328</v>
      </c>
      <c r="AO21" s="8792" t="s">
        <v>5329</v>
      </c>
      <c r="AP21" s="8793" t="s">
        <v>5330</v>
      </c>
      <c r="AQ21" s="8788" t="s">
        <v>5331</v>
      </c>
      <c r="AR21" s="8785" t="s">
        <v>5332</v>
      </c>
      <c r="AS21" s="8785" t="s">
        <v>5333</v>
      </c>
      <c r="AT21" s="8794" t="s">
        <v>5334</v>
      </c>
      <c r="AU21" s="8785" t="s">
        <v>5335</v>
      </c>
      <c r="AV21" s="8785" t="s">
        <v>5336</v>
      </c>
      <c r="AW21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1" s="2784" t="str">
        <f t="shared" si="1"/>
        <v xml:space="preserve">* El Número de Espacios Amigables no puede superar el Total. </v>
      </c>
      <c r="CC21" s="2784" t="str">
        <f t="shared" si="2"/>
        <v xml:space="preserve">* El Número de TRANS Masculino no puede superar el Total Mujeres. </v>
      </c>
      <c r="CD21" s="2784" t="str">
        <f t="shared" si="3"/>
        <v xml:space="preserve">* El Número de TRANS Femenino no puede superar el Total Hombres. </v>
      </c>
      <c r="CE21" s="2784" t="str">
        <f t="shared" si="4"/>
        <v xml:space="preserve">* El Número de Pueblos Originarios no puede superar el Total. </v>
      </c>
      <c r="CF21" s="2784" t="str">
        <f t="shared" si="5"/>
        <v xml:space="preserve">* El Número de Migrantes no puede superar el Total. </v>
      </c>
      <c r="CG21" s="3018"/>
      <c r="CH21" s="2784" t="str">
        <f t="shared" si="6"/>
        <v xml:space="preserve">* El Número de Niños, Niñas, Adolescentes y Jóvenes SENAME no puede superar el Total. </v>
      </c>
      <c r="CI21" s="2784" t="str">
        <f t="shared" si="7"/>
        <v xml:space="preserve">* El Número de Niños, Niñas, Adolescentes y Jóvenes Mejor Niñez no puede superar el Total. </v>
      </c>
      <c r="CJ21" s="2630"/>
      <c r="CK21" s="1725">
        <f t="shared" si="8"/>
        <v>1</v>
      </c>
      <c r="CL21" s="1725">
        <f t="shared" si="9"/>
        <v>1</v>
      </c>
      <c r="CM21" s="1725">
        <f t="shared" si="10"/>
        <v>1</v>
      </c>
      <c r="CN21" s="1725">
        <f t="shared" si="11"/>
        <v>1</v>
      </c>
      <c r="CO21" s="1725">
        <f t="shared" si="12"/>
        <v>1</v>
      </c>
      <c r="CP21" s="2783"/>
      <c r="CQ21" s="1725">
        <f t="shared" si="13"/>
        <v>1</v>
      </c>
      <c r="CR21" s="1725">
        <f t="shared" si="14"/>
        <v>1</v>
      </c>
    </row>
    <row r="22" spans="1:96" x14ac:dyDescent="0.3">
      <c r="A22" s="6234" t="s">
        <v>5183</v>
      </c>
      <c r="B22" s="6349"/>
      <c r="C22" s="112" t="s">
        <v>2837</v>
      </c>
      <c r="D22" s="3875" t="s">
        <v>5292</v>
      </c>
      <c r="E22" s="8798" t="s">
        <v>5293</v>
      </c>
      <c r="F22" s="8799" t="s">
        <v>5294</v>
      </c>
      <c r="G22" s="8787" t="s">
        <v>5295</v>
      </c>
      <c r="H22" s="8788" t="s">
        <v>5296</v>
      </c>
      <c r="I22" s="8787" t="s">
        <v>5297</v>
      </c>
      <c r="J22" s="8788" t="s">
        <v>5298</v>
      </c>
      <c r="K22" s="8787" t="s">
        <v>5299</v>
      </c>
      <c r="L22" s="8789" t="s">
        <v>5300</v>
      </c>
      <c r="M22" s="8787" t="s">
        <v>5301</v>
      </c>
      <c r="N22" s="8789" t="s">
        <v>5302</v>
      </c>
      <c r="O22" s="8787" t="s">
        <v>5303</v>
      </c>
      <c r="P22" s="8789" t="s">
        <v>5304</v>
      </c>
      <c r="Q22" s="8787" t="s">
        <v>5305</v>
      </c>
      <c r="R22" s="8789" t="s">
        <v>5306</v>
      </c>
      <c r="S22" s="8787" t="s">
        <v>5307</v>
      </c>
      <c r="T22" s="8789" t="s">
        <v>5308</v>
      </c>
      <c r="U22" s="8787" t="s">
        <v>5309</v>
      </c>
      <c r="V22" s="8789" t="s">
        <v>5310</v>
      </c>
      <c r="W22" s="8787" t="s">
        <v>5311</v>
      </c>
      <c r="X22" s="8789" t="s">
        <v>5312</v>
      </c>
      <c r="Y22" s="8787" t="s">
        <v>5313</v>
      </c>
      <c r="Z22" s="8789" t="s">
        <v>5314</v>
      </c>
      <c r="AA22" s="8787" t="s">
        <v>5315</v>
      </c>
      <c r="AB22" s="8789" t="s">
        <v>5316</v>
      </c>
      <c r="AC22" s="8787" t="s">
        <v>5317</v>
      </c>
      <c r="AD22" s="8789" t="s">
        <v>5318</v>
      </c>
      <c r="AE22" s="8787" t="s">
        <v>5319</v>
      </c>
      <c r="AF22" s="8789" t="s">
        <v>5320</v>
      </c>
      <c r="AG22" s="8787" t="s">
        <v>5321</v>
      </c>
      <c r="AH22" s="8789" t="s">
        <v>5322</v>
      </c>
      <c r="AI22" s="8787" t="s">
        <v>5323</v>
      </c>
      <c r="AJ22" s="8789" t="s">
        <v>5324</v>
      </c>
      <c r="AK22" s="8787" t="s">
        <v>5325</v>
      </c>
      <c r="AL22" s="8789" t="s">
        <v>5326</v>
      </c>
      <c r="AM22" s="8800" t="s">
        <v>5327</v>
      </c>
      <c r="AN22" s="8791" t="s">
        <v>5328</v>
      </c>
      <c r="AO22" s="8792" t="s">
        <v>5329</v>
      </c>
      <c r="AP22" s="8793" t="s">
        <v>5330</v>
      </c>
      <c r="AQ22" s="8788" t="s">
        <v>5331</v>
      </c>
      <c r="AR22" s="8785" t="s">
        <v>5332</v>
      </c>
      <c r="AS22" s="8785" t="s">
        <v>5333</v>
      </c>
      <c r="AT22" s="8794" t="s">
        <v>5334</v>
      </c>
      <c r="AU22" s="8785" t="s">
        <v>5335</v>
      </c>
      <c r="AV22" s="8785" t="s">
        <v>5336</v>
      </c>
      <c r="AW22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2" s="2784" t="str">
        <f t="shared" si="1"/>
        <v xml:space="preserve">* El Número de Espacios Amigables no puede superar el Total. </v>
      </c>
      <c r="CC22" s="2784" t="str">
        <f t="shared" si="2"/>
        <v xml:space="preserve">* El Número de TRANS Masculino no puede superar el Total Mujeres. </v>
      </c>
      <c r="CD22" s="2784" t="str">
        <f t="shared" si="3"/>
        <v xml:space="preserve">* El Número de TRANS Femenino no puede superar el Total Hombres. </v>
      </c>
      <c r="CE22" s="2784" t="str">
        <f t="shared" si="4"/>
        <v xml:space="preserve">* El Número de Pueblos Originarios no puede superar el Total. </v>
      </c>
      <c r="CF22" s="2784" t="str">
        <f t="shared" si="5"/>
        <v xml:space="preserve">* El Número de Migrantes no puede superar el Total. </v>
      </c>
      <c r="CG22" s="3018"/>
      <c r="CH22" s="2784" t="str">
        <f t="shared" si="6"/>
        <v xml:space="preserve">* El Número de Niños, Niñas, Adolescentes y Jóvenes SENAME no puede superar el Total. </v>
      </c>
      <c r="CI22" s="2784" t="str">
        <f t="shared" si="7"/>
        <v xml:space="preserve">* El Número de Niños, Niñas, Adolescentes y Jóvenes Mejor Niñez no puede superar el Total. </v>
      </c>
      <c r="CJ22" s="2630"/>
      <c r="CK22" s="1725">
        <f t="shared" si="8"/>
        <v>1</v>
      </c>
      <c r="CL22" s="1725">
        <f t="shared" si="9"/>
        <v>1</v>
      </c>
      <c r="CM22" s="1725">
        <f t="shared" si="10"/>
        <v>1</v>
      </c>
      <c r="CN22" s="1725">
        <f t="shared" si="11"/>
        <v>1</v>
      </c>
      <c r="CO22" s="1725">
        <f t="shared" si="12"/>
        <v>1</v>
      </c>
      <c r="CP22" s="2783"/>
      <c r="CQ22" s="1725">
        <f t="shared" si="13"/>
        <v>1</v>
      </c>
      <c r="CR22" s="1725">
        <f t="shared" si="14"/>
        <v>1</v>
      </c>
    </row>
    <row r="23" spans="1:96" x14ac:dyDescent="0.3">
      <c r="A23" s="6234" t="s">
        <v>5184</v>
      </c>
      <c r="B23" s="6350"/>
      <c r="C23" s="119" t="s">
        <v>192</v>
      </c>
      <c r="D23" s="560" t="s">
        <v>5292</v>
      </c>
      <c r="E23" s="8661" t="s">
        <v>5293</v>
      </c>
      <c r="F23" s="6220" t="s">
        <v>5294</v>
      </c>
      <c r="G23" s="8801" t="s">
        <v>5295</v>
      </c>
      <c r="H23" s="8802" t="s">
        <v>5296</v>
      </c>
      <c r="I23" s="8801" t="s">
        <v>5297</v>
      </c>
      <c r="J23" s="8802" t="s">
        <v>5298</v>
      </c>
      <c r="K23" s="8801" t="s">
        <v>5299</v>
      </c>
      <c r="L23" s="8803" t="s">
        <v>5300</v>
      </c>
      <c r="M23" s="8801" t="s">
        <v>5301</v>
      </c>
      <c r="N23" s="8803" t="s">
        <v>5302</v>
      </c>
      <c r="O23" s="8801" t="s">
        <v>5303</v>
      </c>
      <c r="P23" s="8803" t="s">
        <v>5304</v>
      </c>
      <c r="Q23" s="8801" t="s">
        <v>5305</v>
      </c>
      <c r="R23" s="8803" t="s">
        <v>5306</v>
      </c>
      <c r="S23" s="8801" t="s">
        <v>5307</v>
      </c>
      <c r="T23" s="8803" t="s">
        <v>5308</v>
      </c>
      <c r="U23" s="8801" t="s">
        <v>5309</v>
      </c>
      <c r="V23" s="8803" t="s">
        <v>5310</v>
      </c>
      <c r="W23" s="8801" t="s">
        <v>5311</v>
      </c>
      <c r="X23" s="8803" t="s">
        <v>5312</v>
      </c>
      <c r="Y23" s="8801" t="s">
        <v>5313</v>
      </c>
      <c r="Z23" s="8803" t="s">
        <v>5314</v>
      </c>
      <c r="AA23" s="8801" t="s">
        <v>5315</v>
      </c>
      <c r="AB23" s="8803" t="s">
        <v>5316</v>
      </c>
      <c r="AC23" s="8801" t="s">
        <v>5317</v>
      </c>
      <c r="AD23" s="8803" t="s">
        <v>5318</v>
      </c>
      <c r="AE23" s="8801" t="s">
        <v>5319</v>
      </c>
      <c r="AF23" s="8803" t="s">
        <v>5320</v>
      </c>
      <c r="AG23" s="8801" t="s">
        <v>5321</v>
      </c>
      <c r="AH23" s="8803" t="s">
        <v>5322</v>
      </c>
      <c r="AI23" s="8801" t="s">
        <v>5323</v>
      </c>
      <c r="AJ23" s="8803" t="s">
        <v>5324</v>
      </c>
      <c r="AK23" s="8801" t="s">
        <v>5325</v>
      </c>
      <c r="AL23" s="8803" t="s">
        <v>5326</v>
      </c>
      <c r="AM23" s="8655" t="s">
        <v>5327</v>
      </c>
      <c r="AN23" s="8804" t="s">
        <v>5328</v>
      </c>
      <c r="AO23" s="8805" t="s">
        <v>5329</v>
      </c>
      <c r="AP23" s="8806" t="s">
        <v>5330</v>
      </c>
      <c r="AQ23" s="8728" t="s">
        <v>5331</v>
      </c>
      <c r="AR23" s="8727" t="s">
        <v>5332</v>
      </c>
      <c r="AS23" s="8727" t="s">
        <v>5333</v>
      </c>
      <c r="AT23" s="8807" t="s">
        <v>5334</v>
      </c>
      <c r="AU23" s="8727" t="s">
        <v>5335</v>
      </c>
      <c r="AV23" s="8727" t="s">
        <v>5336</v>
      </c>
      <c r="AW23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3" s="2784" t="str">
        <f t="shared" si="1"/>
        <v xml:space="preserve">* El Número de Espacios Amigables no puede superar el Total. </v>
      </c>
      <c r="CC23" s="2784" t="str">
        <f t="shared" si="2"/>
        <v xml:space="preserve">* El Número de TRANS Masculino no puede superar el Total Mujeres. </v>
      </c>
      <c r="CD23" s="2784" t="str">
        <f t="shared" si="3"/>
        <v xml:space="preserve">* El Número de TRANS Femenino no puede superar el Total Hombres. </v>
      </c>
      <c r="CE23" s="2784" t="str">
        <f t="shared" si="4"/>
        <v xml:space="preserve">* El Número de Pueblos Originarios no puede superar el Total. </v>
      </c>
      <c r="CF23" s="2784" t="str">
        <f t="shared" si="5"/>
        <v xml:space="preserve">* El Número de Migrantes no puede superar el Total. </v>
      </c>
      <c r="CG23" s="3018"/>
      <c r="CH23" s="2784" t="str">
        <f t="shared" si="6"/>
        <v xml:space="preserve">* El Número de Niños, Niñas, Adolescentes y Jóvenes SENAME no puede superar el Total. </v>
      </c>
      <c r="CI23" s="2784" t="str">
        <f t="shared" si="7"/>
        <v xml:space="preserve">* El Número de Niños, Niñas, Adolescentes y Jóvenes Mejor Niñez no puede superar el Total. </v>
      </c>
      <c r="CJ23" s="2630"/>
      <c r="CK23" s="1725">
        <f t="shared" si="8"/>
        <v>1</v>
      </c>
      <c r="CL23" s="1725">
        <f t="shared" si="9"/>
        <v>1</v>
      </c>
      <c r="CM23" s="1725">
        <f t="shared" si="10"/>
        <v>1</v>
      </c>
      <c r="CN23" s="1725">
        <f t="shared" si="11"/>
        <v>1</v>
      </c>
      <c r="CO23" s="1725">
        <f t="shared" si="12"/>
        <v>1</v>
      </c>
      <c r="CP23" s="2783"/>
      <c r="CQ23" s="1725">
        <f t="shared" si="13"/>
        <v>1</v>
      </c>
      <c r="CR23" s="1725">
        <f t="shared" si="14"/>
        <v>1</v>
      </c>
    </row>
    <row r="24" spans="1:96" x14ac:dyDescent="0.3">
      <c r="A24" s="6234">
        <v>19120301</v>
      </c>
      <c r="B24" s="6367" t="s">
        <v>33</v>
      </c>
      <c r="C24" s="3378" t="s">
        <v>74</v>
      </c>
      <c r="D24" s="8774" t="s">
        <v>5292</v>
      </c>
      <c r="E24" s="8775" t="s">
        <v>5293</v>
      </c>
      <c r="F24" s="6218" t="s">
        <v>5294</v>
      </c>
      <c r="G24" s="8808" t="s">
        <v>5295</v>
      </c>
      <c r="H24" s="8809" t="s">
        <v>5296</v>
      </c>
      <c r="I24" s="8776" t="s">
        <v>5297</v>
      </c>
      <c r="J24" s="8777" t="s">
        <v>5298</v>
      </c>
      <c r="K24" s="8776" t="s">
        <v>5299</v>
      </c>
      <c r="L24" s="8778" t="s">
        <v>5300</v>
      </c>
      <c r="M24" s="8776" t="s">
        <v>5301</v>
      </c>
      <c r="N24" s="8778" t="s">
        <v>5302</v>
      </c>
      <c r="O24" s="8776" t="s">
        <v>5303</v>
      </c>
      <c r="P24" s="8778" t="s">
        <v>5304</v>
      </c>
      <c r="Q24" s="8776" t="s">
        <v>5305</v>
      </c>
      <c r="R24" s="8778" t="s">
        <v>5306</v>
      </c>
      <c r="S24" s="8776" t="s">
        <v>5307</v>
      </c>
      <c r="T24" s="8778" t="s">
        <v>5308</v>
      </c>
      <c r="U24" s="8776" t="s">
        <v>5309</v>
      </c>
      <c r="V24" s="8778" t="s">
        <v>5310</v>
      </c>
      <c r="W24" s="8776" t="s">
        <v>5311</v>
      </c>
      <c r="X24" s="8778" t="s">
        <v>5312</v>
      </c>
      <c r="Y24" s="8776" t="s">
        <v>5313</v>
      </c>
      <c r="Z24" s="8778" t="s">
        <v>5314</v>
      </c>
      <c r="AA24" s="8776" t="s">
        <v>5315</v>
      </c>
      <c r="AB24" s="8778" t="s">
        <v>5316</v>
      </c>
      <c r="AC24" s="8776" t="s">
        <v>5317</v>
      </c>
      <c r="AD24" s="8778" t="s">
        <v>5318</v>
      </c>
      <c r="AE24" s="8776" t="s">
        <v>5319</v>
      </c>
      <c r="AF24" s="8778" t="s">
        <v>5320</v>
      </c>
      <c r="AG24" s="8776" t="s">
        <v>5321</v>
      </c>
      <c r="AH24" s="8778" t="s">
        <v>5322</v>
      </c>
      <c r="AI24" s="8776" t="s">
        <v>5323</v>
      </c>
      <c r="AJ24" s="8778" t="s">
        <v>5324</v>
      </c>
      <c r="AK24" s="8776" t="s">
        <v>5325</v>
      </c>
      <c r="AL24" s="8778" t="s">
        <v>5326</v>
      </c>
      <c r="AM24" s="8710" t="s">
        <v>5327</v>
      </c>
      <c r="AN24" s="8779" t="s">
        <v>5328</v>
      </c>
      <c r="AO24" s="8738" t="s">
        <v>5329</v>
      </c>
      <c r="AP24" s="8781" t="s">
        <v>5330</v>
      </c>
      <c r="AQ24" s="8782" t="s">
        <v>5331</v>
      </c>
      <c r="AR24" s="8783" t="s">
        <v>5332</v>
      </c>
      <c r="AS24" s="8783" t="s">
        <v>5333</v>
      </c>
      <c r="AT24" s="8784" t="s">
        <v>5334</v>
      </c>
      <c r="AU24" s="8810" t="s">
        <v>5335</v>
      </c>
      <c r="AV24" s="8810" t="s">
        <v>5336</v>
      </c>
      <c r="AW24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4" s="2784" t="str">
        <f t="shared" si="1"/>
        <v xml:space="preserve">* El Número de Espacios Amigables no puede superar el Total. </v>
      </c>
      <c r="CC24" s="2784" t="str">
        <f t="shared" si="2"/>
        <v xml:space="preserve">* El Número de TRANS Masculino no puede superar el Total Mujeres. </v>
      </c>
      <c r="CD24" s="2784" t="str">
        <f t="shared" si="3"/>
        <v xml:space="preserve">* El Número de TRANS Femenino no puede superar el Total Hombres. </v>
      </c>
      <c r="CE24" s="2784" t="str">
        <f t="shared" si="4"/>
        <v xml:space="preserve">* El Número de Pueblos Originarios no puede superar el Total. </v>
      </c>
      <c r="CF24" s="2784" t="str">
        <f t="shared" si="5"/>
        <v xml:space="preserve">* El Número de Migrantes no puede superar el Total. </v>
      </c>
      <c r="CG24" s="3018"/>
      <c r="CH24" s="2784" t="str">
        <f t="shared" si="6"/>
        <v xml:space="preserve">* El Número de Niños, Niñas, Adolescentes y Jóvenes SENAME no puede superar el Total. </v>
      </c>
      <c r="CI24" s="2784" t="str">
        <f t="shared" si="7"/>
        <v xml:space="preserve">* El Número de Niños, Niñas, Adolescentes y Jóvenes Mejor Niñez no puede superar el Total. </v>
      </c>
      <c r="CJ24" s="2630"/>
      <c r="CK24" s="1725">
        <f t="shared" si="8"/>
        <v>1</v>
      </c>
      <c r="CL24" s="1725">
        <f t="shared" si="9"/>
        <v>1</v>
      </c>
      <c r="CM24" s="1725">
        <f t="shared" si="10"/>
        <v>1</v>
      </c>
      <c r="CN24" s="1725">
        <f t="shared" si="11"/>
        <v>1</v>
      </c>
      <c r="CO24" s="1725">
        <f t="shared" si="12"/>
        <v>1</v>
      </c>
      <c r="CP24" s="2783"/>
      <c r="CQ24" s="1725">
        <f t="shared" si="13"/>
        <v>1</v>
      </c>
      <c r="CR24" s="1725">
        <f t="shared" si="14"/>
        <v>1</v>
      </c>
    </row>
    <row r="25" spans="1:96" x14ac:dyDescent="0.3">
      <c r="A25" s="6234">
        <v>19120302</v>
      </c>
      <c r="B25" s="6349"/>
      <c r="C25" s="3381" t="s">
        <v>275</v>
      </c>
      <c r="D25" s="3875" t="s">
        <v>5292</v>
      </c>
      <c r="E25" s="8786" t="s">
        <v>5293</v>
      </c>
      <c r="F25" s="6219" t="s">
        <v>5294</v>
      </c>
      <c r="G25" s="8811" t="s">
        <v>5295</v>
      </c>
      <c r="H25" s="8812" t="s">
        <v>5296</v>
      </c>
      <c r="I25" s="8787" t="s">
        <v>5297</v>
      </c>
      <c r="J25" s="8788" t="s">
        <v>5298</v>
      </c>
      <c r="K25" s="8787" t="s">
        <v>5299</v>
      </c>
      <c r="L25" s="8789" t="s">
        <v>5300</v>
      </c>
      <c r="M25" s="8787" t="s">
        <v>5301</v>
      </c>
      <c r="N25" s="8789" t="s">
        <v>5302</v>
      </c>
      <c r="O25" s="8787" t="s">
        <v>5303</v>
      </c>
      <c r="P25" s="8789" t="s">
        <v>5304</v>
      </c>
      <c r="Q25" s="8787" t="s">
        <v>5305</v>
      </c>
      <c r="R25" s="8789" t="s">
        <v>5306</v>
      </c>
      <c r="S25" s="8787" t="s">
        <v>5307</v>
      </c>
      <c r="T25" s="8789" t="s">
        <v>5308</v>
      </c>
      <c r="U25" s="8787" t="s">
        <v>5309</v>
      </c>
      <c r="V25" s="8789" t="s">
        <v>5310</v>
      </c>
      <c r="W25" s="8787" t="s">
        <v>5311</v>
      </c>
      <c r="X25" s="8789" t="s">
        <v>5312</v>
      </c>
      <c r="Y25" s="8787" t="s">
        <v>5313</v>
      </c>
      <c r="Z25" s="8789" t="s">
        <v>5314</v>
      </c>
      <c r="AA25" s="8787" t="s">
        <v>5315</v>
      </c>
      <c r="AB25" s="8789" t="s">
        <v>5316</v>
      </c>
      <c r="AC25" s="8787" t="s">
        <v>5317</v>
      </c>
      <c r="AD25" s="8789" t="s">
        <v>5318</v>
      </c>
      <c r="AE25" s="8787" t="s">
        <v>5319</v>
      </c>
      <c r="AF25" s="8789" t="s">
        <v>5320</v>
      </c>
      <c r="AG25" s="8787" t="s">
        <v>5321</v>
      </c>
      <c r="AH25" s="8789" t="s">
        <v>5322</v>
      </c>
      <c r="AI25" s="8787" t="s">
        <v>5323</v>
      </c>
      <c r="AJ25" s="8789" t="s">
        <v>5324</v>
      </c>
      <c r="AK25" s="8787" t="s">
        <v>5325</v>
      </c>
      <c r="AL25" s="8789" t="s">
        <v>5326</v>
      </c>
      <c r="AM25" s="8790" t="s">
        <v>5327</v>
      </c>
      <c r="AN25" s="8791" t="s">
        <v>5328</v>
      </c>
      <c r="AO25" s="8792" t="s">
        <v>5329</v>
      </c>
      <c r="AP25" s="8793" t="s">
        <v>5330</v>
      </c>
      <c r="AQ25" s="8788" t="s">
        <v>5331</v>
      </c>
      <c r="AR25" s="8785" t="s">
        <v>5332</v>
      </c>
      <c r="AS25" s="8785" t="s">
        <v>5333</v>
      </c>
      <c r="AT25" s="8794" t="s">
        <v>5334</v>
      </c>
      <c r="AU25" s="8785" t="s">
        <v>5335</v>
      </c>
      <c r="AV25" s="8785" t="s">
        <v>5336</v>
      </c>
      <c r="AW25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5" s="2784" t="str">
        <f t="shared" si="1"/>
        <v xml:space="preserve">* El Número de Espacios Amigables no puede superar el Total. </v>
      </c>
      <c r="CC25" s="2784" t="str">
        <f t="shared" si="2"/>
        <v xml:space="preserve">* El Número de TRANS Masculino no puede superar el Total Mujeres. </v>
      </c>
      <c r="CD25" s="2784" t="str">
        <f t="shared" si="3"/>
        <v xml:space="preserve">* El Número de TRANS Femenino no puede superar el Total Hombres. </v>
      </c>
      <c r="CE25" s="2784" t="str">
        <f t="shared" si="4"/>
        <v xml:space="preserve">* El Número de Pueblos Originarios no puede superar el Total. </v>
      </c>
      <c r="CF25" s="2784" t="str">
        <f t="shared" si="5"/>
        <v xml:space="preserve">* El Número de Migrantes no puede superar el Total. </v>
      </c>
      <c r="CG25" s="3018"/>
      <c r="CH25" s="2784" t="str">
        <f t="shared" si="6"/>
        <v xml:space="preserve">* El Número de Niños, Niñas, Adolescentes y Jóvenes SENAME no puede superar el Total. </v>
      </c>
      <c r="CI25" s="2784" t="str">
        <f t="shared" si="7"/>
        <v xml:space="preserve">* El Número de Niños, Niñas, Adolescentes y Jóvenes Mejor Niñez no puede superar el Total. </v>
      </c>
      <c r="CJ25" s="2630"/>
      <c r="CK25" s="1725">
        <f t="shared" si="8"/>
        <v>1</v>
      </c>
      <c r="CL25" s="1725">
        <f t="shared" si="9"/>
        <v>1</v>
      </c>
      <c r="CM25" s="1725">
        <f t="shared" si="10"/>
        <v>1</v>
      </c>
      <c r="CN25" s="1725">
        <f t="shared" si="11"/>
        <v>1</v>
      </c>
      <c r="CO25" s="1725">
        <f t="shared" si="12"/>
        <v>1</v>
      </c>
      <c r="CP25" s="2783"/>
      <c r="CQ25" s="1725">
        <f t="shared" si="13"/>
        <v>1</v>
      </c>
      <c r="CR25" s="1725">
        <f t="shared" si="14"/>
        <v>1</v>
      </c>
    </row>
    <row r="26" spans="1:96" x14ac:dyDescent="0.3">
      <c r="A26" s="6234">
        <v>19120303</v>
      </c>
      <c r="B26" s="6349"/>
      <c r="C26" s="3381" t="s">
        <v>77</v>
      </c>
      <c r="D26" s="3875" t="s">
        <v>5292</v>
      </c>
      <c r="E26" s="8786" t="s">
        <v>5293</v>
      </c>
      <c r="F26" s="6219" t="s">
        <v>5294</v>
      </c>
      <c r="G26" s="8811" t="s">
        <v>5295</v>
      </c>
      <c r="H26" s="8812" t="s">
        <v>5296</v>
      </c>
      <c r="I26" s="8787" t="s">
        <v>5297</v>
      </c>
      <c r="J26" s="8788" t="s">
        <v>5298</v>
      </c>
      <c r="K26" s="8787" t="s">
        <v>5299</v>
      </c>
      <c r="L26" s="8789" t="s">
        <v>5300</v>
      </c>
      <c r="M26" s="8787" t="s">
        <v>5301</v>
      </c>
      <c r="N26" s="8789" t="s">
        <v>5302</v>
      </c>
      <c r="O26" s="8787" t="s">
        <v>5303</v>
      </c>
      <c r="P26" s="8789" t="s">
        <v>5304</v>
      </c>
      <c r="Q26" s="8787" t="s">
        <v>5305</v>
      </c>
      <c r="R26" s="8789" t="s">
        <v>5306</v>
      </c>
      <c r="S26" s="8787" t="s">
        <v>5307</v>
      </c>
      <c r="T26" s="8789" t="s">
        <v>5308</v>
      </c>
      <c r="U26" s="8787" t="s">
        <v>5309</v>
      </c>
      <c r="V26" s="8789" t="s">
        <v>5310</v>
      </c>
      <c r="W26" s="8787" t="s">
        <v>5311</v>
      </c>
      <c r="X26" s="8789" t="s">
        <v>5312</v>
      </c>
      <c r="Y26" s="8787" t="s">
        <v>5313</v>
      </c>
      <c r="Z26" s="8789" t="s">
        <v>5314</v>
      </c>
      <c r="AA26" s="8787" t="s">
        <v>5315</v>
      </c>
      <c r="AB26" s="8789" t="s">
        <v>5316</v>
      </c>
      <c r="AC26" s="8787" t="s">
        <v>5317</v>
      </c>
      <c r="AD26" s="8789" t="s">
        <v>5318</v>
      </c>
      <c r="AE26" s="8787" t="s">
        <v>5319</v>
      </c>
      <c r="AF26" s="8789" t="s">
        <v>5320</v>
      </c>
      <c r="AG26" s="8787" t="s">
        <v>5321</v>
      </c>
      <c r="AH26" s="8789" t="s">
        <v>5322</v>
      </c>
      <c r="AI26" s="8787" t="s">
        <v>5323</v>
      </c>
      <c r="AJ26" s="8789" t="s">
        <v>5324</v>
      </c>
      <c r="AK26" s="8787" t="s">
        <v>5325</v>
      </c>
      <c r="AL26" s="8789" t="s">
        <v>5326</v>
      </c>
      <c r="AM26" s="8790" t="s">
        <v>5327</v>
      </c>
      <c r="AN26" s="8791" t="s">
        <v>5328</v>
      </c>
      <c r="AO26" s="8792" t="s">
        <v>5329</v>
      </c>
      <c r="AP26" s="8793" t="s">
        <v>5330</v>
      </c>
      <c r="AQ26" s="8788" t="s">
        <v>5331</v>
      </c>
      <c r="AR26" s="8785" t="s">
        <v>5332</v>
      </c>
      <c r="AS26" s="8785" t="s">
        <v>5333</v>
      </c>
      <c r="AT26" s="8794" t="s">
        <v>5334</v>
      </c>
      <c r="AU26" s="8785" t="s">
        <v>5335</v>
      </c>
      <c r="AV26" s="8785" t="s">
        <v>5336</v>
      </c>
      <c r="AW26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6" s="2784" t="str">
        <f t="shared" si="1"/>
        <v xml:space="preserve">* El Número de Espacios Amigables no puede superar el Total. </v>
      </c>
      <c r="CC26" s="2784" t="str">
        <f t="shared" si="2"/>
        <v xml:space="preserve">* El Número de TRANS Masculino no puede superar el Total Mujeres. </v>
      </c>
      <c r="CD26" s="2784" t="str">
        <f t="shared" si="3"/>
        <v xml:space="preserve">* El Número de TRANS Femenino no puede superar el Total Hombres. </v>
      </c>
      <c r="CE26" s="2784" t="str">
        <f t="shared" si="4"/>
        <v xml:space="preserve">* El Número de Pueblos Originarios no puede superar el Total. </v>
      </c>
      <c r="CF26" s="2784" t="str">
        <f t="shared" si="5"/>
        <v xml:space="preserve">* El Número de Migrantes no puede superar el Total. </v>
      </c>
      <c r="CG26" s="3018"/>
      <c r="CH26" s="2784" t="str">
        <f t="shared" si="6"/>
        <v xml:space="preserve">* El Número de Niños, Niñas, Adolescentes y Jóvenes SENAME no puede superar el Total. </v>
      </c>
      <c r="CI26" s="2784" t="str">
        <f t="shared" si="7"/>
        <v xml:space="preserve">* El Número de Niños, Niñas, Adolescentes y Jóvenes Mejor Niñez no puede superar el Total. </v>
      </c>
      <c r="CJ26" s="2630"/>
      <c r="CK26" s="1725">
        <f t="shared" si="8"/>
        <v>1</v>
      </c>
      <c r="CL26" s="1725">
        <f t="shared" si="9"/>
        <v>1</v>
      </c>
      <c r="CM26" s="1725">
        <f t="shared" si="10"/>
        <v>1</v>
      </c>
      <c r="CN26" s="1725">
        <f t="shared" si="11"/>
        <v>1</v>
      </c>
      <c r="CO26" s="1725">
        <f t="shared" si="12"/>
        <v>1</v>
      </c>
      <c r="CP26" s="2783"/>
      <c r="CQ26" s="1725">
        <f t="shared" si="13"/>
        <v>1</v>
      </c>
      <c r="CR26" s="1725">
        <f t="shared" si="14"/>
        <v>1</v>
      </c>
    </row>
    <row r="27" spans="1:96" x14ac:dyDescent="0.3">
      <c r="A27" s="6234">
        <v>19120304</v>
      </c>
      <c r="B27" s="6349"/>
      <c r="C27" s="3381" t="s">
        <v>247</v>
      </c>
      <c r="D27" s="3875" t="s">
        <v>5292</v>
      </c>
      <c r="E27" s="8786" t="s">
        <v>5293</v>
      </c>
      <c r="F27" s="6219" t="s">
        <v>5294</v>
      </c>
      <c r="G27" s="8811" t="s">
        <v>5295</v>
      </c>
      <c r="H27" s="8812" t="s">
        <v>5296</v>
      </c>
      <c r="I27" s="8787" t="s">
        <v>5297</v>
      </c>
      <c r="J27" s="8788" t="s">
        <v>5298</v>
      </c>
      <c r="K27" s="8787" t="s">
        <v>5299</v>
      </c>
      <c r="L27" s="8789" t="s">
        <v>5300</v>
      </c>
      <c r="M27" s="8787" t="s">
        <v>5301</v>
      </c>
      <c r="N27" s="8789" t="s">
        <v>5302</v>
      </c>
      <c r="O27" s="8787" t="s">
        <v>5303</v>
      </c>
      <c r="P27" s="8789" t="s">
        <v>5304</v>
      </c>
      <c r="Q27" s="8787" t="s">
        <v>5305</v>
      </c>
      <c r="R27" s="8789" t="s">
        <v>5306</v>
      </c>
      <c r="S27" s="8787" t="s">
        <v>5307</v>
      </c>
      <c r="T27" s="8789" t="s">
        <v>5308</v>
      </c>
      <c r="U27" s="8787" t="s">
        <v>5309</v>
      </c>
      <c r="V27" s="8789" t="s">
        <v>5310</v>
      </c>
      <c r="W27" s="8787" t="s">
        <v>5311</v>
      </c>
      <c r="X27" s="8789" t="s">
        <v>5312</v>
      </c>
      <c r="Y27" s="8787" t="s">
        <v>5313</v>
      </c>
      <c r="Z27" s="8789" t="s">
        <v>5314</v>
      </c>
      <c r="AA27" s="8787" t="s">
        <v>5315</v>
      </c>
      <c r="AB27" s="8789" t="s">
        <v>5316</v>
      </c>
      <c r="AC27" s="8787" t="s">
        <v>5317</v>
      </c>
      <c r="AD27" s="8789" t="s">
        <v>5318</v>
      </c>
      <c r="AE27" s="8787" t="s">
        <v>5319</v>
      </c>
      <c r="AF27" s="8789" t="s">
        <v>5320</v>
      </c>
      <c r="AG27" s="8787" t="s">
        <v>5321</v>
      </c>
      <c r="AH27" s="8789" t="s">
        <v>5322</v>
      </c>
      <c r="AI27" s="8787" t="s">
        <v>5323</v>
      </c>
      <c r="AJ27" s="8789" t="s">
        <v>5324</v>
      </c>
      <c r="AK27" s="8787" t="s">
        <v>5325</v>
      </c>
      <c r="AL27" s="8789" t="s">
        <v>5326</v>
      </c>
      <c r="AM27" s="8790" t="s">
        <v>5327</v>
      </c>
      <c r="AN27" s="8791" t="s">
        <v>5328</v>
      </c>
      <c r="AO27" s="8792" t="s">
        <v>5329</v>
      </c>
      <c r="AP27" s="8793" t="s">
        <v>5330</v>
      </c>
      <c r="AQ27" s="8788" t="s">
        <v>5331</v>
      </c>
      <c r="AR27" s="8785" t="s">
        <v>5332</v>
      </c>
      <c r="AS27" s="8785" t="s">
        <v>5333</v>
      </c>
      <c r="AT27" s="8794" t="s">
        <v>5334</v>
      </c>
      <c r="AU27" s="8785" t="s">
        <v>5335</v>
      </c>
      <c r="AV27" s="8785" t="s">
        <v>5336</v>
      </c>
      <c r="AW27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7" s="2784" t="str">
        <f t="shared" si="1"/>
        <v xml:space="preserve">* El Número de Espacios Amigables no puede superar el Total. </v>
      </c>
      <c r="CC27" s="2784" t="str">
        <f t="shared" si="2"/>
        <v xml:space="preserve">* El Número de TRANS Masculino no puede superar el Total Mujeres. </v>
      </c>
      <c r="CD27" s="2784" t="str">
        <f t="shared" si="3"/>
        <v xml:space="preserve">* El Número de TRANS Femenino no puede superar el Total Hombres. </v>
      </c>
      <c r="CE27" s="2784" t="str">
        <f t="shared" si="4"/>
        <v xml:space="preserve">* El Número de Pueblos Originarios no puede superar el Total. </v>
      </c>
      <c r="CF27" s="2784" t="str">
        <f t="shared" si="5"/>
        <v xml:space="preserve">* El Número de Migrantes no puede superar el Total. </v>
      </c>
      <c r="CG27" s="3018"/>
      <c r="CH27" s="2784" t="str">
        <f t="shared" si="6"/>
        <v xml:space="preserve">* El Número de Niños, Niñas, Adolescentes y Jóvenes SENAME no puede superar el Total. </v>
      </c>
      <c r="CI27" s="2784" t="str">
        <f t="shared" si="7"/>
        <v xml:space="preserve">* El Número de Niños, Niñas, Adolescentes y Jóvenes Mejor Niñez no puede superar el Total. </v>
      </c>
      <c r="CJ27" s="2630"/>
      <c r="CK27" s="1725">
        <f t="shared" si="8"/>
        <v>1</v>
      </c>
      <c r="CL27" s="1725">
        <f t="shared" si="9"/>
        <v>1</v>
      </c>
      <c r="CM27" s="1725">
        <f t="shared" si="10"/>
        <v>1</v>
      </c>
      <c r="CN27" s="1725">
        <f t="shared" si="11"/>
        <v>1</v>
      </c>
      <c r="CO27" s="1725">
        <f t="shared" si="12"/>
        <v>1</v>
      </c>
      <c r="CP27" s="2783"/>
      <c r="CQ27" s="1725">
        <f t="shared" si="13"/>
        <v>1</v>
      </c>
      <c r="CR27" s="1725">
        <f t="shared" si="14"/>
        <v>1</v>
      </c>
    </row>
    <row r="28" spans="1:96" x14ac:dyDescent="0.3">
      <c r="A28" s="6234">
        <v>19120306</v>
      </c>
      <c r="B28" s="6349"/>
      <c r="C28" s="3381" t="s">
        <v>566</v>
      </c>
      <c r="D28" s="3875" t="s">
        <v>5292</v>
      </c>
      <c r="E28" s="8786" t="s">
        <v>5293</v>
      </c>
      <c r="F28" s="6219" t="s">
        <v>5294</v>
      </c>
      <c r="G28" s="8811" t="s">
        <v>5295</v>
      </c>
      <c r="H28" s="8812" t="s">
        <v>5296</v>
      </c>
      <c r="I28" s="8787" t="s">
        <v>5297</v>
      </c>
      <c r="J28" s="8788" t="s">
        <v>5298</v>
      </c>
      <c r="K28" s="8787" t="s">
        <v>5299</v>
      </c>
      <c r="L28" s="8789" t="s">
        <v>5300</v>
      </c>
      <c r="M28" s="8787" t="s">
        <v>5301</v>
      </c>
      <c r="N28" s="8789" t="s">
        <v>5302</v>
      </c>
      <c r="O28" s="8787" t="s">
        <v>5303</v>
      </c>
      <c r="P28" s="8789" t="s">
        <v>5304</v>
      </c>
      <c r="Q28" s="8787" t="s">
        <v>5305</v>
      </c>
      <c r="R28" s="8789" t="s">
        <v>5306</v>
      </c>
      <c r="S28" s="8787" t="s">
        <v>5307</v>
      </c>
      <c r="T28" s="8789" t="s">
        <v>5308</v>
      </c>
      <c r="U28" s="8787" t="s">
        <v>5309</v>
      </c>
      <c r="V28" s="8789" t="s">
        <v>5310</v>
      </c>
      <c r="W28" s="8787" t="s">
        <v>5311</v>
      </c>
      <c r="X28" s="8789" t="s">
        <v>5312</v>
      </c>
      <c r="Y28" s="8787" t="s">
        <v>5313</v>
      </c>
      <c r="Z28" s="8789" t="s">
        <v>5314</v>
      </c>
      <c r="AA28" s="8787" t="s">
        <v>5315</v>
      </c>
      <c r="AB28" s="8789" t="s">
        <v>5316</v>
      </c>
      <c r="AC28" s="8787" t="s">
        <v>5317</v>
      </c>
      <c r="AD28" s="8789" t="s">
        <v>5318</v>
      </c>
      <c r="AE28" s="8787" t="s">
        <v>5319</v>
      </c>
      <c r="AF28" s="8789" t="s">
        <v>5320</v>
      </c>
      <c r="AG28" s="8787" t="s">
        <v>5321</v>
      </c>
      <c r="AH28" s="8789" t="s">
        <v>5322</v>
      </c>
      <c r="AI28" s="8787" t="s">
        <v>5323</v>
      </c>
      <c r="AJ28" s="8789" t="s">
        <v>5324</v>
      </c>
      <c r="AK28" s="8787" t="s">
        <v>5325</v>
      </c>
      <c r="AL28" s="8789" t="s">
        <v>5326</v>
      </c>
      <c r="AM28" s="8790" t="s">
        <v>5327</v>
      </c>
      <c r="AN28" s="8791" t="s">
        <v>5328</v>
      </c>
      <c r="AO28" s="8792" t="s">
        <v>5329</v>
      </c>
      <c r="AP28" s="8793" t="s">
        <v>5330</v>
      </c>
      <c r="AQ28" s="8788" t="s">
        <v>5331</v>
      </c>
      <c r="AR28" s="8785" t="s">
        <v>5332</v>
      </c>
      <c r="AS28" s="8785" t="s">
        <v>5333</v>
      </c>
      <c r="AT28" s="8794" t="s">
        <v>5334</v>
      </c>
      <c r="AU28" s="8785" t="s">
        <v>5335</v>
      </c>
      <c r="AV28" s="8785" t="s">
        <v>5336</v>
      </c>
      <c r="AW28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8" s="2784" t="str">
        <f t="shared" si="1"/>
        <v xml:space="preserve">* El Número de Espacios Amigables no puede superar el Total. </v>
      </c>
      <c r="CC28" s="2784" t="str">
        <f t="shared" si="2"/>
        <v xml:space="preserve">* El Número de TRANS Masculino no puede superar el Total Mujeres. </v>
      </c>
      <c r="CD28" s="2784" t="str">
        <f t="shared" si="3"/>
        <v xml:space="preserve">* El Número de TRANS Femenino no puede superar el Total Hombres. </v>
      </c>
      <c r="CE28" s="2784" t="str">
        <f t="shared" si="4"/>
        <v xml:space="preserve">* El Número de Pueblos Originarios no puede superar el Total. </v>
      </c>
      <c r="CF28" s="2784" t="str">
        <f t="shared" si="5"/>
        <v xml:space="preserve">* El Número de Migrantes no puede superar el Total. </v>
      </c>
      <c r="CG28" s="3018"/>
      <c r="CH28" s="2784" t="str">
        <f t="shared" si="6"/>
        <v xml:space="preserve">* El Número de Niños, Niñas, Adolescentes y Jóvenes SENAME no puede superar el Total. </v>
      </c>
      <c r="CI28" s="2784" t="str">
        <f t="shared" si="7"/>
        <v xml:space="preserve">* El Número de Niños, Niñas, Adolescentes y Jóvenes Mejor Niñez no puede superar el Total. </v>
      </c>
      <c r="CJ28" s="2630"/>
      <c r="CK28" s="1725">
        <f t="shared" si="8"/>
        <v>1</v>
      </c>
      <c r="CL28" s="1725">
        <f t="shared" si="9"/>
        <v>1</v>
      </c>
      <c r="CM28" s="1725">
        <f t="shared" si="10"/>
        <v>1</v>
      </c>
      <c r="CN28" s="1725">
        <f t="shared" si="11"/>
        <v>1</v>
      </c>
      <c r="CO28" s="1725">
        <f t="shared" si="12"/>
        <v>1</v>
      </c>
      <c r="CP28" s="2783"/>
      <c r="CQ28" s="1725">
        <f t="shared" si="13"/>
        <v>1</v>
      </c>
      <c r="CR28" s="1725">
        <f t="shared" si="14"/>
        <v>1</v>
      </c>
    </row>
    <row r="29" spans="1:96" x14ac:dyDescent="0.3">
      <c r="A29" s="6234">
        <v>19120308</v>
      </c>
      <c r="B29" s="6349"/>
      <c r="C29" s="3381" t="s">
        <v>2835</v>
      </c>
      <c r="D29" s="3875" t="s">
        <v>5292</v>
      </c>
      <c r="E29" s="8786" t="s">
        <v>5293</v>
      </c>
      <c r="F29" s="6219" t="s">
        <v>5294</v>
      </c>
      <c r="G29" s="8811" t="s">
        <v>5295</v>
      </c>
      <c r="H29" s="8812" t="s">
        <v>5296</v>
      </c>
      <c r="I29" s="8787" t="s">
        <v>5297</v>
      </c>
      <c r="J29" s="8788" t="s">
        <v>5298</v>
      </c>
      <c r="K29" s="8787" t="s">
        <v>5299</v>
      </c>
      <c r="L29" s="8789" t="s">
        <v>5300</v>
      </c>
      <c r="M29" s="8787" t="s">
        <v>5301</v>
      </c>
      <c r="N29" s="8789" t="s">
        <v>5302</v>
      </c>
      <c r="O29" s="8787" t="s">
        <v>5303</v>
      </c>
      <c r="P29" s="8789" t="s">
        <v>5304</v>
      </c>
      <c r="Q29" s="8787" t="s">
        <v>5305</v>
      </c>
      <c r="R29" s="8789" t="s">
        <v>5306</v>
      </c>
      <c r="S29" s="8787" t="s">
        <v>5307</v>
      </c>
      <c r="T29" s="8789" t="s">
        <v>5308</v>
      </c>
      <c r="U29" s="8787" t="s">
        <v>5309</v>
      </c>
      <c r="V29" s="8789" t="s">
        <v>5310</v>
      </c>
      <c r="W29" s="8787" t="s">
        <v>5311</v>
      </c>
      <c r="X29" s="8789" t="s">
        <v>5312</v>
      </c>
      <c r="Y29" s="8787" t="s">
        <v>5313</v>
      </c>
      <c r="Z29" s="8789" t="s">
        <v>5314</v>
      </c>
      <c r="AA29" s="8787" t="s">
        <v>5315</v>
      </c>
      <c r="AB29" s="8789" t="s">
        <v>5316</v>
      </c>
      <c r="AC29" s="8787" t="s">
        <v>5317</v>
      </c>
      <c r="AD29" s="8789" t="s">
        <v>5318</v>
      </c>
      <c r="AE29" s="8787" t="s">
        <v>5319</v>
      </c>
      <c r="AF29" s="8789" t="s">
        <v>5320</v>
      </c>
      <c r="AG29" s="8787" t="s">
        <v>5321</v>
      </c>
      <c r="AH29" s="8789" t="s">
        <v>5322</v>
      </c>
      <c r="AI29" s="8787" t="s">
        <v>5323</v>
      </c>
      <c r="AJ29" s="8789" t="s">
        <v>5324</v>
      </c>
      <c r="AK29" s="8787" t="s">
        <v>5325</v>
      </c>
      <c r="AL29" s="8789" t="s">
        <v>5326</v>
      </c>
      <c r="AM29" s="8790" t="s">
        <v>5327</v>
      </c>
      <c r="AN29" s="8791" t="s">
        <v>5328</v>
      </c>
      <c r="AO29" s="8792" t="s">
        <v>5329</v>
      </c>
      <c r="AP29" s="8793" t="s">
        <v>5330</v>
      </c>
      <c r="AQ29" s="8788" t="s">
        <v>5331</v>
      </c>
      <c r="AR29" s="8785" t="s">
        <v>5332</v>
      </c>
      <c r="AS29" s="8785" t="s">
        <v>5333</v>
      </c>
      <c r="AT29" s="8794" t="s">
        <v>5334</v>
      </c>
      <c r="AU29" s="8785" t="s">
        <v>5335</v>
      </c>
      <c r="AV29" s="8785" t="s">
        <v>5336</v>
      </c>
      <c r="AW29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9" s="2784" t="str">
        <f t="shared" si="1"/>
        <v xml:space="preserve">* El Número de Espacios Amigables no puede superar el Total. </v>
      </c>
      <c r="CC29" s="2784" t="str">
        <f t="shared" si="2"/>
        <v xml:space="preserve">* El Número de TRANS Masculino no puede superar el Total Mujeres. </v>
      </c>
      <c r="CD29" s="2784" t="str">
        <f t="shared" si="3"/>
        <v xml:space="preserve">* El Número de TRANS Femenino no puede superar el Total Hombres. </v>
      </c>
      <c r="CE29" s="2784" t="str">
        <f t="shared" si="4"/>
        <v xml:space="preserve">* El Número de Pueblos Originarios no puede superar el Total. </v>
      </c>
      <c r="CF29" s="2784" t="str">
        <f t="shared" si="5"/>
        <v xml:space="preserve">* El Número de Migrantes no puede superar el Total. </v>
      </c>
      <c r="CG29" s="3018"/>
      <c r="CH29" s="2784" t="str">
        <f t="shared" si="6"/>
        <v xml:space="preserve">* El Número de Niños, Niñas, Adolescentes y Jóvenes SENAME no puede superar el Total. </v>
      </c>
      <c r="CI29" s="2784" t="str">
        <f t="shared" si="7"/>
        <v xml:space="preserve">* El Número de Niños, Niñas, Adolescentes y Jóvenes Mejor Niñez no puede superar el Total. </v>
      </c>
      <c r="CJ29" s="2630"/>
      <c r="CK29" s="1725">
        <f t="shared" si="8"/>
        <v>1</v>
      </c>
      <c r="CL29" s="1725">
        <f t="shared" si="9"/>
        <v>1</v>
      </c>
      <c r="CM29" s="1725">
        <f t="shared" si="10"/>
        <v>1</v>
      </c>
      <c r="CN29" s="1725">
        <f t="shared" si="11"/>
        <v>1</v>
      </c>
      <c r="CO29" s="1725">
        <f t="shared" si="12"/>
        <v>1</v>
      </c>
      <c r="CP29" s="2783"/>
      <c r="CQ29" s="1725">
        <f t="shared" si="13"/>
        <v>1</v>
      </c>
      <c r="CR29" s="1725">
        <f t="shared" si="14"/>
        <v>1</v>
      </c>
    </row>
    <row r="30" spans="1:96" x14ac:dyDescent="0.3">
      <c r="A30" s="6234">
        <v>19120310</v>
      </c>
      <c r="B30" s="6349"/>
      <c r="C30" s="3381" t="s">
        <v>277</v>
      </c>
      <c r="D30" s="3875" t="s">
        <v>5292</v>
      </c>
      <c r="E30" s="8786" t="s">
        <v>5293</v>
      </c>
      <c r="F30" s="6219" t="s">
        <v>5294</v>
      </c>
      <c r="G30" s="8811" t="s">
        <v>5295</v>
      </c>
      <c r="H30" s="8812" t="s">
        <v>5296</v>
      </c>
      <c r="I30" s="8787" t="s">
        <v>5297</v>
      </c>
      <c r="J30" s="8788" t="s">
        <v>5298</v>
      </c>
      <c r="K30" s="8787" t="s">
        <v>5299</v>
      </c>
      <c r="L30" s="8789" t="s">
        <v>5300</v>
      </c>
      <c r="M30" s="8787" t="s">
        <v>5301</v>
      </c>
      <c r="N30" s="8789" t="s">
        <v>5302</v>
      </c>
      <c r="O30" s="8787" t="s">
        <v>5303</v>
      </c>
      <c r="P30" s="8789" t="s">
        <v>5304</v>
      </c>
      <c r="Q30" s="8787" t="s">
        <v>5305</v>
      </c>
      <c r="R30" s="8789" t="s">
        <v>5306</v>
      </c>
      <c r="S30" s="8787" t="s">
        <v>5307</v>
      </c>
      <c r="T30" s="8789" t="s">
        <v>5308</v>
      </c>
      <c r="U30" s="8787" t="s">
        <v>5309</v>
      </c>
      <c r="V30" s="8789" t="s">
        <v>5310</v>
      </c>
      <c r="W30" s="8787" t="s">
        <v>5311</v>
      </c>
      <c r="X30" s="8789" t="s">
        <v>5312</v>
      </c>
      <c r="Y30" s="8787" t="s">
        <v>5313</v>
      </c>
      <c r="Z30" s="8789" t="s">
        <v>5314</v>
      </c>
      <c r="AA30" s="8787" t="s">
        <v>5315</v>
      </c>
      <c r="AB30" s="8789" t="s">
        <v>5316</v>
      </c>
      <c r="AC30" s="8787" t="s">
        <v>5317</v>
      </c>
      <c r="AD30" s="8789" t="s">
        <v>5318</v>
      </c>
      <c r="AE30" s="8787" t="s">
        <v>5319</v>
      </c>
      <c r="AF30" s="8789" t="s">
        <v>5320</v>
      </c>
      <c r="AG30" s="8787" t="s">
        <v>5321</v>
      </c>
      <c r="AH30" s="8789" t="s">
        <v>5322</v>
      </c>
      <c r="AI30" s="8787" t="s">
        <v>5323</v>
      </c>
      <c r="AJ30" s="8789" t="s">
        <v>5324</v>
      </c>
      <c r="AK30" s="8787" t="s">
        <v>5325</v>
      </c>
      <c r="AL30" s="8789" t="s">
        <v>5326</v>
      </c>
      <c r="AM30" s="8790" t="s">
        <v>5327</v>
      </c>
      <c r="AN30" s="8791" t="s">
        <v>5328</v>
      </c>
      <c r="AO30" s="8792" t="s">
        <v>5329</v>
      </c>
      <c r="AP30" s="8793" t="s">
        <v>5330</v>
      </c>
      <c r="AQ30" s="8788" t="s">
        <v>5331</v>
      </c>
      <c r="AR30" s="8785" t="s">
        <v>5332</v>
      </c>
      <c r="AS30" s="8785" t="s">
        <v>5333</v>
      </c>
      <c r="AT30" s="8794" t="s">
        <v>5334</v>
      </c>
      <c r="AU30" s="8785" t="s">
        <v>5335</v>
      </c>
      <c r="AV30" s="8785" t="s">
        <v>5336</v>
      </c>
      <c r="AW30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0" s="2784" t="str">
        <f t="shared" si="1"/>
        <v xml:space="preserve">* El Número de Espacios Amigables no puede superar el Total. </v>
      </c>
      <c r="CC30" s="2784" t="str">
        <f t="shared" si="2"/>
        <v xml:space="preserve">* El Número de TRANS Masculino no puede superar el Total Mujeres. </v>
      </c>
      <c r="CD30" s="2784" t="str">
        <f t="shared" si="3"/>
        <v xml:space="preserve">* El Número de TRANS Femenino no puede superar el Total Hombres. </v>
      </c>
      <c r="CE30" s="2784" t="str">
        <f t="shared" si="4"/>
        <v xml:space="preserve">* El Número de Pueblos Originarios no puede superar el Total. </v>
      </c>
      <c r="CF30" s="2784" t="str">
        <f t="shared" si="5"/>
        <v xml:space="preserve">* El Número de Migrantes no puede superar el Total. </v>
      </c>
      <c r="CG30" s="3018"/>
      <c r="CH30" s="2784" t="str">
        <f t="shared" si="6"/>
        <v xml:space="preserve">* El Número de Niños, Niñas, Adolescentes y Jóvenes SENAME no puede superar el Total. </v>
      </c>
      <c r="CI30" s="2784" t="str">
        <f t="shared" si="7"/>
        <v xml:space="preserve">* El Número de Niños, Niñas, Adolescentes y Jóvenes Mejor Niñez no puede superar el Total. </v>
      </c>
      <c r="CJ30" s="2630"/>
      <c r="CK30" s="1725">
        <f t="shared" si="8"/>
        <v>1</v>
      </c>
      <c r="CL30" s="1725">
        <f t="shared" si="9"/>
        <v>1</v>
      </c>
      <c r="CM30" s="1725">
        <f t="shared" si="10"/>
        <v>1</v>
      </c>
      <c r="CN30" s="1725">
        <f t="shared" si="11"/>
        <v>1</v>
      </c>
      <c r="CO30" s="1725">
        <f t="shared" si="12"/>
        <v>1</v>
      </c>
      <c r="CP30" s="2783"/>
      <c r="CQ30" s="1725">
        <f t="shared" si="13"/>
        <v>1</v>
      </c>
      <c r="CR30" s="1725">
        <f t="shared" si="14"/>
        <v>1</v>
      </c>
    </row>
    <row r="31" spans="1:96" x14ac:dyDescent="0.3">
      <c r="A31" s="6234">
        <v>19170200</v>
      </c>
      <c r="B31" s="6349"/>
      <c r="C31" s="3611" t="s">
        <v>2836</v>
      </c>
      <c r="D31" s="3887" t="s">
        <v>5292</v>
      </c>
      <c r="E31" s="8795" t="s">
        <v>5293</v>
      </c>
      <c r="F31" s="8796" t="s">
        <v>5294</v>
      </c>
      <c r="G31" s="8811" t="s">
        <v>5295</v>
      </c>
      <c r="H31" s="8812" t="s">
        <v>5296</v>
      </c>
      <c r="I31" s="8713" t="s">
        <v>5297</v>
      </c>
      <c r="J31" s="8719" t="s">
        <v>5298</v>
      </c>
      <c r="K31" s="8713" t="s">
        <v>5299</v>
      </c>
      <c r="L31" s="8714" t="s">
        <v>5300</v>
      </c>
      <c r="M31" s="8713" t="s">
        <v>5301</v>
      </c>
      <c r="N31" s="8714" t="s">
        <v>5302</v>
      </c>
      <c r="O31" s="8713" t="s">
        <v>5303</v>
      </c>
      <c r="P31" s="8714" t="s">
        <v>5304</v>
      </c>
      <c r="Q31" s="8713" t="s">
        <v>5305</v>
      </c>
      <c r="R31" s="8714" t="s">
        <v>5306</v>
      </c>
      <c r="S31" s="8713" t="s">
        <v>5307</v>
      </c>
      <c r="T31" s="8714" t="s">
        <v>5308</v>
      </c>
      <c r="U31" s="8713" t="s">
        <v>5309</v>
      </c>
      <c r="V31" s="8714" t="s">
        <v>5310</v>
      </c>
      <c r="W31" s="8713" t="s">
        <v>5311</v>
      </c>
      <c r="X31" s="8714" t="s">
        <v>5312</v>
      </c>
      <c r="Y31" s="8713" t="s">
        <v>5313</v>
      </c>
      <c r="Z31" s="8714" t="s">
        <v>5314</v>
      </c>
      <c r="AA31" s="8713" t="s">
        <v>5315</v>
      </c>
      <c r="AB31" s="8714" t="s">
        <v>5316</v>
      </c>
      <c r="AC31" s="8713" t="s">
        <v>5317</v>
      </c>
      <c r="AD31" s="8714" t="s">
        <v>5318</v>
      </c>
      <c r="AE31" s="8713" t="s">
        <v>5319</v>
      </c>
      <c r="AF31" s="8714" t="s">
        <v>5320</v>
      </c>
      <c r="AG31" s="8713" t="s">
        <v>5321</v>
      </c>
      <c r="AH31" s="8714" t="s">
        <v>5322</v>
      </c>
      <c r="AI31" s="8713" t="s">
        <v>5323</v>
      </c>
      <c r="AJ31" s="8714" t="s">
        <v>5324</v>
      </c>
      <c r="AK31" s="8713" t="s">
        <v>5325</v>
      </c>
      <c r="AL31" s="8714" t="s">
        <v>5326</v>
      </c>
      <c r="AM31" s="8720" t="s">
        <v>5327</v>
      </c>
      <c r="AN31" s="8797" t="s">
        <v>5328</v>
      </c>
      <c r="AO31" s="8792" t="s">
        <v>5329</v>
      </c>
      <c r="AP31" s="8715" t="s">
        <v>5330</v>
      </c>
      <c r="AQ31" s="8788" t="s">
        <v>5331</v>
      </c>
      <c r="AR31" s="8785" t="s">
        <v>5332</v>
      </c>
      <c r="AS31" s="8785" t="s">
        <v>5333</v>
      </c>
      <c r="AT31" s="8794" t="s">
        <v>5334</v>
      </c>
      <c r="AU31" s="8785" t="s">
        <v>5335</v>
      </c>
      <c r="AV31" s="8785" t="s">
        <v>5336</v>
      </c>
      <c r="AW31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1" s="2784" t="str">
        <f t="shared" si="1"/>
        <v xml:space="preserve">* El Número de Espacios Amigables no puede superar el Total. </v>
      </c>
      <c r="CC31" s="2784" t="str">
        <f t="shared" si="2"/>
        <v xml:space="preserve">* El Número de TRANS Masculino no puede superar el Total Mujeres. </v>
      </c>
      <c r="CD31" s="2784" t="str">
        <f t="shared" si="3"/>
        <v xml:space="preserve">* El Número de TRANS Femenino no puede superar el Total Hombres. </v>
      </c>
      <c r="CE31" s="2784" t="str">
        <f t="shared" si="4"/>
        <v xml:space="preserve">* El Número de Pueblos Originarios no puede superar el Total. </v>
      </c>
      <c r="CF31" s="2784" t="str">
        <f t="shared" si="5"/>
        <v xml:space="preserve">* El Número de Migrantes no puede superar el Total. </v>
      </c>
      <c r="CG31" s="3018"/>
      <c r="CH31" s="2784" t="str">
        <f t="shared" si="6"/>
        <v xml:space="preserve">* El Número de Niños, Niñas, Adolescentes y Jóvenes SENAME no puede superar el Total. </v>
      </c>
      <c r="CI31" s="2784" t="str">
        <f t="shared" si="7"/>
        <v xml:space="preserve">* El Número de Niños, Niñas, Adolescentes y Jóvenes Mejor Niñez no puede superar el Total. </v>
      </c>
      <c r="CJ31" s="2630"/>
      <c r="CK31" s="1725">
        <f t="shared" si="8"/>
        <v>1</v>
      </c>
      <c r="CL31" s="1725">
        <f t="shared" si="9"/>
        <v>1</v>
      </c>
      <c r="CM31" s="1725">
        <f t="shared" si="10"/>
        <v>1</v>
      </c>
      <c r="CN31" s="1725">
        <f t="shared" si="11"/>
        <v>1</v>
      </c>
      <c r="CO31" s="1725">
        <f t="shared" si="12"/>
        <v>1</v>
      </c>
      <c r="CP31" s="2783"/>
      <c r="CQ31" s="1725">
        <f t="shared" si="13"/>
        <v>1</v>
      </c>
      <c r="CR31" s="1725">
        <f t="shared" si="14"/>
        <v>1</v>
      </c>
    </row>
    <row r="32" spans="1:96" x14ac:dyDescent="0.3">
      <c r="A32" s="6234">
        <v>19120311</v>
      </c>
      <c r="B32" s="6349"/>
      <c r="C32" s="3381" t="s">
        <v>2643</v>
      </c>
      <c r="D32" s="3875" t="s">
        <v>5292</v>
      </c>
      <c r="E32" s="8786" t="s">
        <v>5293</v>
      </c>
      <c r="F32" s="6219" t="s">
        <v>5294</v>
      </c>
      <c r="G32" s="8811" t="s">
        <v>5295</v>
      </c>
      <c r="H32" s="8813" t="s">
        <v>5296</v>
      </c>
      <c r="I32" s="8787" t="s">
        <v>5297</v>
      </c>
      <c r="J32" s="8788" t="s">
        <v>5298</v>
      </c>
      <c r="K32" s="8787" t="s">
        <v>5299</v>
      </c>
      <c r="L32" s="8789" t="s">
        <v>5300</v>
      </c>
      <c r="M32" s="8787" t="s">
        <v>5301</v>
      </c>
      <c r="N32" s="8789" t="s">
        <v>5302</v>
      </c>
      <c r="O32" s="8787" t="s">
        <v>5303</v>
      </c>
      <c r="P32" s="8789" t="s">
        <v>5304</v>
      </c>
      <c r="Q32" s="8787" t="s">
        <v>5305</v>
      </c>
      <c r="R32" s="8789" t="s">
        <v>5306</v>
      </c>
      <c r="S32" s="8787" t="s">
        <v>5307</v>
      </c>
      <c r="T32" s="8789" t="s">
        <v>5308</v>
      </c>
      <c r="U32" s="8787" t="s">
        <v>5309</v>
      </c>
      <c r="V32" s="8789" t="s">
        <v>5310</v>
      </c>
      <c r="W32" s="8787" t="s">
        <v>5311</v>
      </c>
      <c r="X32" s="8789" t="s">
        <v>5312</v>
      </c>
      <c r="Y32" s="8787" t="s">
        <v>5313</v>
      </c>
      <c r="Z32" s="8789" t="s">
        <v>5314</v>
      </c>
      <c r="AA32" s="8787" t="s">
        <v>5315</v>
      </c>
      <c r="AB32" s="8789" t="s">
        <v>5316</v>
      </c>
      <c r="AC32" s="8787" t="s">
        <v>5317</v>
      </c>
      <c r="AD32" s="8789" t="s">
        <v>5318</v>
      </c>
      <c r="AE32" s="8787" t="s">
        <v>5319</v>
      </c>
      <c r="AF32" s="8789" t="s">
        <v>5320</v>
      </c>
      <c r="AG32" s="8787" t="s">
        <v>5321</v>
      </c>
      <c r="AH32" s="8789" t="s">
        <v>5322</v>
      </c>
      <c r="AI32" s="8787" t="s">
        <v>5323</v>
      </c>
      <c r="AJ32" s="8789" t="s">
        <v>5324</v>
      </c>
      <c r="AK32" s="8787" t="s">
        <v>5325</v>
      </c>
      <c r="AL32" s="8789" t="s">
        <v>5326</v>
      </c>
      <c r="AM32" s="8790" t="s">
        <v>5327</v>
      </c>
      <c r="AN32" s="8791" t="s">
        <v>5328</v>
      </c>
      <c r="AO32" s="8792" t="s">
        <v>5329</v>
      </c>
      <c r="AP32" s="8793" t="s">
        <v>5330</v>
      </c>
      <c r="AQ32" s="8788" t="s">
        <v>5331</v>
      </c>
      <c r="AR32" s="8785" t="s">
        <v>5332</v>
      </c>
      <c r="AS32" s="8785" t="s">
        <v>5333</v>
      </c>
      <c r="AT32" s="8794" t="s">
        <v>5334</v>
      </c>
      <c r="AU32" s="8785" t="s">
        <v>5335</v>
      </c>
      <c r="AV32" s="8785" t="s">
        <v>5336</v>
      </c>
      <c r="AW32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2" s="2784" t="str">
        <f t="shared" si="1"/>
        <v xml:space="preserve">* El Número de Espacios Amigables no puede superar el Total. </v>
      </c>
      <c r="CC32" s="2784" t="str">
        <f t="shared" si="2"/>
        <v xml:space="preserve">* El Número de TRANS Masculino no puede superar el Total Mujeres. </v>
      </c>
      <c r="CD32" s="2784" t="str">
        <f t="shared" si="3"/>
        <v xml:space="preserve">* El Número de TRANS Femenino no puede superar el Total Hombres. </v>
      </c>
      <c r="CE32" s="2784" t="str">
        <f t="shared" si="4"/>
        <v xml:space="preserve">* El Número de Pueblos Originarios no puede superar el Total. </v>
      </c>
      <c r="CF32" s="2784" t="str">
        <f t="shared" si="5"/>
        <v xml:space="preserve">* El Número de Migrantes no puede superar el Total. </v>
      </c>
      <c r="CG32" s="3018"/>
      <c r="CH32" s="2784" t="str">
        <f t="shared" si="6"/>
        <v xml:space="preserve">* El Número de Niños, Niñas, Adolescentes y Jóvenes SENAME no puede superar el Total. </v>
      </c>
      <c r="CI32" s="2784" t="str">
        <f t="shared" si="7"/>
        <v xml:space="preserve">* El Número de Niños, Niñas, Adolescentes y Jóvenes Mejor Niñez no puede superar el Total. </v>
      </c>
      <c r="CJ32" s="2630"/>
      <c r="CK32" s="1725">
        <f t="shared" si="8"/>
        <v>1</v>
      </c>
      <c r="CL32" s="1725">
        <f t="shared" si="9"/>
        <v>1</v>
      </c>
      <c r="CM32" s="1725">
        <f t="shared" si="10"/>
        <v>1</v>
      </c>
      <c r="CN32" s="1725">
        <f t="shared" si="11"/>
        <v>1</v>
      </c>
      <c r="CO32" s="1725">
        <f t="shared" si="12"/>
        <v>1</v>
      </c>
      <c r="CP32" s="2783"/>
      <c r="CQ32" s="1725">
        <f t="shared" si="13"/>
        <v>1</v>
      </c>
      <c r="CR32" s="1725">
        <f t="shared" si="14"/>
        <v>1</v>
      </c>
    </row>
    <row r="33" spans="1:96" x14ac:dyDescent="0.3">
      <c r="A33" s="6234">
        <v>19120312</v>
      </c>
      <c r="B33" s="6349"/>
      <c r="C33" s="112" t="s">
        <v>2837</v>
      </c>
      <c r="D33" s="3875" t="s">
        <v>5292</v>
      </c>
      <c r="E33" s="8786" t="s">
        <v>5293</v>
      </c>
      <c r="F33" s="8799" t="s">
        <v>5294</v>
      </c>
      <c r="G33" s="8811" t="s">
        <v>5295</v>
      </c>
      <c r="H33" s="8814" t="s">
        <v>5296</v>
      </c>
      <c r="I33" s="8671" t="s">
        <v>5297</v>
      </c>
      <c r="J33" s="8734" t="s">
        <v>5298</v>
      </c>
      <c r="K33" s="8671" t="s">
        <v>5299</v>
      </c>
      <c r="L33" s="8672" t="s">
        <v>5300</v>
      </c>
      <c r="M33" s="8671" t="s">
        <v>5301</v>
      </c>
      <c r="N33" s="8672" t="s">
        <v>5302</v>
      </c>
      <c r="O33" s="8671" t="s">
        <v>5303</v>
      </c>
      <c r="P33" s="8672" t="s">
        <v>5304</v>
      </c>
      <c r="Q33" s="8671" t="s">
        <v>5305</v>
      </c>
      <c r="R33" s="8672" t="s">
        <v>5306</v>
      </c>
      <c r="S33" s="8787" t="s">
        <v>5307</v>
      </c>
      <c r="T33" s="8789" t="s">
        <v>5308</v>
      </c>
      <c r="U33" s="8787" t="s">
        <v>5309</v>
      </c>
      <c r="V33" s="8789" t="s">
        <v>5310</v>
      </c>
      <c r="W33" s="8787" t="s">
        <v>5311</v>
      </c>
      <c r="X33" s="8789" t="s">
        <v>5312</v>
      </c>
      <c r="Y33" s="8787" t="s">
        <v>5313</v>
      </c>
      <c r="Z33" s="8789" t="s">
        <v>5314</v>
      </c>
      <c r="AA33" s="8787" t="s">
        <v>5315</v>
      </c>
      <c r="AB33" s="8789" t="s">
        <v>5316</v>
      </c>
      <c r="AC33" s="8787" t="s">
        <v>5317</v>
      </c>
      <c r="AD33" s="8789" t="s">
        <v>5318</v>
      </c>
      <c r="AE33" s="8787" t="s">
        <v>5319</v>
      </c>
      <c r="AF33" s="8789" t="s">
        <v>5320</v>
      </c>
      <c r="AG33" s="8787" t="s">
        <v>5321</v>
      </c>
      <c r="AH33" s="8789" t="s">
        <v>5322</v>
      </c>
      <c r="AI33" s="8787" t="s">
        <v>5323</v>
      </c>
      <c r="AJ33" s="8789" t="s">
        <v>5324</v>
      </c>
      <c r="AK33" s="8787" t="s">
        <v>5325</v>
      </c>
      <c r="AL33" s="8789" t="s">
        <v>5326</v>
      </c>
      <c r="AM33" s="8790" t="s">
        <v>5327</v>
      </c>
      <c r="AN33" s="8791" t="s">
        <v>5328</v>
      </c>
      <c r="AO33" s="8792" t="s">
        <v>5329</v>
      </c>
      <c r="AP33" s="8793" t="s">
        <v>5330</v>
      </c>
      <c r="AQ33" s="8788" t="s">
        <v>5331</v>
      </c>
      <c r="AR33" s="8785" t="s">
        <v>5332</v>
      </c>
      <c r="AS33" s="8785" t="s">
        <v>5333</v>
      </c>
      <c r="AT33" s="8794" t="s">
        <v>5334</v>
      </c>
      <c r="AU33" s="8785" t="s">
        <v>5335</v>
      </c>
      <c r="AV33" s="8785" t="s">
        <v>5336</v>
      </c>
      <c r="AW33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3" s="2784" t="str">
        <f t="shared" si="1"/>
        <v xml:space="preserve">* El Número de Espacios Amigables no puede superar el Total. </v>
      </c>
      <c r="CC33" s="2784" t="str">
        <f t="shared" si="2"/>
        <v xml:space="preserve">* El Número de TRANS Masculino no puede superar el Total Mujeres. </v>
      </c>
      <c r="CD33" s="2784" t="str">
        <f t="shared" si="3"/>
        <v xml:space="preserve">* El Número de TRANS Femenino no puede superar el Total Hombres. </v>
      </c>
      <c r="CE33" s="2784" t="str">
        <f t="shared" si="4"/>
        <v xml:space="preserve">* El Número de Pueblos Originarios no puede superar el Total. </v>
      </c>
      <c r="CF33" s="2784" t="str">
        <f t="shared" si="5"/>
        <v xml:space="preserve">* El Número de Migrantes no puede superar el Total. </v>
      </c>
      <c r="CG33" s="3018"/>
      <c r="CH33" s="2784" t="str">
        <f t="shared" si="6"/>
        <v xml:space="preserve">* El Número de Niños, Niñas, Adolescentes y Jóvenes SENAME no puede superar el Total. </v>
      </c>
      <c r="CI33" s="2784" t="str">
        <f t="shared" si="7"/>
        <v xml:space="preserve">* El Número de Niños, Niñas, Adolescentes y Jóvenes Mejor Niñez no puede superar el Total. </v>
      </c>
      <c r="CJ33" s="2630"/>
      <c r="CK33" s="1725">
        <f t="shared" si="8"/>
        <v>1</v>
      </c>
      <c r="CL33" s="1725">
        <f t="shared" si="9"/>
        <v>1</v>
      </c>
      <c r="CM33" s="1725">
        <f t="shared" si="10"/>
        <v>1</v>
      </c>
      <c r="CN33" s="1725">
        <f t="shared" si="11"/>
        <v>1</v>
      </c>
      <c r="CO33" s="1725">
        <f t="shared" si="12"/>
        <v>1</v>
      </c>
      <c r="CP33" s="2783"/>
      <c r="CQ33" s="1725">
        <f t="shared" si="13"/>
        <v>1</v>
      </c>
      <c r="CR33" s="1725">
        <f t="shared" si="14"/>
        <v>1</v>
      </c>
    </row>
    <row r="34" spans="1:96" x14ac:dyDescent="0.3">
      <c r="A34" s="6234">
        <v>19120305</v>
      </c>
      <c r="B34" s="6350"/>
      <c r="C34" s="119" t="s">
        <v>192</v>
      </c>
      <c r="D34" s="560" t="s">
        <v>5292</v>
      </c>
      <c r="E34" s="8661" t="s">
        <v>5293</v>
      </c>
      <c r="F34" s="6220" t="s">
        <v>5294</v>
      </c>
      <c r="G34" s="8815" t="s">
        <v>5295</v>
      </c>
      <c r="H34" s="8816" t="s">
        <v>5296</v>
      </c>
      <c r="I34" s="8801" t="s">
        <v>5297</v>
      </c>
      <c r="J34" s="8802" t="s">
        <v>5298</v>
      </c>
      <c r="K34" s="8801" t="s">
        <v>5299</v>
      </c>
      <c r="L34" s="8803" t="s">
        <v>5300</v>
      </c>
      <c r="M34" s="8801" t="s">
        <v>5301</v>
      </c>
      <c r="N34" s="8803" t="s">
        <v>5302</v>
      </c>
      <c r="O34" s="8801" t="s">
        <v>5303</v>
      </c>
      <c r="P34" s="8803" t="s">
        <v>5304</v>
      </c>
      <c r="Q34" s="8801" t="s">
        <v>5305</v>
      </c>
      <c r="R34" s="8803" t="s">
        <v>5306</v>
      </c>
      <c r="S34" s="8801" t="s">
        <v>5307</v>
      </c>
      <c r="T34" s="8803" t="s">
        <v>5308</v>
      </c>
      <c r="U34" s="8801" t="s">
        <v>5309</v>
      </c>
      <c r="V34" s="8803" t="s">
        <v>5310</v>
      </c>
      <c r="W34" s="8801" t="s">
        <v>5311</v>
      </c>
      <c r="X34" s="8803" t="s">
        <v>5312</v>
      </c>
      <c r="Y34" s="8801" t="s">
        <v>5313</v>
      </c>
      <c r="Z34" s="8803" t="s">
        <v>5314</v>
      </c>
      <c r="AA34" s="8801" t="s">
        <v>5315</v>
      </c>
      <c r="AB34" s="8803" t="s">
        <v>5316</v>
      </c>
      <c r="AC34" s="8801" t="s">
        <v>5317</v>
      </c>
      <c r="AD34" s="8803" t="s">
        <v>5318</v>
      </c>
      <c r="AE34" s="8801" t="s">
        <v>5319</v>
      </c>
      <c r="AF34" s="8803" t="s">
        <v>5320</v>
      </c>
      <c r="AG34" s="8801" t="s">
        <v>5321</v>
      </c>
      <c r="AH34" s="8803" t="s">
        <v>5322</v>
      </c>
      <c r="AI34" s="8801" t="s">
        <v>5323</v>
      </c>
      <c r="AJ34" s="8803" t="s">
        <v>5324</v>
      </c>
      <c r="AK34" s="8801" t="s">
        <v>5325</v>
      </c>
      <c r="AL34" s="8803" t="s">
        <v>5326</v>
      </c>
      <c r="AM34" s="8817" t="s">
        <v>5327</v>
      </c>
      <c r="AN34" s="8804" t="s">
        <v>5328</v>
      </c>
      <c r="AO34" s="8805" t="s">
        <v>5329</v>
      </c>
      <c r="AP34" s="8806" t="s">
        <v>5330</v>
      </c>
      <c r="AQ34" s="8728" t="s">
        <v>5331</v>
      </c>
      <c r="AR34" s="8727" t="s">
        <v>5332</v>
      </c>
      <c r="AS34" s="8727" t="s">
        <v>5333</v>
      </c>
      <c r="AT34" s="8807" t="s">
        <v>5334</v>
      </c>
      <c r="AU34" s="8727" t="s">
        <v>5335</v>
      </c>
      <c r="AV34" s="8727" t="s">
        <v>5336</v>
      </c>
      <c r="AW34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4" s="2784" t="str">
        <f t="shared" si="1"/>
        <v xml:space="preserve">* El Número de Espacios Amigables no puede superar el Total. </v>
      </c>
      <c r="CC34" s="2784" t="str">
        <f t="shared" si="2"/>
        <v xml:space="preserve">* El Número de TRANS Masculino no puede superar el Total Mujeres. </v>
      </c>
      <c r="CD34" s="2784" t="str">
        <f t="shared" si="3"/>
        <v xml:space="preserve">* El Número de TRANS Femenino no puede superar el Total Hombres. </v>
      </c>
      <c r="CE34" s="2784" t="str">
        <f t="shared" si="4"/>
        <v xml:space="preserve">* El Número de Pueblos Originarios no puede superar el Total. </v>
      </c>
      <c r="CF34" s="2784" t="str">
        <f t="shared" si="5"/>
        <v xml:space="preserve">* El Número de Migrantes no puede superar el Total. </v>
      </c>
      <c r="CG34" s="3018"/>
      <c r="CH34" s="2784" t="str">
        <f t="shared" si="6"/>
        <v xml:space="preserve">* El Número de Niños, Niñas, Adolescentes y Jóvenes SENAME no puede superar el Total. </v>
      </c>
      <c r="CI34" s="2784" t="str">
        <f t="shared" si="7"/>
        <v xml:space="preserve">* El Número de Niños, Niñas, Adolescentes y Jóvenes Mejor Niñez no puede superar el Total. </v>
      </c>
      <c r="CJ34" s="2630"/>
      <c r="CK34" s="1725">
        <f t="shared" si="8"/>
        <v>1</v>
      </c>
      <c r="CL34" s="1725">
        <f t="shared" si="9"/>
        <v>1</v>
      </c>
      <c r="CM34" s="1725">
        <f t="shared" si="10"/>
        <v>1</v>
      </c>
      <c r="CN34" s="1725">
        <f t="shared" si="11"/>
        <v>1</v>
      </c>
      <c r="CO34" s="1725">
        <f t="shared" si="12"/>
        <v>1</v>
      </c>
      <c r="CP34" s="2783"/>
      <c r="CQ34" s="1725">
        <f t="shared" si="13"/>
        <v>1</v>
      </c>
      <c r="CR34" s="1725">
        <f t="shared" si="14"/>
        <v>1</v>
      </c>
    </row>
    <row r="35" spans="1:96" x14ac:dyDescent="0.3">
      <c r="A35" s="6234">
        <v>19185000</v>
      </c>
      <c r="B35" s="6367" t="s">
        <v>2838</v>
      </c>
      <c r="C35" s="3378" t="s">
        <v>74</v>
      </c>
      <c r="D35" s="8774" t="s">
        <v>5292</v>
      </c>
      <c r="E35" s="8775" t="s">
        <v>5293</v>
      </c>
      <c r="F35" s="6218" t="s">
        <v>5294</v>
      </c>
      <c r="G35" s="8808" t="s">
        <v>5295</v>
      </c>
      <c r="H35" s="8809" t="s">
        <v>5296</v>
      </c>
      <c r="I35" s="8776" t="s">
        <v>5297</v>
      </c>
      <c r="J35" s="8777" t="s">
        <v>5298</v>
      </c>
      <c r="K35" s="8776" t="s">
        <v>5299</v>
      </c>
      <c r="L35" s="8778" t="s">
        <v>5300</v>
      </c>
      <c r="M35" s="8776" t="s">
        <v>5301</v>
      </c>
      <c r="N35" s="8778" t="s">
        <v>5302</v>
      </c>
      <c r="O35" s="8776" t="s">
        <v>5303</v>
      </c>
      <c r="P35" s="8778" t="s">
        <v>5304</v>
      </c>
      <c r="Q35" s="8776" t="s">
        <v>5305</v>
      </c>
      <c r="R35" s="8778" t="s">
        <v>5306</v>
      </c>
      <c r="S35" s="8776" t="s">
        <v>5307</v>
      </c>
      <c r="T35" s="8778" t="s">
        <v>5308</v>
      </c>
      <c r="U35" s="8776" t="s">
        <v>5309</v>
      </c>
      <c r="V35" s="8778" t="s">
        <v>5310</v>
      </c>
      <c r="W35" s="8776" t="s">
        <v>5311</v>
      </c>
      <c r="X35" s="8778" t="s">
        <v>5312</v>
      </c>
      <c r="Y35" s="8776" t="s">
        <v>5313</v>
      </c>
      <c r="Z35" s="8778" t="s">
        <v>5314</v>
      </c>
      <c r="AA35" s="8776" t="s">
        <v>5315</v>
      </c>
      <c r="AB35" s="8778" t="s">
        <v>5316</v>
      </c>
      <c r="AC35" s="8776" t="s">
        <v>5317</v>
      </c>
      <c r="AD35" s="8778" t="s">
        <v>5318</v>
      </c>
      <c r="AE35" s="8776" t="s">
        <v>5319</v>
      </c>
      <c r="AF35" s="8778" t="s">
        <v>5320</v>
      </c>
      <c r="AG35" s="8776" t="s">
        <v>5321</v>
      </c>
      <c r="AH35" s="8778" t="s">
        <v>5322</v>
      </c>
      <c r="AI35" s="8776" t="s">
        <v>5323</v>
      </c>
      <c r="AJ35" s="8778" t="s">
        <v>5324</v>
      </c>
      <c r="AK35" s="8776" t="s">
        <v>5325</v>
      </c>
      <c r="AL35" s="8778" t="s">
        <v>5326</v>
      </c>
      <c r="AM35" s="8710" t="s">
        <v>5327</v>
      </c>
      <c r="AN35" s="8779" t="s">
        <v>5328</v>
      </c>
      <c r="AO35" s="8738" t="s">
        <v>5329</v>
      </c>
      <c r="AP35" s="8781" t="s">
        <v>5330</v>
      </c>
      <c r="AQ35" s="8782" t="s">
        <v>5331</v>
      </c>
      <c r="AR35" s="8810" t="s">
        <v>5332</v>
      </c>
      <c r="AS35" s="8810" t="s">
        <v>5333</v>
      </c>
      <c r="AT35" s="8818" t="s">
        <v>5334</v>
      </c>
      <c r="AU35" s="8810" t="s">
        <v>5335</v>
      </c>
      <c r="AV35" s="8810" t="s">
        <v>5336</v>
      </c>
      <c r="AW35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5" s="2784" t="str">
        <f t="shared" si="1"/>
        <v xml:space="preserve">* El Número de Espacios Amigables no puede superar el Total. </v>
      </c>
      <c r="CC35" s="2784" t="str">
        <f t="shared" si="2"/>
        <v xml:space="preserve">* El Número de TRANS Masculino no puede superar el Total Mujeres. </v>
      </c>
      <c r="CD35" s="2784" t="str">
        <f t="shared" si="3"/>
        <v xml:space="preserve">* El Número de TRANS Femenino no puede superar el Total Hombres. </v>
      </c>
      <c r="CE35" s="2784" t="str">
        <f t="shared" si="4"/>
        <v xml:space="preserve">* El Número de Pueblos Originarios no puede superar el Total. </v>
      </c>
      <c r="CF35" s="2784" t="str">
        <f t="shared" si="5"/>
        <v xml:space="preserve">* El Número de Migrantes no puede superar el Total. </v>
      </c>
      <c r="CG35" s="3018"/>
      <c r="CH35" s="2784" t="str">
        <f t="shared" si="6"/>
        <v xml:space="preserve">* El Número de Niños, Niñas, Adolescentes y Jóvenes SENAME no puede superar el Total. </v>
      </c>
      <c r="CI35" s="2784" t="str">
        <f t="shared" si="7"/>
        <v xml:space="preserve">* El Número de Niños, Niñas, Adolescentes y Jóvenes Mejor Niñez no puede superar el Total. </v>
      </c>
      <c r="CJ35" s="2630"/>
      <c r="CK35" s="1725">
        <f t="shared" si="8"/>
        <v>1</v>
      </c>
      <c r="CL35" s="1725">
        <f t="shared" si="9"/>
        <v>1</v>
      </c>
      <c r="CM35" s="1725">
        <f t="shared" si="10"/>
        <v>1</v>
      </c>
      <c r="CN35" s="1725">
        <f t="shared" si="11"/>
        <v>1</v>
      </c>
      <c r="CO35" s="1725">
        <f t="shared" si="12"/>
        <v>1</v>
      </c>
      <c r="CP35" s="2783"/>
      <c r="CQ35" s="1725">
        <f t="shared" si="13"/>
        <v>1</v>
      </c>
      <c r="CR35" s="1725">
        <f t="shared" si="14"/>
        <v>1</v>
      </c>
    </row>
    <row r="36" spans="1:96" x14ac:dyDescent="0.3">
      <c r="A36" s="6234">
        <v>19185100</v>
      </c>
      <c r="B36" s="6349"/>
      <c r="C36" s="3381" t="s">
        <v>275</v>
      </c>
      <c r="D36" s="3875" t="s">
        <v>5292</v>
      </c>
      <c r="E36" s="8786" t="s">
        <v>5293</v>
      </c>
      <c r="F36" s="6219" t="s">
        <v>5294</v>
      </c>
      <c r="G36" s="8811" t="s">
        <v>5295</v>
      </c>
      <c r="H36" s="8812" t="s">
        <v>5296</v>
      </c>
      <c r="I36" s="8787" t="s">
        <v>5297</v>
      </c>
      <c r="J36" s="8788" t="s">
        <v>5298</v>
      </c>
      <c r="K36" s="8787" t="s">
        <v>5299</v>
      </c>
      <c r="L36" s="8789" t="s">
        <v>5300</v>
      </c>
      <c r="M36" s="8787" t="s">
        <v>5301</v>
      </c>
      <c r="N36" s="8789" t="s">
        <v>5302</v>
      </c>
      <c r="O36" s="8787" t="s">
        <v>5303</v>
      </c>
      <c r="P36" s="8789" t="s">
        <v>5304</v>
      </c>
      <c r="Q36" s="8787" t="s">
        <v>5305</v>
      </c>
      <c r="R36" s="8789" t="s">
        <v>5306</v>
      </c>
      <c r="S36" s="8787" t="s">
        <v>5307</v>
      </c>
      <c r="T36" s="8789" t="s">
        <v>5308</v>
      </c>
      <c r="U36" s="8787" t="s">
        <v>5309</v>
      </c>
      <c r="V36" s="8789" t="s">
        <v>5310</v>
      </c>
      <c r="W36" s="8787" t="s">
        <v>5311</v>
      </c>
      <c r="X36" s="8789" t="s">
        <v>5312</v>
      </c>
      <c r="Y36" s="8787" t="s">
        <v>5313</v>
      </c>
      <c r="Z36" s="8789" t="s">
        <v>5314</v>
      </c>
      <c r="AA36" s="8787" t="s">
        <v>5315</v>
      </c>
      <c r="AB36" s="8789" t="s">
        <v>5316</v>
      </c>
      <c r="AC36" s="8787" t="s">
        <v>5317</v>
      </c>
      <c r="AD36" s="8789" t="s">
        <v>5318</v>
      </c>
      <c r="AE36" s="8787" t="s">
        <v>5319</v>
      </c>
      <c r="AF36" s="8789" t="s">
        <v>5320</v>
      </c>
      <c r="AG36" s="8787" t="s">
        <v>5321</v>
      </c>
      <c r="AH36" s="8789" t="s">
        <v>5322</v>
      </c>
      <c r="AI36" s="8787" t="s">
        <v>5323</v>
      </c>
      <c r="AJ36" s="8789" t="s">
        <v>5324</v>
      </c>
      <c r="AK36" s="8787" t="s">
        <v>5325</v>
      </c>
      <c r="AL36" s="8789" t="s">
        <v>5326</v>
      </c>
      <c r="AM36" s="8790" t="s">
        <v>5327</v>
      </c>
      <c r="AN36" s="8791" t="s">
        <v>5328</v>
      </c>
      <c r="AO36" s="8792" t="s">
        <v>5329</v>
      </c>
      <c r="AP36" s="8793" t="s">
        <v>5330</v>
      </c>
      <c r="AQ36" s="8788" t="s">
        <v>5331</v>
      </c>
      <c r="AR36" s="8785" t="s">
        <v>5332</v>
      </c>
      <c r="AS36" s="8785" t="s">
        <v>5333</v>
      </c>
      <c r="AT36" s="8794" t="s">
        <v>5334</v>
      </c>
      <c r="AU36" s="8785" t="s">
        <v>5335</v>
      </c>
      <c r="AV36" s="8785" t="s">
        <v>5336</v>
      </c>
      <c r="AW36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6" s="2784" t="str">
        <f t="shared" si="1"/>
        <v xml:space="preserve">* El Número de Espacios Amigables no puede superar el Total. </v>
      </c>
      <c r="CC36" s="2784" t="str">
        <f t="shared" si="2"/>
        <v xml:space="preserve">* El Número de TRANS Masculino no puede superar el Total Mujeres. </v>
      </c>
      <c r="CD36" s="2784" t="str">
        <f t="shared" si="3"/>
        <v xml:space="preserve">* El Número de TRANS Femenino no puede superar el Total Hombres. </v>
      </c>
      <c r="CE36" s="2784" t="str">
        <f t="shared" si="4"/>
        <v xml:space="preserve">* El Número de Pueblos Originarios no puede superar el Total. </v>
      </c>
      <c r="CF36" s="2784" t="str">
        <f t="shared" si="5"/>
        <v xml:space="preserve">* El Número de Migrantes no puede superar el Total. </v>
      </c>
      <c r="CG36" s="3018"/>
      <c r="CH36" s="2784" t="str">
        <f t="shared" si="6"/>
        <v xml:space="preserve">* El Número de Niños, Niñas, Adolescentes y Jóvenes SENAME no puede superar el Total. </v>
      </c>
      <c r="CI36" s="2784" t="str">
        <f t="shared" si="7"/>
        <v xml:space="preserve">* El Número de Niños, Niñas, Adolescentes y Jóvenes Mejor Niñez no puede superar el Total. </v>
      </c>
      <c r="CJ36" s="2630"/>
      <c r="CK36" s="1725">
        <f t="shared" si="8"/>
        <v>1</v>
      </c>
      <c r="CL36" s="1725">
        <f t="shared" si="9"/>
        <v>1</v>
      </c>
      <c r="CM36" s="1725">
        <f t="shared" si="10"/>
        <v>1</v>
      </c>
      <c r="CN36" s="1725">
        <f t="shared" si="11"/>
        <v>1</v>
      </c>
      <c r="CO36" s="1725">
        <f t="shared" si="12"/>
        <v>1</v>
      </c>
      <c r="CP36" s="2783"/>
      <c r="CQ36" s="1725">
        <f t="shared" si="13"/>
        <v>1</v>
      </c>
      <c r="CR36" s="1725">
        <f t="shared" si="14"/>
        <v>1</v>
      </c>
    </row>
    <row r="37" spans="1:96" x14ac:dyDescent="0.3">
      <c r="A37" s="6234">
        <v>19185200</v>
      </c>
      <c r="B37" s="6349"/>
      <c r="C37" s="3381" t="s">
        <v>77</v>
      </c>
      <c r="D37" s="3875" t="s">
        <v>5292</v>
      </c>
      <c r="E37" s="8786" t="s">
        <v>5293</v>
      </c>
      <c r="F37" s="6219" t="s">
        <v>5294</v>
      </c>
      <c r="G37" s="8811" t="s">
        <v>5295</v>
      </c>
      <c r="H37" s="8812" t="s">
        <v>5296</v>
      </c>
      <c r="I37" s="8787" t="s">
        <v>5297</v>
      </c>
      <c r="J37" s="8788" t="s">
        <v>5298</v>
      </c>
      <c r="K37" s="8787" t="s">
        <v>5299</v>
      </c>
      <c r="L37" s="8789" t="s">
        <v>5300</v>
      </c>
      <c r="M37" s="8787" t="s">
        <v>5301</v>
      </c>
      <c r="N37" s="8789" t="s">
        <v>5302</v>
      </c>
      <c r="O37" s="8787" t="s">
        <v>5303</v>
      </c>
      <c r="P37" s="8789" t="s">
        <v>5304</v>
      </c>
      <c r="Q37" s="8787" t="s">
        <v>5305</v>
      </c>
      <c r="R37" s="8789" t="s">
        <v>5306</v>
      </c>
      <c r="S37" s="8787" t="s">
        <v>5307</v>
      </c>
      <c r="T37" s="8789" t="s">
        <v>5308</v>
      </c>
      <c r="U37" s="8787" t="s">
        <v>5309</v>
      </c>
      <c r="V37" s="8789" t="s">
        <v>5310</v>
      </c>
      <c r="W37" s="8787" t="s">
        <v>5311</v>
      </c>
      <c r="X37" s="8789" t="s">
        <v>5312</v>
      </c>
      <c r="Y37" s="8787" t="s">
        <v>5313</v>
      </c>
      <c r="Z37" s="8789" t="s">
        <v>5314</v>
      </c>
      <c r="AA37" s="8787" t="s">
        <v>5315</v>
      </c>
      <c r="AB37" s="8789" t="s">
        <v>5316</v>
      </c>
      <c r="AC37" s="8787" t="s">
        <v>5317</v>
      </c>
      <c r="AD37" s="8789" t="s">
        <v>5318</v>
      </c>
      <c r="AE37" s="8787" t="s">
        <v>5319</v>
      </c>
      <c r="AF37" s="8789" t="s">
        <v>5320</v>
      </c>
      <c r="AG37" s="8787" t="s">
        <v>5321</v>
      </c>
      <c r="AH37" s="8789" t="s">
        <v>5322</v>
      </c>
      <c r="AI37" s="8787" t="s">
        <v>5323</v>
      </c>
      <c r="AJ37" s="8789" t="s">
        <v>5324</v>
      </c>
      <c r="AK37" s="8787" t="s">
        <v>5325</v>
      </c>
      <c r="AL37" s="8789" t="s">
        <v>5326</v>
      </c>
      <c r="AM37" s="8790" t="s">
        <v>5327</v>
      </c>
      <c r="AN37" s="8791" t="s">
        <v>5328</v>
      </c>
      <c r="AO37" s="8792" t="s">
        <v>5329</v>
      </c>
      <c r="AP37" s="8793" t="s">
        <v>5330</v>
      </c>
      <c r="AQ37" s="8788" t="s">
        <v>5331</v>
      </c>
      <c r="AR37" s="8785" t="s">
        <v>5332</v>
      </c>
      <c r="AS37" s="8785" t="s">
        <v>5333</v>
      </c>
      <c r="AT37" s="8794" t="s">
        <v>5334</v>
      </c>
      <c r="AU37" s="8785" t="s">
        <v>5335</v>
      </c>
      <c r="AV37" s="8785" t="s">
        <v>5336</v>
      </c>
      <c r="AW37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7" s="2784" t="str">
        <f t="shared" si="1"/>
        <v xml:space="preserve">* El Número de Espacios Amigables no puede superar el Total. </v>
      </c>
      <c r="CC37" s="2784" t="str">
        <f t="shared" si="2"/>
        <v xml:space="preserve">* El Número de TRANS Masculino no puede superar el Total Mujeres. </v>
      </c>
      <c r="CD37" s="2784" t="str">
        <f t="shared" si="3"/>
        <v xml:space="preserve">* El Número de TRANS Femenino no puede superar el Total Hombres. </v>
      </c>
      <c r="CE37" s="2784" t="str">
        <f t="shared" si="4"/>
        <v xml:space="preserve">* El Número de Pueblos Originarios no puede superar el Total. </v>
      </c>
      <c r="CF37" s="2784" t="str">
        <f t="shared" si="5"/>
        <v xml:space="preserve">* El Número de Migrantes no puede superar el Total. </v>
      </c>
      <c r="CG37" s="3018"/>
      <c r="CH37" s="2784" t="str">
        <f t="shared" si="6"/>
        <v xml:space="preserve">* El Número de Niños, Niñas, Adolescentes y Jóvenes SENAME no puede superar el Total. </v>
      </c>
      <c r="CI37" s="2784" t="str">
        <f t="shared" si="7"/>
        <v xml:space="preserve">* El Número de Niños, Niñas, Adolescentes y Jóvenes Mejor Niñez no puede superar el Total. </v>
      </c>
      <c r="CJ37" s="2630"/>
      <c r="CK37" s="1725">
        <f t="shared" si="8"/>
        <v>1</v>
      </c>
      <c r="CL37" s="1725">
        <f t="shared" si="9"/>
        <v>1</v>
      </c>
      <c r="CM37" s="1725">
        <f t="shared" si="10"/>
        <v>1</v>
      </c>
      <c r="CN37" s="1725">
        <f t="shared" si="11"/>
        <v>1</v>
      </c>
      <c r="CO37" s="1725">
        <f t="shared" si="12"/>
        <v>1</v>
      </c>
      <c r="CP37" s="2783"/>
      <c r="CQ37" s="1725">
        <f t="shared" si="13"/>
        <v>1</v>
      </c>
      <c r="CR37" s="1725">
        <f t="shared" si="14"/>
        <v>1</v>
      </c>
    </row>
    <row r="38" spans="1:96" x14ac:dyDescent="0.3">
      <c r="A38" s="6234">
        <v>19185300</v>
      </c>
      <c r="B38" s="6349"/>
      <c r="C38" s="3381" t="s">
        <v>247</v>
      </c>
      <c r="D38" s="3875" t="s">
        <v>5292</v>
      </c>
      <c r="E38" s="8786" t="s">
        <v>5293</v>
      </c>
      <c r="F38" s="6219" t="s">
        <v>5294</v>
      </c>
      <c r="G38" s="8811" t="s">
        <v>5295</v>
      </c>
      <c r="H38" s="8812" t="s">
        <v>5296</v>
      </c>
      <c r="I38" s="8787" t="s">
        <v>5297</v>
      </c>
      <c r="J38" s="8788" t="s">
        <v>5298</v>
      </c>
      <c r="K38" s="8787" t="s">
        <v>5299</v>
      </c>
      <c r="L38" s="8789" t="s">
        <v>5300</v>
      </c>
      <c r="M38" s="8787" t="s">
        <v>5301</v>
      </c>
      <c r="N38" s="8789" t="s">
        <v>5302</v>
      </c>
      <c r="O38" s="8787" t="s">
        <v>5303</v>
      </c>
      <c r="P38" s="8789" t="s">
        <v>5304</v>
      </c>
      <c r="Q38" s="8787" t="s">
        <v>5305</v>
      </c>
      <c r="R38" s="8789" t="s">
        <v>5306</v>
      </c>
      <c r="S38" s="8787" t="s">
        <v>5307</v>
      </c>
      <c r="T38" s="8789" t="s">
        <v>5308</v>
      </c>
      <c r="U38" s="8787" t="s">
        <v>5309</v>
      </c>
      <c r="V38" s="8789" t="s">
        <v>5310</v>
      </c>
      <c r="W38" s="8787" t="s">
        <v>5311</v>
      </c>
      <c r="X38" s="8789" t="s">
        <v>5312</v>
      </c>
      <c r="Y38" s="8787" t="s">
        <v>5313</v>
      </c>
      <c r="Z38" s="8789" t="s">
        <v>5314</v>
      </c>
      <c r="AA38" s="8787" t="s">
        <v>5315</v>
      </c>
      <c r="AB38" s="8789" t="s">
        <v>5316</v>
      </c>
      <c r="AC38" s="8787" t="s">
        <v>5317</v>
      </c>
      <c r="AD38" s="8789" t="s">
        <v>5318</v>
      </c>
      <c r="AE38" s="8787" t="s">
        <v>5319</v>
      </c>
      <c r="AF38" s="8789" t="s">
        <v>5320</v>
      </c>
      <c r="AG38" s="8787" t="s">
        <v>5321</v>
      </c>
      <c r="AH38" s="8789" t="s">
        <v>5322</v>
      </c>
      <c r="AI38" s="8787" t="s">
        <v>5323</v>
      </c>
      <c r="AJ38" s="8789" t="s">
        <v>5324</v>
      </c>
      <c r="AK38" s="8787" t="s">
        <v>5325</v>
      </c>
      <c r="AL38" s="8789" t="s">
        <v>5326</v>
      </c>
      <c r="AM38" s="8790" t="s">
        <v>5327</v>
      </c>
      <c r="AN38" s="8791" t="s">
        <v>5328</v>
      </c>
      <c r="AO38" s="8792" t="s">
        <v>5329</v>
      </c>
      <c r="AP38" s="8793" t="s">
        <v>5330</v>
      </c>
      <c r="AQ38" s="8788" t="s">
        <v>5331</v>
      </c>
      <c r="AR38" s="8785" t="s">
        <v>5332</v>
      </c>
      <c r="AS38" s="8785" t="s">
        <v>5333</v>
      </c>
      <c r="AT38" s="8794" t="s">
        <v>5334</v>
      </c>
      <c r="AU38" s="8785" t="s">
        <v>5335</v>
      </c>
      <c r="AV38" s="8785" t="s">
        <v>5336</v>
      </c>
      <c r="AW38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8" s="2784" t="str">
        <f t="shared" si="1"/>
        <v xml:space="preserve">* El Número de Espacios Amigables no puede superar el Total. </v>
      </c>
      <c r="CC38" s="2784" t="str">
        <f t="shared" si="2"/>
        <v xml:space="preserve">* El Número de TRANS Masculino no puede superar el Total Mujeres. </v>
      </c>
      <c r="CD38" s="2784" t="str">
        <f t="shared" si="3"/>
        <v xml:space="preserve">* El Número de TRANS Femenino no puede superar el Total Hombres. </v>
      </c>
      <c r="CE38" s="2784" t="str">
        <f t="shared" si="4"/>
        <v xml:space="preserve">* El Número de Pueblos Originarios no puede superar el Total. </v>
      </c>
      <c r="CF38" s="2784" t="str">
        <f t="shared" si="5"/>
        <v xml:space="preserve">* El Número de Migrantes no puede superar el Total. </v>
      </c>
      <c r="CG38" s="3018"/>
      <c r="CH38" s="2784" t="str">
        <f t="shared" si="6"/>
        <v xml:space="preserve">* El Número de Niños, Niñas, Adolescentes y Jóvenes SENAME no puede superar el Total. </v>
      </c>
      <c r="CI38" s="2784" t="str">
        <f t="shared" si="7"/>
        <v xml:space="preserve">* El Número de Niños, Niñas, Adolescentes y Jóvenes Mejor Niñez no puede superar el Total. </v>
      </c>
      <c r="CJ38" s="2630"/>
      <c r="CK38" s="1725">
        <f t="shared" si="8"/>
        <v>1</v>
      </c>
      <c r="CL38" s="1725">
        <f t="shared" si="9"/>
        <v>1</v>
      </c>
      <c r="CM38" s="1725">
        <f t="shared" si="10"/>
        <v>1</v>
      </c>
      <c r="CN38" s="1725">
        <f t="shared" si="11"/>
        <v>1</v>
      </c>
      <c r="CO38" s="1725">
        <f t="shared" si="12"/>
        <v>1</v>
      </c>
      <c r="CP38" s="2783"/>
      <c r="CQ38" s="1725">
        <f t="shared" si="13"/>
        <v>1</v>
      </c>
      <c r="CR38" s="1725">
        <f t="shared" si="14"/>
        <v>1</v>
      </c>
    </row>
    <row r="39" spans="1:96" x14ac:dyDescent="0.3">
      <c r="A39" s="6234">
        <v>19185400</v>
      </c>
      <c r="B39" s="6349"/>
      <c r="C39" s="3381" t="s">
        <v>566</v>
      </c>
      <c r="D39" s="3875" t="s">
        <v>5292</v>
      </c>
      <c r="E39" s="8786" t="s">
        <v>5293</v>
      </c>
      <c r="F39" s="6219" t="s">
        <v>5294</v>
      </c>
      <c r="G39" s="8811" t="s">
        <v>5295</v>
      </c>
      <c r="H39" s="8812" t="s">
        <v>5296</v>
      </c>
      <c r="I39" s="8787" t="s">
        <v>5297</v>
      </c>
      <c r="J39" s="8788" t="s">
        <v>5298</v>
      </c>
      <c r="K39" s="8787" t="s">
        <v>5299</v>
      </c>
      <c r="L39" s="8789" t="s">
        <v>5300</v>
      </c>
      <c r="M39" s="8787" t="s">
        <v>5301</v>
      </c>
      <c r="N39" s="8789" t="s">
        <v>5302</v>
      </c>
      <c r="O39" s="8787" t="s">
        <v>5303</v>
      </c>
      <c r="P39" s="8789" t="s">
        <v>5304</v>
      </c>
      <c r="Q39" s="8787" t="s">
        <v>5305</v>
      </c>
      <c r="R39" s="8789" t="s">
        <v>5306</v>
      </c>
      <c r="S39" s="8787" t="s">
        <v>5307</v>
      </c>
      <c r="T39" s="8789" t="s">
        <v>5308</v>
      </c>
      <c r="U39" s="8787" t="s">
        <v>5309</v>
      </c>
      <c r="V39" s="8789" t="s">
        <v>5310</v>
      </c>
      <c r="W39" s="8787" t="s">
        <v>5311</v>
      </c>
      <c r="X39" s="8789" t="s">
        <v>5312</v>
      </c>
      <c r="Y39" s="8787" t="s">
        <v>5313</v>
      </c>
      <c r="Z39" s="8789" t="s">
        <v>5314</v>
      </c>
      <c r="AA39" s="8787" t="s">
        <v>5315</v>
      </c>
      <c r="AB39" s="8789" t="s">
        <v>5316</v>
      </c>
      <c r="AC39" s="8787" t="s">
        <v>5317</v>
      </c>
      <c r="AD39" s="8789" t="s">
        <v>5318</v>
      </c>
      <c r="AE39" s="8787" t="s">
        <v>5319</v>
      </c>
      <c r="AF39" s="8789" t="s">
        <v>5320</v>
      </c>
      <c r="AG39" s="8787" t="s">
        <v>5321</v>
      </c>
      <c r="AH39" s="8789" t="s">
        <v>5322</v>
      </c>
      <c r="AI39" s="8787" t="s">
        <v>5323</v>
      </c>
      <c r="AJ39" s="8789" t="s">
        <v>5324</v>
      </c>
      <c r="AK39" s="8787" t="s">
        <v>5325</v>
      </c>
      <c r="AL39" s="8789" t="s">
        <v>5326</v>
      </c>
      <c r="AM39" s="8790" t="s">
        <v>5327</v>
      </c>
      <c r="AN39" s="8791" t="s">
        <v>5328</v>
      </c>
      <c r="AO39" s="8792" t="s">
        <v>5329</v>
      </c>
      <c r="AP39" s="8793" t="s">
        <v>5330</v>
      </c>
      <c r="AQ39" s="8788" t="s">
        <v>5331</v>
      </c>
      <c r="AR39" s="8785" t="s">
        <v>5332</v>
      </c>
      <c r="AS39" s="8785" t="s">
        <v>5333</v>
      </c>
      <c r="AT39" s="8794" t="s">
        <v>5334</v>
      </c>
      <c r="AU39" s="8785" t="s">
        <v>5335</v>
      </c>
      <c r="AV39" s="8785" t="s">
        <v>5336</v>
      </c>
      <c r="AW39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9" s="2784" t="str">
        <f t="shared" si="1"/>
        <v xml:space="preserve">* El Número de Espacios Amigables no puede superar el Total. </v>
      </c>
      <c r="CC39" s="2784" t="str">
        <f t="shared" si="2"/>
        <v xml:space="preserve">* El Número de TRANS Masculino no puede superar el Total Mujeres. </v>
      </c>
      <c r="CD39" s="2784" t="str">
        <f t="shared" si="3"/>
        <v xml:space="preserve">* El Número de TRANS Femenino no puede superar el Total Hombres. </v>
      </c>
      <c r="CE39" s="2784" t="str">
        <f t="shared" si="4"/>
        <v xml:space="preserve">* El Número de Pueblos Originarios no puede superar el Total. </v>
      </c>
      <c r="CF39" s="2784" t="str">
        <f t="shared" si="5"/>
        <v xml:space="preserve">* El Número de Migrantes no puede superar el Total. </v>
      </c>
      <c r="CG39" s="3018"/>
      <c r="CH39" s="2784" t="str">
        <f t="shared" si="6"/>
        <v xml:space="preserve">* El Número de Niños, Niñas, Adolescentes y Jóvenes SENAME no puede superar el Total. </v>
      </c>
      <c r="CI39" s="2784" t="str">
        <f t="shared" si="7"/>
        <v xml:space="preserve">* El Número de Niños, Niñas, Adolescentes y Jóvenes Mejor Niñez no puede superar el Total. </v>
      </c>
      <c r="CJ39" s="2630"/>
      <c r="CK39" s="1725">
        <f t="shared" si="8"/>
        <v>1</v>
      </c>
      <c r="CL39" s="1725">
        <f t="shared" si="9"/>
        <v>1</v>
      </c>
      <c r="CM39" s="1725">
        <f t="shared" si="10"/>
        <v>1</v>
      </c>
      <c r="CN39" s="1725">
        <f t="shared" si="11"/>
        <v>1</v>
      </c>
      <c r="CO39" s="1725">
        <f t="shared" si="12"/>
        <v>1</v>
      </c>
      <c r="CP39" s="2783"/>
      <c r="CQ39" s="1725">
        <f t="shared" si="13"/>
        <v>1</v>
      </c>
      <c r="CR39" s="1725">
        <f t="shared" si="14"/>
        <v>1</v>
      </c>
    </row>
    <row r="40" spans="1:96" x14ac:dyDescent="0.3">
      <c r="A40" s="6234">
        <v>19185500</v>
      </c>
      <c r="B40" s="6349"/>
      <c r="C40" s="3381" t="s">
        <v>2835</v>
      </c>
      <c r="D40" s="3875" t="s">
        <v>5292</v>
      </c>
      <c r="E40" s="8786" t="s">
        <v>5293</v>
      </c>
      <c r="F40" s="6219" t="s">
        <v>5294</v>
      </c>
      <c r="G40" s="8811" t="s">
        <v>5295</v>
      </c>
      <c r="H40" s="8812" t="s">
        <v>5296</v>
      </c>
      <c r="I40" s="8787" t="s">
        <v>5297</v>
      </c>
      <c r="J40" s="8788" t="s">
        <v>5298</v>
      </c>
      <c r="K40" s="8787" t="s">
        <v>5299</v>
      </c>
      <c r="L40" s="8789" t="s">
        <v>5300</v>
      </c>
      <c r="M40" s="8787" t="s">
        <v>5301</v>
      </c>
      <c r="N40" s="8789" t="s">
        <v>5302</v>
      </c>
      <c r="O40" s="8787" t="s">
        <v>5303</v>
      </c>
      <c r="P40" s="8789" t="s">
        <v>5304</v>
      </c>
      <c r="Q40" s="8787" t="s">
        <v>5305</v>
      </c>
      <c r="R40" s="8789" t="s">
        <v>5306</v>
      </c>
      <c r="S40" s="8787" t="s">
        <v>5307</v>
      </c>
      <c r="T40" s="8789" t="s">
        <v>5308</v>
      </c>
      <c r="U40" s="8787" t="s">
        <v>5309</v>
      </c>
      <c r="V40" s="8789" t="s">
        <v>5310</v>
      </c>
      <c r="W40" s="8787" t="s">
        <v>5311</v>
      </c>
      <c r="X40" s="8789" t="s">
        <v>5312</v>
      </c>
      <c r="Y40" s="8787" t="s">
        <v>5313</v>
      </c>
      <c r="Z40" s="8789" t="s">
        <v>5314</v>
      </c>
      <c r="AA40" s="8787" t="s">
        <v>5315</v>
      </c>
      <c r="AB40" s="8789" t="s">
        <v>5316</v>
      </c>
      <c r="AC40" s="8787" t="s">
        <v>5317</v>
      </c>
      <c r="AD40" s="8789" t="s">
        <v>5318</v>
      </c>
      <c r="AE40" s="8787" t="s">
        <v>5319</v>
      </c>
      <c r="AF40" s="8789" t="s">
        <v>5320</v>
      </c>
      <c r="AG40" s="8787" t="s">
        <v>5321</v>
      </c>
      <c r="AH40" s="8789" t="s">
        <v>5322</v>
      </c>
      <c r="AI40" s="8787" t="s">
        <v>5323</v>
      </c>
      <c r="AJ40" s="8789" t="s">
        <v>5324</v>
      </c>
      <c r="AK40" s="8787" t="s">
        <v>5325</v>
      </c>
      <c r="AL40" s="8789" t="s">
        <v>5326</v>
      </c>
      <c r="AM40" s="8790" t="s">
        <v>5327</v>
      </c>
      <c r="AN40" s="8791" t="s">
        <v>5328</v>
      </c>
      <c r="AO40" s="8792" t="s">
        <v>5329</v>
      </c>
      <c r="AP40" s="8793" t="s">
        <v>5330</v>
      </c>
      <c r="AQ40" s="8788" t="s">
        <v>5331</v>
      </c>
      <c r="AR40" s="8785" t="s">
        <v>5332</v>
      </c>
      <c r="AS40" s="8785" t="s">
        <v>5333</v>
      </c>
      <c r="AT40" s="8794" t="s">
        <v>5334</v>
      </c>
      <c r="AU40" s="8785" t="s">
        <v>5335</v>
      </c>
      <c r="AV40" s="8785" t="s">
        <v>5336</v>
      </c>
      <c r="AW40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0" s="2784" t="str">
        <f t="shared" si="1"/>
        <v xml:space="preserve">* El Número de Espacios Amigables no puede superar el Total. </v>
      </c>
      <c r="CC40" s="2784" t="str">
        <f t="shared" si="2"/>
        <v xml:space="preserve">* El Número de TRANS Masculino no puede superar el Total Mujeres. </v>
      </c>
      <c r="CD40" s="2784" t="str">
        <f t="shared" si="3"/>
        <v xml:space="preserve">* El Número de TRANS Femenino no puede superar el Total Hombres. </v>
      </c>
      <c r="CE40" s="2784" t="str">
        <f t="shared" si="4"/>
        <v xml:space="preserve">* El Número de Pueblos Originarios no puede superar el Total. </v>
      </c>
      <c r="CF40" s="2784" t="str">
        <f t="shared" si="5"/>
        <v xml:space="preserve">* El Número de Migrantes no puede superar el Total. </v>
      </c>
      <c r="CG40" s="3018"/>
      <c r="CH40" s="2784" t="str">
        <f t="shared" si="6"/>
        <v xml:space="preserve">* El Número de Niños, Niñas, Adolescentes y Jóvenes SENAME no puede superar el Total. </v>
      </c>
      <c r="CI40" s="2784" t="str">
        <f t="shared" si="7"/>
        <v xml:space="preserve">* El Número de Niños, Niñas, Adolescentes y Jóvenes Mejor Niñez no puede superar el Total. </v>
      </c>
      <c r="CJ40" s="2630"/>
      <c r="CK40" s="1725">
        <f t="shared" si="8"/>
        <v>1</v>
      </c>
      <c r="CL40" s="1725">
        <f t="shared" si="9"/>
        <v>1</v>
      </c>
      <c r="CM40" s="1725">
        <f t="shared" si="10"/>
        <v>1</v>
      </c>
      <c r="CN40" s="1725">
        <f t="shared" si="11"/>
        <v>1</v>
      </c>
      <c r="CO40" s="1725">
        <f t="shared" si="12"/>
        <v>1</v>
      </c>
      <c r="CP40" s="2783"/>
      <c r="CQ40" s="1725">
        <f t="shared" si="13"/>
        <v>1</v>
      </c>
      <c r="CR40" s="1725">
        <f t="shared" si="14"/>
        <v>1</v>
      </c>
    </row>
    <row r="41" spans="1:96" x14ac:dyDescent="0.3">
      <c r="A41" s="6234">
        <v>19185600</v>
      </c>
      <c r="B41" s="6349"/>
      <c r="C41" s="3381" t="s">
        <v>277</v>
      </c>
      <c r="D41" s="3875" t="s">
        <v>5292</v>
      </c>
      <c r="E41" s="8786" t="s">
        <v>5293</v>
      </c>
      <c r="F41" s="6219" t="s">
        <v>5294</v>
      </c>
      <c r="G41" s="8811" t="s">
        <v>5295</v>
      </c>
      <c r="H41" s="8812" t="s">
        <v>5296</v>
      </c>
      <c r="I41" s="8787" t="s">
        <v>5297</v>
      </c>
      <c r="J41" s="8788" t="s">
        <v>5298</v>
      </c>
      <c r="K41" s="8787" t="s">
        <v>5299</v>
      </c>
      <c r="L41" s="8789" t="s">
        <v>5300</v>
      </c>
      <c r="M41" s="8787" t="s">
        <v>5301</v>
      </c>
      <c r="N41" s="8789" t="s">
        <v>5302</v>
      </c>
      <c r="O41" s="8787" t="s">
        <v>5303</v>
      </c>
      <c r="P41" s="8789" t="s">
        <v>5304</v>
      </c>
      <c r="Q41" s="8787" t="s">
        <v>5305</v>
      </c>
      <c r="R41" s="8789" t="s">
        <v>5306</v>
      </c>
      <c r="S41" s="8787" t="s">
        <v>5307</v>
      </c>
      <c r="T41" s="8789" t="s">
        <v>5308</v>
      </c>
      <c r="U41" s="8787" t="s">
        <v>5309</v>
      </c>
      <c r="V41" s="8789" t="s">
        <v>5310</v>
      </c>
      <c r="W41" s="8787" t="s">
        <v>5311</v>
      </c>
      <c r="X41" s="8789" t="s">
        <v>5312</v>
      </c>
      <c r="Y41" s="8787" t="s">
        <v>5313</v>
      </c>
      <c r="Z41" s="8789" t="s">
        <v>5314</v>
      </c>
      <c r="AA41" s="8787" t="s">
        <v>5315</v>
      </c>
      <c r="AB41" s="8789" t="s">
        <v>5316</v>
      </c>
      <c r="AC41" s="8787" t="s">
        <v>5317</v>
      </c>
      <c r="AD41" s="8789" t="s">
        <v>5318</v>
      </c>
      <c r="AE41" s="8787" t="s">
        <v>5319</v>
      </c>
      <c r="AF41" s="8789" t="s">
        <v>5320</v>
      </c>
      <c r="AG41" s="8787" t="s">
        <v>5321</v>
      </c>
      <c r="AH41" s="8789" t="s">
        <v>5322</v>
      </c>
      <c r="AI41" s="8787" t="s">
        <v>5323</v>
      </c>
      <c r="AJ41" s="8789" t="s">
        <v>5324</v>
      </c>
      <c r="AK41" s="8787" t="s">
        <v>5325</v>
      </c>
      <c r="AL41" s="8789" t="s">
        <v>5326</v>
      </c>
      <c r="AM41" s="8790" t="s">
        <v>5327</v>
      </c>
      <c r="AN41" s="8791" t="s">
        <v>5328</v>
      </c>
      <c r="AO41" s="8792" t="s">
        <v>5329</v>
      </c>
      <c r="AP41" s="8793" t="s">
        <v>5330</v>
      </c>
      <c r="AQ41" s="8788" t="s">
        <v>5331</v>
      </c>
      <c r="AR41" s="8785" t="s">
        <v>5332</v>
      </c>
      <c r="AS41" s="8785" t="s">
        <v>5333</v>
      </c>
      <c r="AT41" s="8794" t="s">
        <v>5334</v>
      </c>
      <c r="AU41" s="8785" t="s">
        <v>5335</v>
      </c>
      <c r="AV41" s="8785" t="s">
        <v>5336</v>
      </c>
      <c r="AW41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1" s="2784" t="str">
        <f t="shared" si="1"/>
        <v xml:space="preserve">* El Número de Espacios Amigables no puede superar el Total. </v>
      </c>
      <c r="CC41" s="2784" t="str">
        <f t="shared" si="2"/>
        <v xml:space="preserve">* El Número de TRANS Masculino no puede superar el Total Mujeres. </v>
      </c>
      <c r="CD41" s="2784" t="str">
        <f t="shared" si="3"/>
        <v xml:space="preserve">* El Número de TRANS Femenino no puede superar el Total Hombres. </v>
      </c>
      <c r="CE41" s="2784" t="str">
        <f t="shared" si="4"/>
        <v xml:space="preserve">* El Número de Pueblos Originarios no puede superar el Total. </v>
      </c>
      <c r="CF41" s="2784" t="str">
        <f t="shared" si="5"/>
        <v xml:space="preserve">* El Número de Migrantes no puede superar el Total. </v>
      </c>
      <c r="CG41" s="3018"/>
      <c r="CH41" s="2784" t="str">
        <f t="shared" si="6"/>
        <v xml:space="preserve">* El Número de Niños, Niñas, Adolescentes y Jóvenes SENAME no puede superar el Total. </v>
      </c>
      <c r="CI41" s="2784" t="str">
        <f t="shared" si="7"/>
        <v xml:space="preserve">* El Número de Niños, Niñas, Adolescentes y Jóvenes Mejor Niñez no puede superar el Total. </v>
      </c>
      <c r="CJ41" s="2630"/>
      <c r="CK41" s="1725">
        <f t="shared" si="8"/>
        <v>1</v>
      </c>
      <c r="CL41" s="1725">
        <f t="shared" si="9"/>
        <v>1</v>
      </c>
      <c r="CM41" s="1725">
        <f t="shared" si="10"/>
        <v>1</v>
      </c>
      <c r="CN41" s="1725">
        <f t="shared" si="11"/>
        <v>1</v>
      </c>
      <c r="CO41" s="1725">
        <f t="shared" si="12"/>
        <v>1</v>
      </c>
      <c r="CP41" s="2783"/>
      <c r="CQ41" s="1725">
        <f t="shared" si="13"/>
        <v>1</v>
      </c>
      <c r="CR41" s="1725">
        <f t="shared" si="14"/>
        <v>1</v>
      </c>
    </row>
    <row r="42" spans="1:96" x14ac:dyDescent="0.3">
      <c r="A42" s="6234">
        <v>19185700</v>
      </c>
      <c r="B42" s="6349"/>
      <c r="C42" s="3611" t="s">
        <v>2836</v>
      </c>
      <c r="D42" s="3887" t="s">
        <v>5292</v>
      </c>
      <c r="E42" s="8795" t="s">
        <v>5293</v>
      </c>
      <c r="F42" s="8796" t="s">
        <v>5294</v>
      </c>
      <c r="G42" s="8811" t="s">
        <v>5295</v>
      </c>
      <c r="H42" s="8812" t="s">
        <v>5296</v>
      </c>
      <c r="I42" s="8713" t="s">
        <v>5297</v>
      </c>
      <c r="J42" s="8719" t="s">
        <v>5298</v>
      </c>
      <c r="K42" s="8713" t="s">
        <v>5299</v>
      </c>
      <c r="L42" s="8714" t="s">
        <v>5300</v>
      </c>
      <c r="M42" s="8713" t="s">
        <v>5301</v>
      </c>
      <c r="N42" s="8714" t="s">
        <v>5302</v>
      </c>
      <c r="O42" s="8713" t="s">
        <v>5303</v>
      </c>
      <c r="P42" s="8714" t="s">
        <v>5304</v>
      </c>
      <c r="Q42" s="8713" t="s">
        <v>5305</v>
      </c>
      <c r="R42" s="8714" t="s">
        <v>5306</v>
      </c>
      <c r="S42" s="8713" t="s">
        <v>5307</v>
      </c>
      <c r="T42" s="8714" t="s">
        <v>5308</v>
      </c>
      <c r="U42" s="8713" t="s">
        <v>5309</v>
      </c>
      <c r="V42" s="8714" t="s">
        <v>5310</v>
      </c>
      <c r="W42" s="8713" t="s">
        <v>5311</v>
      </c>
      <c r="X42" s="8714" t="s">
        <v>5312</v>
      </c>
      <c r="Y42" s="8713" t="s">
        <v>5313</v>
      </c>
      <c r="Z42" s="8714" t="s">
        <v>5314</v>
      </c>
      <c r="AA42" s="8713" t="s">
        <v>5315</v>
      </c>
      <c r="AB42" s="8714" t="s">
        <v>5316</v>
      </c>
      <c r="AC42" s="8713" t="s">
        <v>5317</v>
      </c>
      <c r="AD42" s="8714" t="s">
        <v>5318</v>
      </c>
      <c r="AE42" s="8713" t="s">
        <v>5319</v>
      </c>
      <c r="AF42" s="8714" t="s">
        <v>5320</v>
      </c>
      <c r="AG42" s="8713" t="s">
        <v>5321</v>
      </c>
      <c r="AH42" s="8714" t="s">
        <v>5322</v>
      </c>
      <c r="AI42" s="8713" t="s">
        <v>5323</v>
      </c>
      <c r="AJ42" s="8714" t="s">
        <v>5324</v>
      </c>
      <c r="AK42" s="8713" t="s">
        <v>5325</v>
      </c>
      <c r="AL42" s="8714" t="s">
        <v>5326</v>
      </c>
      <c r="AM42" s="8720" t="s">
        <v>5327</v>
      </c>
      <c r="AN42" s="8797" t="s">
        <v>5328</v>
      </c>
      <c r="AO42" s="8792" t="s">
        <v>5329</v>
      </c>
      <c r="AP42" s="8715" t="s">
        <v>5330</v>
      </c>
      <c r="AQ42" s="8788" t="s">
        <v>5331</v>
      </c>
      <c r="AR42" s="8785" t="s">
        <v>5332</v>
      </c>
      <c r="AS42" s="8785" t="s">
        <v>5333</v>
      </c>
      <c r="AT42" s="8794" t="s">
        <v>5334</v>
      </c>
      <c r="AU42" s="8785" t="s">
        <v>5335</v>
      </c>
      <c r="AV42" s="8785" t="s">
        <v>5336</v>
      </c>
      <c r="AW42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2" s="2784" t="str">
        <f t="shared" si="1"/>
        <v xml:space="preserve">* El Número de Espacios Amigables no puede superar el Total. </v>
      </c>
      <c r="CC42" s="2784" t="str">
        <f t="shared" si="2"/>
        <v xml:space="preserve">* El Número de TRANS Masculino no puede superar el Total Mujeres. </v>
      </c>
      <c r="CD42" s="2784" t="str">
        <f t="shared" si="3"/>
        <v xml:space="preserve">* El Número de TRANS Femenino no puede superar el Total Hombres. </v>
      </c>
      <c r="CE42" s="2784" t="str">
        <f t="shared" si="4"/>
        <v xml:space="preserve">* El Número de Pueblos Originarios no puede superar el Total. </v>
      </c>
      <c r="CF42" s="2784" t="str">
        <f t="shared" si="5"/>
        <v xml:space="preserve">* El Número de Migrantes no puede superar el Total. </v>
      </c>
      <c r="CG42" s="3018"/>
      <c r="CH42" s="2784" t="str">
        <f t="shared" si="6"/>
        <v xml:space="preserve">* El Número de Niños, Niñas, Adolescentes y Jóvenes SENAME no puede superar el Total. </v>
      </c>
      <c r="CI42" s="2784" t="str">
        <f t="shared" si="7"/>
        <v xml:space="preserve">* El Número de Niños, Niñas, Adolescentes y Jóvenes Mejor Niñez no puede superar el Total. </v>
      </c>
      <c r="CJ42" s="2630"/>
      <c r="CK42" s="1725">
        <f t="shared" si="8"/>
        <v>1</v>
      </c>
      <c r="CL42" s="1725">
        <f t="shared" si="9"/>
        <v>1</v>
      </c>
      <c r="CM42" s="1725">
        <f t="shared" si="10"/>
        <v>1</v>
      </c>
      <c r="CN42" s="1725">
        <f t="shared" si="11"/>
        <v>1</v>
      </c>
      <c r="CO42" s="1725">
        <f t="shared" si="12"/>
        <v>1</v>
      </c>
      <c r="CP42" s="2783"/>
      <c r="CQ42" s="1725">
        <f t="shared" si="13"/>
        <v>1</v>
      </c>
      <c r="CR42" s="1725">
        <f t="shared" si="14"/>
        <v>1</v>
      </c>
    </row>
    <row r="43" spans="1:96" x14ac:dyDescent="0.3">
      <c r="A43" s="6234">
        <v>19185800</v>
      </c>
      <c r="B43" s="6349"/>
      <c r="C43" s="3381" t="s">
        <v>2643</v>
      </c>
      <c r="D43" s="3875" t="s">
        <v>5292</v>
      </c>
      <c r="E43" s="8786" t="s">
        <v>5293</v>
      </c>
      <c r="F43" s="6219" t="s">
        <v>5294</v>
      </c>
      <c r="G43" s="8811" t="s">
        <v>5295</v>
      </c>
      <c r="H43" s="8813" t="s">
        <v>5296</v>
      </c>
      <c r="I43" s="8787" t="s">
        <v>5297</v>
      </c>
      <c r="J43" s="8788" t="s">
        <v>5298</v>
      </c>
      <c r="K43" s="8787" t="s">
        <v>5299</v>
      </c>
      <c r="L43" s="8789" t="s">
        <v>5300</v>
      </c>
      <c r="M43" s="8787" t="s">
        <v>5301</v>
      </c>
      <c r="N43" s="8789" t="s">
        <v>5302</v>
      </c>
      <c r="O43" s="8787" t="s">
        <v>5303</v>
      </c>
      <c r="P43" s="8789" t="s">
        <v>5304</v>
      </c>
      <c r="Q43" s="8787" t="s">
        <v>5305</v>
      </c>
      <c r="R43" s="8789" t="s">
        <v>5306</v>
      </c>
      <c r="S43" s="8787" t="s">
        <v>5307</v>
      </c>
      <c r="T43" s="8789" t="s">
        <v>5308</v>
      </c>
      <c r="U43" s="8787" t="s">
        <v>5309</v>
      </c>
      <c r="V43" s="8789" t="s">
        <v>5310</v>
      </c>
      <c r="W43" s="8787" t="s">
        <v>5311</v>
      </c>
      <c r="X43" s="8789" t="s">
        <v>5312</v>
      </c>
      <c r="Y43" s="8787" t="s">
        <v>5313</v>
      </c>
      <c r="Z43" s="8789" t="s">
        <v>5314</v>
      </c>
      <c r="AA43" s="8787" t="s">
        <v>5315</v>
      </c>
      <c r="AB43" s="8789" t="s">
        <v>5316</v>
      </c>
      <c r="AC43" s="8787" t="s">
        <v>5317</v>
      </c>
      <c r="AD43" s="8789" t="s">
        <v>5318</v>
      </c>
      <c r="AE43" s="8787" t="s">
        <v>5319</v>
      </c>
      <c r="AF43" s="8789" t="s">
        <v>5320</v>
      </c>
      <c r="AG43" s="8787" t="s">
        <v>5321</v>
      </c>
      <c r="AH43" s="8789" t="s">
        <v>5322</v>
      </c>
      <c r="AI43" s="8787" t="s">
        <v>5323</v>
      </c>
      <c r="AJ43" s="8789" t="s">
        <v>5324</v>
      </c>
      <c r="AK43" s="8787" t="s">
        <v>5325</v>
      </c>
      <c r="AL43" s="8789" t="s">
        <v>5326</v>
      </c>
      <c r="AM43" s="8790" t="s">
        <v>5327</v>
      </c>
      <c r="AN43" s="8791" t="s">
        <v>5328</v>
      </c>
      <c r="AO43" s="8792" t="s">
        <v>5329</v>
      </c>
      <c r="AP43" s="8793" t="s">
        <v>5330</v>
      </c>
      <c r="AQ43" s="8788" t="s">
        <v>5331</v>
      </c>
      <c r="AR43" s="8785" t="s">
        <v>5332</v>
      </c>
      <c r="AS43" s="8785" t="s">
        <v>5333</v>
      </c>
      <c r="AT43" s="8794" t="s">
        <v>5334</v>
      </c>
      <c r="AU43" s="8785" t="s">
        <v>5335</v>
      </c>
      <c r="AV43" s="8785" t="s">
        <v>5336</v>
      </c>
      <c r="AW43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3" s="2784" t="str">
        <f t="shared" si="1"/>
        <v xml:space="preserve">* El Número de Espacios Amigables no puede superar el Total. </v>
      </c>
      <c r="CC43" s="2784" t="str">
        <f t="shared" si="2"/>
        <v xml:space="preserve">* El Número de TRANS Masculino no puede superar el Total Mujeres. </v>
      </c>
      <c r="CD43" s="2784" t="str">
        <f t="shared" si="3"/>
        <v xml:space="preserve">* El Número de TRANS Femenino no puede superar el Total Hombres. </v>
      </c>
      <c r="CE43" s="2784" t="str">
        <f t="shared" si="4"/>
        <v xml:space="preserve">* El Número de Pueblos Originarios no puede superar el Total. </v>
      </c>
      <c r="CF43" s="2784" t="str">
        <f t="shared" si="5"/>
        <v xml:space="preserve">* El Número de Migrantes no puede superar el Total. </v>
      </c>
      <c r="CG43" s="3018"/>
      <c r="CH43" s="2784" t="str">
        <f t="shared" si="6"/>
        <v xml:space="preserve">* El Número de Niños, Niñas, Adolescentes y Jóvenes SENAME no puede superar el Total. </v>
      </c>
      <c r="CI43" s="2784" t="str">
        <f t="shared" si="7"/>
        <v xml:space="preserve">* El Número de Niños, Niñas, Adolescentes y Jóvenes Mejor Niñez no puede superar el Total. </v>
      </c>
      <c r="CJ43" s="2630"/>
      <c r="CK43" s="1725">
        <f t="shared" si="8"/>
        <v>1</v>
      </c>
      <c r="CL43" s="1725">
        <f t="shared" si="9"/>
        <v>1</v>
      </c>
      <c r="CM43" s="1725">
        <f t="shared" si="10"/>
        <v>1</v>
      </c>
      <c r="CN43" s="1725">
        <f t="shared" si="11"/>
        <v>1</v>
      </c>
      <c r="CO43" s="1725">
        <f t="shared" si="12"/>
        <v>1</v>
      </c>
      <c r="CP43" s="2783"/>
      <c r="CQ43" s="1725">
        <f t="shared" si="13"/>
        <v>1</v>
      </c>
      <c r="CR43" s="1725">
        <f t="shared" si="14"/>
        <v>1</v>
      </c>
    </row>
    <row r="44" spans="1:96" x14ac:dyDescent="0.3">
      <c r="A44" s="6234">
        <v>19185801</v>
      </c>
      <c r="B44" s="6349"/>
      <c r="C44" s="112" t="s">
        <v>2837</v>
      </c>
      <c r="D44" s="3875" t="s">
        <v>5292</v>
      </c>
      <c r="E44" s="8786" t="s">
        <v>5293</v>
      </c>
      <c r="F44" s="8799" t="s">
        <v>5294</v>
      </c>
      <c r="G44" s="8811" t="s">
        <v>5295</v>
      </c>
      <c r="H44" s="8814" t="s">
        <v>5296</v>
      </c>
      <c r="I44" s="8787" t="s">
        <v>5297</v>
      </c>
      <c r="J44" s="8788" t="s">
        <v>5298</v>
      </c>
      <c r="K44" s="8787" t="s">
        <v>5299</v>
      </c>
      <c r="L44" s="8789" t="s">
        <v>5300</v>
      </c>
      <c r="M44" s="8787" t="s">
        <v>5301</v>
      </c>
      <c r="N44" s="8789" t="s">
        <v>5302</v>
      </c>
      <c r="O44" s="8787" t="s">
        <v>5303</v>
      </c>
      <c r="P44" s="8789" t="s">
        <v>5304</v>
      </c>
      <c r="Q44" s="8787" t="s">
        <v>5305</v>
      </c>
      <c r="R44" s="8789" t="s">
        <v>5306</v>
      </c>
      <c r="S44" s="8787" t="s">
        <v>5307</v>
      </c>
      <c r="T44" s="8789" t="s">
        <v>5308</v>
      </c>
      <c r="U44" s="8787" t="s">
        <v>5309</v>
      </c>
      <c r="V44" s="8789" t="s">
        <v>5310</v>
      </c>
      <c r="W44" s="8787" t="s">
        <v>5311</v>
      </c>
      <c r="X44" s="8789" t="s">
        <v>5312</v>
      </c>
      <c r="Y44" s="8787" t="s">
        <v>5313</v>
      </c>
      <c r="Z44" s="8789" t="s">
        <v>5314</v>
      </c>
      <c r="AA44" s="8787" t="s">
        <v>5315</v>
      </c>
      <c r="AB44" s="8789" t="s">
        <v>5316</v>
      </c>
      <c r="AC44" s="8787" t="s">
        <v>5317</v>
      </c>
      <c r="AD44" s="8789" t="s">
        <v>5318</v>
      </c>
      <c r="AE44" s="8787" t="s">
        <v>5319</v>
      </c>
      <c r="AF44" s="8789" t="s">
        <v>5320</v>
      </c>
      <c r="AG44" s="8787" t="s">
        <v>5321</v>
      </c>
      <c r="AH44" s="8819" t="s">
        <v>5322</v>
      </c>
      <c r="AI44" s="8787" t="s">
        <v>5323</v>
      </c>
      <c r="AJ44" s="8789" t="s">
        <v>5324</v>
      </c>
      <c r="AK44" s="8787" t="s">
        <v>5325</v>
      </c>
      <c r="AL44" s="8789" t="s">
        <v>5326</v>
      </c>
      <c r="AM44" s="8790" t="s">
        <v>5327</v>
      </c>
      <c r="AN44" s="8791" t="s">
        <v>5328</v>
      </c>
      <c r="AO44" s="8792" t="s">
        <v>5329</v>
      </c>
      <c r="AP44" s="8793" t="s">
        <v>5330</v>
      </c>
      <c r="AQ44" s="8788" t="s">
        <v>5331</v>
      </c>
      <c r="AR44" s="8785" t="s">
        <v>5332</v>
      </c>
      <c r="AS44" s="8785" t="s">
        <v>5333</v>
      </c>
      <c r="AT44" s="8794" t="s">
        <v>5334</v>
      </c>
      <c r="AU44" s="8785" t="s">
        <v>5335</v>
      </c>
      <c r="AV44" s="8785" t="s">
        <v>5336</v>
      </c>
      <c r="AW44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4" s="2784" t="str">
        <f t="shared" si="1"/>
        <v xml:space="preserve">* El Número de Espacios Amigables no puede superar el Total. </v>
      </c>
      <c r="CC44" s="2784" t="str">
        <f t="shared" si="2"/>
        <v xml:space="preserve">* El Número de TRANS Masculino no puede superar el Total Mujeres. </v>
      </c>
      <c r="CD44" s="2784" t="str">
        <f t="shared" si="3"/>
        <v xml:space="preserve">* El Número de TRANS Femenino no puede superar el Total Hombres. </v>
      </c>
      <c r="CE44" s="2784" t="str">
        <f t="shared" si="4"/>
        <v xml:space="preserve">* El Número de Pueblos Originarios no puede superar el Total. </v>
      </c>
      <c r="CF44" s="2784" t="str">
        <f t="shared" si="5"/>
        <v xml:space="preserve">* El Número de Migrantes no puede superar el Total. </v>
      </c>
      <c r="CG44" s="3018"/>
      <c r="CH44" s="2784" t="str">
        <f t="shared" si="6"/>
        <v xml:space="preserve">* El Número de Niños, Niñas, Adolescentes y Jóvenes SENAME no puede superar el Total. </v>
      </c>
      <c r="CI44" s="2784" t="str">
        <f t="shared" si="7"/>
        <v xml:space="preserve">* El Número de Niños, Niñas, Adolescentes y Jóvenes Mejor Niñez no puede superar el Total. </v>
      </c>
      <c r="CJ44" s="2630"/>
      <c r="CK44" s="1725">
        <f t="shared" si="8"/>
        <v>1</v>
      </c>
      <c r="CL44" s="1725">
        <f t="shared" si="9"/>
        <v>1</v>
      </c>
      <c r="CM44" s="1725">
        <f t="shared" si="10"/>
        <v>1</v>
      </c>
      <c r="CN44" s="1725">
        <f t="shared" si="11"/>
        <v>1</v>
      </c>
      <c r="CO44" s="1725">
        <f t="shared" si="12"/>
        <v>1</v>
      </c>
      <c r="CP44" s="2783"/>
      <c r="CQ44" s="1725">
        <f t="shared" si="13"/>
        <v>1</v>
      </c>
      <c r="CR44" s="1725">
        <f t="shared" si="14"/>
        <v>1</v>
      </c>
    </row>
    <row r="45" spans="1:96" x14ac:dyDescent="0.3">
      <c r="A45" s="6234">
        <v>19185900</v>
      </c>
      <c r="B45" s="6350"/>
      <c r="C45" s="119" t="s">
        <v>192</v>
      </c>
      <c r="D45" s="560" t="s">
        <v>5292</v>
      </c>
      <c r="E45" s="8661" t="s">
        <v>5293</v>
      </c>
      <c r="F45" s="6220" t="s">
        <v>5294</v>
      </c>
      <c r="G45" s="8815" t="s">
        <v>5295</v>
      </c>
      <c r="H45" s="8816" t="s">
        <v>5296</v>
      </c>
      <c r="I45" s="8801" t="s">
        <v>5297</v>
      </c>
      <c r="J45" s="8802" t="s">
        <v>5298</v>
      </c>
      <c r="K45" s="8801" t="s">
        <v>5299</v>
      </c>
      <c r="L45" s="8803" t="s">
        <v>5300</v>
      </c>
      <c r="M45" s="8801" t="s">
        <v>5301</v>
      </c>
      <c r="N45" s="8803" t="s">
        <v>5302</v>
      </c>
      <c r="O45" s="8801" t="s">
        <v>5303</v>
      </c>
      <c r="P45" s="8803" t="s">
        <v>5304</v>
      </c>
      <c r="Q45" s="8801" t="s">
        <v>5305</v>
      </c>
      <c r="R45" s="8803" t="s">
        <v>5306</v>
      </c>
      <c r="S45" s="8801" t="s">
        <v>5307</v>
      </c>
      <c r="T45" s="8803" t="s">
        <v>5308</v>
      </c>
      <c r="U45" s="8801" t="s">
        <v>5309</v>
      </c>
      <c r="V45" s="8803" t="s">
        <v>5310</v>
      </c>
      <c r="W45" s="8801" t="s">
        <v>5311</v>
      </c>
      <c r="X45" s="8803" t="s">
        <v>5312</v>
      </c>
      <c r="Y45" s="8801" t="s">
        <v>5313</v>
      </c>
      <c r="Z45" s="8803" t="s">
        <v>5314</v>
      </c>
      <c r="AA45" s="8801" t="s">
        <v>5315</v>
      </c>
      <c r="AB45" s="8803" t="s">
        <v>5316</v>
      </c>
      <c r="AC45" s="8801" t="s">
        <v>5317</v>
      </c>
      <c r="AD45" s="8803" t="s">
        <v>5318</v>
      </c>
      <c r="AE45" s="8801" t="s">
        <v>5319</v>
      </c>
      <c r="AF45" s="8803" t="s">
        <v>5320</v>
      </c>
      <c r="AG45" s="8801" t="s">
        <v>5321</v>
      </c>
      <c r="AH45" s="8803" t="s">
        <v>5322</v>
      </c>
      <c r="AI45" s="8801" t="s">
        <v>5323</v>
      </c>
      <c r="AJ45" s="8803" t="s">
        <v>5324</v>
      </c>
      <c r="AK45" s="8801" t="s">
        <v>5325</v>
      </c>
      <c r="AL45" s="8803" t="s">
        <v>5326</v>
      </c>
      <c r="AM45" s="8817" t="s">
        <v>5327</v>
      </c>
      <c r="AN45" s="8804" t="s">
        <v>5328</v>
      </c>
      <c r="AO45" s="8805" t="s">
        <v>5329</v>
      </c>
      <c r="AP45" s="8806" t="s">
        <v>5330</v>
      </c>
      <c r="AQ45" s="8728" t="s">
        <v>5331</v>
      </c>
      <c r="AR45" s="8727" t="s">
        <v>5332</v>
      </c>
      <c r="AS45" s="8727" t="s">
        <v>5333</v>
      </c>
      <c r="AT45" s="8794" t="s">
        <v>5334</v>
      </c>
      <c r="AU45" s="8785" t="s">
        <v>5335</v>
      </c>
      <c r="AV45" s="8785" t="s">
        <v>5336</v>
      </c>
      <c r="AW45" s="1687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5" s="2784" t="str">
        <f t="shared" si="1"/>
        <v xml:space="preserve">* El Número de Espacios Amigables no puede superar el Total. </v>
      </c>
      <c r="CC45" s="2784" t="str">
        <f t="shared" si="2"/>
        <v xml:space="preserve">* El Número de TRANS Masculino no puede superar el Total Mujeres. </v>
      </c>
      <c r="CD45" s="2784" t="str">
        <f t="shared" si="3"/>
        <v xml:space="preserve">* El Número de TRANS Femenino no puede superar el Total Hombres. </v>
      </c>
      <c r="CE45" s="2784" t="str">
        <f t="shared" si="4"/>
        <v xml:space="preserve">* El Número de Pueblos Originarios no puede superar el Total. </v>
      </c>
      <c r="CF45" s="2784" t="str">
        <f t="shared" si="5"/>
        <v xml:space="preserve">* El Número de Migrantes no puede superar el Total. </v>
      </c>
      <c r="CG45" s="3018"/>
      <c r="CH45" s="2784" t="str">
        <f t="shared" si="6"/>
        <v xml:space="preserve">* El Número de Niños, Niñas, Adolescentes y Jóvenes SENAME no puede superar el Total. </v>
      </c>
      <c r="CI45" s="2784" t="str">
        <f t="shared" si="7"/>
        <v xml:space="preserve">* El Número de Niños, Niñas, Adolescentes y Jóvenes Mejor Niñez no puede superar el Total. </v>
      </c>
      <c r="CJ45" s="2630"/>
      <c r="CK45" s="1725">
        <f t="shared" si="8"/>
        <v>1</v>
      </c>
      <c r="CL45" s="1725">
        <f t="shared" si="9"/>
        <v>1</v>
      </c>
      <c r="CM45" s="1725">
        <f t="shared" si="10"/>
        <v>1</v>
      </c>
      <c r="CN45" s="1725">
        <f t="shared" si="11"/>
        <v>1</v>
      </c>
      <c r="CO45" s="1725">
        <f t="shared" si="12"/>
        <v>1</v>
      </c>
      <c r="CP45" s="2783"/>
      <c r="CQ45" s="1725">
        <f t="shared" si="13"/>
        <v>1</v>
      </c>
      <c r="CR45" s="1725">
        <f t="shared" si="14"/>
        <v>1</v>
      </c>
    </row>
    <row r="46" spans="1:96" x14ac:dyDescent="0.3">
      <c r="A46" s="6234">
        <v>19120601</v>
      </c>
      <c r="B46" s="6367" t="s">
        <v>2839</v>
      </c>
      <c r="C46" s="3378" t="s">
        <v>74</v>
      </c>
      <c r="D46" s="8774" t="s">
        <v>5292</v>
      </c>
      <c r="E46" s="8775" t="s">
        <v>5293</v>
      </c>
      <c r="F46" s="6218" t="s">
        <v>5294</v>
      </c>
      <c r="G46" s="8808" t="s">
        <v>5295</v>
      </c>
      <c r="H46" s="8809" t="s">
        <v>5296</v>
      </c>
      <c r="I46" s="8808" t="s">
        <v>5297</v>
      </c>
      <c r="J46" s="8809" t="s">
        <v>5298</v>
      </c>
      <c r="K46" s="8776" t="s">
        <v>5299</v>
      </c>
      <c r="L46" s="8778" t="s">
        <v>5300</v>
      </c>
      <c r="M46" s="8776" t="s">
        <v>5301</v>
      </c>
      <c r="N46" s="8778" t="s">
        <v>5302</v>
      </c>
      <c r="O46" s="8776" t="s">
        <v>5303</v>
      </c>
      <c r="P46" s="8778" t="s">
        <v>5304</v>
      </c>
      <c r="Q46" s="8776" t="s">
        <v>5305</v>
      </c>
      <c r="R46" s="8778" t="s">
        <v>5306</v>
      </c>
      <c r="S46" s="8776" t="s">
        <v>5307</v>
      </c>
      <c r="T46" s="8778" t="s">
        <v>5308</v>
      </c>
      <c r="U46" s="8776" t="s">
        <v>5309</v>
      </c>
      <c r="V46" s="8778" t="s">
        <v>5310</v>
      </c>
      <c r="W46" s="8776" t="s">
        <v>5311</v>
      </c>
      <c r="X46" s="8778" t="s">
        <v>5312</v>
      </c>
      <c r="Y46" s="8776" t="s">
        <v>5313</v>
      </c>
      <c r="Z46" s="8778" t="s">
        <v>5314</v>
      </c>
      <c r="AA46" s="8776" t="s">
        <v>5315</v>
      </c>
      <c r="AB46" s="8778" t="s">
        <v>5316</v>
      </c>
      <c r="AC46" s="8776" t="s">
        <v>5317</v>
      </c>
      <c r="AD46" s="8778" t="s">
        <v>5318</v>
      </c>
      <c r="AE46" s="8776" t="s">
        <v>5319</v>
      </c>
      <c r="AF46" s="8778" t="s">
        <v>5320</v>
      </c>
      <c r="AG46" s="8776" t="s">
        <v>5321</v>
      </c>
      <c r="AH46" s="8778" t="s">
        <v>5322</v>
      </c>
      <c r="AI46" s="8776" t="s">
        <v>5323</v>
      </c>
      <c r="AJ46" s="8778" t="s">
        <v>5324</v>
      </c>
      <c r="AK46" s="8776" t="s">
        <v>5325</v>
      </c>
      <c r="AL46" s="8778" t="s">
        <v>5326</v>
      </c>
      <c r="AM46" s="8710" t="s">
        <v>5327</v>
      </c>
      <c r="AN46" s="8779" t="s">
        <v>5328</v>
      </c>
      <c r="AO46" s="8738" t="s">
        <v>5329</v>
      </c>
      <c r="AP46" s="8781" t="s">
        <v>5330</v>
      </c>
      <c r="AQ46" s="8777" t="s">
        <v>5331</v>
      </c>
      <c r="AR46" s="8707" t="s">
        <v>5332</v>
      </c>
      <c r="AS46" s="8707" t="s">
        <v>5333</v>
      </c>
      <c r="AT46" s="8707" t="s">
        <v>5334</v>
      </c>
      <c r="AU46" s="8707" t="s">
        <v>5335</v>
      </c>
      <c r="AV46" s="8707" t="s">
        <v>5336</v>
      </c>
      <c r="AW46" s="1687" t="str">
        <f>$CB46&amp;$CC46&amp;CD46&amp;CE46&amp;CF46&amp;CG46&amp;CH46&amp;CI46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46" s="2784" t="str">
        <f t="shared" si="1"/>
        <v xml:space="preserve">* El Número de Espacios Amigables no puede superar el Total. </v>
      </c>
      <c r="CC46" s="2784" t="str">
        <f t="shared" si="2"/>
        <v xml:space="preserve">* El Número de TRANS Masculino no puede superar el Total Mujeres. </v>
      </c>
      <c r="CD46" s="2784" t="str">
        <f t="shared" si="3"/>
        <v xml:space="preserve">* El Número de TRANS Femenino no puede superar el Total Hombres. </v>
      </c>
      <c r="CE46" s="2784" t="str">
        <f t="shared" si="4"/>
        <v xml:space="preserve">* El Número de Pueblos Originarios no puede superar el Total. </v>
      </c>
      <c r="CF46" s="2784" t="str">
        <f>IF(AND($D46&lt;&gt;0,AS46=""),"* No olvide ingresar la columna Migrantes (Digite CERO si no tiene).  ",IF(AS46&gt;$D46,"* El Número de Migrantes no puede superar el Total. ",""))</f>
        <v xml:space="preserve">* El Número de Migrantes no puede superar el Total. </v>
      </c>
      <c r="CG46" s="2919" t="str">
        <f>IF(AND(SUM(K46:N46)&gt;0,AT46=""),"* No olvide digitar la variable 14-18 años. Si no tiene digite Cero.",IF(AT46&gt;SUM(K46:N46),"* La variable 14-18 años no puede ser mayor al total por grupo edad de 10 a 19 años. ",""))</f>
        <v xml:space="preserve">* La variable 14-18 años no puede ser mayor al total por grupo edad de 10 a 19 años. </v>
      </c>
      <c r="CH46" s="2784" t="str">
        <f t="shared" si="6"/>
        <v xml:space="preserve">* El Número de Niños, Niñas, Adolescentes y Jóvenes SENAME no puede superar el Total. </v>
      </c>
      <c r="CI46" s="2784" t="str">
        <f t="shared" si="7"/>
        <v xml:space="preserve">* El Número de Niños, Niñas, Adolescentes y Jóvenes Mejor Niñez no puede superar el Total. </v>
      </c>
      <c r="CJ46" s="2630"/>
      <c r="CK46" s="1725">
        <f t="shared" si="8"/>
        <v>1</v>
      </c>
      <c r="CL46" s="1725">
        <f t="shared" si="9"/>
        <v>1</v>
      </c>
      <c r="CM46" s="1725">
        <f t="shared" si="10"/>
        <v>1</v>
      </c>
      <c r="CN46" s="1725">
        <f t="shared" si="11"/>
        <v>1</v>
      </c>
      <c r="CO46" s="1725">
        <f t="shared" si="12"/>
        <v>1</v>
      </c>
      <c r="CP46" s="2920">
        <f>IF(AND(SUM(K46:N46)&gt;0,AT46=""),1,IF(AT46&gt;SUM(K46:N46),1,0))</f>
        <v>1</v>
      </c>
      <c r="CQ46" s="1725">
        <f t="shared" si="13"/>
        <v>1</v>
      </c>
      <c r="CR46" s="1725">
        <f t="shared" si="14"/>
        <v>1</v>
      </c>
    </row>
    <row r="47" spans="1:96" x14ac:dyDescent="0.3">
      <c r="A47" s="6234">
        <v>19120602</v>
      </c>
      <c r="B47" s="6349"/>
      <c r="C47" s="3381" t="s">
        <v>275</v>
      </c>
      <c r="D47" s="3875" t="s">
        <v>5292</v>
      </c>
      <c r="E47" s="8786" t="s">
        <v>5293</v>
      </c>
      <c r="F47" s="6219" t="s">
        <v>5294</v>
      </c>
      <c r="G47" s="8811" t="s">
        <v>5295</v>
      </c>
      <c r="H47" s="8812" t="s">
        <v>5296</v>
      </c>
      <c r="I47" s="8811" t="s">
        <v>5297</v>
      </c>
      <c r="J47" s="8812" t="s">
        <v>5298</v>
      </c>
      <c r="K47" s="8787" t="s">
        <v>5299</v>
      </c>
      <c r="L47" s="8789" t="s">
        <v>5300</v>
      </c>
      <c r="M47" s="8787" t="s">
        <v>5301</v>
      </c>
      <c r="N47" s="8789" t="s">
        <v>5302</v>
      </c>
      <c r="O47" s="8787" t="s">
        <v>5303</v>
      </c>
      <c r="P47" s="8789" t="s">
        <v>5304</v>
      </c>
      <c r="Q47" s="8787" t="s">
        <v>5305</v>
      </c>
      <c r="R47" s="8789" t="s">
        <v>5306</v>
      </c>
      <c r="S47" s="8787" t="s">
        <v>5307</v>
      </c>
      <c r="T47" s="8789" t="s">
        <v>5308</v>
      </c>
      <c r="U47" s="8787" t="s">
        <v>5309</v>
      </c>
      <c r="V47" s="8789" t="s">
        <v>5310</v>
      </c>
      <c r="W47" s="8787" t="s">
        <v>5311</v>
      </c>
      <c r="X47" s="8789" t="s">
        <v>5312</v>
      </c>
      <c r="Y47" s="8787" t="s">
        <v>5313</v>
      </c>
      <c r="Z47" s="8789" t="s">
        <v>5314</v>
      </c>
      <c r="AA47" s="8787" t="s">
        <v>5315</v>
      </c>
      <c r="AB47" s="8789" t="s">
        <v>5316</v>
      </c>
      <c r="AC47" s="8787" t="s">
        <v>5317</v>
      </c>
      <c r="AD47" s="8789" t="s">
        <v>5318</v>
      </c>
      <c r="AE47" s="8787" t="s">
        <v>5319</v>
      </c>
      <c r="AF47" s="8789" t="s">
        <v>5320</v>
      </c>
      <c r="AG47" s="8787" t="s">
        <v>5321</v>
      </c>
      <c r="AH47" s="8789" t="s">
        <v>5322</v>
      </c>
      <c r="AI47" s="8787" t="s">
        <v>5323</v>
      </c>
      <c r="AJ47" s="8789" t="s">
        <v>5324</v>
      </c>
      <c r="AK47" s="8787" t="s">
        <v>5325</v>
      </c>
      <c r="AL47" s="8789" t="s">
        <v>5326</v>
      </c>
      <c r="AM47" s="8790" t="s">
        <v>5327</v>
      </c>
      <c r="AN47" s="8791" t="s">
        <v>5328</v>
      </c>
      <c r="AO47" s="8792" t="s">
        <v>5329</v>
      </c>
      <c r="AP47" s="8793" t="s">
        <v>5330</v>
      </c>
      <c r="AQ47" s="8788" t="s">
        <v>5331</v>
      </c>
      <c r="AR47" s="8785" t="s">
        <v>5332</v>
      </c>
      <c r="AS47" s="8785" t="s">
        <v>5333</v>
      </c>
      <c r="AT47" s="8785" t="s">
        <v>5334</v>
      </c>
      <c r="AU47" s="8785" t="s">
        <v>5335</v>
      </c>
      <c r="AV47" s="8785" t="s">
        <v>5336</v>
      </c>
      <c r="AW47" s="1687" t="str">
        <f t="shared" ref="AW47:AW76" si="15">$CB47&amp;$CC47&amp;CD47&amp;CE47&amp;CF47&amp;CG47&amp;CH47&amp;CI47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47" s="2784" t="str">
        <f t="shared" si="1"/>
        <v xml:space="preserve">* El Número de Espacios Amigables no puede superar el Total. </v>
      </c>
      <c r="CC47" s="2784" t="str">
        <f t="shared" si="2"/>
        <v xml:space="preserve">* El Número de TRANS Masculino no puede superar el Total Mujeres. </v>
      </c>
      <c r="CD47" s="2784" t="str">
        <f t="shared" si="3"/>
        <v xml:space="preserve">* El Número de TRANS Femenino no puede superar el Total Hombres. </v>
      </c>
      <c r="CE47" s="2784" t="str">
        <f t="shared" si="4"/>
        <v xml:space="preserve">* El Número de Pueblos Originarios no puede superar el Total. </v>
      </c>
      <c r="CF47" s="2784" t="str">
        <f t="shared" si="5"/>
        <v xml:space="preserve">* El Número de Migrantes no puede superar el Total. </v>
      </c>
      <c r="CG47" s="2919" t="str">
        <f t="shared" ref="CG47:CG76" si="16">IF(AND(SUM(K47:N47)&gt;0,AT47=""),"* No olvide digitar la variable 14-18 años. Si no tiene digite Cero.",IF(AT47&gt;SUM(K47:N47),"* La variable 14-18 años no puede ser mayor al total por grupo edad de 10 a 19 años. ",""))</f>
        <v xml:space="preserve">* La variable 14-18 años no puede ser mayor al total por grupo edad de 10 a 19 años. </v>
      </c>
      <c r="CH47" s="2784" t="str">
        <f t="shared" si="6"/>
        <v xml:space="preserve">* El Número de Niños, Niñas, Adolescentes y Jóvenes SENAME no puede superar el Total. </v>
      </c>
      <c r="CI47" s="2784" t="str">
        <f t="shared" si="7"/>
        <v xml:space="preserve">* El Número de Niños, Niñas, Adolescentes y Jóvenes Mejor Niñez no puede superar el Total. </v>
      </c>
      <c r="CJ47" s="2630"/>
      <c r="CK47" s="1725">
        <f t="shared" si="8"/>
        <v>1</v>
      </c>
      <c r="CL47" s="1725">
        <f t="shared" si="9"/>
        <v>1</v>
      </c>
      <c r="CM47" s="1725">
        <f t="shared" si="10"/>
        <v>1</v>
      </c>
      <c r="CN47" s="1725">
        <f t="shared" si="11"/>
        <v>1</v>
      </c>
      <c r="CO47" s="1725">
        <f t="shared" si="12"/>
        <v>1</v>
      </c>
      <c r="CP47" s="2920">
        <f t="shared" ref="CP47:CP76" si="17">IF(AND(SUM(K47:N47)&gt;0,AT47=""),1,IF(AT47&gt;SUM(K47:N47),1,0))</f>
        <v>1</v>
      </c>
      <c r="CQ47" s="1725">
        <f t="shared" si="13"/>
        <v>1</v>
      </c>
      <c r="CR47" s="1725">
        <f t="shared" si="14"/>
        <v>1</v>
      </c>
    </row>
    <row r="48" spans="1:96" x14ac:dyDescent="0.3">
      <c r="A48" s="6234">
        <v>19120603</v>
      </c>
      <c r="B48" s="6349"/>
      <c r="C48" s="3381" t="s">
        <v>77</v>
      </c>
      <c r="D48" s="3875" t="s">
        <v>5292</v>
      </c>
      <c r="E48" s="8786" t="s">
        <v>5293</v>
      </c>
      <c r="F48" s="6219" t="s">
        <v>5294</v>
      </c>
      <c r="G48" s="8811" t="s">
        <v>5295</v>
      </c>
      <c r="H48" s="8812" t="s">
        <v>5296</v>
      </c>
      <c r="I48" s="8811" t="s">
        <v>5297</v>
      </c>
      <c r="J48" s="8812" t="s">
        <v>5298</v>
      </c>
      <c r="K48" s="8787" t="s">
        <v>5299</v>
      </c>
      <c r="L48" s="8789" t="s">
        <v>5300</v>
      </c>
      <c r="M48" s="8787" t="s">
        <v>5301</v>
      </c>
      <c r="N48" s="8789" t="s">
        <v>5302</v>
      </c>
      <c r="O48" s="8787" t="s">
        <v>5303</v>
      </c>
      <c r="P48" s="8789" t="s">
        <v>5304</v>
      </c>
      <c r="Q48" s="8787" t="s">
        <v>5305</v>
      </c>
      <c r="R48" s="8789" t="s">
        <v>5306</v>
      </c>
      <c r="S48" s="8787" t="s">
        <v>5307</v>
      </c>
      <c r="T48" s="8789" t="s">
        <v>5308</v>
      </c>
      <c r="U48" s="8787" t="s">
        <v>5309</v>
      </c>
      <c r="V48" s="8789" t="s">
        <v>5310</v>
      </c>
      <c r="W48" s="8787" t="s">
        <v>5311</v>
      </c>
      <c r="X48" s="8789" t="s">
        <v>5312</v>
      </c>
      <c r="Y48" s="8787" t="s">
        <v>5313</v>
      </c>
      <c r="Z48" s="8789" t="s">
        <v>5314</v>
      </c>
      <c r="AA48" s="8787" t="s">
        <v>5315</v>
      </c>
      <c r="AB48" s="8789" t="s">
        <v>5316</v>
      </c>
      <c r="AC48" s="8787" t="s">
        <v>5317</v>
      </c>
      <c r="AD48" s="8789" t="s">
        <v>5318</v>
      </c>
      <c r="AE48" s="8787" t="s">
        <v>5319</v>
      </c>
      <c r="AF48" s="8789" t="s">
        <v>5320</v>
      </c>
      <c r="AG48" s="8787" t="s">
        <v>5321</v>
      </c>
      <c r="AH48" s="8789" t="s">
        <v>5322</v>
      </c>
      <c r="AI48" s="8787" t="s">
        <v>5323</v>
      </c>
      <c r="AJ48" s="8789" t="s">
        <v>5324</v>
      </c>
      <c r="AK48" s="8787" t="s">
        <v>5325</v>
      </c>
      <c r="AL48" s="8789" t="s">
        <v>5326</v>
      </c>
      <c r="AM48" s="8790" t="s">
        <v>5327</v>
      </c>
      <c r="AN48" s="8791" t="s">
        <v>5328</v>
      </c>
      <c r="AO48" s="8792" t="s">
        <v>5329</v>
      </c>
      <c r="AP48" s="8793" t="s">
        <v>5330</v>
      </c>
      <c r="AQ48" s="8788" t="s">
        <v>5331</v>
      </c>
      <c r="AR48" s="8785" t="s">
        <v>5332</v>
      </c>
      <c r="AS48" s="8785" t="s">
        <v>5333</v>
      </c>
      <c r="AT48" s="8785" t="s">
        <v>5334</v>
      </c>
      <c r="AU48" s="8785" t="s">
        <v>5335</v>
      </c>
      <c r="AV48" s="8785" t="s">
        <v>5336</v>
      </c>
      <c r="AW48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48" s="2784" t="str">
        <f t="shared" si="1"/>
        <v xml:space="preserve">* El Número de Espacios Amigables no puede superar el Total. </v>
      </c>
      <c r="CC48" s="2784" t="str">
        <f t="shared" si="2"/>
        <v xml:space="preserve">* El Número de TRANS Masculino no puede superar el Total Mujeres. </v>
      </c>
      <c r="CD48" s="2784" t="str">
        <f t="shared" si="3"/>
        <v xml:space="preserve">* El Número de TRANS Femenino no puede superar el Total Hombres. </v>
      </c>
      <c r="CE48" s="2784" t="str">
        <f t="shared" si="4"/>
        <v xml:space="preserve">* El Número de Pueblos Originarios no puede superar el Total. </v>
      </c>
      <c r="CF48" s="2784" t="str">
        <f t="shared" si="5"/>
        <v xml:space="preserve">* El Número de Migrantes no puede superar el Total. </v>
      </c>
      <c r="CG48" s="2919" t="str">
        <f t="shared" si="16"/>
        <v xml:space="preserve">* La variable 14-18 años no puede ser mayor al total por grupo edad de 10 a 19 años. </v>
      </c>
      <c r="CH48" s="2784" t="str">
        <f t="shared" si="6"/>
        <v xml:space="preserve">* El Número de Niños, Niñas, Adolescentes y Jóvenes SENAME no puede superar el Total. </v>
      </c>
      <c r="CI48" s="2784" t="str">
        <f t="shared" si="7"/>
        <v xml:space="preserve">* El Número de Niños, Niñas, Adolescentes y Jóvenes Mejor Niñez no puede superar el Total. </v>
      </c>
      <c r="CJ48" s="2630"/>
      <c r="CK48" s="1725">
        <f t="shared" si="8"/>
        <v>1</v>
      </c>
      <c r="CL48" s="1725">
        <f t="shared" si="9"/>
        <v>1</v>
      </c>
      <c r="CM48" s="1725">
        <f t="shared" si="10"/>
        <v>1</v>
      </c>
      <c r="CN48" s="1725">
        <f t="shared" si="11"/>
        <v>1</v>
      </c>
      <c r="CO48" s="1725">
        <f t="shared" si="12"/>
        <v>1</v>
      </c>
      <c r="CP48" s="2920">
        <f t="shared" si="17"/>
        <v>1</v>
      </c>
      <c r="CQ48" s="1725">
        <f t="shared" si="13"/>
        <v>1</v>
      </c>
      <c r="CR48" s="1725">
        <f t="shared" si="14"/>
        <v>1</v>
      </c>
    </row>
    <row r="49" spans="1:96" x14ac:dyDescent="0.3">
      <c r="A49" s="6234">
        <v>19120608</v>
      </c>
      <c r="B49" s="6349"/>
      <c r="C49" s="3381" t="s">
        <v>2835</v>
      </c>
      <c r="D49" s="3875" t="s">
        <v>5292</v>
      </c>
      <c r="E49" s="8786" t="s">
        <v>5293</v>
      </c>
      <c r="F49" s="6219" t="s">
        <v>5294</v>
      </c>
      <c r="G49" s="8811" t="s">
        <v>5295</v>
      </c>
      <c r="H49" s="8812" t="s">
        <v>5296</v>
      </c>
      <c r="I49" s="8811" t="s">
        <v>5297</v>
      </c>
      <c r="J49" s="8812" t="s">
        <v>5298</v>
      </c>
      <c r="K49" s="8787" t="s">
        <v>5299</v>
      </c>
      <c r="L49" s="8789" t="s">
        <v>5300</v>
      </c>
      <c r="M49" s="8787" t="s">
        <v>5301</v>
      </c>
      <c r="N49" s="8789" t="s">
        <v>5302</v>
      </c>
      <c r="O49" s="8787" t="s">
        <v>5303</v>
      </c>
      <c r="P49" s="8789" t="s">
        <v>5304</v>
      </c>
      <c r="Q49" s="8787" t="s">
        <v>5305</v>
      </c>
      <c r="R49" s="8789" t="s">
        <v>5306</v>
      </c>
      <c r="S49" s="8787" t="s">
        <v>5307</v>
      </c>
      <c r="T49" s="8789" t="s">
        <v>5308</v>
      </c>
      <c r="U49" s="8787" t="s">
        <v>5309</v>
      </c>
      <c r="V49" s="8789" t="s">
        <v>5310</v>
      </c>
      <c r="W49" s="8787" t="s">
        <v>5311</v>
      </c>
      <c r="X49" s="8789" t="s">
        <v>5312</v>
      </c>
      <c r="Y49" s="8787" t="s">
        <v>5313</v>
      </c>
      <c r="Z49" s="8789" t="s">
        <v>5314</v>
      </c>
      <c r="AA49" s="8787" t="s">
        <v>5315</v>
      </c>
      <c r="AB49" s="8789" t="s">
        <v>5316</v>
      </c>
      <c r="AC49" s="8787" t="s">
        <v>5317</v>
      </c>
      <c r="AD49" s="8789" t="s">
        <v>5318</v>
      </c>
      <c r="AE49" s="8787" t="s">
        <v>5319</v>
      </c>
      <c r="AF49" s="8789" t="s">
        <v>5320</v>
      </c>
      <c r="AG49" s="8787" t="s">
        <v>5321</v>
      </c>
      <c r="AH49" s="8789" t="s">
        <v>5322</v>
      </c>
      <c r="AI49" s="8787" t="s">
        <v>5323</v>
      </c>
      <c r="AJ49" s="8789" t="s">
        <v>5324</v>
      </c>
      <c r="AK49" s="8787" t="s">
        <v>5325</v>
      </c>
      <c r="AL49" s="8789" t="s">
        <v>5326</v>
      </c>
      <c r="AM49" s="8790" t="s">
        <v>5327</v>
      </c>
      <c r="AN49" s="8791" t="s">
        <v>5328</v>
      </c>
      <c r="AO49" s="8792" t="s">
        <v>5329</v>
      </c>
      <c r="AP49" s="8793" t="s">
        <v>5330</v>
      </c>
      <c r="AQ49" s="8788" t="s">
        <v>5331</v>
      </c>
      <c r="AR49" s="8785" t="s">
        <v>5332</v>
      </c>
      <c r="AS49" s="8785" t="s">
        <v>5333</v>
      </c>
      <c r="AT49" s="8785" t="s">
        <v>5334</v>
      </c>
      <c r="AU49" s="8785" t="s">
        <v>5335</v>
      </c>
      <c r="AV49" s="8785" t="s">
        <v>5336</v>
      </c>
      <c r="AW49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49" s="2784" t="str">
        <f t="shared" si="1"/>
        <v xml:space="preserve">* El Número de Espacios Amigables no puede superar el Total. </v>
      </c>
      <c r="CC49" s="2784" t="str">
        <f t="shared" si="2"/>
        <v xml:space="preserve">* El Número de TRANS Masculino no puede superar el Total Mujeres. </v>
      </c>
      <c r="CD49" s="2784" t="str">
        <f t="shared" si="3"/>
        <v xml:space="preserve">* El Número de TRANS Femenino no puede superar el Total Hombres. </v>
      </c>
      <c r="CE49" s="2784" t="str">
        <f t="shared" si="4"/>
        <v xml:space="preserve">* El Número de Pueblos Originarios no puede superar el Total. </v>
      </c>
      <c r="CF49" s="2784" t="str">
        <f t="shared" si="5"/>
        <v xml:space="preserve">* El Número de Migrantes no puede superar el Total. </v>
      </c>
      <c r="CG49" s="2919" t="str">
        <f t="shared" si="16"/>
        <v xml:space="preserve">* La variable 14-18 años no puede ser mayor al total por grupo edad de 10 a 19 años. </v>
      </c>
      <c r="CH49" s="2784" t="str">
        <f t="shared" si="6"/>
        <v xml:space="preserve">* El Número de Niños, Niñas, Adolescentes y Jóvenes SENAME no puede superar el Total. </v>
      </c>
      <c r="CI49" s="2784" t="str">
        <f t="shared" si="7"/>
        <v xml:space="preserve">* El Número de Niños, Niñas, Adolescentes y Jóvenes Mejor Niñez no puede superar el Total. </v>
      </c>
      <c r="CJ49" s="2630"/>
      <c r="CK49" s="1725">
        <f t="shared" si="8"/>
        <v>1</v>
      </c>
      <c r="CL49" s="1725">
        <f t="shared" si="9"/>
        <v>1</v>
      </c>
      <c r="CM49" s="1725">
        <f t="shared" si="10"/>
        <v>1</v>
      </c>
      <c r="CN49" s="1725">
        <f t="shared" si="11"/>
        <v>1</v>
      </c>
      <c r="CO49" s="1725">
        <f t="shared" si="12"/>
        <v>1</v>
      </c>
      <c r="CP49" s="2920">
        <f t="shared" si="17"/>
        <v>1</v>
      </c>
      <c r="CQ49" s="1725">
        <f t="shared" si="13"/>
        <v>1</v>
      </c>
      <c r="CR49" s="1725">
        <f t="shared" si="14"/>
        <v>1</v>
      </c>
    </row>
    <row r="50" spans="1:96" x14ac:dyDescent="0.3">
      <c r="A50" s="6234">
        <v>19120609</v>
      </c>
      <c r="B50" s="6349"/>
      <c r="C50" s="3046" t="s">
        <v>2837</v>
      </c>
      <c r="D50" s="8820" t="s">
        <v>5292</v>
      </c>
      <c r="E50" s="8786" t="s">
        <v>5293</v>
      </c>
      <c r="F50" s="8799" t="s">
        <v>5294</v>
      </c>
      <c r="G50" s="8811" t="s">
        <v>5295</v>
      </c>
      <c r="H50" s="8812" t="s">
        <v>5296</v>
      </c>
      <c r="I50" s="8811" t="s">
        <v>5297</v>
      </c>
      <c r="J50" s="8812" t="s">
        <v>5298</v>
      </c>
      <c r="K50" s="8713" t="s">
        <v>5299</v>
      </c>
      <c r="L50" s="8714" t="s">
        <v>5300</v>
      </c>
      <c r="M50" s="8713" t="s">
        <v>5301</v>
      </c>
      <c r="N50" s="8714" t="s">
        <v>5302</v>
      </c>
      <c r="O50" s="8713" t="s">
        <v>5303</v>
      </c>
      <c r="P50" s="8714" t="s">
        <v>5304</v>
      </c>
      <c r="Q50" s="8713" t="s">
        <v>5305</v>
      </c>
      <c r="R50" s="8714" t="s">
        <v>5306</v>
      </c>
      <c r="S50" s="8713" t="s">
        <v>5307</v>
      </c>
      <c r="T50" s="8714" t="s">
        <v>5308</v>
      </c>
      <c r="U50" s="8713" t="s">
        <v>5309</v>
      </c>
      <c r="V50" s="8714" t="s">
        <v>5310</v>
      </c>
      <c r="W50" s="8713" t="s">
        <v>5311</v>
      </c>
      <c r="X50" s="8714" t="s">
        <v>5312</v>
      </c>
      <c r="Y50" s="8713" t="s">
        <v>5313</v>
      </c>
      <c r="Z50" s="8714" t="s">
        <v>5314</v>
      </c>
      <c r="AA50" s="8713" t="s">
        <v>5315</v>
      </c>
      <c r="AB50" s="8714" t="s">
        <v>5316</v>
      </c>
      <c r="AC50" s="8713" t="s">
        <v>5317</v>
      </c>
      <c r="AD50" s="8714" t="s">
        <v>5318</v>
      </c>
      <c r="AE50" s="8713" t="s">
        <v>5319</v>
      </c>
      <c r="AF50" s="8714" t="s">
        <v>5320</v>
      </c>
      <c r="AG50" s="8713" t="s">
        <v>5321</v>
      </c>
      <c r="AH50" s="8714" t="s">
        <v>5322</v>
      </c>
      <c r="AI50" s="8713" t="s">
        <v>5323</v>
      </c>
      <c r="AJ50" s="8714" t="s">
        <v>5324</v>
      </c>
      <c r="AK50" s="8713" t="s">
        <v>5325</v>
      </c>
      <c r="AL50" s="8714" t="s">
        <v>5326</v>
      </c>
      <c r="AM50" s="8720" t="s">
        <v>5327</v>
      </c>
      <c r="AN50" s="8797" t="s">
        <v>5328</v>
      </c>
      <c r="AO50" s="8792" t="s">
        <v>5329</v>
      </c>
      <c r="AP50" s="8715" t="s">
        <v>5330</v>
      </c>
      <c r="AQ50" s="8719" t="s">
        <v>5331</v>
      </c>
      <c r="AR50" s="8718" t="s">
        <v>5332</v>
      </c>
      <c r="AS50" s="8718" t="s">
        <v>5333</v>
      </c>
      <c r="AT50" s="8718" t="s">
        <v>5334</v>
      </c>
      <c r="AU50" s="8718" t="s">
        <v>5335</v>
      </c>
      <c r="AV50" s="8718" t="s">
        <v>5336</v>
      </c>
      <c r="AW50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0" s="2784" t="str">
        <f t="shared" si="1"/>
        <v xml:space="preserve">* El Número de Espacios Amigables no puede superar el Total. </v>
      </c>
      <c r="CC50" s="2784" t="str">
        <f t="shared" si="2"/>
        <v xml:space="preserve">* El Número de TRANS Masculino no puede superar el Total Mujeres. </v>
      </c>
      <c r="CD50" s="2784" t="str">
        <f t="shared" si="3"/>
        <v xml:space="preserve">* El Número de TRANS Femenino no puede superar el Total Hombres. </v>
      </c>
      <c r="CE50" s="2784" t="str">
        <f t="shared" si="4"/>
        <v xml:space="preserve">* El Número de Pueblos Originarios no puede superar el Total. </v>
      </c>
      <c r="CF50" s="2784" t="str">
        <f t="shared" si="5"/>
        <v xml:space="preserve">* El Número de Migrantes no puede superar el Total. </v>
      </c>
      <c r="CG50" s="2919" t="str">
        <f t="shared" si="16"/>
        <v xml:space="preserve">* La variable 14-18 años no puede ser mayor al total por grupo edad de 10 a 19 años. </v>
      </c>
      <c r="CH50" s="2784" t="str">
        <f t="shared" si="6"/>
        <v xml:space="preserve">* El Número de Niños, Niñas, Adolescentes y Jóvenes SENAME no puede superar el Total. </v>
      </c>
      <c r="CI50" s="2784" t="str">
        <f t="shared" si="7"/>
        <v xml:space="preserve">* El Número de Niños, Niñas, Adolescentes y Jóvenes Mejor Niñez no puede superar el Total. </v>
      </c>
      <c r="CJ50" s="2630"/>
      <c r="CK50" s="1725">
        <f t="shared" si="8"/>
        <v>1</v>
      </c>
      <c r="CL50" s="1725">
        <f t="shared" si="9"/>
        <v>1</v>
      </c>
      <c r="CM50" s="1725">
        <f t="shared" si="10"/>
        <v>1</v>
      </c>
      <c r="CN50" s="1725">
        <f t="shared" si="11"/>
        <v>1</v>
      </c>
      <c r="CO50" s="1725">
        <f t="shared" si="12"/>
        <v>1</v>
      </c>
      <c r="CP50" s="2920">
        <f t="shared" si="17"/>
        <v>1</v>
      </c>
      <c r="CQ50" s="1725">
        <f t="shared" si="13"/>
        <v>1</v>
      </c>
      <c r="CR50" s="1725">
        <f t="shared" si="14"/>
        <v>1</v>
      </c>
    </row>
    <row r="51" spans="1:96" x14ac:dyDescent="0.3">
      <c r="A51" s="6234">
        <v>19120611</v>
      </c>
      <c r="B51" s="6350"/>
      <c r="C51" s="119" t="s">
        <v>2643</v>
      </c>
      <c r="D51" s="560" t="s">
        <v>5292</v>
      </c>
      <c r="E51" s="8661" t="s">
        <v>5293</v>
      </c>
      <c r="F51" s="6220" t="s">
        <v>5294</v>
      </c>
      <c r="G51" s="8815" t="s">
        <v>5295</v>
      </c>
      <c r="H51" s="8821" t="s">
        <v>5296</v>
      </c>
      <c r="I51" s="8815" t="s">
        <v>5297</v>
      </c>
      <c r="J51" s="8821" t="s">
        <v>5298</v>
      </c>
      <c r="K51" s="8655" t="s">
        <v>5299</v>
      </c>
      <c r="L51" s="8656" t="s">
        <v>5300</v>
      </c>
      <c r="M51" s="8655" t="s">
        <v>5301</v>
      </c>
      <c r="N51" s="8656" t="s">
        <v>5302</v>
      </c>
      <c r="O51" s="8655" t="s">
        <v>5303</v>
      </c>
      <c r="P51" s="8656" t="s">
        <v>5304</v>
      </c>
      <c r="Q51" s="8655" t="s">
        <v>5305</v>
      </c>
      <c r="R51" s="8656" t="s">
        <v>5306</v>
      </c>
      <c r="S51" s="8655" t="s">
        <v>5307</v>
      </c>
      <c r="T51" s="8656" t="s">
        <v>5308</v>
      </c>
      <c r="U51" s="8655" t="s">
        <v>5309</v>
      </c>
      <c r="V51" s="8656" t="s">
        <v>5310</v>
      </c>
      <c r="W51" s="8655" t="s">
        <v>5311</v>
      </c>
      <c r="X51" s="8656" t="s">
        <v>5312</v>
      </c>
      <c r="Y51" s="8655" t="s">
        <v>5313</v>
      </c>
      <c r="Z51" s="8656" t="s">
        <v>5314</v>
      </c>
      <c r="AA51" s="8655" t="s">
        <v>5315</v>
      </c>
      <c r="AB51" s="8656" t="s">
        <v>5316</v>
      </c>
      <c r="AC51" s="8655" t="s">
        <v>5317</v>
      </c>
      <c r="AD51" s="8656" t="s">
        <v>5318</v>
      </c>
      <c r="AE51" s="8655" t="s">
        <v>5319</v>
      </c>
      <c r="AF51" s="8656" t="s">
        <v>5320</v>
      </c>
      <c r="AG51" s="8655" t="s">
        <v>5321</v>
      </c>
      <c r="AH51" s="8656" t="s">
        <v>5322</v>
      </c>
      <c r="AI51" s="8655" t="s">
        <v>5323</v>
      </c>
      <c r="AJ51" s="8656" t="s">
        <v>5324</v>
      </c>
      <c r="AK51" s="8655" t="s">
        <v>5325</v>
      </c>
      <c r="AL51" s="8656" t="s">
        <v>5326</v>
      </c>
      <c r="AM51" s="8729" t="s">
        <v>5327</v>
      </c>
      <c r="AN51" s="8663" t="s">
        <v>5328</v>
      </c>
      <c r="AO51" s="8805" t="s">
        <v>5329</v>
      </c>
      <c r="AP51" s="8724" t="s">
        <v>5330</v>
      </c>
      <c r="AQ51" s="8728" t="s">
        <v>5331</v>
      </c>
      <c r="AR51" s="8727" t="s">
        <v>5332</v>
      </c>
      <c r="AS51" s="8727" t="s">
        <v>5333</v>
      </c>
      <c r="AT51" s="8727" t="s">
        <v>5334</v>
      </c>
      <c r="AU51" s="8727" t="s">
        <v>5335</v>
      </c>
      <c r="AV51" s="8727" t="s">
        <v>5336</v>
      </c>
      <c r="AW51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1" s="2784" t="str">
        <f t="shared" si="1"/>
        <v xml:space="preserve">* El Número de Espacios Amigables no puede superar el Total. </v>
      </c>
      <c r="CC51" s="2784" t="str">
        <f t="shared" si="2"/>
        <v xml:space="preserve">* El Número de TRANS Masculino no puede superar el Total Mujeres. </v>
      </c>
      <c r="CD51" s="2784" t="str">
        <f t="shared" si="3"/>
        <v xml:space="preserve">* El Número de TRANS Femenino no puede superar el Total Hombres. </v>
      </c>
      <c r="CE51" s="2784" t="str">
        <f t="shared" si="4"/>
        <v xml:space="preserve">* El Número de Pueblos Originarios no puede superar el Total. </v>
      </c>
      <c r="CF51" s="2784" t="str">
        <f t="shared" si="5"/>
        <v xml:space="preserve">* El Número de Migrantes no puede superar el Total. </v>
      </c>
      <c r="CG51" s="2919" t="str">
        <f t="shared" si="16"/>
        <v xml:space="preserve">* La variable 14-18 años no puede ser mayor al total por grupo edad de 10 a 19 años. </v>
      </c>
      <c r="CH51" s="2784" t="str">
        <f t="shared" si="6"/>
        <v xml:space="preserve">* El Número de Niños, Niñas, Adolescentes y Jóvenes SENAME no puede superar el Total. </v>
      </c>
      <c r="CI51" s="2784" t="str">
        <f t="shared" si="7"/>
        <v xml:space="preserve">* El Número de Niños, Niñas, Adolescentes y Jóvenes Mejor Niñez no puede superar el Total. </v>
      </c>
      <c r="CJ51" s="2630"/>
      <c r="CK51" s="1725">
        <f t="shared" si="8"/>
        <v>1</v>
      </c>
      <c r="CL51" s="1725">
        <f t="shared" si="9"/>
        <v>1</v>
      </c>
      <c r="CM51" s="1725">
        <f t="shared" si="10"/>
        <v>1</v>
      </c>
      <c r="CN51" s="1725">
        <f t="shared" si="11"/>
        <v>1</v>
      </c>
      <c r="CO51" s="1725">
        <f t="shared" si="12"/>
        <v>1</v>
      </c>
      <c r="CP51" s="2920">
        <f t="shared" si="17"/>
        <v>1</v>
      </c>
      <c r="CQ51" s="1725">
        <f t="shared" si="13"/>
        <v>1</v>
      </c>
      <c r="CR51" s="1725">
        <f t="shared" si="14"/>
        <v>1</v>
      </c>
    </row>
    <row r="52" spans="1:96" x14ac:dyDescent="0.3">
      <c r="A52" s="6234">
        <v>19182010</v>
      </c>
      <c r="B52" s="6367" t="s">
        <v>2840</v>
      </c>
      <c r="C52" s="3378" t="s">
        <v>74</v>
      </c>
      <c r="D52" s="8774" t="s">
        <v>5292</v>
      </c>
      <c r="E52" s="8775" t="s">
        <v>5293</v>
      </c>
      <c r="F52" s="6218" t="s">
        <v>5294</v>
      </c>
      <c r="G52" s="8808" t="s">
        <v>5295</v>
      </c>
      <c r="H52" s="8809" t="s">
        <v>5296</v>
      </c>
      <c r="I52" s="8808" t="s">
        <v>5297</v>
      </c>
      <c r="J52" s="8809" t="s">
        <v>5298</v>
      </c>
      <c r="K52" s="8776" t="s">
        <v>5299</v>
      </c>
      <c r="L52" s="8778" t="s">
        <v>5300</v>
      </c>
      <c r="M52" s="8776" t="s">
        <v>5301</v>
      </c>
      <c r="N52" s="8778" t="s">
        <v>5302</v>
      </c>
      <c r="O52" s="8776" t="s">
        <v>5303</v>
      </c>
      <c r="P52" s="8778" t="s">
        <v>5304</v>
      </c>
      <c r="Q52" s="8776" t="s">
        <v>5305</v>
      </c>
      <c r="R52" s="8778" t="s">
        <v>5306</v>
      </c>
      <c r="S52" s="8776" t="s">
        <v>5307</v>
      </c>
      <c r="T52" s="8778" t="s">
        <v>5308</v>
      </c>
      <c r="U52" s="8776" t="s">
        <v>5309</v>
      </c>
      <c r="V52" s="8778" t="s">
        <v>5310</v>
      </c>
      <c r="W52" s="8776" t="s">
        <v>5311</v>
      </c>
      <c r="X52" s="8778" t="s">
        <v>5312</v>
      </c>
      <c r="Y52" s="8776" t="s">
        <v>5313</v>
      </c>
      <c r="Z52" s="8778" t="s">
        <v>5314</v>
      </c>
      <c r="AA52" s="8776" t="s">
        <v>5315</v>
      </c>
      <c r="AB52" s="8778" t="s">
        <v>5316</v>
      </c>
      <c r="AC52" s="8787" t="s">
        <v>5317</v>
      </c>
      <c r="AD52" s="8789" t="s">
        <v>5318</v>
      </c>
      <c r="AE52" s="8822" t="s">
        <v>5319</v>
      </c>
      <c r="AF52" s="8823" t="s">
        <v>5320</v>
      </c>
      <c r="AG52" s="8824" t="s">
        <v>5321</v>
      </c>
      <c r="AH52" s="8825" t="s">
        <v>5322</v>
      </c>
      <c r="AI52" s="8824" t="s">
        <v>5323</v>
      </c>
      <c r="AJ52" s="8825" t="s">
        <v>5324</v>
      </c>
      <c r="AK52" s="8824" t="s">
        <v>5325</v>
      </c>
      <c r="AL52" s="8825" t="s">
        <v>5326</v>
      </c>
      <c r="AM52" s="8826" t="s">
        <v>5327</v>
      </c>
      <c r="AN52" s="8827" t="s">
        <v>5328</v>
      </c>
      <c r="AO52" s="8738" t="s">
        <v>5329</v>
      </c>
      <c r="AP52" s="8828" t="s">
        <v>5330</v>
      </c>
      <c r="AQ52" s="8782" t="s">
        <v>5331</v>
      </c>
      <c r="AR52" s="8783" t="s">
        <v>5332</v>
      </c>
      <c r="AS52" s="8783" t="s">
        <v>5333</v>
      </c>
      <c r="AT52" s="8783" t="s">
        <v>5334</v>
      </c>
      <c r="AU52" s="8783" t="s">
        <v>5335</v>
      </c>
      <c r="AV52" s="8783" t="s">
        <v>5336</v>
      </c>
      <c r="AW52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2" s="2784" t="str">
        <f t="shared" si="1"/>
        <v xml:space="preserve">* El Número de Espacios Amigables no puede superar el Total. </v>
      </c>
      <c r="CC52" s="2784" t="str">
        <f t="shared" si="2"/>
        <v xml:space="preserve">* El Número de TRANS Masculino no puede superar el Total Mujeres. </v>
      </c>
      <c r="CD52" s="2784" t="str">
        <f t="shared" si="3"/>
        <v xml:space="preserve">* El Número de TRANS Femenino no puede superar el Total Hombres. </v>
      </c>
      <c r="CE52" s="2784" t="str">
        <f t="shared" si="4"/>
        <v xml:space="preserve">* El Número de Pueblos Originarios no puede superar el Total. </v>
      </c>
      <c r="CF52" s="2784" t="str">
        <f t="shared" si="5"/>
        <v xml:space="preserve">* El Número de Migrantes no puede superar el Total. </v>
      </c>
      <c r="CG52" s="2919" t="str">
        <f t="shared" si="16"/>
        <v xml:space="preserve">* La variable 14-18 años no puede ser mayor al total por grupo edad de 10 a 19 años. </v>
      </c>
      <c r="CH52" s="2784" t="str">
        <f t="shared" si="6"/>
        <v xml:space="preserve">* El Número de Niños, Niñas, Adolescentes y Jóvenes SENAME no puede superar el Total. </v>
      </c>
      <c r="CI52" s="2784" t="str">
        <f t="shared" si="7"/>
        <v xml:space="preserve">* El Número de Niños, Niñas, Adolescentes y Jóvenes Mejor Niñez no puede superar el Total. </v>
      </c>
      <c r="CJ52" s="2630"/>
      <c r="CK52" s="1725">
        <f t="shared" si="8"/>
        <v>1</v>
      </c>
      <c r="CL52" s="1725">
        <f t="shared" si="9"/>
        <v>1</v>
      </c>
      <c r="CM52" s="1725">
        <f t="shared" si="10"/>
        <v>1</v>
      </c>
      <c r="CN52" s="1725">
        <f t="shared" si="11"/>
        <v>1</v>
      </c>
      <c r="CO52" s="1725">
        <f t="shared" si="12"/>
        <v>1</v>
      </c>
      <c r="CP52" s="2920">
        <f t="shared" si="17"/>
        <v>1</v>
      </c>
      <c r="CQ52" s="1725">
        <f t="shared" si="13"/>
        <v>1</v>
      </c>
      <c r="CR52" s="1725">
        <f t="shared" si="14"/>
        <v>1</v>
      </c>
    </row>
    <row r="53" spans="1:96" x14ac:dyDescent="0.3">
      <c r="A53" s="6234">
        <v>19182020</v>
      </c>
      <c r="B53" s="6349"/>
      <c r="C53" s="3381" t="s">
        <v>77</v>
      </c>
      <c r="D53" s="3875" t="s">
        <v>5292</v>
      </c>
      <c r="E53" s="8786" t="s">
        <v>5293</v>
      </c>
      <c r="F53" s="6219" t="s">
        <v>5294</v>
      </c>
      <c r="G53" s="8811" t="s">
        <v>5295</v>
      </c>
      <c r="H53" s="8812" t="s">
        <v>5296</v>
      </c>
      <c r="I53" s="8811" t="s">
        <v>5297</v>
      </c>
      <c r="J53" s="8812" t="s">
        <v>5298</v>
      </c>
      <c r="K53" s="8787" t="s">
        <v>5299</v>
      </c>
      <c r="L53" s="8789" t="s">
        <v>5300</v>
      </c>
      <c r="M53" s="8787" t="s">
        <v>5301</v>
      </c>
      <c r="N53" s="8789" t="s">
        <v>5302</v>
      </c>
      <c r="O53" s="8787" t="s">
        <v>5303</v>
      </c>
      <c r="P53" s="8789" t="s">
        <v>5304</v>
      </c>
      <c r="Q53" s="8787" t="s">
        <v>5305</v>
      </c>
      <c r="R53" s="8789" t="s">
        <v>5306</v>
      </c>
      <c r="S53" s="8787" t="s">
        <v>5307</v>
      </c>
      <c r="T53" s="8789" t="s">
        <v>5308</v>
      </c>
      <c r="U53" s="8787" t="s">
        <v>5309</v>
      </c>
      <c r="V53" s="8789" t="s">
        <v>5310</v>
      </c>
      <c r="W53" s="8787" t="s">
        <v>5311</v>
      </c>
      <c r="X53" s="8789" t="s">
        <v>5312</v>
      </c>
      <c r="Y53" s="8787" t="s">
        <v>5313</v>
      </c>
      <c r="Z53" s="8789" t="s">
        <v>5314</v>
      </c>
      <c r="AA53" s="8787" t="s">
        <v>5315</v>
      </c>
      <c r="AB53" s="8789" t="s">
        <v>5316</v>
      </c>
      <c r="AC53" s="8787" t="s">
        <v>5317</v>
      </c>
      <c r="AD53" s="8789" t="s">
        <v>5318</v>
      </c>
      <c r="AE53" s="8822" t="s">
        <v>5319</v>
      </c>
      <c r="AF53" s="8823" t="s">
        <v>5320</v>
      </c>
      <c r="AG53" s="8829" t="s">
        <v>5321</v>
      </c>
      <c r="AH53" s="8813" t="s">
        <v>5322</v>
      </c>
      <c r="AI53" s="8829" t="s">
        <v>5323</v>
      </c>
      <c r="AJ53" s="8813" t="s">
        <v>5324</v>
      </c>
      <c r="AK53" s="8829" t="s">
        <v>5325</v>
      </c>
      <c r="AL53" s="8813" t="s">
        <v>5326</v>
      </c>
      <c r="AM53" s="8830" t="s">
        <v>5327</v>
      </c>
      <c r="AN53" s="8831" t="s">
        <v>5328</v>
      </c>
      <c r="AO53" s="8792" t="s">
        <v>5329</v>
      </c>
      <c r="AP53" s="8793" t="s">
        <v>5330</v>
      </c>
      <c r="AQ53" s="8788" t="s">
        <v>5331</v>
      </c>
      <c r="AR53" s="8785" t="s">
        <v>5332</v>
      </c>
      <c r="AS53" s="8785" t="s">
        <v>5333</v>
      </c>
      <c r="AT53" s="8785" t="s">
        <v>5334</v>
      </c>
      <c r="AU53" s="8785" t="s">
        <v>5335</v>
      </c>
      <c r="AV53" s="8785" t="s">
        <v>5336</v>
      </c>
      <c r="AW53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3" s="2784" t="str">
        <f t="shared" si="1"/>
        <v xml:space="preserve">* El Número de Espacios Amigables no puede superar el Total. </v>
      </c>
      <c r="CC53" s="2784" t="str">
        <f t="shared" si="2"/>
        <v xml:space="preserve">* El Número de TRANS Masculino no puede superar el Total Mujeres. </v>
      </c>
      <c r="CD53" s="2784" t="str">
        <f t="shared" si="3"/>
        <v xml:space="preserve">* El Número de TRANS Femenino no puede superar el Total Hombres. </v>
      </c>
      <c r="CE53" s="2784" t="str">
        <f t="shared" si="4"/>
        <v xml:space="preserve">* El Número de Pueblos Originarios no puede superar el Total. </v>
      </c>
      <c r="CF53" s="2784" t="str">
        <f t="shared" si="5"/>
        <v xml:space="preserve">* El Número de Migrantes no puede superar el Total. </v>
      </c>
      <c r="CG53" s="2919" t="str">
        <f t="shared" si="16"/>
        <v xml:space="preserve">* La variable 14-18 años no puede ser mayor al total por grupo edad de 10 a 19 años. </v>
      </c>
      <c r="CH53" s="2784" t="str">
        <f t="shared" si="6"/>
        <v xml:space="preserve">* El Número de Niños, Niñas, Adolescentes y Jóvenes SENAME no puede superar el Total. </v>
      </c>
      <c r="CI53" s="2784" t="str">
        <f t="shared" si="7"/>
        <v xml:space="preserve">* El Número de Niños, Niñas, Adolescentes y Jóvenes Mejor Niñez no puede superar el Total. </v>
      </c>
      <c r="CJ53" s="2630"/>
      <c r="CK53" s="1725">
        <f t="shared" si="8"/>
        <v>1</v>
      </c>
      <c r="CL53" s="1725">
        <f t="shared" si="9"/>
        <v>1</v>
      </c>
      <c r="CM53" s="1725">
        <f t="shared" si="10"/>
        <v>1</v>
      </c>
      <c r="CN53" s="1725">
        <f t="shared" si="11"/>
        <v>1</v>
      </c>
      <c r="CO53" s="1725">
        <f t="shared" si="12"/>
        <v>1</v>
      </c>
      <c r="CP53" s="2920">
        <f t="shared" si="17"/>
        <v>1</v>
      </c>
      <c r="CQ53" s="1725">
        <f t="shared" si="13"/>
        <v>1</v>
      </c>
      <c r="CR53" s="1725">
        <f t="shared" si="14"/>
        <v>1</v>
      </c>
    </row>
    <row r="54" spans="1:96" x14ac:dyDescent="0.3">
      <c r="A54" s="6234">
        <v>19182021</v>
      </c>
      <c r="B54" s="6349"/>
      <c r="C54" s="112" t="s">
        <v>2837</v>
      </c>
      <c r="D54" s="3875" t="s">
        <v>5292</v>
      </c>
      <c r="E54" s="8786" t="s">
        <v>5293</v>
      </c>
      <c r="F54" s="8799" t="s">
        <v>5294</v>
      </c>
      <c r="G54" s="8811" t="s">
        <v>5295</v>
      </c>
      <c r="H54" s="8812" t="s">
        <v>5296</v>
      </c>
      <c r="I54" s="8811" t="s">
        <v>5297</v>
      </c>
      <c r="J54" s="8812" t="s">
        <v>5298</v>
      </c>
      <c r="K54" s="8713" t="s">
        <v>5299</v>
      </c>
      <c r="L54" s="8714" t="s">
        <v>5300</v>
      </c>
      <c r="M54" s="8713" t="s">
        <v>5301</v>
      </c>
      <c r="N54" s="8714" t="s">
        <v>5302</v>
      </c>
      <c r="O54" s="8713" t="s">
        <v>5303</v>
      </c>
      <c r="P54" s="8714" t="s">
        <v>5304</v>
      </c>
      <c r="Q54" s="8713" t="s">
        <v>5305</v>
      </c>
      <c r="R54" s="8714" t="s">
        <v>5306</v>
      </c>
      <c r="S54" s="8713" t="s">
        <v>5307</v>
      </c>
      <c r="T54" s="8714" t="s">
        <v>5308</v>
      </c>
      <c r="U54" s="8713" t="s">
        <v>5309</v>
      </c>
      <c r="V54" s="8714" t="s">
        <v>5310</v>
      </c>
      <c r="W54" s="8713" t="s">
        <v>5311</v>
      </c>
      <c r="X54" s="8714" t="s">
        <v>5312</v>
      </c>
      <c r="Y54" s="8713" t="s">
        <v>5313</v>
      </c>
      <c r="Z54" s="8714" t="s">
        <v>5314</v>
      </c>
      <c r="AA54" s="8713" t="s">
        <v>5315</v>
      </c>
      <c r="AB54" s="8714" t="s">
        <v>5316</v>
      </c>
      <c r="AC54" s="8787" t="s">
        <v>5317</v>
      </c>
      <c r="AD54" s="8789" t="s">
        <v>5318</v>
      </c>
      <c r="AE54" s="8822" t="s">
        <v>5319</v>
      </c>
      <c r="AF54" s="8823" t="s">
        <v>5320</v>
      </c>
      <c r="AG54" s="8811" t="s">
        <v>5321</v>
      </c>
      <c r="AH54" s="8832" t="s">
        <v>5322</v>
      </c>
      <c r="AI54" s="8811" t="s">
        <v>5323</v>
      </c>
      <c r="AJ54" s="8832" t="s">
        <v>5324</v>
      </c>
      <c r="AK54" s="8811" t="s">
        <v>5325</v>
      </c>
      <c r="AL54" s="8832" t="s">
        <v>5326</v>
      </c>
      <c r="AM54" s="8833" t="s">
        <v>5327</v>
      </c>
      <c r="AN54" s="8834" t="s">
        <v>5328</v>
      </c>
      <c r="AO54" s="8792" t="s">
        <v>5329</v>
      </c>
      <c r="AP54" s="8715" t="s">
        <v>5330</v>
      </c>
      <c r="AQ54" s="8719" t="s">
        <v>5331</v>
      </c>
      <c r="AR54" s="8718" t="s">
        <v>5332</v>
      </c>
      <c r="AS54" s="8718" t="s">
        <v>5333</v>
      </c>
      <c r="AT54" s="8718" t="s">
        <v>5334</v>
      </c>
      <c r="AU54" s="8718" t="s">
        <v>5335</v>
      </c>
      <c r="AV54" s="8718" t="s">
        <v>5336</v>
      </c>
      <c r="AW54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4" s="2784" t="str">
        <f t="shared" si="1"/>
        <v xml:space="preserve">* El Número de Espacios Amigables no puede superar el Total. </v>
      </c>
      <c r="CC54" s="2784" t="str">
        <f t="shared" si="2"/>
        <v xml:space="preserve">* El Número de TRANS Masculino no puede superar el Total Mujeres. </v>
      </c>
      <c r="CD54" s="2784" t="str">
        <f t="shared" si="3"/>
        <v xml:space="preserve">* El Número de TRANS Femenino no puede superar el Total Hombres. </v>
      </c>
      <c r="CE54" s="2784" t="str">
        <f t="shared" si="4"/>
        <v xml:space="preserve">* El Número de Pueblos Originarios no puede superar el Total. </v>
      </c>
      <c r="CF54" s="2784" t="str">
        <f t="shared" si="5"/>
        <v xml:space="preserve">* El Número de Migrantes no puede superar el Total. </v>
      </c>
      <c r="CG54" s="2919" t="str">
        <f t="shared" si="16"/>
        <v xml:space="preserve">* La variable 14-18 años no puede ser mayor al total por grupo edad de 10 a 19 años. </v>
      </c>
      <c r="CH54" s="2784" t="str">
        <f t="shared" si="6"/>
        <v xml:space="preserve">* El Número de Niños, Niñas, Adolescentes y Jóvenes SENAME no puede superar el Total. </v>
      </c>
      <c r="CI54" s="2784" t="str">
        <f t="shared" si="7"/>
        <v xml:space="preserve">* El Número de Niños, Niñas, Adolescentes y Jóvenes Mejor Niñez no puede superar el Total. </v>
      </c>
      <c r="CJ54" s="2630"/>
      <c r="CK54" s="1725">
        <f t="shared" si="8"/>
        <v>1</v>
      </c>
      <c r="CL54" s="1725">
        <f t="shared" si="9"/>
        <v>1</v>
      </c>
      <c r="CM54" s="1725">
        <f t="shared" si="10"/>
        <v>1</v>
      </c>
      <c r="CN54" s="1725">
        <f t="shared" si="11"/>
        <v>1</v>
      </c>
      <c r="CO54" s="1725">
        <f t="shared" si="12"/>
        <v>1</v>
      </c>
      <c r="CP54" s="2920">
        <f t="shared" si="17"/>
        <v>1</v>
      </c>
      <c r="CQ54" s="1725">
        <f t="shared" si="13"/>
        <v>1</v>
      </c>
      <c r="CR54" s="1725">
        <f t="shared" si="14"/>
        <v>1</v>
      </c>
    </row>
    <row r="55" spans="1:96" x14ac:dyDescent="0.3">
      <c r="A55" s="6234">
        <v>19182030</v>
      </c>
      <c r="B55" s="6350"/>
      <c r="C55" s="119" t="s">
        <v>2643</v>
      </c>
      <c r="D55" s="560" t="s">
        <v>5292</v>
      </c>
      <c r="E55" s="8661" t="s">
        <v>5293</v>
      </c>
      <c r="F55" s="6220" t="s">
        <v>5294</v>
      </c>
      <c r="G55" s="8815" t="s">
        <v>5295</v>
      </c>
      <c r="H55" s="8821" t="s">
        <v>5296</v>
      </c>
      <c r="I55" s="8815" t="s">
        <v>5297</v>
      </c>
      <c r="J55" s="8821" t="s">
        <v>5298</v>
      </c>
      <c r="K55" s="8655" t="s">
        <v>5299</v>
      </c>
      <c r="L55" s="8656" t="s">
        <v>5300</v>
      </c>
      <c r="M55" s="8655" t="s">
        <v>5301</v>
      </c>
      <c r="N55" s="8656" t="s">
        <v>5302</v>
      </c>
      <c r="O55" s="8655" t="s">
        <v>5303</v>
      </c>
      <c r="P55" s="8656" t="s">
        <v>5304</v>
      </c>
      <c r="Q55" s="8655" t="s">
        <v>5305</v>
      </c>
      <c r="R55" s="8656" t="s">
        <v>5306</v>
      </c>
      <c r="S55" s="8655" t="s">
        <v>5307</v>
      </c>
      <c r="T55" s="8656" t="s">
        <v>5308</v>
      </c>
      <c r="U55" s="8655" t="s">
        <v>5309</v>
      </c>
      <c r="V55" s="8656" t="s">
        <v>5310</v>
      </c>
      <c r="W55" s="8655" t="s">
        <v>5311</v>
      </c>
      <c r="X55" s="8656" t="s">
        <v>5312</v>
      </c>
      <c r="Y55" s="8655" t="s">
        <v>5313</v>
      </c>
      <c r="Z55" s="8656" t="s">
        <v>5314</v>
      </c>
      <c r="AA55" s="8655" t="s">
        <v>5315</v>
      </c>
      <c r="AB55" s="8656" t="s">
        <v>5316</v>
      </c>
      <c r="AC55" s="8787" t="s">
        <v>5317</v>
      </c>
      <c r="AD55" s="8789" t="s">
        <v>5318</v>
      </c>
      <c r="AE55" s="8822" t="s">
        <v>5319</v>
      </c>
      <c r="AF55" s="8823" t="s">
        <v>5320</v>
      </c>
      <c r="AG55" s="8815" t="s">
        <v>5321</v>
      </c>
      <c r="AH55" s="8835" t="s">
        <v>5322</v>
      </c>
      <c r="AI55" s="8815" t="s">
        <v>5323</v>
      </c>
      <c r="AJ55" s="8835" t="s">
        <v>5324</v>
      </c>
      <c r="AK55" s="8815" t="s">
        <v>5325</v>
      </c>
      <c r="AL55" s="8835" t="s">
        <v>5326</v>
      </c>
      <c r="AM55" s="8836" t="s">
        <v>5327</v>
      </c>
      <c r="AN55" s="8837" t="s">
        <v>5328</v>
      </c>
      <c r="AO55" s="8805" t="s">
        <v>5329</v>
      </c>
      <c r="AP55" s="8724" t="s">
        <v>5330</v>
      </c>
      <c r="AQ55" s="8728" t="s">
        <v>5331</v>
      </c>
      <c r="AR55" s="8727" t="s">
        <v>5332</v>
      </c>
      <c r="AS55" s="8727" t="s">
        <v>5333</v>
      </c>
      <c r="AT55" s="8727" t="s">
        <v>5334</v>
      </c>
      <c r="AU55" s="8727" t="s">
        <v>5335</v>
      </c>
      <c r="AV55" s="8727" t="s">
        <v>5336</v>
      </c>
      <c r="AW55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5" s="2784" t="str">
        <f t="shared" si="1"/>
        <v xml:space="preserve">* El Número de Espacios Amigables no puede superar el Total. </v>
      </c>
      <c r="CC55" s="2784" t="str">
        <f t="shared" si="2"/>
        <v xml:space="preserve">* El Número de TRANS Masculino no puede superar el Total Mujeres. </v>
      </c>
      <c r="CD55" s="2784" t="str">
        <f t="shared" si="3"/>
        <v xml:space="preserve">* El Número de TRANS Femenino no puede superar el Total Hombres. </v>
      </c>
      <c r="CE55" s="2784" t="str">
        <f t="shared" si="4"/>
        <v xml:space="preserve">* El Número de Pueblos Originarios no puede superar el Total. </v>
      </c>
      <c r="CF55" s="2784" t="str">
        <f t="shared" si="5"/>
        <v xml:space="preserve">* El Número de Migrantes no puede superar el Total. </v>
      </c>
      <c r="CG55" s="2919" t="str">
        <f t="shared" si="16"/>
        <v xml:space="preserve">* La variable 14-18 años no puede ser mayor al total por grupo edad de 10 a 19 años. </v>
      </c>
      <c r="CH55" s="2784" t="str">
        <f t="shared" si="6"/>
        <v xml:space="preserve">* El Número de Niños, Niñas, Adolescentes y Jóvenes SENAME no puede superar el Total. </v>
      </c>
      <c r="CI55" s="2784" t="str">
        <f t="shared" si="7"/>
        <v xml:space="preserve">* El Número de Niños, Niñas, Adolescentes y Jóvenes Mejor Niñez no puede superar el Total. </v>
      </c>
      <c r="CJ55" s="2630"/>
      <c r="CK55" s="1725">
        <f t="shared" si="8"/>
        <v>1</v>
      </c>
      <c r="CL55" s="1725">
        <f t="shared" si="9"/>
        <v>1</v>
      </c>
      <c r="CM55" s="1725">
        <f t="shared" si="10"/>
        <v>1</v>
      </c>
      <c r="CN55" s="1725">
        <f t="shared" si="11"/>
        <v>1</v>
      </c>
      <c r="CO55" s="1725">
        <f t="shared" si="12"/>
        <v>1</v>
      </c>
      <c r="CP55" s="2920">
        <f t="shared" si="17"/>
        <v>1</v>
      </c>
      <c r="CQ55" s="1725">
        <f t="shared" si="13"/>
        <v>1</v>
      </c>
      <c r="CR55" s="1725">
        <f t="shared" si="14"/>
        <v>1</v>
      </c>
    </row>
    <row r="56" spans="1:96" x14ac:dyDescent="0.3">
      <c r="A56" s="6234">
        <v>19120701</v>
      </c>
      <c r="B56" s="6367" t="s">
        <v>2841</v>
      </c>
      <c r="C56" s="3378" t="s">
        <v>74</v>
      </c>
      <c r="D56" s="8774" t="s">
        <v>5292</v>
      </c>
      <c r="E56" s="8775" t="s">
        <v>5293</v>
      </c>
      <c r="F56" s="6218" t="s">
        <v>5294</v>
      </c>
      <c r="G56" s="8808" t="s">
        <v>5295</v>
      </c>
      <c r="H56" s="8809" t="s">
        <v>5296</v>
      </c>
      <c r="I56" s="8808" t="s">
        <v>5297</v>
      </c>
      <c r="J56" s="8809" t="s">
        <v>5298</v>
      </c>
      <c r="K56" s="8776" t="s">
        <v>5299</v>
      </c>
      <c r="L56" s="8778" t="s">
        <v>5300</v>
      </c>
      <c r="M56" s="8776" t="s">
        <v>5301</v>
      </c>
      <c r="N56" s="8778" t="s">
        <v>5302</v>
      </c>
      <c r="O56" s="8776" t="s">
        <v>5303</v>
      </c>
      <c r="P56" s="8778" t="s">
        <v>5304</v>
      </c>
      <c r="Q56" s="8776" t="s">
        <v>5305</v>
      </c>
      <c r="R56" s="8778" t="s">
        <v>5306</v>
      </c>
      <c r="S56" s="8776" t="s">
        <v>5307</v>
      </c>
      <c r="T56" s="8778" t="s">
        <v>5308</v>
      </c>
      <c r="U56" s="8776" t="s">
        <v>5309</v>
      </c>
      <c r="V56" s="8778" t="s">
        <v>5310</v>
      </c>
      <c r="W56" s="8776" t="s">
        <v>5311</v>
      </c>
      <c r="X56" s="8778" t="s">
        <v>5312</v>
      </c>
      <c r="Y56" s="8776" t="s">
        <v>5313</v>
      </c>
      <c r="Z56" s="8778" t="s">
        <v>5314</v>
      </c>
      <c r="AA56" s="8776" t="s">
        <v>5315</v>
      </c>
      <c r="AB56" s="8778" t="s">
        <v>5316</v>
      </c>
      <c r="AC56" s="8776" t="s">
        <v>5317</v>
      </c>
      <c r="AD56" s="8778" t="s">
        <v>5318</v>
      </c>
      <c r="AE56" s="8776" t="s">
        <v>5319</v>
      </c>
      <c r="AF56" s="8778" t="s">
        <v>5320</v>
      </c>
      <c r="AG56" s="8776" t="s">
        <v>5321</v>
      </c>
      <c r="AH56" s="8778" t="s">
        <v>5322</v>
      </c>
      <c r="AI56" s="8776" t="s">
        <v>5323</v>
      </c>
      <c r="AJ56" s="8778" t="s">
        <v>5324</v>
      </c>
      <c r="AK56" s="8776" t="s">
        <v>5325</v>
      </c>
      <c r="AL56" s="8778" t="s">
        <v>5326</v>
      </c>
      <c r="AM56" s="8710" t="s">
        <v>5327</v>
      </c>
      <c r="AN56" s="8779" t="s">
        <v>5328</v>
      </c>
      <c r="AO56" s="8738" t="s">
        <v>5329</v>
      </c>
      <c r="AP56" s="8828" t="s">
        <v>5330</v>
      </c>
      <c r="AQ56" s="8782" t="s">
        <v>5331</v>
      </c>
      <c r="AR56" s="8783" t="s">
        <v>5332</v>
      </c>
      <c r="AS56" s="8783" t="s">
        <v>5333</v>
      </c>
      <c r="AT56" s="8783" t="s">
        <v>5334</v>
      </c>
      <c r="AU56" s="8783" t="s">
        <v>5335</v>
      </c>
      <c r="AV56" s="8783" t="s">
        <v>5336</v>
      </c>
      <c r="AW56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6" s="2784" t="str">
        <f t="shared" si="1"/>
        <v xml:space="preserve">* El Número de Espacios Amigables no puede superar el Total. </v>
      </c>
      <c r="CC56" s="2784" t="str">
        <f t="shared" si="2"/>
        <v xml:space="preserve">* El Número de TRANS Masculino no puede superar el Total Mujeres. </v>
      </c>
      <c r="CD56" s="2784" t="str">
        <f t="shared" si="3"/>
        <v xml:space="preserve">* El Número de TRANS Femenino no puede superar el Total Hombres. </v>
      </c>
      <c r="CE56" s="2784" t="str">
        <f t="shared" si="4"/>
        <v xml:space="preserve">* El Número de Pueblos Originarios no puede superar el Total. </v>
      </c>
      <c r="CF56" s="2784" t="str">
        <f t="shared" si="5"/>
        <v xml:space="preserve">* El Número de Migrantes no puede superar el Total. </v>
      </c>
      <c r="CG56" s="2919" t="str">
        <f t="shared" si="16"/>
        <v xml:space="preserve">* La variable 14-18 años no puede ser mayor al total por grupo edad de 10 a 19 años. </v>
      </c>
      <c r="CH56" s="2784" t="str">
        <f t="shared" si="6"/>
        <v xml:space="preserve">* El Número de Niños, Niñas, Adolescentes y Jóvenes SENAME no puede superar el Total. </v>
      </c>
      <c r="CI56" s="2784" t="str">
        <f t="shared" si="7"/>
        <v xml:space="preserve">* El Número de Niños, Niñas, Adolescentes y Jóvenes Mejor Niñez no puede superar el Total. </v>
      </c>
      <c r="CJ56" s="2630"/>
      <c r="CK56" s="1725">
        <f t="shared" si="8"/>
        <v>1</v>
      </c>
      <c r="CL56" s="1725">
        <f t="shared" si="9"/>
        <v>1</v>
      </c>
      <c r="CM56" s="1725">
        <f t="shared" si="10"/>
        <v>1</v>
      </c>
      <c r="CN56" s="1725">
        <f t="shared" si="11"/>
        <v>1</v>
      </c>
      <c r="CO56" s="1725">
        <f t="shared" si="12"/>
        <v>1</v>
      </c>
      <c r="CP56" s="2920">
        <f t="shared" si="17"/>
        <v>1</v>
      </c>
      <c r="CQ56" s="1725">
        <f t="shared" si="13"/>
        <v>1</v>
      </c>
      <c r="CR56" s="1725">
        <f t="shared" si="14"/>
        <v>1</v>
      </c>
    </row>
    <row r="57" spans="1:96" x14ac:dyDescent="0.3">
      <c r="A57" s="6234">
        <v>19120702</v>
      </c>
      <c r="B57" s="6349"/>
      <c r="C57" s="3381" t="s">
        <v>275</v>
      </c>
      <c r="D57" s="3875" t="s">
        <v>5292</v>
      </c>
      <c r="E57" s="8786" t="s">
        <v>5293</v>
      </c>
      <c r="F57" s="6219" t="s">
        <v>5294</v>
      </c>
      <c r="G57" s="8811" t="s">
        <v>5295</v>
      </c>
      <c r="H57" s="8812" t="s">
        <v>5296</v>
      </c>
      <c r="I57" s="8811" t="s">
        <v>5297</v>
      </c>
      <c r="J57" s="8812" t="s">
        <v>5298</v>
      </c>
      <c r="K57" s="8787" t="s">
        <v>5299</v>
      </c>
      <c r="L57" s="8789" t="s">
        <v>5300</v>
      </c>
      <c r="M57" s="8787" t="s">
        <v>5301</v>
      </c>
      <c r="N57" s="8789" t="s">
        <v>5302</v>
      </c>
      <c r="O57" s="8787" t="s">
        <v>5303</v>
      </c>
      <c r="P57" s="8789" t="s">
        <v>5304</v>
      </c>
      <c r="Q57" s="8787" t="s">
        <v>5305</v>
      </c>
      <c r="R57" s="8789" t="s">
        <v>5306</v>
      </c>
      <c r="S57" s="8787" t="s">
        <v>5307</v>
      </c>
      <c r="T57" s="8789" t="s">
        <v>5308</v>
      </c>
      <c r="U57" s="8787" t="s">
        <v>5309</v>
      </c>
      <c r="V57" s="8789" t="s">
        <v>5310</v>
      </c>
      <c r="W57" s="8787" t="s">
        <v>5311</v>
      </c>
      <c r="X57" s="8789" t="s">
        <v>5312</v>
      </c>
      <c r="Y57" s="8787" t="s">
        <v>5313</v>
      </c>
      <c r="Z57" s="8789" t="s">
        <v>5314</v>
      </c>
      <c r="AA57" s="8787" t="s">
        <v>5315</v>
      </c>
      <c r="AB57" s="8789" t="s">
        <v>5316</v>
      </c>
      <c r="AC57" s="8787" t="s">
        <v>5317</v>
      </c>
      <c r="AD57" s="8789" t="s">
        <v>5318</v>
      </c>
      <c r="AE57" s="8787" t="s">
        <v>5319</v>
      </c>
      <c r="AF57" s="8789" t="s">
        <v>5320</v>
      </c>
      <c r="AG57" s="8787" t="s">
        <v>5321</v>
      </c>
      <c r="AH57" s="8789" t="s">
        <v>5322</v>
      </c>
      <c r="AI57" s="8787" t="s">
        <v>5323</v>
      </c>
      <c r="AJ57" s="8789" t="s">
        <v>5324</v>
      </c>
      <c r="AK57" s="8787" t="s">
        <v>5325</v>
      </c>
      <c r="AL57" s="8789" t="s">
        <v>5326</v>
      </c>
      <c r="AM57" s="8790" t="s">
        <v>5327</v>
      </c>
      <c r="AN57" s="8791" t="s">
        <v>5328</v>
      </c>
      <c r="AO57" s="8792" t="s">
        <v>5329</v>
      </c>
      <c r="AP57" s="8704" t="s">
        <v>5330</v>
      </c>
      <c r="AQ57" s="8708" t="s">
        <v>5331</v>
      </c>
      <c r="AR57" s="8838" t="s">
        <v>5332</v>
      </c>
      <c r="AS57" s="8838" t="s">
        <v>5333</v>
      </c>
      <c r="AT57" s="8838" t="s">
        <v>5334</v>
      </c>
      <c r="AU57" s="8838" t="s">
        <v>5335</v>
      </c>
      <c r="AV57" s="8838" t="s">
        <v>5336</v>
      </c>
      <c r="AW57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7" s="2784" t="str">
        <f t="shared" si="1"/>
        <v xml:space="preserve">* El Número de Espacios Amigables no puede superar el Total. </v>
      </c>
      <c r="CC57" s="2784" t="str">
        <f t="shared" si="2"/>
        <v xml:space="preserve">* El Número de TRANS Masculino no puede superar el Total Mujeres. </v>
      </c>
      <c r="CD57" s="2784" t="str">
        <f t="shared" si="3"/>
        <v xml:space="preserve">* El Número de TRANS Femenino no puede superar el Total Hombres. </v>
      </c>
      <c r="CE57" s="2784" t="str">
        <f t="shared" si="4"/>
        <v xml:space="preserve">* El Número de Pueblos Originarios no puede superar el Total. </v>
      </c>
      <c r="CF57" s="2784" t="str">
        <f t="shared" si="5"/>
        <v xml:space="preserve">* El Número de Migrantes no puede superar el Total. </v>
      </c>
      <c r="CG57" s="2919" t="str">
        <f t="shared" si="16"/>
        <v xml:space="preserve">* La variable 14-18 años no puede ser mayor al total por grupo edad de 10 a 19 años. </v>
      </c>
      <c r="CH57" s="2784" t="str">
        <f t="shared" si="6"/>
        <v xml:space="preserve">* El Número de Niños, Niñas, Adolescentes y Jóvenes SENAME no puede superar el Total. </v>
      </c>
      <c r="CI57" s="2784" t="str">
        <f t="shared" si="7"/>
        <v xml:space="preserve">* El Número de Niños, Niñas, Adolescentes y Jóvenes Mejor Niñez no puede superar el Total. </v>
      </c>
      <c r="CJ57" s="2630"/>
      <c r="CK57" s="1725">
        <f t="shared" si="8"/>
        <v>1</v>
      </c>
      <c r="CL57" s="1725">
        <f t="shared" si="9"/>
        <v>1</v>
      </c>
      <c r="CM57" s="1725">
        <f t="shared" si="10"/>
        <v>1</v>
      </c>
      <c r="CN57" s="1725">
        <f t="shared" si="11"/>
        <v>1</v>
      </c>
      <c r="CO57" s="1725">
        <f t="shared" si="12"/>
        <v>1</v>
      </c>
      <c r="CP57" s="2920">
        <f t="shared" si="17"/>
        <v>1</v>
      </c>
      <c r="CQ57" s="1725">
        <f t="shared" si="13"/>
        <v>1</v>
      </c>
      <c r="CR57" s="1725">
        <f t="shared" si="14"/>
        <v>1</v>
      </c>
    </row>
    <row r="58" spans="1:96" x14ac:dyDescent="0.3">
      <c r="A58" s="6234">
        <v>19120703</v>
      </c>
      <c r="B58" s="6349"/>
      <c r="C58" s="3381" t="s">
        <v>77</v>
      </c>
      <c r="D58" s="3875" t="s">
        <v>5292</v>
      </c>
      <c r="E58" s="8786" t="s">
        <v>5293</v>
      </c>
      <c r="F58" s="6219" t="s">
        <v>5294</v>
      </c>
      <c r="G58" s="8811" t="s">
        <v>5295</v>
      </c>
      <c r="H58" s="8812" t="s">
        <v>5296</v>
      </c>
      <c r="I58" s="8811" t="s">
        <v>5297</v>
      </c>
      <c r="J58" s="8812" t="s">
        <v>5298</v>
      </c>
      <c r="K58" s="8787" t="s">
        <v>5299</v>
      </c>
      <c r="L58" s="8789" t="s">
        <v>5300</v>
      </c>
      <c r="M58" s="8787" t="s">
        <v>5301</v>
      </c>
      <c r="N58" s="8789" t="s">
        <v>5302</v>
      </c>
      <c r="O58" s="8787" t="s">
        <v>5303</v>
      </c>
      <c r="P58" s="8789" t="s">
        <v>5304</v>
      </c>
      <c r="Q58" s="8787" t="s">
        <v>5305</v>
      </c>
      <c r="R58" s="8789" t="s">
        <v>5306</v>
      </c>
      <c r="S58" s="8787" t="s">
        <v>5307</v>
      </c>
      <c r="T58" s="8789" t="s">
        <v>5308</v>
      </c>
      <c r="U58" s="8787" t="s">
        <v>5309</v>
      </c>
      <c r="V58" s="8789" t="s">
        <v>5310</v>
      </c>
      <c r="W58" s="8787" t="s">
        <v>5311</v>
      </c>
      <c r="X58" s="8789" t="s">
        <v>5312</v>
      </c>
      <c r="Y58" s="8787" t="s">
        <v>5313</v>
      </c>
      <c r="Z58" s="8789" t="s">
        <v>5314</v>
      </c>
      <c r="AA58" s="8787" t="s">
        <v>5315</v>
      </c>
      <c r="AB58" s="8789" t="s">
        <v>5316</v>
      </c>
      <c r="AC58" s="8787" t="s">
        <v>5317</v>
      </c>
      <c r="AD58" s="8789" t="s">
        <v>5318</v>
      </c>
      <c r="AE58" s="8787" t="s">
        <v>5319</v>
      </c>
      <c r="AF58" s="8789" t="s">
        <v>5320</v>
      </c>
      <c r="AG58" s="8787" t="s">
        <v>5321</v>
      </c>
      <c r="AH58" s="8789" t="s">
        <v>5322</v>
      </c>
      <c r="AI58" s="8787" t="s">
        <v>5323</v>
      </c>
      <c r="AJ58" s="8789" t="s">
        <v>5324</v>
      </c>
      <c r="AK58" s="8787" t="s">
        <v>5325</v>
      </c>
      <c r="AL58" s="8789" t="s">
        <v>5326</v>
      </c>
      <c r="AM58" s="8790" t="s">
        <v>5327</v>
      </c>
      <c r="AN58" s="8791" t="s">
        <v>5328</v>
      </c>
      <c r="AO58" s="8792" t="s">
        <v>5329</v>
      </c>
      <c r="AP58" s="8793" t="s">
        <v>5330</v>
      </c>
      <c r="AQ58" s="8788" t="s">
        <v>5331</v>
      </c>
      <c r="AR58" s="8785" t="s">
        <v>5332</v>
      </c>
      <c r="AS58" s="8785" t="s">
        <v>5333</v>
      </c>
      <c r="AT58" s="8785" t="s">
        <v>5334</v>
      </c>
      <c r="AU58" s="8785" t="s">
        <v>5335</v>
      </c>
      <c r="AV58" s="8785" t="s">
        <v>5336</v>
      </c>
      <c r="AW58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8" s="2784" t="str">
        <f t="shared" si="1"/>
        <v xml:space="preserve">* El Número de Espacios Amigables no puede superar el Total. </v>
      </c>
      <c r="CC58" s="2784" t="str">
        <f t="shared" si="2"/>
        <v xml:space="preserve">* El Número de TRANS Masculino no puede superar el Total Mujeres. </v>
      </c>
      <c r="CD58" s="2784" t="str">
        <f t="shared" si="3"/>
        <v xml:space="preserve">* El Número de TRANS Femenino no puede superar el Total Hombres. </v>
      </c>
      <c r="CE58" s="2784" t="str">
        <f t="shared" si="4"/>
        <v xml:space="preserve">* El Número de Pueblos Originarios no puede superar el Total. </v>
      </c>
      <c r="CF58" s="2784" t="str">
        <f t="shared" si="5"/>
        <v xml:space="preserve">* El Número de Migrantes no puede superar el Total. </v>
      </c>
      <c r="CG58" s="2919" t="str">
        <f t="shared" si="16"/>
        <v xml:space="preserve">* La variable 14-18 años no puede ser mayor al total por grupo edad de 10 a 19 años. </v>
      </c>
      <c r="CH58" s="2784" t="str">
        <f t="shared" si="6"/>
        <v xml:space="preserve">* El Número de Niños, Niñas, Adolescentes y Jóvenes SENAME no puede superar el Total. </v>
      </c>
      <c r="CI58" s="2784" t="str">
        <f t="shared" si="7"/>
        <v xml:space="preserve">* El Número de Niños, Niñas, Adolescentes y Jóvenes Mejor Niñez no puede superar el Total. </v>
      </c>
      <c r="CJ58" s="2630"/>
      <c r="CK58" s="1725">
        <f t="shared" si="8"/>
        <v>1</v>
      </c>
      <c r="CL58" s="1725">
        <f t="shared" si="9"/>
        <v>1</v>
      </c>
      <c r="CM58" s="1725">
        <f t="shared" si="10"/>
        <v>1</v>
      </c>
      <c r="CN58" s="1725">
        <f t="shared" si="11"/>
        <v>1</v>
      </c>
      <c r="CO58" s="1725">
        <f t="shared" si="12"/>
        <v>1</v>
      </c>
      <c r="CP58" s="2920">
        <f t="shared" si="17"/>
        <v>1</v>
      </c>
      <c r="CQ58" s="1725">
        <f t="shared" si="13"/>
        <v>1</v>
      </c>
      <c r="CR58" s="1725">
        <f t="shared" si="14"/>
        <v>1</v>
      </c>
    </row>
    <row r="59" spans="1:96" x14ac:dyDescent="0.3">
      <c r="A59" s="6234">
        <v>19120706</v>
      </c>
      <c r="B59" s="6349"/>
      <c r="C59" s="3381" t="s">
        <v>566</v>
      </c>
      <c r="D59" s="3875" t="s">
        <v>5292</v>
      </c>
      <c r="E59" s="8786" t="s">
        <v>5293</v>
      </c>
      <c r="F59" s="6219" t="s">
        <v>5294</v>
      </c>
      <c r="G59" s="8811" t="s">
        <v>5295</v>
      </c>
      <c r="H59" s="8812" t="s">
        <v>5296</v>
      </c>
      <c r="I59" s="8811" t="s">
        <v>5297</v>
      </c>
      <c r="J59" s="8812" t="s">
        <v>5298</v>
      </c>
      <c r="K59" s="8787" t="s">
        <v>5299</v>
      </c>
      <c r="L59" s="8789" t="s">
        <v>5300</v>
      </c>
      <c r="M59" s="8787" t="s">
        <v>5301</v>
      </c>
      <c r="N59" s="8789" t="s">
        <v>5302</v>
      </c>
      <c r="O59" s="8787" t="s">
        <v>5303</v>
      </c>
      <c r="P59" s="8789" t="s">
        <v>5304</v>
      </c>
      <c r="Q59" s="8787" t="s">
        <v>5305</v>
      </c>
      <c r="R59" s="8789" t="s">
        <v>5306</v>
      </c>
      <c r="S59" s="8787" t="s">
        <v>5307</v>
      </c>
      <c r="T59" s="8789" t="s">
        <v>5308</v>
      </c>
      <c r="U59" s="8787" t="s">
        <v>5309</v>
      </c>
      <c r="V59" s="8789" t="s">
        <v>5310</v>
      </c>
      <c r="W59" s="8787" t="s">
        <v>5311</v>
      </c>
      <c r="X59" s="8789" t="s">
        <v>5312</v>
      </c>
      <c r="Y59" s="8787" t="s">
        <v>5313</v>
      </c>
      <c r="Z59" s="8789" t="s">
        <v>5314</v>
      </c>
      <c r="AA59" s="8787" t="s">
        <v>5315</v>
      </c>
      <c r="AB59" s="8789" t="s">
        <v>5316</v>
      </c>
      <c r="AC59" s="8787" t="s">
        <v>5317</v>
      </c>
      <c r="AD59" s="8789" t="s">
        <v>5318</v>
      </c>
      <c r="AE59" s="8787" t="s">
        <v>5319</v>
      </c>
      <c r="AF59" s="8789" t="s">
        <v>5320</v>
      </c>
      <c r="AG59" s="8787" t="s">
        <v>5321</v>
      </c>
      <c r="AH59" s="8789" t="s">
        <v>5322</v>
      </c>
      <c r="AI59" s="8787" t="s">
        <v>5323</v>
      </c>
      <c r="AJ59" s="8789" t="s">
        <v>5324</v>
      </c>
      <c r="AK59" s="8787" t="s">
        <v>5325</v>
      </c>
      <c r="AL59" s="8789" t="s">
        <v>5326</v>
      </c>
      <c r="AM59" s="8790" t="s">
        <v>5327</v>
      </c>
      <c r="AN59" s="8791" t="s">
        <v>5328</v>
      </c>
      <c r="AO59" s="8792" t="s">
        <v>5329</v>
      </c>
      <c r="AP59" s="8793" t="s">
        <v>5330</v>
      </c>
      <c r="AQ59" s="8788" t="s">
        <v>5331</v>
      </c>
      <c r="AR59" s="8785" t="s">
        <v>5332</v>
      </c>
      <c r="AS59" s="8785" t="s">
        <v>5333</v>
      </c>
      <c r="AT59" s="8785" t="s">
        <v>5334</v>
      </c>
      <c r="AU59" s="8785" t="s">
        <v>5335</v>
      </c>
      <c r="AV59" s="8785" t="s">
        <v>5336</v>
      </c>
      <c r="AW59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9" s="2784" t="str">
        <f t="shared" si="1"/>
        <v xml:space="preserve">* El Número de Espacios Amigables no puede superar el Total. </v>
      </c>
      <c r="CC59" s="2784" t="str">
        <f t="shared" si="2"/>
        <v xml:space="preserve">* El Número de TRANS Masculino no puede superar el Total Mujeres. </v>
      </c>
      <c r="CD59" s="2784" t="str">
        <f t="shared" si="3"/>
        <v xml:space="preserve">* El Número de TRANS Femenino no puede superar el Total Hombres. </v>
      </c>
      <c r="CE59" s="2784" t="str">
        <f t="shared" si="4"/>
        <v xml:space="preserve">* El Número de Pueblos Originarios no puede superar el Total. </v>
      </c>
      <c r="CF59" s="2784" t="str">
        <f t="shared" si="5"/>
        <v xml:space="preserve">* El Número de Migrantes no puede superar el Total. </v>
      </c>
      <c r="CG59" s="2919" t="str">
        <f t="shared" si="16"/>
        <v xml:space="preserve">* La variable 14-18 años no puede ser mayor al total por grupo edad de 10 a 19 años. </v>
      </c>
      <c r="CH59" s="2784" t="str">
        <f t="shared" si="6"/>
        <v xml:space="preserve">* El Número de Niños, Niñas, Adolescentes y Jóvenes SENAME no puede superar el Total. </v>
      </c>
      <c r="CI59" s="2784" t="str">
        <f t="shared" si="7"/>
        <v xml:space="preserve">* El Número de Niños, Niñas, Adolescentes y Jóvenes Mejor Niñez no puede superar el Total. </v>
      </c>
      <c r="CJ59" s="2630"/>
      <c r="CK59" s="1725">
        <f t="shared" si="8"/>
        <v>1</v>
      </c>
      <c r="CL59" s="1725">
        <f t="shared" si="9"/>
        <v>1</v>
      </c>
      <c r="CM59" s="1725">
        <f t="shared" si="10"/>
        <v>1</v>
      </c>
      <c r="CN59" s="1725">
        <f t="shared" si="11"/>
        <v>1</v>
      </c>
      <c r="CO59" s="1725">
        <f t="shared" si="12"/>
        <v>1</v>
      </c>
      <c r="CP59" s="2920">
        <f t="shared" si="17"/>
        <v>1</v>
      </c>
      <c r="CQ59" s="1725">
        <f t="shared" si="13"/>
        <v>1</v>
      </c>
      <c r="CR59" s="1725">
        <f t="shared" si="14"/>
        <v>1</v>
      </c>
    </row>
    <row r="60" spans="1:96" x14ac:dyDescent="0.3">
      <c r="A60" s="6234">
        <v>19120708</v>
      </c>
      <c r="B60" s="6349"/>
      <c r="C60" s="3381" t="s">
        <v>2842</v>
      </c>
      <c r="D60" s="3875" t="s">
        <v>5292</v>
      </c>
      <c r="E60" s="8786" t="s">
        <v>5293</v>
      </c>
      <c r="F60" s="6219" t="s">
        <v>5294</v>
      </c>
      <c r="G60" s="8811" t="s">
        <v>5295</v>
      </c>
      <c r="H60" s="8812" t="s">
        <v>5296</v>
      </c>
      <c r="I60" s="8811" t="s">
        <v>5297</v>
      </c>
      <c r="J60" s="8812" t="s">
        <v>5298</v>
      </c>
      <c r="K60" s="8787" t="s">
        <v>5299</v>
      </c>
      <c r="L60" s="8789" t="s">
        <v>5300</v>
      </c>
      <c r="M60" s="8787" t="s">
        <v>5301</v>
      </c>
      <c r="N60" s="8789" t="s">
        <v>5302</v>
      </c>
      <c r="O60" s="8787" t="s">
        <v>5303</v>
      </c>
      <c r="P60" s="8789" t="s">
        <v>5304</v>
      </c>
      <c r="Q60" s="8787" t="s">
        <v>5305</v>
      </c>
      <c r="R60" s="8789" t="s">
        <v>5306</v>
      </c>
      <c r="S60" s="8787" t="s">
        <v>5307</v>
      </c>
      <c r="T60" s="8789" t="s">
        <v>5308</v>
      </c>
      <c r="U60" s="8787" t="s">
        <v>5309</v>
      </c>
      <c r="V60" s="8789" t="s">
        <v>5310</v>
      </c>
      <c r="W60" s="8787" t="s">
        <v>5311</v>
      </c>
      <c r="X60" s="8789" t="s">
        <v>5312</v>
      </c>
      <c r="Y60" s="8787" t="s">
        <v>5313</v>
      </c>
      <c r="Z60" s="8789" t="s">
        <v>5314</v>
      </c>
      <c r="AA60" s="8787" t="s">
        <v>5315</v>
      </c>
      <c r="AB60" s="8789" t="s">
        <v>5316</v>
      </c>
      <c r="AC60" s="8787" t="s">
        <v>5317</v>
      </c>
      <c r="AD60" s="8789" t="s">
        <v>5318</v>
      </c>
      <c r="AE60" s="8787" t="s">
        <v>5319</v>
      </c>
      <c r="AF60" s="8789" t="s">
        <v>5320</v>
      </c>
      <c r="AG60" s="8787" t="s">
        <v>5321</v>
      </c>
      <c r="AH60" s="8789" t="s">
        <v>5322</v>
      </c>
      <c r="AI60" s="8787" t="s">
        <v>5323</v>
      </c>
      <c r="AJ60" s="8789" t="s">
        <v>5324</v>
      </c>
      <c r="AK60" s="8787" t="s">
        <v>5325</v>
      </c>
      <c r="AL60" s="8789" t="s">
        <v>5326</v>
      </c>
      <c r="AM60" s="8790" t="s">
        <v>5327</v>
      </c>
      <c r="AN60" s="8791" t="s">
        <v>5328</v>
      </c>
      <c r="AO60" s="8792" t="s">
        <v>5329</v>
      </c>
      <c r="AP60" s="8793" t="s">
        <v>5330</v>
      </c>
      <c r="AQ60" s="8788" t="s">
        <v>5331</v>
      </c>
      <c r="AR60" s="8785" t="s">
        <v>5332</v>
      </c>
      <c r="AS60" s="8785" t="s">
        <v>5333</v>
      </c>
      <c r="AT60" s="8785" t="s">
        <v>5334</v>
      </c>
      <c r="AU60" s="8785" t="s">
        <v>5335</v>
      </c>
      <c r="AV60" s="8785" t="s">
        <v>5336</v>
      </c>
      <c r="AW60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0" s="2784" t="str">
        <f t="shared" si="1"/>
        <v xml:space="preserve">* El Número de Espacios Amigables no puede superar el Total. </v>
      </c>
      <c r="CC60" s="2784" t="str">
        <f t="shared" si="2"/>
        <v xml:space="preserve">* El Número de TRANS Masculino no puede superar el Total Mujeres. </v>
      </c>
      <c r="CD60" s="2784" t="str">
        <f t="shared" si="3"/>
        <v xml:space="preserve">* El Número de TRANS Femenino no puede superar el Total Hombres. </v>
      </c>
      <c r="CE60" s="2784" t="str">
        <f t="shared" si="4"/>
        <v xml:space="preserve">* El Número de Pueblos Originarios no puede superar el Total. </v>
      </c>
      <c r="CF60" s="2784" t="str">
        <f t="shared" si="5"/>
        <v xml:space="preserve">* El Número de Migrantes no puede superar el Total. </v>
      </c>
      <c r="CG60" s="2919" t="str">
        <f t="shared" si="16"/>
        <v xml:space="preserve">* La variable 14-18 años no puede ser mayor al total por grupo edad de 10 a 19 años. </v>
      </c>
      <c r="CH60" s="2784" t="str">
        <f t="shared" si="6"/>
        <v xml:space="preserve">* El Número de Niños, Niñas, Adolescentes y Jóvenes SENAME no puede superar el Total. </v>
      </c>
      <c r="CI60" s="2784" t="str">
        <f t="shared" si="7"/>
        <v xml:space="preserve">* El Número de Niños, Niñas, Adolescentes y Jóvenes Mejor Niñez no puede superar el Total. </v>
      </c>
      <c r="CJ60" s="2630"/>
      <c r="CK60" s="1725">
        <f t="shared" si="8"/>
        <v>1</v>
      </c>
      <c r="CL60" s="1725">
        <f t="shared" si="9"/>
        <v>1</v>
      </c>
      <c r="CM60" s="1725">
        <f t="shared" si="10"/>
        <v>1</v>
      </c>
      <c r="CN60" s="1725">
        <f t="shared" si="11"/>
        <v>1</v>
      </c>
      <c r="CO60" s="1725">
        <f t="shared" si="12"/>
        <v>1</v>
      </c>
      <c r="CP60" s="2920">
        <f t="shared" si="17"/>
        <v>1</v>
      </c>
      <c r="CQ60" s="1725">
        <f t="shared" si="13"/>
        <v>1</v>
      </c>
      <c r="CR60" s="1725">
        <f t="shared" si="14"/>
        <v>1</v>
      </c>
    </row>
    <row r="61" spans="1:96" x14ac:dyDescent="0.3">
      <c r="A61" s="6234">
        <v>19120709</v>
      </c>
      <c r="B61" s="6349"/>
      <c r="C61" s="3046" t="s">
        <v>2837</v>
      </c>
      <c r="D61" s="8820" t="s">
        <v>5292</v>
      </c>
      <c r="E61" s="8786" t="s">
        <v>5293</v>
      </c>
      <c r="F61" s="8799" t="s">
        <v>5294</v>
      </c>
      <c r="G61" s="8811" t="s">
        <v>5295</v>
      </c>
      <c r="H61" s="8812" t="s">
        <v>5296</v>
      </c>
      <c r="I61" s="8811" t="s">
        <v>5297</v>
      </c>
      <c r="J61" s="8812" t="s">
        <v>5298</v>
      </c>
      <c r="K61" s="8713" t="s">
        <v>5299</v>
      </c>
      <c r="L61" s="8714" t="s">
        <v>5300</v>
      </c>
      <c r="M61" s="8713" t="s">
        <v>5301</v>
      </c>
      <c r="N61" s="8714" t="s">
        <v>5302</v>
      </c>
      <c r="O61" s="8713" t="s">
        <v>5303</v>
      </c>
      <c r="P61" s="8714" t="s">
        <v>5304</v>
      </c>
      <c r="Q61" s="8713" t="s">
        <v>5305</v>
      </c>
      <c r="R61" s="8714" t="s">
        <v>5306</v>
      </c>
      <c r="S61" s="8713" t="s">
        <v>5307</v>
      </c>
      <c r="T61" s="8714" t="s">
        <v>5308</v>
      </c>
      <c r="U61" s="8713" t="s">
        <v>5309</v>
      </c>
      <c r="V61" s="8714" t="s">
        <v>5310</v>
      </c>
      <c r="W61" s="8713" t="s">
        <v>5311</v>
      </c>
      <c r="X61" s="8714" t="s">
        <v>5312</v>
      </c>
      <c r="Y61" s="8713" t="s">
        <v>5313</v>
      </c>
      <c r="Z61" s="8714" t="s">
        <v>5314</v>
      </c>
      <c r="AA61" s="8713" t="s">
        <v>5315</v>
      </c>
      <c r="AB61" s="8714" t="s">
        <v>5316</v>
      </c>
      <c r="AC61" s="8713" t="s">
        <v>5317</v>
      </c>
      <c r="AD61" s="8714" t="s">
        <v>5318</v>
      </c>
      <c r="AE61" s="8713" t="s">
        <v>5319</v>
      </c>
      <c r="AF61" s="8714" t="s">
        <v>5320</v>
      </c>
      <c r="AG61" s="8713" t="s">
        <v>5321</v>
      </c>
      <c r="AH61" s="8714" t="s">
        <v>5322</v>
      </c>
      <c r="AI61" s="8713" t="s">
        <v>5323</v>
      </c>
      <c r="AJ61" s="8714" t="s">
        <v>5324</v>
      </c>
      <c r="AK61" s="8713" t="s">
        <v>5325</v>
      </c>
      <c r="AL61" s="8714" t="s">
        <v>5326</v>
      </c>
      <c r="AM61" s="8720" t="s">
        <v>5327</v>
      </c>
      <c r="AN61" s="8797" t="s">
        <v>5328</v>
      </c>
      <c r="AO61" s="8792" t="s">
        <v>5329</v>
      </c>
      <c r="AP61" s="8715" t="s">
        <v>5330</v>
      </c>
      <c r="AQ61" s="8719" t="s">
        <v>5331</v>
      </c>
      <c r="AR61" s="8718" t="s">
        <v>5332</v>
      </c>
      <c r="AS61" s="8718" t="s">
        <v>5333</v>
      </c>
      <c r="AT61" s="8718" t="s">
        <v>5334</v>
      </c>
      <c r="AU61" s="8718" t="s">
        <v>5335</v>
      </c>
      <c r="AV61" s="8718" t="s">
        <v>5336</v>
      </c>
      <c r="AW61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1" s="2784" t="str">
        <f t="shared" si="1"/>
        <v xml:space="preserve">* El Número de Espacios Amigables no puede superar el Total. </v>
      </c>
      <c r="CC61" s="2784" t="str">
        <f t="shared" si="2"/>
        <v xml:space="preserve">* El Número de TRANS Masculino no puede superar el Total Mujeres. </v>
      </c>
      <c r="CD61" s="2784" t="str">
        <f t="shared" si="3"/>
        <v xml:space="preserve">* El Número de TRANS Femenino no puede superar el Total Hombres. </v>
      </c>
      <c r="CE61" s="2784" t="str">
        <f t="shared" si="4"/>
        <v xml:space="preserve">* El Número de Pueblos Originarios no puede superar el Total. </v>
      </c>
      <c r="CF61" s="2784" t="str">
        <f t="shared" si="5"/>
        <v xml:space="preserve">* El Número de Migrantes no puede superar el Total. </v>
      </c>
      <c r="CG61" s="2919" t="str">
        <f t="shared" si="16"/>
        <v xml:space="preserve">* La variable 14-18 años no puede ser mayor al total por grupo edad de 10 a 19 años. </v>
      </c>
      <c r="CH61" s="2784" t="str">
        <f t="shared" si="6"/>
        <v xml:space="preserve">* El Número de Niños, Niñas, Adolescentes y Jóvenes SENAME no puede superar el Total. </v>
      </c>
      <c r="CI61" s="2784" t="str">
        <f t="shared" si="7"/>
        <v xml:space="preserve">* El Número de Niños, Niñas, Adolescentes y Jóvenes Mejor Niñez no puede superar el Total. </v>
      </c>
      <c r="CJ61" s="2630"/>
      <c r="CK61" s="1725">
        <f t="shared" si="8"/>
        <v>1</v>
      </c>
      <c r="CL61" s="1725">
        <f t="shared" si="9"/>
        <v>1</v>
      </c>
      <c r="CM61" s="1725">
        <f t="shared" si="10"/>
        <v>1</v>
      </c>
      <c r="CN61" s="1725">
        <f t="shared" si="11"/>
        <v>1</v>
      </c>
      <c r="CO61" s="1725">
        <f t="shared" si="12"/>
        <v>1</v>
      </c>
      <c r="CP61" s="2920">
        <f t="shared" si="17"/>
        <v>1</v>
      </c>
      <c r="CQ61" s="1725">
        <f t="shared" si="13"/>
        <v>1</v>
      </c>
      <c r="CR61" s="1725">
        <f t="shared" si="14"/>
        <v>1</v>
      </c>
    </row>
    <row r="62" spans="1:96" x14ac:dyDescent="0.3">
      <c r="A62" s="6234">
        <v>19120711</v>
      </c>
      <c r="B62" s="6350"/>
      <c r="C62" s="119" t="s">
        <v>2643</v>
      </c>
      <c r="D62" s="560" t="s">
        <v>5292</v>
      </c>
      <c r="E62" s="8661" t="s">
        <v>5293</v>
      </c>
      <c r="F62" s="6220" t="s">
        <v>5294</v>
      </c>
      <c r="G62" s="8815" t="s">
        <v>5295</v>
      </c>
      <c r="H62" s="8821" t="s">
        <v>5296</v>
      </c>
      <c r="I62" s="8815" t="s">
        <v>5297</v>
      </c>
      <c r="J62" s="8821" t="s">
        <v>5298</v>
      </c>
      <c r="K62" s="8655" t="s">
        <v>5299</v>
      </c>
      <c r="L62" s="8656" t="s">
        <v>5300</v>
      </c>
      <c r="M62" s="8655" t="s">
        <v>5301</v>
      </c>
      <c r="N62" s="8656" t="s">
        <v>5302</v>
      </c>
      <c r="O62" s="8655" t="s">
        <v>5303</v>
      </c>
      <c r="P62" s="8656" t="s">
        <v>5304</v>
      </c>
      <c r="Q62" s="8655" t="s">
        <v>5305</v>
      </c>
      <c r="R62" s="8656" t="s">
        <v>5306</v>
      </c>
      <c r="S62" s="8655" t="s">
        <v>5307</v>
      </c>
      <c r="T62" s="8656" t="s">
        <v>5308</v>
      </c>
      <c r="U62" s="8655" t="s">
        <v>5309</v>
      </c>
      <c r="V62" s="8656" t="s">
        <v>5310</v>
      </c>
      <c r="W62" s="8655" t="s">
        <v>5311</v>
      </c>
      <c r="X62" s="8656" t="s">
        <v>5312</v>
      </c>
      <c r="Y62" s="8655" t="s">
        <v>5313</v>
      </c>
      <c r="Z62" s="8656" t="s">
        <v>5314</v>
      </c>
      <c r="AA62" s="8655" t="s">
        <v>5315</v>
      </c>
      <c r="AB62" s="8656" t="s">
        <v>5316</v>
      </c>
      <c r="AC62" s="8655" t="s">
        <v>5317</v>
      </c>
      <c r="AD62" s="8656" t="s">
        <v>5318</v>
      </c>
      <c r="AE62" s="8655" t="s">
        <v>5319</v>
      </c>
      <c r="AF62" s="8656" t="s">
        <v>5320</v>
      </c>
      <c r="AG62" s="8655" t="s">
        <v>5321</v>
      </c>
      <c r="AH62" s="8656" t="s">
        <v>5322</v>
      </c>
      <c r="AI62" s="8655" t="s">
        <v>5323</v>
      </c>
      <c r="AJ62" s="8656" t="s">
        <v>5324</v>
      </c>
      <c r="AK62" s="8655" t="s">
        <v>5325</v>
      </c>
      <c r="AL62" s="8656" t="s">
        <v>5326</v>
      </c>
      <c r="AM62" s="8729" t="s">
        <v>5327</v>
      </c>
      <c r="AN62" s="8663" t="s">
        <v>5328</v>
      </c>
      <c r="AO62" s="8805" t="s">
        <v>5329</v>
      </c>
      <c r="AP62" s="8724" t="s">
        <v>5330</v>
      </c>
      <c r="AQ62" s="8728" t="s">
        <v>5331</v>
      </c>
      <c r="AR62" s="8727" t="s">
        <v>5332</v>
      </c>
      <c r="AS62" s="8727" t="s">
        <v>5333</v>
      </c>
      <c r="AT62" s="8727" t="s">
        <v>5334</v>
      </c>
      <c r="AU62" s="8727" t="s">
        <v>5335</v>
      </c>
      <c r="AV62" s="8727" t="s">
        <v>5336</v>
      </c>
      <c r="AW62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2" s="2784" t="str">
        <f t="shared" si="1"/>
        <v xml:space="preserve">* El Número de Espacios Amigables no puede superar el Total. </v>
      </c>
      <c r="CC62" s="2784" t="str">
        <f t="shared" si="2"/>
        <v xml:space="preserve">* El Número de TRANS Masculino no puede superar el Total Mujeres. </v>
      </c>
      <c r="CD62" s="2784" t="str">
        <f t="shared" si="3"/>
        <v xml:space="preserve">* El Número de TRANS Femenino no puede superar el Total Hombres. </v>
      </c>
      <c r="CE62" s="2784" t="str">
        <f t="shared" si="4"/>
        <v xml:space="preserve">* El Número de Pueblos Originarios no puede superar el Total. </v>
      </c>
      <c r="CF62" s="2784" t="str">
        <f t="shared" si="5"/>
        <v xml:space="preserve">* El Número de Migrantes no puede superar el Total. </v>
      </c>
      <c r="CG62" s="2919" t="str">
        <f t="shared" si="16"/>
        <v xml:space="preserve">* La variable 14-18 años no puede ser mayor al total por grupo edad de 10 a 19 años. </v>
      </c>
      <c r="CH62" s="2784" t="str">
        <f t="shared" si="6"/>
        <v xml:space="preserve">* El Número de Niños, Niñas, Adolescentes y Jóvenes SENAME no puede superar el Total. </v>
      </c>
      <c r="CI62" s="2784" t="str">
        <f t="shared" si="7"/>
        <v xml:space="preserve">* El Número de Niños, Niñas, Adolescentes y Jóvenes Mejor Niñez no puede superar el Total. </v>
      </c>
      <c r="CJ62" s="2630"/>
      <c r="CK62" s="1725">
        <f t="shared" si="8"/>
        <v>1</v>
      </c>
      <c r="CL62" s="1725">
        <f t="shared" si="9"/>
        <v>1</v>
      </c>
      <c r="CM62" s="1725">
        <f t="shared" si="10"/>
        <v>1</v>
      </c>
      <c r="CN62" s="1725">
        <f t="shared" si="11"/>
        <v>1</v>
      </c>
      <c r="CO62" s="1725">
        <f t="shared" si="12"/>
        <v>1</v>
      </c>
      <c r="CP62" s="2920">
        <f t="shared" si="17"/>
        <v>1</v>
      </c>
      <c r="CQ62" s="1725">
        <f t="shared" si="13"/>
        <v>1</v>
      </c>
      <c r="CR62" s="1725">
        <f t="shared" si="14"/>
        <v>1</v>
      </c>
    </row>
    <row r="63" spans="1:96" x14ac:dyDescent="0.3">
      <c r="A63" s="6234">
        <v>19150900</v>
      </c>
      <c r="B63" s="6367" t="s">
        <v>2843</v>
      </c>
      <c r="C63" s="3378" t="s">
        <v>2844</v>
      </c>
      <c r="D63" s="8774" t="s">
        <v>5292</v>
      </c>
      <c r="E63" s="8839" t="s">
        <v>5293</v>
      </c>
      <c r="F63" s="6218" t="s">
        <v>5294</v>
      </c>
      <c r="G63" s="8808" t="s">
        <v>5295</v>
      </c>
      <c r="H63" s="8809" t="s">
        <v>5296</v>
      </c>
      <c r="I63" s="8808" t="s">
        <v>5297</v>
      </c>
      <c r="J63" s="8809" t="s">
        <v>5298</v>
      </c>
      <c r="K63" s="8808" t="s">
        <v>5299</v>
      </c>
      <c r="L63" s="8778" t="s">
        <v>5300</v>
      </c>
      <c r="M63" s="8808" t="s">
        <v>5301</v>
      </c>
      <c r="N63" s="8778" t="s">
        <v>5302</v>
      </c>
      <c r="O63" s="8808" t="s">
        <v>5303</v>
      </c>
      <c r="P63" s="8778" t="s">
        <v>5304</v>
      </c>
      <c r="Q63" s="8808" t="s">
        <v>5305</v>
      </c>
      <c r="R63" s="8778" t="s">
        <v>5306</v>
      </c>
      <c r="S63" s="8808" t="s">
        <v>5307</v>
      </c>
      <c r="T63" s="8778" t="s">
        <v>5308</v>
      </c>
      <c r="U63" s="8808" t="s">
        <v>5309</v>
      </c>
      <c r="V63" s="8778" t="s">
        <v>5310</v>
      </c>
      <c r="W63" s="8808" t="s">
        <v>5311</v>
      </c>
      <c r="X63" s="8778" t="s">
        <v>5312</v>
      </c>
      <c r="Y63" s="8808" t="s">
        <v>5313</v>
      </c>
      <c r="Z63" s="8778" t="s">
        <v>5314</v>
      </c>
      <c r="AA63" s="8808" t="s">
        <v>5315</v>
      </c>
      <c r="AB63" s="8778" t="s">
        <v>5316</v>
      </c>
      <c r="AC63" s="8808" t="s">
        <v>5317</v>
      </c>
      <c r="AD63" s="8714" t="s">
        <v>5318</v>
      </c>
      <c r="AE63" s="8840" t="s">
        <v>5319</v>
      </c>
      <c r="AF63" s="8841" t="s">
        <v>5320</v>
      </c>
      <c r="AG63" s="8824" t="s">
        <v>5321</v>
      </c>
      <c r="AH63" s="8825" t="s">
        <v>5322</v>
      </c>
      <c r="AI63" s="8824" t="s">
        <v>5323</v>
      </c>
      <c r="AJ63" s="8825" t="s">
        <v>5324</v>
      </c>
      <c r="AK63" s="8824" t="s">
        <v>5325</v>
      </c>
      <c r="AL63" s="8825" t="s">
        <v>5326</v>
      </c>
      <c r="AM63" s="8826" t="s">
        <v>5327</v>
      </c>
      <c r="AN63" s="8827" t="s">
        <v>5328</v>
      </c>
      <c r="AO63" s="8738" t="s">
        <v>5329</v>
      </c>
      <c r="AP63" s="8828" t="s">
        <v>5330</v>
      </c>
      <c r="AQ63" s="8782" t="s">
        <v>5331</v>
      </c>
      <c r="AR63" s="8783" t="s">
        <v>5332</v>
      </c>
      <c r="AS63" s="8783" t="s">
        <v>5333</v>
      </c>
      <c r="AT63" s="8783" t="s">
        <v>5334</v>
      </c>
      <c r="AU63" s="8783" t="s">
        <v>5335</v>
      </c>
      <c r="AV63" s="8783" t="s">
        <v>5336</v>
      </c>
      <c r="AW63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3" s="2784" t="str">
        <f t="shared" si="1"/>
        <v xml:space="preserve">* El Número de Espacios Amigables no puede superar el Total. </v>
      </c>
      <c r="CC63" s="2784" t="str">
        <f t="shared" si="2"/>
        <v xml:space="preserve">* El Número de TRANS Masculino no puede superar el Total Mujeres. </v>
      </c>
      <c r="CD63" s="2784" t="str">
        <f t="shared" si="3"/>
        <v xml:space="preserve">* El Número de TRANS Femenino no puede superar el Total Hombres. </v>
      </c>
      <c r="CE63" s="2784" t="str">
        <f t="shared" si="4"/>
        <v xml:space="preserve">* El Número de Pueblos Originarios no puede superar el Total. </v>
      </c>
      <c r="CF63" s="2784" t="str">
        <f t="shared" si="5"/>
        <v xml:space="preserve">* El Número de Migrantes no puede superar el Total. </v>
      </c>
      <c r="CG63" s="2919" t="str">
        <f t="shared" si="16"/>
        <v xml:space="preserve">* La variable 14-18 años no puede ser mayor al total por grupo edad de 10 a 19 años. </v>
      </c>
      <c r="CH63" s="2784" t="str">
        <f t="shared" si="6"/>
        <v xml:space="preserve">* El Número de Niños, Niñas, Adolescentes y Jóvenes SENAME no puede superar el Total. </v>
      </c>
      <c r="CI63" s="2784" t="str">
        <f t="shared" si="7"/>
        <v xml:space="preserve">* El Número de Niños, Niñas, Adolescentes y Jóvenes Mejor Niñez no puede superar el Total. </v>
      </c>
      <c r="CJ63" s="2630"/>
      <c r="CK63" s="1725">
        <f t="shared" si="8"/>
        <v>1</v>
      </c>
      <c r="CL63" s="1725">
        <f t="shared" si="9"/>
        <v>1</v>
      </c>
      <c r="CM63" s="1725">
        <f t="shared" si="10"/>
        <v>1</v>
      </c>
      <c r="CN63" s="1725">
        <f t="shared" si="11"/>
        <v>1</v>
      </c>
      <c r="CO63" s="1725">
        <f t="shared" si="12"/>
        <v>1</v>
      </c>
      <c r="CP63" s="2920">
        <f t="shared" si="17"/>
        <v>1</v>
      </c>
      <c r="CQ63" s="1725">
        <f t="shared" si="13"/>
        <v>1</v>
      </c>
      <c r="CR63" s="1725">
        <f t="shared" si="14"/>
        <v>1</v>
      </c>
    </row>
    <row r="64" spans="1:96" x14ac:dyDescent="0.3">
      <c r="A64" s="6234">
        <v>19150920</v>
      </c>
      <c r="B64" s="6349"/>
      <c r="C64" s="3381" t="s">
        <v>3930</v>
      </c>
      <c r="D64" s="1948" t="s">
        <v>5292</v>
      </c>
      <c r="E64" s="8842" t="s">
        <v>5293</v>
      </c>
      <c r="F64" s="8799" t="s">
        <v>5294</v>
      </c>
      <c r="G64" s="8811" t="s">
        <v>5295</v>
      </c>
      <c r="H64" s="8812" t="s">
        <v>5296</v>
      </c>
      <c r="I64" s="8811" t="s">
        <v>5297</v>
      </c>
      <c r="J64" s="8812" t="s">
        <v>5298</v>
      </c>
      <c r="K64" s="8811" t="s">
        <v>5299</v>
      </c>
      <c r="L64" s="8789" t="s">
        <v>5300</v>
      </c>
      <c r="M64" s="8811" t="s">
        <v>5301</v>
      </c>
      <c r="N64" s="8789" t="s">
        <v>5302</v>
      </c>
      <c r="O64" s="8811" t="s">
        <v>5303</v>
      </c>
      <c r="P64" s="8789" t="s">
        <v>5304</v>
      </c>
      <c r="Q64" s="8811" t="s">
        <v>5305</v>
      </c>
      <c r="R64" s="8789" t="s">
        <v>5306</v>
      </c>
      <c r="S64" s="8811" t="s">
        <v>5307</v>
      </c>
      <c r="T64" s="8789" t="s">
        <v>5308</v>
      </c>
      <c r="U64" s="8811" t="s">
        <v>5309</v>
      </c>
      <c r="V64" s="8789" t="s">
        <v>5310</v>
      </c>
      <c r="W64" s="8811" t="s">
        <v>5311</v>
      </c>
      <c r="X64" s="8789" t="s">
        <v>5312</v>
      </c>
      <c r="Y64" s="8811" t="s">
        <v>5313</v>
      </c>
      <c r="Z64" s="8789" t="s">
        <v>5314</v>
      </c>
      <c r="AA64" s="8811" t="s">
        <v>5315</v>
      </c>
      <c r="AB64" s="8789" t="s">
        <v>5316</v>
      </c>
      <c r="AC64" s="8811" t="s">
        <v>5317</v>
      </c>
      <c r="AD64" s="8714" t="s">
        <v>5318</v>
      </c>
      <c r="AE64" s="8840" t="s">
        <v>5319</v>
      </c>
      <c r="AF64" s="8841" t="s">
        <v>5320</v>
      </c>
      <c r="AG64" s="8829" t="s">
        <v>5321</v>
      </c>
      <c r="AH64" s="8813" t="s">
        <v>5322</v>
      </c>
      <c r="AI64" s="8829" t="s">
        <v>5323</v>
      </c>
      <c r="AJ64" s="8813" t="s">
        <v>5324</v>
      </c>
      <c r="AK64" s="8829" t="s">
        <v>5325</v>
      </c>
      <c r="AL64" s="8813" t="s">
        <v>5326</v>
      </c>
      <c r="AM64" s="8830" t="s">
        <v>5327</v>
      </c>
      <c r="AN64" s="8831" t="s">
        <v>5328</v>
      </c>
      <c r="AO64" s="8792" t="s">
        <v>5329</v>
      </c>
      <c r="AP64" s="8793" t="s">
        <v>5330</v>
      </c>
      <c r="AQ64" s="8788" t="s">
        <v>5331</v>
      </c>
      <c r="AR64" s="8785" t="s">
        <v>5332</v>
      </c>
      <c r="AS64" s="8785" t="s">
        <v>5333</v>
      </c>
      <c r="AT64" s="8785" t="s">
        <v>5334</v>
      </c>
      <c r="AU64" s="8785" t="s">
        <v>5335</v>
      </c>
      <c r="AV64" s="8785" t="s">
        <v>5336</v>
      </c>
      <c r="AW64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4" s="2784" t="str">
        <f t="shared" si="1"/>
        <v xml:space="preserve">* El Número de Espacios Amigables no puede superar el Total. </v>
      </c>
      <c r="CC64" s="2784" t="str">
        <f t="shared" si="2"/>
        <v xml:space="preserve">* El Número de TRANS Masculino no puede superar el Total Mujeres. </v>
      </c>
      <c r="CD64" s="2784" t="str">
        <f t="shared" si="3"/>
        <v xml:space="preserve">* El Número de TRANS Femenino no puede superar el Total Hombres. </v>
      </c>
      <c r="CE64" s="2784" t="str">
        <f t="shared" si="4"/>
        <v xml:space="preserve">* El Número de Pueblos Originarios no puede superar el Total. </v>
      </c>
      <c r="CF64" s="2784" t="str">
        <f t="shared" si="5"/>
        <v xml:space="preserve">* El Número de Migrantes no puede superar el Total. </v>
      </c>
      <c r="CG64" s="2919" t="str">
        <f t="shared" si="16"/>
        <v xml:space="preserve">* La variable 14-18 años no puede ser mayor al total por grupo edad de 10 a 19 años. </v>
      </c>
      <c r="CH64" s="2784" t="str">
        <f t="shared" si="6"/>
        <v xml:space="preserve">* El Número de Niños, Niñas, Adolescentes y Jóvenes SENAME no puede superar el Total. </v>
      </c>
      <c r="CI64" s="2784" t="str">
        <f t="shared" si="7"/>
        <v xml:space="preserve">* El Número de Niños, Niñas, Adolescentes y Jóvenes Mejor Niñez no puede superar el Total. </v>
      </c>
      <c r="CJ64" s="2630"/>
      <c r="CK64" s="1725">
        <f t="shared" si="8"/>
        <v>1</v>
      </c>
      <c r="CL64" s="1725">
        <f t="shared" si="9"/>
        <v>1</v>
      </c>
      <c r="CM64" s="1725">
        <f t="shared" si="10"/>
        <v>1</v>
      </c>
      <c r="CN64" s="1725">
        <f t="shared" si="11"/>
        <v>1</v>
      </c>
      <c r="CO64" s="1725">
        <f t="shared" si="12"/>
        <v>1</v>
      </c>
      <c r="CP64" s="2920">
        <f t="shared" si="17"/>
        <v>1</v>
      </c>
      <c r="CQ64" s="1725">
        <f t="shared" si="13"/>
        <v>1</v>
      </c>
      <c r="CR64" s="1725">
        <f t="shared" si="14"/>
        <v>1</v>
      </c>
    </row>
    <row r="65" spans="1:96" x14ac:dyDescent="0.3">
      <c r="A65" s="6234">
        <v>19170300</v>
      </c>
      <c r="B65" s="6349"/>
      <c r="C65" s="3628" t="s">
        <v>2845</v>
      </c>
      <c r="D65" s="1948" t="s">
        <v>5292</v>
      </c>
      <c r="E65" s="8843" t="s">
        <v>5293</v>
      </c>
      <c r="F65" s="8799" t="s">
        <v>5294</v>
      </c>
      <c r="G65" s="8829" t="s">
        <v>5295</v>
      </c>
      <c r="H65" s="8844" t="s">
        <v>5296</v>
      </c>
      <c r="I65" s="8829" t="s">
        <v>5297</v>
      </c>
      <c r="J65" s="8844" t="s">
        <v>5298</v>
      </c>
      <c r="K65" s="8829" t="s">
        <v>5299</v>
      </c>
      <c r="L65" s="8789" t="s">
        <v>5300</v>
      </c>
      <c r="M65" s="8829" t="s">
        <v>5301</v>
      </c>
      <c r="N65" s="8789" t="s">
        <v>5302</v>
      </c>
      <c r="O65" s="8829" t="s">
        <v>5303</v>
      </c>
      <c r="P65" s="8789" t="s">
        <v>5304</v>
      </c>
      <c r="Q65" s="8829" t="s">
        <v>5305</v>
      </c>
      <c r="R65" s="8789" t="s">
        <v>5306</v>
      </c>
      <c r="S65" s="8829" t="s">
        <v>5307</v>
      </c>
      <c r="T65" s="8789" t="s">
        <v>5308</v>
      </c>
      <c r="U65" s="8829" t="s">
        <v>5309</v>
      </c>
      <c r="V65" s="8789" t="s">
        <v>5310</v>
      </c>
      <c r="W65" s="8829" t="s">
        <v>5311</v>
      </c>
      <c r="X65" s="8789" t="s">
        <v>5312</v>
      </c>
      <c r="Y65" s="8829" t="s">
        <v>5313</v>
      </c>
      <c r="Z65" s="8789" t="s">
        <v>5314</v>
      </c>
      <c r="AA65" s="8829" t="s">
        <v>5315</v>
      </c>
      <c r="AB65" s="8789" t="s">
        <v>5316</v>
      </c>
      <c r="AC65" s="8829" t="s">
        <v>5317</v>
      </c>
      <c r="AD65" s="8714" t="s">
        <v>5318</v>
      </c>
      <c r="AE65" s="8840" t="s">
        <v>5319</v>
      </c>
      <c r="AF65" s="8841" t="s">
        <v>5320</v>
      </c>
      <c r="AG65" s="8829" t="s">
        <v>5321</v>
      </c>
      <c r="AH65" s="8813" t="s">
        <v>5322</v>
      </c>
      <c r="AI65" s="8829" t="s">
        <v>5323</v>
      </c>
      <c r="AJ65" s="8813" t="s">
        <v>5324</v>
      </c>
      <c r="AK65" s="8829" t="s">
        <v>5325</v>
      </c>
      <c r="AL65" s="8813" t="s">
        <v>5326</v>
      </c>
      <c r="AM65" s="8830" t="s">
        <v>5327</v>
      </c>
      <c r="AN65" s="8831" t="s">
        <v>5328</v>
      </c>
      <c r="AO65" s="8792" t="s">
        <v>5329</v>
      </c>
      <c r="AP65" s="8715" t="s">
        <v>5330</v>
      </c>
      <c r="AQ65" s="8719" t="s">
        <v>5331</v>
      </c>
      <c r="AR65" s="8718" t="s">
        <v>5332</v>
      </c>
      <c r="AS65" s="8718" t="s">
        <v>5333</v>
      </c>
      <c r="AT65" s="8718" t="s">
        <v>5334</v>
      </c>
      <c r="AU65" s="8718" t="s">
        <v>5335</v>
      </c>
      <c r="AV65" s="8718" t="s">
        <v>5336</v>
      </c>
      <c r="AW65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5" s="2784" t="str">
        <f t="shared" si="1"/>
        <v xml:space="preserve">* El Número de Espacios Amigables no puede superar el Total. </v>
      </c>
      <c r="CC65" s="2784" t="str">
        <f t="shared" si="2"/>
        <v xml:space="preserve">* El Número de TRANS Masculino no puede superar el Total Mujeres. </v>
      </c>
      <c r="CD65" s="2784" t="str">
        <f t="shared" si="3"/>
        <v xml:space="preserve">* El Número de TRANS Femenino no puede superar el Total Hombres. </v>
      </c>
      <c r="CE65" s="2784" t="str">
        <f t="shared" si="4"/>
        <v xml:space="preserve">* El Número de Pueblos Originarios no puede superar el Total. </v>
      </c>
      <c r="CF65" s="2784" t="str">
        <f t="shared" si="5"/>
        <v xml:space="preserve">* El Número de Migrantes no puede superar el Total. </v>
      </c>
      <c r="CG65" s="2919" t="str">
        <f t="shared" si="16"/>
        <v xml:space="preserve">* La variable 14-18 años no puede ser mayor al total por grupo edad de 10 a 19 años. </v>
      </c>
      <c r="CH65" s="2784" t="str">
        <f t="shared" si="6"/>
        <v xml:space="preserve">* El Número de Niños, Niñas, Adolescentes y Jóvenes SENAME no puede superar el Total. </v>
      </c>
      <c r="CI65" s="2784" t="str">
        <f t="shared" si="7"/>
        <v xml:space="preserve">* El Número de Niños, Niñas, Adolescentes y Jóvenes Mejor Niñez no puede superar el Total. </v>
      </c>
      <c r="CJ65" s="2630"/>
      <c r="CK65" s="1725">
        <f t="shared" si="8"/>
        <v>1</v>
      </c>
      <c r="CL65" s="1725">
        <f t="shared" si="9"/>
        <v>1</v>
      </c>
      <c r="CM65" s="1725">
        <f t="shared" si="10"/>
        <v>1</v>
      </c>
      <c r="CN65" s="1725">
        <f t="shared" si="11"/>
        <v>1</v>
      </c>
      <c r="CO65" s="1725">
        <f t="shared" si="12"/>
        <v>1</v>
      </c>
      <c r="CP65" s="2920">
        <f t="shared" si="17"/>
        <v>1</v>
      </c>
      <c r="CQ65" s="1725">
        <f t="shared" si="13"/>
        <v>1</v>
      </c>
      <c r="CR65" s="1725">
        <f t="shared" si="14"/>
        <v>1</v>
      </c>
    </row>
    <row r="66" spans="1:96" x14ac:dyDescent="0.3">
      <c r="A66" s="6234">
        <v>19170400</v>
      </c>
      <c r="B66" s="6349"/>
      <c r="C66" s="3046" t="s">
        <v>2846</v>
      </c>
      <c r="D66" s="3875" t="s">
        <v>5292</v>
      </c>
      <c r="E66" s="8842" t="s">
        <v>5293</v>
      </c>
      <c r="F66" s="8799" t="s">
        <v>5294</v>
      </c>
      <c r="G66" s="8811" t="s">
        <v>5295</v>
      </c>
      <c r="H66" s="8812" t="s">
        <v>5296</v>
      </c>
      <c r="I66" s="8811" t="s">
        <v>5297</v>
      </c>
      <c r="J66" s="8812" t="s">
        <v>5298</v>
      </c>
      <c r="K66" s="8811" t="s">
        <v>5299</v>
      </c>
      <c r="L66" s="8714" t="s">
        <v>5300</v>
      </c>
      <c r="M66" s="8811" t="s">
        <v>5301</v>
      </c>
      <c r="N66" s="8714" t="s">
        <v>5302</v>
      </c>
      <c r="O66" s="8811" t="s">
        <v>5303</v>
      </c>
      <c r="P66" s="8714" t="s">
        <v>5304</v>
      </c>
      <c r="Q66" s="8811" t="s">
        <v>5305</v>
      </c>
      <c r="R66" s="8714" t="s">
        <v>5306</v>
      </c>
      <c r="S66" s="8811" t="s">
        <v>5307</v>
      </c>
      <c r="T66" s="8714" t="s">
        <v>5308</v>
      </c>
      <c r="U66" s="8811" t="s">
        <v>5309</v>
      </c>
      <c r="V66" s="8714" t="s">
        <v>5310</v>
      </c>
      <c r="W66" s="8811" t="s">
        <v>5311</v>
      </c>
      <c r="X66" s="8714" t="s">
        <v>5312</v>
      </c>
      <c r="Y66" s="8811" t="s">
        <v>5313</v>
      </c>
      <c r="Z66" s="8714" t="s">
        <v>5314</v>
      </c>
      <c r="AA66" s="8811" t="s">
        <v>5315</v>
      </c>
      <c r="AB66" s="8714" t="s">
        <v>5316</v>
      </c>
      <c r="AC66" s="8811" t="s">
        <v>5317</v>
      </c>
      <c r="AD66" s="8714" t="s">
        <v>5318</v>
      </c>
      <c r="AE66" s="8840" t="s">
        <v>5319</v>
      </c>
      <c r="AF66" s="8841" t="s">
        <v>5320</v>
      </c>
      <c r="AG66" s="8829" t="s">
        <v>5321</v>
      </c>
      <c r="AH66" s="8813" t="s">
        <v>5322</v>
      </c>
      <c r="AI66" s="8829" t="s">
        <v>5323</v>
      </c>
      <c r="AJ66" s="8813" t="s">
        <v>5324</v>
      </c>
      <c r="AK66" s="8829" t="s">
        <v>5325</v>
      </c>
      <c r="AL66" s="8813" t="s">
        <v>5326</v>
      </c>
      <c r="AM66" s="8830" t="s">
        <v>5327</v>
      </c>
      <c r="AN66" s="8831" t="s">
        <v>5328</v>
      </c>
      <c r="AO66" s="8792" t="s">
        <v>5329</v>
      </c>
      <c r="AP66" s="8715" t="s">
        <v>5330</v>
      </c>
      <c r="AQ66" s="8719" t="s">
        <v>5331</v>
      </c>
      <c r="AR66" s="8718" t="s">
        <v>5332</v>
      </c>
      <c r="AS66" s="8718" t="s">
        <v>5333</v>
      </c>
      <c r="AT66" s="8718" t="s">
        <v>5334</v>
      </c>
      <c r="AU66" s="8718" t="s">
        <v>5335</v>
      </c>
      <c r="AV66" s="8718" t="s">
        <v>5336</v>
      </c>
      <c r="AW66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6" s="2784" t="str">
        <f t="shared" si="1"/>
        <v xml:space="preserve">* El Número de Espacios Amigables no puede superar el Total. </v>
      </c>
      <c r="CC66" s="2784" t="str">
        <f t="shared" si="2"/>
        <v xml:space="preserve">* El Número de TRANS Masculino no puede superar el Total Mujeres. </v>
      </c>
      <c r="CD66" s="2784" t="str">
        <f t="shared" si="3"/>
        <v xml:space="preserve">* El Número de TRANS Femenino no puede superar el Total Hombres. </v>
      </c>
      <c r="CE66" s="2784" t="str">
        <f t="shared" si="4"/>
        <v xml:space="preserve">* El Número de Pueblos Originarios no puede superar el Total. </v>
      </c>
      <c r="CF66" s="2784" t="str">
        <f t="shared" si="5"/>
        <v xml:space="preserve">* El Número de Migrantes no puede superar el Total. </v>
      </c>
      <c r="CG66" s="2919" t="str">
        <f t="shared" si="16"/>
        <v xml:space="preserve">* La variable 14-18 años no puede ser mayor al total por grupo edad de 10 a 19 años. </v>
      </c>
      <c r="CH66" s="2784" t="str">
        <f t="shared" si="6"/>
        <v xml:space="preserve">* El Número de Niños, Niñas, Adolescentes y Jóvenes SENAME no puede superar el Total. </v>
      </c>
      <c r="CI66" s="2784" t="str">
        <f t="shared" si="7"/>
        <v xml:space="preserve">* El Número de Niños, Niñas, Adolescentes y Jóvenes Mejor Niñez no puede superar el Total. </v>
      </c>
      <c r="CJ66" s="2630"/>
      <c r="CK66" s="1725">
        <f t="shared" si="8"/>
        <v>1</v>
      </c>
      <c r="CL66" s="1725">
        <f t="shared" si="9"/>
        <v>1</v>
      </c>
      <c r="CM66" s="1725">
        <f t="shared" si="10"/>
        <v>1</v>
      </c>
      <c r="CN66" s="1725">
        <f t="shared" si="11"/>
        <v>1</v>
      </c>
      <c r="CO66" s="1725">
        <f t="shared" si="12"/>
        <v>1</v>
      </c>
      <c r="CP66" s="2920">
        <f t="shared" si="17"/>
        <v>1</v>
      </c>
      <c r="CQ66" s="1725">
        <f t="shared" si="13"/>
        <v>1</v>
      </c>
      <c r="CR66" s="1725">
        <f t="shared" si="14"/>
        <v>1</v>
      </c>
    </row>
    <row r="67" spans="1:96" x14ac:dyDescent="0.3">
      <c r="A67" s="6234">
        <v>19170401</v>
      </c>
      <c r="B67" s="6350"/>
      <c r="C67" s="2724" t="s">
        <v>2837</v>
      </c>
      <c r="D67" s="8845" t="s">
        <v>5292</v>
      </c>
      <c r="E67" s="8846" t="s">
        <v>5293</v>
      </c>
      <c r="F67" s="6220" t="s">
        <v>5294</v>
      </c>
      <c r="G67" s="8815" t="s">
        <v>5295</v>
      </c>
      <c r="H67" s="8821" t="s">
        <v>5296</v>
      </c>
      <c r="I67" s="8815" t="s">
        <v>5297</v>
      </c>
      <c r="J67" s="8821" t="s">
        <v>5298</v>
      </c>
      <c r="K67" s="8815" t="s">
        <v>5299</v>
      </c>
      <c r="L67" s="8656" t="s">
        <v>5300</v>
      </c>
      <c r="M67" s="8815" t="s">
        <v>5301</v>
      </c>
      <c r="N67" s="8656" t="s">
        <v>5302</v>
      </c>
      <c r="O67" s="8815" t="s">
        <v>5303</v>
      </c>
      <c r="P67" s="8656" t="s">
        <v>5304</v>
      </c>
      <c r="Q67" s="8815" t="s">
        <v>5305</v>
      </c>
      <c r="R67" s="8656" t="s">
        <v>5306</v>
      </c>
      <c r="S67" s="8815" t="s">
        <v>5307</v>
      </c>
      <c r="T67" s="8656" t="s">
        <v>5308</v>
      </c>
      <c r="U67" s="8815" t="s">
        <v>5309</v>
      </c>
      <c r="V67" s="8656" t="s">
        <v>5310</v>
      </c>
      <c r="W67" s="8815" t="s">
        <v>5311</v>
      </c>
      <c r="X67" s="8656" t="s">
        <v>5312</v>
      </c>
      <c r="Y67" s="8815" t="s">
        <v>5313</v>
      </c>
      <c r="Z67" s="8656" t="s">
        <v>5314</v>
      </c>
      <c r="AA67" s="8815" t="s">
        <v>5315</v>
      </c>
      <c r="AB67" s="8656" t="s">
        <v>5316</v>
      </c>
      <c r="AC67" s="8815" t="s">
        <v>5317</v>
      </c>
      <c r="AD67" s="8656" t="s">
        <v>5318</v>
      </c>
      <c r="AE67" s="8847" t="s">
        <v>5319</v>
      </c>
      <c r="AF67" s="8848" t="s">
        <v>5320</v>
      </c>
      <c r="AG67" s="8815" t="s">
        <v>5321</v>
      </c>
      <c r="AH67" s="8835" t="s">
        <v>5322</v>
      </c>
      <c r="AI67" s="8815" t="s">
        <v>5323</v>
      </c>
      <c r="AJ67" s="8835" t="s">
        <v>5324</v>
      </c>
      <c r="AK67" s="8815" t="s">
        <v>5325</v>
      </c>
      <c r="AL67" s="8835" t="s">
        <v>5326</v>
      </c>
      <c r="AM67" s="8836" t="s">
        <v>5327</v>
      </c>
      <c r="AN67" s="8837" t="s">
        <v>5328</v>
      </c>
      <c r="AO67" s="8805" t="s">
        <v>5329</v>
      </c>
      <c r="AP67" s="8724" t="s">
        <v>5330</v>
      </c>
      <c r="AQ67" s="8728" t="s">
        <v>5331</v>
      </c>
      <c r="AR67" s="8727" t="s">
        <v>5332</v>
      </c>
      <c r="AS67" s="8727" t="s">
        <v>5333</v>
      </c>
      <c r="AT67" s="8727" t="s">
        <v>5334</v>
      </c>
      <c r="AU67" s="8727" t="s">
        <v>5335</v>
      </c>
      <c r="AV67" s="8727" t="s">
        <v>5336</v>
      </c>
      <c r="AW67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7" s="2784" t="str">
        <f t="shared" si="1"/>
        <v xml:space="preserve">* El Número de Espacios Amigables no puede superar el Total. </v>
      </c>
      <c r="CC67" s="2784" t="str">
        <f t="shared" si="2"/>
        <v xml:space="preserve">* El Número de TRANS Masculino no puede superar el Total Mujeres. </v>
      </c>
      <c r="CD67" s="2784" t="str">
        <f t="shared" si="3"/>
        <v xml:space="preserve">* El Número de TRANS Femenino no puede superar el Total Hombres. </v>
      </c>
      <c r="CE67" s="2784" t="str">
        <f t="shared" si="4"/>
        <v xml:space="preserve">* El Número de Pueblos Originarios no puede superar el Total. </v>
      </c>
      <c r="CF67" s="2784" t="str">
        <f t="shared" si="5"/>
        <v xml:space="preserve">* El Número de Migrantes no puede superar el Total. </v>
      </c>
      <c r="CG67" s="2919" t="str">
        <f t="shared" si="16"/>
        <v xml:space="preserve">* La variable 14-18 años no puede ser mayor al total por grupo edad de 10 a 19 años. </v>
      </c>
      <c r="CH67" s="2784" t="str">
        <f t="shared" si="6"/>
        <v xml:space="preserve">* El Número de Niños, Niñas, Adolescentes y Jóvenes SENAME no puede superar el Total. </v>
      </c>
      <c r="CI67" s="2784" t="str">
        <f t="shared" si="7"/>
        <v xml:space="preserve">* El Número de Niños, Niñas, Adolescentes y Jóvenes Mejor Niñez no puede superar el Total. </v>
      </c>
      <c r="CJ67" s="2630"/>
      <c r="CK67" s="1725">
        <f t="shared" si="8"/>
        <v>1</v>
      </c>
      <c r="CL67" s="1725">
        <f t="shared" si="9"/>
        <v>1</v>
      </c>
      <c r="CM67" s="1725">
        <f t="shared" si="10"/>
        <v>1</v>
      </c>
      <c r="CN67" s="1725">
        <f t="shared" si="11"/>
        <v>1</v>
      </c>
      <c r="CO67" s="1725">
        <f t="shared" si="12"/>
        <v>1</v>
      </c>
      <c r="CP67" s="2920">
        <f t="shared" si="17"/>
        <v>1</v>
      </c>
      <c r="CQ67" s="1725">
        <f t="shared" si="13"/>
        <v>1</v>
      </c>
      <c r="CR67" s="1725">
        <f t="shared" si="14"/>
        <v>1</v>
      </c>
    </row>
    <row r="68" spans="1:96" x14ac:dyDescent="0.3">
      <c r="A68" s="6234">
        <v>19190107</v>
      </c>
      <c r="B68" s="4617" t="s">
        <v>2847</v>
      </c>
      <c r="C68" s="4257" t="s">
        <v>275</v>
      </c>
      <c r="D68" s="8849" t="s">
        <v>5292</v>
      </c>
      <c r="E68" s="8850" t="s">
        <v>5293</v>
      </c>
      <c r="F68" s="8851" t="s">
        <v>5294</v>
      </c>
      <c r="G68" s="8852" t="s">
        <v>5295</v>
      </c>
      <c r="H68" s="8853" t="s">
        <v>5296</v>
      </c>
      <c r="I68" s="8852" t="s">
        <v>5297</v>
      </c>
      <c r="J68" s="8853" t="s">
        <v>5298</v>
      </c>
      <c r="K68" s="8852" t="s">
        <v>5299</v>
      </c>
      <c r="L68" s="8854" t="s">
        <v>5300</v>
      </c>
      <c r="M68" s="8855" t="s">
        <v>5301</v>
      </c>
      <c r="N68" s="8856" t="s">
        <v>5302</v>
      </c>
      <c r="O68" s="8855" t="s">
        <v>5303</v>
      </c>
      <c r="P68" s="8856" t="s">
        <v>5304</v>
      </c>
      <c r="Q68" s="8855" t="s">
        <v>5305</v>
      </c>
      <c r="R68" s="8856" t="s">
        <v>5306</v>
      </c>
      <c r="S68" s="8855" t="s">
        <v>5307</v>
      </c>
      <c r="T68" s="8856" t="s">
        <v>5308</v>
      </c>
      <c r="U68" s="8855" t="s">
        <v>5309</v>
      </c>
      <c r="V68" s="8856" t="s">
        <v>5310</v>
      </c>
      <c r="W68" s="8855" t="s">
        <v>5311</v>
      </c>
      <c r="X68" s="8856" t="s">
        <v>5312</v>
      </c>
      <c r="Y68" s="8855" t="s">
        <v>5313</v>
      </c>
      <c r="Z68" s="8856" t="s">
        <v>5314</v>
      </c>
      <c r="AA68" s="8855" t="s">
        <v>5315</v>
      </c>
      <c r="AB68" s="8856" t="s">
        <v>5316</v>
      </c>
      <c r="AC68" s="8855" t="s">
        <v>5317</v>
      </c>
      <c r="AD68" s="8856" t="s">
        <v>5318</v>
      </c>
      <c r="AE68" s="8857" t="s">
        <v>5319</v>
      </c>
      <c r="AF68" s="8858" t="s">
        <v>5320</v>
      </c>
      <c r="AG68" s="8855" t="s">
        <v>5321</v>
      </c>
      <c r="AH68" s="8856" t="s">
        <v>5322</v>
      </c>
      <c r="AI68" s="8855" t="s">
        <v>5323</v>
      </c>
      <c r="AJ68" s="8856" t="s">
        <v>5324</v>
      </c>
      <c r="AK68" s="8855" t="s">
        <v>5325</v>
      </c>
      <c r="AL68" s="8856" t="s">
        <v>5326</v>
      </c>
      <c r="AM68" s="8859" t="s">
        <v>5327</v>
      </c>
      <c r="AN68" s="8860" t="s">
        <v>5328</v>
      </c>
      <c r="AO68" s="8861" t="s">
        <v>5329</v>
      </c>
      <c r="AP68" s="8862" t="s">
        <v>5330</v>
      </c>
      <c r="AQ68" s="8853" t="s">
        <v>5331</v>
      </c>
      <c r="AR68" s="8863" t="s">
        <v>5332</v>
      </c>
      <c r="AS68" s="8863" t="s">
        <v>5333</v>
      </c>
      <c r="AT68" s="8863" t="s">
        <v>5334</v>
      </c>
      <c r="AU68" s="8863" t="s">
        <v>5335</v>
      </c>
      <c r="AV68" s="8863" t="s">
        <v>5336</v>
      </c>
      <c r="AW68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8" s="2784" t="str">
        <f t="shared" si="1"/>
        <v xml:space="preserve">* El Número de Espacios Amigables no puede superar el Total. </v>
      </c>
      <c r="CC68" s="2784" t="str">
        <f t="shared" si="2"/>
        <v xml:space="preserve">* El Número de TRANS Masculino no puede superar el Total Mujeres. </v>
      </c>
      <c r="CD68" s="2784" t="str">
        <f t="shared" si="3"/>
        <v xml:space="preserve">* El Número de TRANS Femenino no puede superar el Total Hombres. </v>
      </c>
      <c r="CE68" s="2784" t="str">
        <f t="shared" si="4"/>
        <v xml:space="preserve">* El Número de Pueblos Originarios no puede superar el Total. </v>
      </c>
      <c r="CF68" s="2784" t="str">
        <f t="shared" si="5"/>
        <v xml:space="preserve">* El Número de Migrantes no puede superar el Total. </v>
      </c>
      <c r="CG68" s="2919" t="str">
        <f t="shared" si="16"/>
        <v xml:space="preserve">* La variable 14-18 años no puede ser mayor al total por grupo edad de 10 a 19 años. </v>
      </c>
      <c r="CH68" s="2784" t="str">
        <f t="shared" si="6"/>
        <v xml:space="preserve">* El Número de Niños, Niñas, Adolescentes y Jóvenes SENAME no puede superar el Total. </v>
      </c>
      <c r="CI68" s="2784" t="str">
        <f t="shared" si="7"/>
        <v xml:space="preserve">* El Número de Niños, Niñas, Adolescentes y Jóvenes Mejor Niñez no puede superar el Total. </v>
      </c>
      <c r="CJ68" s="2630"/>
      <c r="CK68" s="1725">
        <f t="shared" si="8"/>
        <v>1</v>
      </c>
      <c r="CL68" s="1725">
        <f t="shared" si="9"/>
        <v>1</v>
      </c>
      <c r="CM68" s="1725">
        <f t="shared" si="10"/>
        <v>1</v>
      </c>
      <c r="CN68" s="1725">
        <f t="shared" si="11"/>
        <v>1</v>
      </c>
      <c r="CO68" s="1725">
        <f t="shared" si="12"/>
        <v>1</v>
      </c>
      <c r="CP68" s="2920">
        <f t="shared" si="17"/>
        <v>1</v>
      </c>
      <c r="CQ68" s="1725">
        <f t="shared" si="13"/>
        <v>1</v>
      </c>
      <c r="CR68" s="1725">
        <f t="shared" si="14"/>
        <v>1</v>
      </c>
    </row>
    <row r="69" spans="1:96" x14ac:dyDescent="0.3">
      <c r="A69" s="6234">
        <v>19140604</v>
      </c>
      <c r="B69" s="6634" t="s">
        <v>3862</v>
      </c>
      <c r="C69" s="3378" t="s">
        <v>74</v>
      </c>
      <c r="D69" s="8774" t="s">
        <v>5292</v>
      </c>
      <c r="E69" s="8674" t="s">
        <v>5293</v>
      </c>
      <c r="F69" s="6229" t="s">
        <v>5294</v>
      </c>
      <c r="G69" s="8671" t="s">
        <v>5295</v>
      </c>
      <c r="H69" s="8676" t="s">
        <v>5296</v>
      </c>
      <c r="I69" s="8671" t="s">
        <v>5297</v>
      </c>
      <c r="J69" s="8676" t="s">
        <v>5298</v>
      </c>
      <c r="K69" s="8671" t="s">
        <v>5299</v>
      </c>
      <c r="L69" s="8676" t="s">
        <v>5300</v>
      </c>
      <c r="M69" s="8671" t="s">
        <v>5301</v>
      </c>
      <c r="N69" s="8676" t="s">
        <v>5302</v>
      </c>
      <c r="O69" s="8671" t="s">
        <v>5303</v>
      </c>
      <c r="P69" s="8676" t="s">
        <v>5304</v>
      </c>
      <c r="Q69" s="8671" t="s">
        <v>5305</v>
      </c>
      <c r="R69" s="8676" t="s">
        <v>5306</v>
      </c>
      <c r="S69" s="8671" t="s">
        <v>5307</v>
      </c>
      <c r="T69" s="8676" t="s">
        <v>5308</v>
      </c>
      <c r="U69" s="8671" t="s">
        <v>5309</v>
      </c>
      <c r="V69" s="8676" t="s">
        <v>5310</v>
      </c>
      <c r="W69" s="8671" t="s">
        <v>5311</v>
      </c>
      <c r="X69" s="8676" t="s">
        <v>5312</v>
      </c>
      <c r="Y69" s="8671" t="s">
        <v>5313</v>
      </c>
      <c r="Z69" s="8676" t="s">
        <v>5314</v>
      </c>
      <c r="AA69" s="8671" t="s">
        <v>5315</v>
      </c>
      <c r="AB69" s="8676" t="s">
        <v>5316</v>
      </c>
      <c r="AC69" s="8671" t="s">
        <v>5317</v>
      </c>
      <c r="AD69" s="8676" t="s">
        <v>5318</v>
      </c>
      <c r="AE69" s="8671" t="s">
        <v>5319</v>
      </c>
      <c r="AF69" s="8676" t="s">
        <v>5320</v>
      </c>
      <c r="AG69" s="8671" t="s">
        <v>5321</v>
      </c>
      <c r="AH69" s="8676" t="s">
        <v>5322</v>
      </c>
      <c r="AI69" s="8671" t="s">
        <v>5323</v>
      </c>
      <c r="AJ69" s="8676" t="s">
        <v>5324</v>
      </c>
      <c r="AK69" s="8671" t="s">
        <v>5325</v>
      </c>
      <c r="AL69" s="8676" t="s">
        <v>5326</v>
      </c>
      <c r="AM69" s="8671" t="s">
        <v>5327</v>
      </c>
      <c r="AN69" s="8676" t="s">
        <v>5328</v>
      </c>
      <c r="AO69" s="8792" t="s">
        <v>5329</v>
      </c>
      <c r="AP69" s="8715" t="s">
        <v>5330</v>
      </c>
      <c r="AQ69" s="8719" t="s">
        <v>5331</v>
      </c>
      <c r="AR69" s="8718" t="s">
        <v>5332</v>
      </c>
      <c r="AS69" s="8718" t="s">
        <v>5333</v>
      </c>
      <c r="AT69" s="8718" t="s">
        <v>5334</v>
      </c>
      <c r="AU69" s="8718" t="s">
        <v>5335</v>
      </c>
      <c r="AV69" s="8718" t="s">
        <v>5336</v>
      </c>
      <c r="AW69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9" s="2784" t="str">
        <f t="shared" si="1"/>
        <v xml:space="preserve">* El Número de Espacios Amigables no puede superar el Total. </v>
      </c>
      <c r="CC69" s="2784" t="str">
        <f t="shared" si="2"/>
        <v xml:space="preserve">* El Número de TRANS Masculino no puede superar el Total Mujeres. </v>
      </c>
      <c r="CD69" s="2784" t="str">
        <f t="shared" si="3"/>
        <v xml:space="preserve">* El Número de TRANS Femenino no puede superar el Total Hombres. </v>
      </c>
      <c r="CE69" s="2784" t="str">
        <f t="shared" si="4"/>
        <v xml:space="preserve">* El Número de Pueblos Originarios no puede superar el Total. </v>
      </c>
      <c r="CF69" s="2784" t="str">
        <f t="shared" si="5"/>
        <v xml:space="preserve">* El Número de Migrantes no puede superar el Total. </v>
      </c>
      <c r="CG69" s="2919" t="str">
        <f t="shared" si="16"/>
        <v xml:space="preserve">* La variable 14-18 años no puede ser mayor al total por grupo edad de 10 a 19 años. </v>
      </c>
      <c r="CH69" s="2784" t="str">
        <f t="shared" si="6"/>
        <v xml:space="preserve">* El Número de Niños, Niñas, Adolescentes y Jóvenes SENAME no puede superar el Total. </v>
      </c>
      <c r="CI69" s="2784" t="str">
        <f t="shared" si="7"/>
        <v xml:space="preserve">* El Número de Niños, Niñas, Adolescentes y Jóvenes Mejor Niñez no puede superar el Total. </v>
      </c>
      <c r="CJ69" s="2630"/>
      <c r="CK69" s="1725">
        <f t="shared" si="8"/>
        <v>1</v>
      </c>
      <c r="CL69" s="1725">
        <f t="shared" si="9"/>
        <v>1</v>
      </c>
      <c r="CM69" s="1725">
        <f t="shared" si="10"/>
        <v>1</v>
      </c>
      <c r="CN69" s="1725">
        <f t="shared" si="11"/>
        <v>1</v>
      </c>
      <c r="CO69" s="1725">
        <f t="shared" si="12"/>
        <v>1</v>
      </c>
      <c r="CP69" s="2920">
        <f t="shared" si="17"/>
        <v>1</v>
      </c>
      <c r="CQ69" s="1725">
        <f t="shared" si="13"/>
        <v>1</v>
      </c>
      <c r="CR69" s="1725">
        <f t="shared" si="14"/>
        <v>1</v>
      </c>
    </row>
    <row r="70" spans="1:96" x14ac:dyDescent="0.3">
      <c r="A70" s="6234">
        <v>19140605</v>
      </c>
      <c r="B70" s="6634"/>
      <c r="C70" s="3381" t="s">
        <v>275</v>
      </c>
      <c r="D70" s="3875" t="s">
        <v>5292</v>
      </c>
      <c r="E70" s="8786" t="s">
        <v>5293</v>
      </c>
      <c r="F70" s="6219" t="s">
        <v>5294</v>
      </c>
      <c r="G70" s="8743" t="s">
        <v>5295</v>
      </c>
      <c r="H70" s="8788" t="s">
        <v>5296</v>
      </c>
      <c r="I70" s="8743" t="s">
        <v>5297</v>
      </c>
      <c r="J70" s="8788" t="s">
        <v>5298</v>
      </c>
      <c r="K70" s="8743" t="s">
        <v>5299</v>
      </c>
      <c r="L70" s="8788" t="s">
        <v>5300</v>
      </c>
      <c r="M70" s="8743" t="s">
        <v>5301</v>
      </c>
      <c r="N70" s="8788" t="s">
        <v>5302</v>
      </c>
      <c r="O70" s="8743" t="s">
        <v>5303</v>
      </c>
      <c r="P70" s="8788" t="s">
        <v>5304</v>
      </c>
      <c r="Q70" s="8743" t="s">
        <v>5305</v>
      </c>
      <c r="R70" s="8788" t="s">
        <v>5306</v>
      </c>
      <c r="S70" s="8743" t="s">
        <v>5307</v>
      </c>
      <c r="T70" s="8788" t="s">
        <v>5308</v>
      </c>
      <c r="U70" s="8743" t="s">
        <v>5309</v>
      </c>
      <c r="V70" s="8788" t="s">
        <v>5310</v>
      </c>
      <c r="W70" s="8743" t="s">
        <v>5311</v>
      </c>
      <c r="X70" s="8788" t="s">
        <v>5312</v>
      </c>
      <c r="Y70" s="8743" t="s">
        <v>5313</v>
      </c>
      <c r="Z70" s="8788" t="s">
        <v>5314</v>
      </c>
      <c r="AA70" s="8743" t="s">
        <v>5315</v>
      </c>
      <c r="AB70" s="8788" t="s">
        <v>5316</v>
      </c>
      <c r="AC70" s="8743" t="s">
        <v>5317</v>
      </c>
      <c r="AD70" s="8788" t="s">
        <v>5318</v>
      </c>
      <c r="AE70" s="8743" t="s">
        <v>5319</v>
      </c>
      <c r="AF70" s="8788" t="s">
        <v>5320</v>
      </c>
      <c r="AG70" s="8743" t="s">
        <v>5321</v>
      </c>
      <c r="AH70" s="8788" t="s">
        <v>5322</v>
      </c>
      <c r="AI70" s="8743" t="s">
        <v>5323</v>
      </c>
      <c r="AJ70" s="8788" t="s">
        <v>5324</v>
      </c>
      <c r="AK70" s="8743" t="s">
        <v>5325</v>
      </c>
      <c r="AL70" s="8788" t="s">
        <v>5326</v>
      </c>
      <c r="AM70" s="8743" t="s">
        <v>5327</v>
      </c>
      <c r="AN70" s="8788" t="s">
        <v>5328</v>
      </c>
      <c r="AO70" s="8792" t="s">
        <v>5329</v>
      </c>
      <c r="AP70" s="8715" t="s">
        <v>5330</v>
      </c>
      <c r="AQ70" s="8719" t="s">
        <v>5331</v>
      </c>
      <c r="AR70" s="8718" t="s">
        <v>5332</v>
      </c>
      <c r="AS70" s="8718" t="s">
        <v>5333</v>
      </c>
      <c r="AT70" s="8718" t="s">
        <v>5334</v>
      </c>
      <c r="AU70" s="8718" t="s">
        <v>5335</v>
      </c>
      <c r="AV70" s="8718" t="s">
        <v>5336</v>
      </c>
      <c r="AW70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0" s="2784" t="str">
        <f t="shared" si="1"/>
        <v xml:space="preserve">* El Número de Espacios Amigables no puede superar el Total. </v>
      </c>
      <c r="CC70" s="2784" t="str">
        <f t="shared" si="2"/>
        <v xml:space="preserve">* El Número de TRANS Masculino no puede superar el Total Mujeres. </v>
      </c>
      <c r="CD70" s="2784" t="str">
        <f t="shared" si="3"/>
        <v xml:space="preserve">* El Número de TRANS Femenino no puede superar el Total Hombres. </v>
      </c>
      <c r="CE70" s="2784" t="str">
        <f t="shared" si="4"/>
        <v xml:space="preserve">* El Número de Pueblos Originarios no puede superar el Total. </v>
      </c>
      <c r="CF70" s="2784" t="str">
        <f t="shared" si="5"/>
        <v xml:space="preserve">* El Número de Migrantes no puede superar el Total. </v>
      </c>
      <c r="CG70" s="2919" t="str">
        <f t="shared" si="16"/>
        <v xml:space="preserve">* La variable 14-18 años no puede ser mayor al total por grupo edad de 10 a 19 años. </v>
      </c>
      <c r="CH70" s="2784" t="str">
        <f t="shared" si="6"/>
        <v xml:space="preserve">* El Número de Niños, Niñas, Adolescentes y Jóvenes SENAME no puede superar el Total. </v>
      </c>
      <c r="CI70" s="2784" t="str">
        <f t="shared" si="7"/>
        <v xml:space="preserve">* El Número de Niños, Niñas, Adolescentes y Jóvenes Mejor Niñez no puede superar el Total. </v>
      </c>
      <c r="CJ70" s="2630"/>
      <c r="CK70" s="1725">
        <f t="shared" si="8"/>
        <v>1</v>
      </c>
      <c r="CL70" s="1725">
        <f t="shared" si="9"/>
        <v>1</v>
      </c>
      <c r="CM70" s="1725">
        <f t="shared" si="10"/>
        <v>1</v>
      </c>
      <c r="CN70" s="1725">
        <f t="shared" si="11"/>
        <v>1</v>
      </c>
      <c r="CO70" s="1725">
        <f t="shared" si="12"/>
        <v>1</v>
      </c>
      <c r="CP70" s="2920">
        <f t="shared" si="17"/>
        <v>1</v>
      </c>
      <c r="CQ70" s="1725">
        <f t="shared" si="13"/>
        <v>1</v>
      </c>
      <c r="CR70" s="1725">
        <f t="shared" si="14"/>
        <v>1</v>
      </c>
    </row>
    <row r="71" spans="1:96" x14ac:dyDescent="0.3">
      <c r="A71" s="6234">
        <v>19140606</v>
      </c>
      <c r="B71" s="6634"/>
      <c r="C71" s="3381" t="s">
        <v>77</v>
      </c>
      <c r="D71" s="3875" t="s">
        <v>5292</v>
      </c>
      <c r="E71" s="8786" t="s">
        <v>5293</v>
      </c>
      <c r="F71" s="6219" t="s">
        <v>5294</v>
      </c>
      <c r="G71" s="8743" t="s">
        <v>5295</v>
      </c>
      <c r="H71" s="8788" t="s">
        <v>5296</v>
      </c>
      <c r="I71" s="8743" t="s">
        <v>5297</v>
      </c>
      <c r="J71" s="8788" t="s">
        <v>5298</v>
      </c>
      <c r="K71" s="8743" t="s">
        <v>5299</v>
      </c>
      <c r="L71" s="8788" t="s">
        <v>5300</v>
      </c>
      <c r="M71" s="8743" t="s">
        <v>5301</v>
      </c>
      <c r="N71" s="8788" t="s">
        <v>5302</v>
      </c>
      <c r="O71" s="8743" t="s">
        <v>5303</v>
      </c>
      <c r="P71" s="8788" t="s">
        <v>5304</v>
      </c>
      <c r="Q71" s="8743" t="s">
        <v>5305</v>
      </c>
      <c r="R71" s="8788" t="s">
        <v>5306</v>
      </c>
      <c r="S71" s="8743" t="s">
        <v>5307</v>
      </c>
      <c r="T71" s="8788" t="s">
        <v>5308</v>
      </c>
      <c r="U71" s="8743" t="s">
        <v>5309</v>
      </c>
      <c r="V71" s="8788" t="s">
        <v>5310</v>
      </c>
      <c r="W71" s="8743" t="s">
        <v>5311</v>
      </c>
      <c r="X71" s="8788" t="s">
        <v>5312</v>
      </c>
      <c r="Y71" s="8743" t="s">
        <v>5313</v>
      </c>
      <c r="Z71" s="8788" t="s">
        <v>5314</v>
      </c>
      <c r="AA71" s="8743" t="s">
        <v>5315</v>
      </c>
      <c r="AB71" s="8788" t="s">
        <v>5316</v>
      </c>
      <c r="AC71" s="8743" t="s">
        <v>5317</v>
      </c>
      <c r="AD71" s="8788" t="s">
        <v>5318</v>
      </c>
      <c r="AE71" s="8743" t="s">
        <v>5319</v>
      </c>
      <c r="AF71" s="8788" t="s">
        <v>5320</v>
      </c>
      <c r="AG71" s="8743" t="s">
        <v>5321</v>
      </c>
      <c r="AH71" s="8788" t="s">
        <v>5322</v>
      </c>
      <c r="AI71" s="8743" t="s">
        <v>5323</v>
      </c>
      <c r="AJ71" s="8788" t="s">
        <v>5324</v>
      </c>
      <c r="AK71" s="8743" t="s">
        <v>5325</v>
      </c>
      <c r="AL71" s="8788" t="s">
        <v>5326</v>
      </c>
      <c r="AM71" s="8743" t="s">
        <v>5327</v>
      </c>
      <c r="AN71" s="8788" t="s">
        <v>5328</v>
      </c>
      <c r="AO71" s="8792" t="s">
        <v>5329</v>
      </c>
      <c r="AP71" s="8715" t="s">
        <v>5330</v>
      </c>
      <c r="AQ71" s="8719" t="s">
        <v>5331</v>
      </c>
      <c r="AR71" s="8718" t="s">
        <v>5332</v>
      </c>
      <c r="AS71" s="8718" t="s">
        <v>5333</v>
      </c>
      <c r="AT71" s="8718" t="s">
        <v>5334</v>
      </c>
      <c r="AU71" s="8718" t="s">
        <v>5335</v>
      </c>
      <c r="AV71" s="8718" t="s">
        <v>5336</v>
      </c>
      <c r="AW71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1" s="2784" t="str">
        <f t="shared" si="1"/>
        <v xml:space="preserve">* El Número de Espacios Amigables no puede superar el Total. </v>
      </c>
      <c r="CC71" s="2784" t="str">
        <f t="shared" si="2"/>
        <v xml:space="preserve">* El Número de TRANS Masculino no puede superar el Total Mujeres. </v>
      </c>
      <c r="CD71" s="2784" t="str">
        <f t="shared" si="3"/>
        <v xml:space="preserve">* El Número de TRANS Femenino no puede superar el Total Hombres. </v>
      </c>
      <c r="CE71" s="2784" t="str">
        <f t="shared" si="4"/>
        <v xml:space="preserve">* El Número de Pueblos Originarios no puede superar el Total. </v>
      </c>
      <c r="CF71" s="2784" t="str">
        <f t="shared" si="5"/>
        <v xml:space="preserve">* El Número de Migrantes no puede superar el Total. </v>
      </c>
      <c r="CG71" s="2919" t="str">
        <f t="shared" si="16"/>
        <v xml:space="preserve">* La variable 14-18 años no puede ser mayor al total por grupo edad de 10 a 19 años. </v>
      </c>
      <c r="CH71" s="2784" t="str">
        <f t="shared" si="6"/>
        <v xml:space="preserve">* El Número de Niños, Niñas, Adolescentes y Jóvenes SENAME no puede superar el Total. </v>
      </c>
      <c r="CI71" s="2784" t="str">
        <f t="shared" si="7"/>
        <v xml:space="preserve">* El Número de Niños, Niñas, Adolescentes y Jóvenes Mejor Niñez no puede superar el Total. </v>
      </c>
      <c r="CJ71" s="2630"/>
      <c r="CK71" s="1725">
        <f t="shared" si="8"/>
        <v>1</v>
      </c>
      <c r="CL71" s="1725">
        <f t="shared" si="9"/>
        <v>1</v>
      </c>
      <c r="CM71" s="1725">
        <f t="shared" si="10"/>
        <v>1</v>
      </c>
      <c r="CN71" s="1725">
        <f t="shared" si="11"/>
        <v>1</v>
      </c>
      <c r="CO71" s="1725">
        <f t="shared" si="12"/>
        <v>1</v>
      </c>
      <c r="CP71" s="2920">
        <f t="shared" si="17"/>
        <v>1</v>
      </c>
      <c r="CQ71" s="1725">
        <f t="shared" si="13"/>
        <v>1</v>
      </c>
      <c r="CR71" s="1725">
        <f t="shared" si="14"/>
        <v>1</v>
      </c>
    </row>
    <row r="72" spans="1:96" x14ac:dyDescent="0.3">
      <c r="A72" s="6234">
        <v>19140607</v>
      </c>
      <c r="B72" s="6634"/>
      <c r="C72" s="3381" t="s">
        <v>566</v>
      </c>
      <c r="D72" s="3875" t="s">
        <v>5292</v>
      </c>
      <c r="E72" s="8786" t="s">
        <v>5293</v>
      </c>
      <c r="F72" s="6219" t="s">
        <v>5294</v>
      </c>
      <c r="G72" s="8743" t="s">
        <v>5295</v>
      </c>
      <c r="H72" s="8788" t="s">
        <v>5296</v>
      </c>
      <c r="I72" s="8743" t="s">
        <v>5297</v>
      </c>
      <c r="J72" s="8788" t="s">
        <v>5298</v>
      </c>
      <c r="K72" s="8743" t="s">
        <v>5299</v>
      </c>
      <c r="L72" s="8788" t="s">
        <v>5300</v>
      </c>
      <c r="M72" s="8743" t="s">
        <v>5301</v>
      </c>
      <c r="N72" s="8788" t="s">
        <v>5302</v>
      </c>
      <c r="O72" s="8743" t="s">
        <v>5303</v>
      </c>
      <c r="P72" s="8788" t="s">
        <v>5304</v>
      </c>
      <c r="Q72" s="8743" t="s">
        <v>5305</v>
      </c>
      <c r="R72" s="8788" t="s">
        <v>5306</v>
      </c>
      <c r="S72" s="8743" t="s">
        <v>5307</v>
      </c>
      <c r="T72" s="8788" t="s">
        <v>5308</v>
      </c>
      <c r="U72" s="8743" t="s">
        <v>5309</v>
      </c>
      <c r="V72" s="8788" t="s">
        <v>5310</v>
      </c>
      <c r="W72" s="8743" t="s">
        <v>5311</v>
      </c>
      <c r="X72" s="8788" t="s">
        <v>5312</v>
      </c>
      <c r="Y72" s="8743" t="s">
        <v>5313</v>
      </c>
      <c r="Z72" s="8788" t="s">
        <v>5314</v>
      </c>
      <c r="AA72" s="8743" t="s">
        <v>5315</v>
      </c>
      <c r="AB72" s="8788" t="s">
        <v>5316</v>
      </c>
      <c r="AC72" s="8743" t="s">
        <v>5317</v>
      </c>
      <c r="AD72" s="8788" t="s">
        <v>5318</v>
      </c>
      <c r="AE72" s="8743" t="s">
        <v>5319</v>
      </c>
      <c r="AF72" s="8788" t="s">
        <v>5320</v>
      </c>
      <c r="AG72" s="8743" t="s">
        <v>5321</v>
      </c>
      <c r="AH72" s="8788" t="s">
        <v>5322</v>
      </c>
      <c r="AI72" s="8743" t="s">
        <v>5323</v>
      </c>
      <c r="AJ72" s="8788" t="s">
        <v>5324</v>
      </c>
      <c r="AK72" s="8743" t="s">
        <v>5325</v>
      </c>
      <c r="AL72" s="8788" t="s">
        <v>5326</v>
      </c>
      <c r="AM72" s="8743" t="s">
        <v>5327</v>
      </c>
      <c r="AN72" s="8788" t="s">
        <v>5328</v>
      </c>
      <c r="AO72" s="8792" t="s">
        <v>5329</v>
      </c>
      <c r="AP72" s="8715" t="s">
        <v>5330</v>
      </c>
      <c r="AQ72" s="8719" t="s">
        <v>5331</v>
      </c>
      <c r="AR72" s="8718" t="s">
        <v>5332</v>
      </c>
      <c r="AS72" s="8718" t="s">
        <v>5333</v>
      </c>
      <c r="AT72" s="8718" t="s">
        <v>5334</v>
      </c>
      <c r="AU72" s="8718" t="s">
        <v>5335</v>
      </c>
      <c r="AV72" s="8718" t="s">
        <v>5336</v>
      </c>
      <c r="AW72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2" s="2784" t="str">
        <f t="shared" si="1"/>
        <v xml:space="preserve">* El Número de Espacios Amigables no puede superar el Total. </v>
      </c>
      <c r="CC72" s="2784" t="str">
        <f t="shared" si="2"/>
        <v xml:space="preserve">* El Número de TRANS Masculino no puede superar el Total Mujeres. </v>
      </c>
      <c r="CD72" s="2784" t="str">
        <f t="shared" si="3"/>
        <v xml:space="preserve">* El Número de TRANS Femenino no puede superar el Total Hombres. </v>
      </c>
      <c r="CE72" s="2784" t="str">
        <f t="shared" si="4"/>
        <v xml:space="preserve">* El Número de Pueblos Originarios no puede superar el Total. </v>
      </c>
      <c r="CF72" s="2784" t="str">
        <f t="shared" si="5"/>
        <v xml:space="preserve">* El Número de Migrantes no puede superar el Total. </v>
      </c>
      <c r="CG72" s="2919" t="str">
        <f t="shared" si="16"/>
        <v xml:space="preserve">* La variable 14-18 años no puede ser mayor al total por grupo edad de 10 a 19 años. </v>
      </c>
      <c r="CH72" s="2784" t="str">
        <f t="shared" si="6"/>
        <v xml:space="preserve">* El Número de Niños, Niñas, Adolescentes y Jóvenes SENAME no puede superar el Total. </v>
      </c>
      <c r="CI72" s="2784" t="str">
        <f t="shared" si="7"/>
        <v xml:space="preserve">* El Número de Niños, Niñas, Adolescentes y Jóvenes Mejor Niñez no puede superar el Total. </v>
      </c>
      <c r="CJ72" s="2630"/>
      <c r="CK72" s="1725">
        <f t="shared" si="8"/>
        <v>1</v>
      </c>
      <c r="CL72" s="1725">
        <f t="shared" si="9"/>
        <v>1</v>
      </c>
      <c r="CM72" s="1725">
        <f t="shared" si="10"/>
        <v>1</v>
      </c>
      <c r="CN72" s="1725">
        <f t="shared" si="11"/>
        <v>1</v>
      </c>
      <c r="CO72" s="1725">
        <f t="shared" si="12"/>
        <v>1</v>
      </c>
      <c r="CP72" s="2920">
        <f t="shared" si="17"/>
        <v>1</v>
      </c>
      <c r="CQ72" s="1725">
        <f t="shared" si="13"/>
        <v>1</v>
      </c>
      <c r="CR72" s="1725">
        <f t="shared" si="14"/>
        <v>1</v>
      </c>
    </row>
    <row r="73" spans="1:96" x14ac:dyDescent="0.3">
      <c r="A73" s="6234">
        <v>19140608</v>
      </c>
      <c r="B73" s="6634"/>
      <c r="C73" s="3381" t="s">
        <v>2842</v>
      </c>
      <c r="D73" s="3875" t="s">
        <v>5292</v>
      </c>
      <c r="E73" s="8786" t="s">
        <v>5293</v>
      </c>
      <c r="F73" s="6219" t="s">
        <v>5294</v>
      </c>
      <c r="G73" s="8743" t="s">
        <v>5295</v>
      </c>
      <c r="H73" s="8788" t="s">
        <v>5296</v>
      </c>
      <c r="I73" s="8743" t="s">
        <v>5297</v>
      </c>
      <c r="J73" s="8788" t="s">
        <v>5298</v>
      </c>
      <c r="K73" s="8743" t="s">
        <v>5299</v>
      </c>
      <c r="L73" s="8788" t="s">
        <v>5300</v>
      </c>
      <c r="M73" s="8743" t="s">
        <v>5301</v>
      </c>
      <c r="N73" s="8788" t="s">
        <v>5302</v>
      </c>
      <c r="O73" s="8743" t="s">
        <v>5303</v>
      </c>
      <c r="P73" s="8788" t="s">
        <v>5304</v>
      </c>
      <c r="Q73" s="8743" t="s">
        <v>5305</v>
      </c>
      <c r="R73" s="8788" t="s">
        <v>5306</v>
      </c>
      <c r="S73" s="8743" t="s">
        <v>5307</v>
      </c>
      <c r="T73" s="8788" t="s">
        <v>5308</v>
      </c>
      <c r="U73" s="8743" t="s">
        <v>5309</v>
      </c>
      <c r="V73" s="8788" t="s">
        <v>5310</v>
      </c>
      <c r="W73" s="8743" t="s">
        <v>5311</v>
      </c>
      <c r="X73" s="8788" t="s">
        <v>5312</v>
      </c>
      <c r="Y73" s="8743" t="s">
        <v>5313</v>
      </c>
      <c r="Z73" s="8788" t="s">
        <v>5314</v>
      </c>
      <c r="AA73" s="8743" t="s">
        <v>5315</v>
      </c>
      <c r="AB73" s="8788" t="s">
        <v>5316</v>
      </c>
      <c r="AC73" s="8743" t="s">
        <v>5317</v>
      </c>
      <c r="AD73" s="8788" t="s">
        <v>5318</v>
      </c>
      <c r="AE73" s="8743" t="s">
        <v>5319</v>
      </c>
      <c r="AF73" s="8788" t="s">
        <v>5320</v>
      </c>
      <c r="AG73" s="8743" t="s">
        <v>5321</v>
      </c>
      <c r="AH73" s="8788" t="s">
        <v>5322</v>
      </c>
      <c r="AI73" s="8743" t="s">
        <v>5323</v>
      </c>
      <c r="AJ73" s="8788" t="s">
        <v>5324</v>
      </c>
      <c r="AK73" s="8743" t="s">
        <v>5325</v>
      </c>
      <c r="AL73" s="8788" t="s">
        <v>5326</v>
      </c>
      <c r="AM73" s="8743" t="s">
        <v>5327</v>
      </c>
      <c r="AN73" s="8788" t="s">
        <v>5328</v>
      </c>
      <c r="AO73" s="8792" t="s">
        <v>5329</v>
      </c>
      <c r="AP73" s="8715" t="s">
        <v>5330</v>
      </c>
      <c r="AQ73" s="8719" t="s">
        <v>5331</v>
      </c>
      <c r="AR73" s="8718" t="s">
        <v>5332</v>
      </c>
      <c r="AS73" s="8718" t="s">
        <v>5333</v>
      </c>
      <c r="AT73" s="8718" t="s">
        <v>5334</v>
      </c>
      <c r="AU73" s="8718" t="s">
        <v>5335</v>
      </c>
      <c r="AV73" s="8718" t="s">
        <v>5336</v>
      </c>
      <c r="AW73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3" s="2784" t="str">
        <f t="shared" si="1"/>
        <v xml:space="preserve">* El Número de Espacios Amigables no puede superar el Total. </v>
      </c>
      <c r="CC73" s="2784" t="str">
        <f t="shared" si="2"/>
        <v xml:space="preserve">* El Número de TRANS Masculino no puede superar el Total Mujeres. </v>
      </c>
      <c r="CD73" s="2784" t="str">
        <f t="shared" si="3"/>
        <v xml:space="preserve">* El Número de TRANS Femenino no puede superar el Total Hombres. </v>
      </c>
      <c r="CE73" s="2784" t="str">
        <f t="shared" si="4"/>
        <v xml:space="preserve">* El Número de Pueblos Originarios no puede superar el Total. </v>
      </c>
      <c r="CF73" s="2784" t="str">
        <f t="shared" si="5"/>
        <v xml:space="preserve">* El Número de Migrantes no puede superar el Total. </v>
      </c>
      <c r="CG73" s="2919" t="str">
        <f t="shared" si="16"/>
        <v xml:space="preserve">* La variable 14-18 años no puede ser mayor al total por grupo edad de 10 a 19 años. </v>
      </c>
      <c r="CH73" s="2784" t="str">
        <f t="shared" si="6"/>
        <v xml:space="preserve">* El Número de Niños, Niñas, Adolescentes y Jóvenes SENAME no puede superar el Total. </v>
      </c>
      <c r="CI73" s="2784" t="str">
        <f t="shared" si="7"/>
        <v xml:space="preserve">* El Número de Niños, Niñas, Adolescentes y Jóvenes Mejor Niñez no puede superar el Total. </v>
      </c>
      <c r="CJ73" s="2630"/>
      <c r="CK73" s="1725">
        <f t="shared" si="8"/>
        <v>1</v>
      </c>
      <c r="CL73" s="1725">
        <f t="shared" si="9"/>
        <v>1</v>
      </c>
      <c r="CM73" s="1725">
        <f t="shared" si="10"/>
        <v>1</v>
      </c>
      <c r="CN73" s="1725">
        <f t="shared" si="11"/>
        <v>1</v>
      </c>
      <c r="CO73" s="1725">
        <f t="shared" si="12"/>
        <v>1</v>
      </c>
      <c r="CP73" s="2920">
        <f t="shared" si="17"/>
        <v>1</v>
      </c>
      <c r="CQ73" s="1725">
        <f t="shared" si="13"/>
        <v>1</v>
      </c>
      <c r="CR73" s="1725">
        <f t="shared" si="14"/>
        <v>1</v>
      </c>
    </row>
    <row r="74" spans="1:96" x14ac:dyDescent="0.3">
      <c r="A74" s="6234">
        <v>19170500</v>
      </c>
      <c r="B74" s="6634"/>
      <c r="C74" s="3611" t="s">
        <v>2836</v>
      </c>
      <c r="D74" s="3875" t="s">
        <v>5292</v>
      </c>
      <c r="E74" s="8786" t="s">
        <v>5293</v>
      </c>
      <c r="F74" s="6219" t="s">
        <v>5294</v>
      </c>
      <c r="G74" s="8743" t="s">
        <v>5295</v>
      </c>
      <c r="H74" s="8788" t="s">
        <v>5296</v>
      </c>
      <c r="I74" s="8743" t="s">
        <v>5297</v>
      </c>
      <c r="J74" s="8788" t="s">
        <v>5298</v>
      </c>
      <c r="K74" s="8743" t="s">
        <v>5299</v>
      </c>
      <c r="L74" s="8788" t="s">
        <v>5300</v>
      </c>
      <c r="M74" s="8743" t="s">
        <v>5301</v>
      </c>
      <c r="N74" s="8788" t="s">
        <v>5302</v>
      </c>
      <c r="O74" s="8743" t="s">
        <v>5303</v>
      </c>
      <c r="P74" s="8788" t="s">
        <v>5304</v>
      </c>
      <c r="Q74" s="8743" t="s">
        <v>5305</v>
      </c>
      <c r="R74" s="8788" t="s">
        <v>5306</v>
      </c>
      <c r="S74" s="8743" t="s">
        <v>5307</v>
      </c>
      <c r="T74" s="8788" t="s">
        <v>5308</v>
      </c>
      <c r="U74" s="8743" t="s">
        <v>5309</v>
      </c>
      <c r="V74" s="8788" t="s">
        <v>5310</v>
      </c>
      <c r="W74" s="8743" t="s">
        <v>5311</v>
      </c>
      <c r="X74" s="8788" t="s">
        <v>5312</v>
      </c>
      <c r="Y74" s="8743" t="s">
        <v>5313</v>
      </c>
      <c r="Z74" s="8788" t="s">
        <v>5314</v>
      </c>
      <c r="AA74" s="8743" t="s">
        <v>5315</v>
      </c>
      <c r="AB74" s="8788" t="s">
        <v>5316</v>
      </c>
      <c r="AC74" s="8743" t="s">
        <v>5317</v>
      </c>
      <c r="AD74" s="8788" t="s">
        <v>5318</v>
      </c>
      <c r="AE74" s="8743" t="s">
        <v>5319</v>
      </c>
      <c r="AF74" s="8788" t="s">
        <v>5320</v>
      </c>
      <c r="AG74" s="8743" t="s">
        <v>5321</v>
      </c>
      <c r="AH74" s="8788" t="s">
        <v>5322</v>
      </c>
      <c r="AI74" s="8743" t="s">
        <v>5323</v>
      </c>
      <c r="AJ74" s="8788" t="s">
        <v>5324</v>
      </c>
      <c r="AK74" s="8743" t="s">
        <v>5325</v>
      </c>
      <c r="AL74" s="8788" t="s">
        <v>5326</v>
      </c>
      <c r="AM74" s="8743" t="s">
        <v>5327</v>
      </c>
      <c r="AN74" s="8788" t="s">
        <v>5328</v>
      </c>
      <c r="AO74" s="8792" t="s">
        <v>5329</v>
      </c>
      <c r="AP74" s="8715" t="s">
        <v>5330</v>
      </c>
      <c r="AQ74" s="8719" t="s">
        <v>5331</v>
      </c>
      <c r="AR74" s="8718" t="s">
        <v>5332</v>
      </c>
      <c r="AS74" s="8718" t="s">
        <v>5333</v>
      </c>
      <c r="AT74" s="8718" t="s">
        <v>5334</v>
      </c>
      <c r="AU74" s="8718" t="s">
        <v>5335</v>
      </c>
      <c r="AV74" s="8718" t="s">
        <v>5336</v>
      </c>
      <c r="AW74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4" s="2784" t="str">
        <f t="shared" si="1"/>
        <v xml:space="preserve">* El Número de Espacios Amigables no puede superar el Total. </v>
      </c>
      <c r="CC74" s="2784" t="str">
        <f t="shared" si="2"/>
        <v xml:space="preserve">* El Número de TRANS Masculino no puede superar el Total Mujeres. </v>
      </c>
      <c r="CD74" s="2784" t="str">
        <f t="shared" si="3"/>
        <v xml:space="preserve">* El Número de TRANS Femenino no puede superar el Total Hombres. </v>
      </c>
      <c r="CE74" s="2784" t="str">
        <f t="shared" si="4"/>
        <v xml:space="preserve">* El Número de Pueblos Originarios no puede superar el Total. </v>
      </c>
      <c r="CF74" s="2784" t="str">
        <f t="shared" si="5"/>
        <v xml:space="preserve">* El Número de Migrantes no puede superar el Total. </v>
      </c>
      <c r="CG74" s="2919" t="str">
        <f t="shared" si="16"/>
        <v xml:space="preserve">* La variable 14-18 años no puede ser mayor al total por grupo edad de 10 a 19 años. </v>
      </c>
      <c r="CH74" s="2784" t="str">
        <f t="shared" si="6"/>
        <v xml:space="preserve">* El Número de Niños, Niñas, Adolescentes y Jóvenes SENAME no puede superar el Total. </v>
      </c>
      <c r="CI74" s="2784" t="str">
        <f t="shared" si="7"/>
        <v xml:space="preserve">* El Número de Niños, Niñas, Adolescentes y Jóvenes Mejor Niñez no puede superar el Total. </v>
      </c>
      <c r="CJ74" s="2630"/>
      <c r="CK74" s="1725">
        <f t="shared" si="8"/>
        <v>1</v>
      </c>
      <c r="CL74" s="1725">
        <f t="shared" si="9"/>
        <v>1</v>
      </c>
      <c r="CM74" s="1725">
        <f t="shared" si="10"/>
        <v>1</v>
      </c>
      <c r="CN74" s="1725">
        <f t="shared" si="11"/>
        <v>1</v>
      </c>
      <c r="CO74" s="1725">
        <f t="shared" si="12"/>
        <v>1</v>
      </c>
      <c r="CP74" s="2920">
        <f t="shared" si="17"/>
        <v>1</v>
      </c>
      <c r="CQ74" s="1725">
        <f t="shared" si="13"/>
        <v>1</v>
      </c>
      <c r="CR74" s="1725">
        <f t="shared" si="14"/>
        <v>1</v>
      </c>
    </row>
    <row r="75" spans="1:96" x14ac:dyDescent="0.3">
      <c r="A75" s="6234">
        <v>19170501</v>
      </c>
      <c r="B75" s="6634"/>
      <c r="C75" s="3381" t="s">
        <v>2837</v>
      </c>
      <c r="D75" s="3875" t="s">
        <v>5292</v>
      </c>
      <c r="E75" s="8786" t="s">
        <v>5293</v>
      </c>
      <c r="F75" s="8799" t="s">
        <v>5294</v>
      </c>
      <c r="G75" s="8743" t="s">
        <v>5295</v>
      </c>
      <c r="H75" s="8788" t="s">
        <v>5296</v>
      </c>
      <c r="I75" s="8743" t="s">
        <v>5297</v>
      </c>
      <c r="J75" s="8788" t="s">
        <v>5298</v>
      </c>
      <c r="K75" s="8743" t="s">
        <v>5299</v>
      </c>
      <c r="L75" s="8788" t="s">
        <v>5300</v>
      </c>
      <c r="M75" s="8743" t="s">
        <v>5301</v>
      </c>
      <c r="N75" s="8788" t="s">
        <v>5302</v>
      </c>
      <c r="O75" s="8743" t="s">
        <v>5303</v>
      </c>
      <c r="P75" s="8788" t="s">
        <v>5304</v>
      </c>
      <c r="Q75" s="8743" t="s">
        <v>5305</v>
      </c>
      <c r="R75" s="8788" t="s">
        <v>5306</v>
      </c>
      <c r="S75" s="8743" t="s">
        <v>5307</v>
      </c>
      <c r="T75" s="8788" t="s">
        <v>5308</v>
      </c>
      <c r="U75" s="8743" t="s">
        <v>5309</v>
      </c>
      <c r="V75" s="8788" t="s">
        <v>5310</v>
      </c>
      <c r="W75" s="8743" t="s">
        <v>5311</v>
      </c>
      <c r="X75" s="8788" t="s">
        <v>5312</v>
      </c>
      <c r="Y75" s="8743" t="s">
        <v>5313</v>
      </c>
      <c r="Z75" s="8788" t="s">
        <v>5314</v>
      </c>
      <c r="AA75" s="8743" t="s">
        <v>5315</v>
      </c>
      <c r="AB75" s="8788" t="s">
        <v>5316</v>
      </c>
      <c r="AC75" s="8743" t="s">
        <v>5317</v>
      </c>
      <c r="AD75" s="8788" t="s">
        <v>5318</v>
      </c>
      <c r="AE75" s="8743" t="s">
        <v>5319</v>
      </c>
      <c r="AF75" s="8788" t="s">
        <v>5320</v>
      </c>
      <c r="AG75" s="8743" t="s">
        <v>5321</v>
      </c>
      <c r="AH75" s="8788" t="s">
        <v>5322</v>
      </c>
      <c r="AI75" s="8743" t="s">
        <v>5323</v>
      </c>
      <c r="AJ75" s="8788" t="s">
        <v>5324</v>
      </c>
      <c r="AK75" s="8743" t="s">
        <v>5325</v>
      </c>
      <c r="AL75" s="8788" t="s">
        <v>5326</v>
      </c>
      <c r="AM75" s="8743" t="s">
        <v>5327</v>
      </c>
      <c r="AN75" s="8788" t="s">
        <v>5328</v>
      </c>
      <c r="AO75" s="8792" t="s">
        <v>5329</v>
      </c>
      <c r="AP75" s="8715" t="s">
        <v>5330</v>
      </c>
      <c r="AQ75" s="8719" t="s">
        <v>5331</v>
      </c>
      <c r="AR75" s="8718" t="s">
        <v>5332</v>
      </c>
      <c r="AS75" s="8718" t="s">
        <v>5333</v>
      </c>
      <c r="AT75" s="8718" t="s">
        <v>5334</v>
      </c>
      <c r="AU75" s="8718" t="s">
        <v>5335</v>
      </c>
      <c r="AV75" s="8718" t="s">
        <v>5336</v>
      </c>
      <c r="AW75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5" s="2784" t="str">
        <f t="shared" si="1"/>
        <v xml:space="preserve">* El Número de Espacios Amigables no puede superar el Total. </v>
      </c>
      <c r="CC75" s="2784" t="str">
        <f t="shared" si="2"/>
        <v xml:space="preserve">* El Número de TRANS Masculino no puede superar el Total Mujeres. </v>
      </c>
      <c r="CD75" s="2784" t="str">
        <f t="shared" si="3"/>
        <v xml:space="preserve">* El Número de TRANS Femenino no puede superar el Total Hombres. </v>
      </c>
      <c r="CE75" s="2784" t="str">
        <f t="shared" si="4"/>
        <v xml:space="preserve">* El Número de Pueblos Originarios no puede superar el Total. </v>
      </c>
      <c r="CF75" s="2784" t="str">
        <f t="shared" si="5"/>
        <v xml:space="preserve">* El Número de Migrantes no puede superar el Total. </v>
      </c>
      <c r="CG75" s="2919" t="str">
        <f t="shared" si="16"/>
        <v xml:space="preserve">* La variable 14-18 años no puede ser mayor al total por grupo edad de 10 a 19 años. </v>
      </c>
      <c r="CH75" s="2784" t="str">
        <f t="shared" si="6"/>
        <v xml:space="preserve">* El Número de Niños, Niñas, Adolescentes y Jóvenes SENAME no puede superar el Total. </v>
      </c>
      <c r="CI75" s="2784" t="str">
        <f t="shared" si="7"/>
        <v xml:space="preserve">* El Número de Niños, Niñas, Adolescentes y Jóvenes Mejor Niñez no puede superar el Total. </v>
      </c>
      <c r="CJ75" s="2630"/>
      <c r="CK75" s="1725">
        <f t="shared" si="8"/>
        <v>1</v>
      </c>
      <c r="CL75" s="1725">
        <f t="shared" si="9"/>
        <v>1</v>
      </c>
      <c r="CM75" s="1725">
        <f t="shared" si="10"/>
        <v>1</v>
      </c>
      <c r="CN75" s="1725">
        <f t="shared" si="11"/>
        <v>1</v>
      </c>
      <c r="CO75" s="1725">
        <f t="shared" si="12"/>
        <v>1</v>
      </c>
      <c r="CP75" s="2920">
        <f t="shared" si="17"/>
        <v>1</v>
      </c>
      <c r="CQ75" s="1725">
        <f t="shared" si="13"/>
        <v>1</v>
      </c>
      <c r="CR75" s="1725">
        <f t="shared" si="14"/>
        <v>1</v>
      </c>
    </row>
    <row r="76" spans="1:96" x14ac:dyDescent="0.3">
      <c r="A76" s="6234">
        <v>19140609</v>
      </c>
      <c r="B76" s="7681"/>
      <c r="C76" s="119" t="s">
        <v>2643</v>
      </c>
      <c r="D76" s="560" t="s">
        <v>5292</v>
      </c>
      <c r="E76" s="8661" t="s">
        <v>5293</v>
      </c>
      <c r="F76" s="6220" t="s">
        <v>5294</v>
      </c>
      <c r="G76" s="8655" t="s">
        <v>5295</v>
      </c>
      <c r="H76" s="8728" t="s">
        <v>5296</v>
      </c>
      <c r="I76" s="8655" t="s">
        <v>5297</v>
      </c>
      <c r="J76" s="8728" t="s">
        <v>5298</v>
      </c>
      <c r="K76" s="8655" t="s">
        <v>5299</v>
      </c>
      <c r="L76" s="8728" t="s">
        <v>5300</v>
      </c>
      <c r="M76" s="8655" t="s">
        <v>5301</v>
      </c>
      <c r="N76" s="8728" t="s">
        <v>5302</v>
      </c>
      <c r="O76" s="8655" t="s">
        <v>5303</v>
      </c>
      <c r="P76" s="8728" t="s">
        <v>5304</v>
      </c>
      <c r="Q76" s="8655" t="s">
        <v>5305</v>
      </c>
      <c r="R76" s="8728" t="s">
        <v>5306</v>
      </c>
      <c r="S76" s="8655" t="s">
        <v>5307</v>
      </c>
      <c r="T76" s="8728" t="s">
        <v>5308</v>
      </c>
      <c r="U76" s="8655" t="s">
        <v>5309</v>
      </c>
      <c r="V76" s="8728" t="s">
        <v>5310</v>
      </c>
      <c r="W76" s="8655" t="s">
        <v>5311</v>
      </c>
      <c r="X76" s="8728" t="s">
        <v>5312</v>
      </c>
      <c r="Y76" s="8655" t="s">
        <v>5313</v>
      </c>
      <c r="Z76" s="8728" t="s">
        <v>5314</v>
      </c>
      <c r="AA76" s="8655" t="s">
        <v>5315</v>
      </c>
      <c r="AB76" s="8728" t="s">
        <v>5316</v>
      </c>
      <c r="AC76" s="8655" t="s">
        <v>5317</v>
      </c>
      <c r="AD76" s="8728" t="s">
        <v>5318</v>
      </c>
      <c r="AE76" s="8655" t="s">
        <v>5319</v>
      </c>
      <c r="AF76" s="8728" t="s">
        <v>5320</v>
      </c>
      <c r="AG76" s="8655" t="s">
        <v>5321</v>
      </c>
      <c r="AH76" s="8728" t="s">
        <v>5322</v>
      </c>
      <c r="AI76" s="8655" t="s">
        <v>5323</v>
      </c>
      <c r="AJ76" s="8728" t="s">
        <v>5324</v>
      </c>
      <c r="AK76" s="8655" t="s">
        <v>5325</v>
      </c>
      <c r="AL76" s="8728" t="s">
        <v>5326</v>
      </c>
      <c r="AM76" s="8655" t="s">
        <v>5327</v>
      </c>
      <c r="AN76" s="8728" t="s">
        <v>5328</v>
      </c>
      <c r="AO76" s="8805" t="s">
        <v>5329</v>
      </c>
      <c r="AP76" s="8724" t="s">
        <v>5330</v>
      </c>
      <c r="AQ76" s="8864" t="s">
        <v>5331</v>
      </c>
      <c r="AR76" s="8727" t="s">
        <v>5332</v>
      </c>
      <c r="AS76" s="8727" t="s">
        <v>5333</v>
      </c>
      <c r="AT76" s="8727" t="s">
        <v>5334</v>
      </c>
      <c r="AU76" s="8727" t="s">
        <v>5335</v>
      </c>
      <c r="AV76" s="8727" t="s">
        <v>5336</v>
      </c>
      <c r="AW76" s="1687" t="str">
        <f t="shared" si="15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6" s="2784" t="str">
        <f t="shared" si="1"/>
        <v xml:space="preserve">* El Número de Espacios Amigables no puede superar el Total. </v>
      </c>
      <c r="CC76" s="2784" t="str">
        <f t="shared" si="2"/>
        <v xml:space="preserve">* El Número de TRANS Masculino no puede superar el Total Mujeres. </v>
      </c>
      <c r="CD76" s="2784" t="str">
        <f t="shared" si="3"/>
        <v xml:space="preserve">* El Número de TRANS Femenino no puede superar el Total Hombres. </v>
      </c>
      <c r="CE76" s="2784" t="str">
        <f t="shared" si="4"/>
        <v xml:space="preserve">* El Número de Pueblos Originarios no puede superar el Total. </v>
      </c>
      <c r="CF76" s="2784" t="str">
        <f t="shared" si="5"/>
        <v xml:space="preserve">* El Número de Migrantes no puede superar el Total. </v>
      </c>
      <c r="CG76" s="2919" t="str">
        <f t="shared" si="16"/>
        <v xml:space="preserve">* La variable 14-18 años no puede ser mayor al total por grupo edad de 10 a 19 años. </v>
      </c>
      <c r="CH76" s="2784" t="str">
        <f t="shared" si="6"/>
        <v xml:space="preserve">* El Número de Niños, Niñas, Adolescentes y Jóvenes SENAME no puede superar el Total. </v>
      </c>
      <c r="CI76" s="2784" t="str">
        <f t="shared" si="7"/>
        <v xml:space="preserve">* El Número de Niños, Niñas, Adolescentes y Jóvenes Mejor Niñez no puede superar el Total. </v>
      </c>
      <c r="CJ76" s="2630"/>
      <c r="CK76" s="1725">
        <f t="shared" si="8"/>
        <v>1</v>
      </c>
      <c r="CL76" s="1725">
        <f t="shared" si="9"/>
        <v>1</v>
      </c>
      <c r="CM76" s="1725">
        <f t="shared" si="10"/>
        <v>1</v>
      </c>
      <c r="CN76" s="1725">
        <f t="shared" si="11"/>
        <v>1</v>
      </c>
      <c r="CO76" s="1725">
        <f t="shared" si="12"/>
        <v>1</v>
      </c>
      <c r="CP76" s="2920">
        <f t="shared" si="17"/>
        <v>1</v>
      </c>
      <c r="CQ76" s="1725">
        <f t="shared" si="13"/>
        <v>1</v>
      </c>
      <c r="CR76" s="1725">
        <f t="shared" si="14"/>
        <v>1</v>
      </c>
    </row>
    <row r="77" spans="1:96" ht="18" customHeight="1" x14ac:dyDescent="0.3">
      <c r="B77" s="7675" t="s">
        <v>2848</v>
      </c>
      <c r="C77" s="7675"/>
      <c r="D77" s="7675"/>
      <c r="E77" s="7675"/>
      <c r="F77" s="7675"/>
      <c r="G77" s="7675"/>
      <c r="H77" s="7675"/>
      <c r="I77" s="7675"/>
      <c r="J77" s="7675"/>
      <c r="K77" s="7675"/>
      <c r="L77" s="7675"/>
      <c r="M77" s="7675"/>
      <c r="N77" s="7675"/>
      <c r="O77" s="7675"/>
      <c r="P77" s="7675"/>
      <c r="Q77" s="7675"/>
      <c r="R77" s="7675"/>
      <c r="S77" s="7675"/>
      <c r="T77" s="7675"/>
      <c r="U77" s="7675"/>
      <c r="V77" s="7675"/>
      <c r="W77" s="7675"/>
      <c r="X77" s="7675"/>
      <c r="Y77" s="7675"/>
      <c r="Z77" s="7675"/>
      <c r="AA77" s="7675"/>
      <c r="AB77" s="7675"/>
      <c r="AC77" s="7675"/>
      <c r="AD77" s="7675"/>
      <c r="AE77" s="7675"/>
      <c r="AF77" s="7675"/>
      <c r="AG77" s="7675"/>
      <c r="AH77" s="7675"/>
      <c r="AI77" s="7675"/>
      <c r="AJ77" s="7675"/>
      <c r="AK77" s="7675"/>
      <c r="AL77" s="7675"/>
      <c r="AM77" s="7675"/>
      <c r="AN77" s="7675"/>
    </row>
    <row r="78" spans="1:96" ht="16.5" customHeight="1" x14ac:dyDescent="0.3">
      <c r="B78" s="6323" t="s">
        <v>2849</v>
      </c>
      <c r="C78" s="6337" t="s">
        <v>2850</v>
      </c>
      <c r="D78" s="6340" t="s">
        <v>2526</v>
      </c>
      <c r="E78" s="6341"/>
      <c r="F78" s="6342"/>
      <c r="G78" s="6331" t="s">
        <v>30</v>
      </c>
      <c r="H78" s="6347"/>
      <c r="I78" s="6347"/>
      <c r="J78" s="6347"/>
      <c r="K78" s="6347"/>
      <c r="L78" s="6347"/>
      <c r="M78" s="6347"/>
      <c r="N78" s="6347"/>
      <c r="O78" s="6347"/>
      <c r="P78" s="6347"/>
      <c r="Q78" s="6347"/>
      <c r="R78" s="6347"/>
      <c r="S78" s="6347"/>
      <c r="T78" s="6347"/>
      <c r="U78" s="6347"/>
      <c r="V78" s="6347"/>
      <c r="W78" s="6347"/>
      <c r="X78" s="6347"/>
      <c r="Y78" s="6347"/>
      <c r="Z78" s="6347"/>
      <c r="AA78" s="6347"/>
      <c r="AB78" s="6347"/>
      <c r="AC78" s="6347"/>
      <c r="AD78" s="6347"/>
      <c r="AE78" s="6347"/>
      <c r="AF78" s="6347"/>
      <c r="AG78" s="6347"/>
      <c r="AH78" s="6347"/>
      <c r="AI78" s="6347"/>
      <c r="AJ78" s="6347"/>
      <c r="AK78" s="6347"/>
      <c r="AL78" s="6347"/>
      <c r="AM78" s="6347"/>
      <c r="AN78" s="7143"/>
      <c r="AO78" s="6341" t="s">
        <v>48</v>
      </c>
      <c r="AP78" s="6342"/>
      <c r="AQ78" s="6323" t="s">
        <v>2</v>
      </c>
      <c r="AR78" s="6323" t="s">
        <v>3</v>
      </c>
      <c r="AS78" s="7671" t="s">
        <v>49</v>
      </c>
      <c r="AT78" s="7671" t="s">
        <v>45</v>
      </c>
    </row>
    <row r="79" spans="1:96" ht="18.75" customHeight="1" x14ac:dyDescent="0.3">
      <c r="B79" s="6373"/>
      <c r="C79" s="6338"/>
      <c r="D79" s="6459"/>
      <c r="E79" s="6383"/>
      <c r="F79" s="6460"/>
      <c r="G79" s="6358" t="s">
        <v>36</v>
      </c>
      <c r="H79" s="6335"/>
      <c r="I79" s="6358" t="s">
        <v>37</v>
      </c>
      <c r="J79" s="6335"/>
      <c r="K79" s="6358" t="s">
        <v>38</v>
      </c>
      <c r="L79" s="6335"/>
      <c r="M79" s="6358" t="s">
        <v>2831</v>
      </c>
      <c r="N79" s="6335"/>
      <c r="O79" s="6358" t="s">
        <v>559</v>
      </c>
      <c r="P79" s="6335"/>
      <c r="Q79" s="6358" t="s">
        <v>560</v>
      </c>
      <c r="R79" s="6335"/>
      <c r="S79" s="6358" t="s">
        <v>561</v>
      </c>
      <c r="T79" s="6335"/>
      <c r="U79" s="6358" t="s">
        <v>562</v>
      </c>
      <c r="V79" s="6335"/>
      <c r="W79" s="6358" t="s">
        <v>563</v>
      </c>
      <c r="X79" s="6335"/>
      <c r="Y79" s="6358" t="s">
        <v>564</v>
      </c>
      <c r="Z79" s="6335"/>
      <c r="AA79" s="6358" t="s">
        <v>565</v>
      </c>
      <c r="AB79" s="6335"/>
      <c r="AC79" s="6358" t="s">
        <v>555</v>
      </c>
      <c r="AD79" s="6335"/>
      <c r="AE79" s="6358" t="s">
        <v>556</v>
      </c>
      <c r="AF79" s="6335"/>
      <c r="AG79" s="6358" t="s">
        <v>557</v>
      </c>
      <c r="AH79" s="6335"/>
      <c r="AI79" s="6358" t="s">
        <v>2832</v>
      </c>
      <c r="AJ79" s="6335"/>
      <c r="AK79" s="6358" t="s">
        <v>2833</v>
      </c>
      <c r="AL79" s="6335"/>
      <c r="AM79" s="6331" t="s">
        <v>32</v>
      </c>
      <c r="AN79" s="7143"/>
      <c r="AO79" s="6383"/>
      <c r="AP79" s="6460"/>
      <c r="AQ79" s="6373"/>
      <c r="AR79" s="6373"/>
      <c r="AS79" s="6773"/>
      <c r="AT79" s="6773"/>
    </row>
    <row r="80" spans="1:96" ht="16.5" customHeight="1" x14ac:dyDescent="0.3">
      <c r="B80" s="6362"/>
      <c r="C80" s="6339"/>
      <c r="D80" s="4560" t="s">
        <v>26</v>
      </c>
      <c r="E80" s="4558" t="s">
        <v>22</v>
      </c>
      <c r="F80" s="3226" t="s">
        <v>27</v>
      </c>
      <c r="G80" s="5587" t="s">
        <v>22</v>
      </c>
      <c r="H80" s="5585" t="s">
        <v>27</v>
      </c>
      <c r="I80" s="5587" t="s">
        <v>22</v>
      </c>
      <c r="J80" s="5585" t="s">
        <v>27</v>
      </c>
      <c r="K80" s="5587" t="s">
        <v>22</v>
      </c>
      <c r="L80" s="5585" t="s">
        <v>27</v>
      </c>
      <c r="M80" s="5587" t="s">
        <v>22</v>
      </c>
      <c r="N80" s="5585" t="s">
        <v>27</v>
      </c>
      <c r="O80" s="5587" t="s">
        <v>22</v>
      </c>
      <c r="P80" s="5585" t="s">
        <v>27</v>
      </c>
      <c r="Q80" s="5587" t="s">
        <v>22</v>
      </c>
      <c r="R80" s="5585" t="s">
        <v>27</v>
      </c>
      <c r="S80" s="5587" t="s">
        <v>22</v>
      </c>
      <c r="T80" s="5585" t="s">
        <v>27</v>
      </c>
      <c r="U80" s="5587" t="s">
        <v>22</v>
      </c>
      <c r="V80" s="5585" t="s">
        <v>27</v>
      </c>
      <c r="W80" s="5587" t="s">
        <v>22</v>
      </c>
      <c r="X80" s="5585" t="s">
        <v>27</v>
      </c>
      <c r="Y80" s="5587" t="s">
        <v>22</v>
      </c>
      <c r="Z80" s="5585" t="s">
        <v>27</v>
      </c>
      <c r="AA80" s="5587" t="s">
        <v>22</v>
      </c>
      <c r="AB80" s="5585" t="s">
        <v>27</v>
      </c>
      <c r="AC80" s="5587" t="s">
        <v>22</v>
      </c>
      <c r="AD80" s="5585" t="s">
        <v>27</v>
      </c>
      <c r="AE80" s="5587" t="s">
        <v>22</v>
      </c>
      <c r="AF80" s="5585" t="s">
        <v>27</v>
      </c>
      <c r="AG80" s="5587" t="s">
        <v>22</v>
      </c>
      <c r="AH80" s="5585" t="s">
        <v>27</v>
      </c>
      <c r="AI80" s="5587" t="s">
        <v>22</v>
      </c>
      <c r="AJ80" s="5585" t="s">
        <v>27</v>
      </c>
      <c r="AK80" s="5587" t="s">
        <v>22</v>
      </c>
      <c r="AL80" s="5585" t="s">
        <v>27</v>
      </c>
      <c r="AM80" s="5587" t="s">
        <v>22</v>
      </c>
      <c r="AN80" s="5743" t="s">
        <v>27</v>
      </c>
      <c r="AO80" s="2992" t="s">
        <v>41</v>
      </c>
      <c r="AP80" s="5860" t="s">
        <v>42</v>
      </c>
      <c r="AQ80" s="6362"/>
      <c r="AR80" s="6362"/>
      <c r="AS80" s="6896"/>
      <c r="AT80" s="6896"/>
    </row>
    <row r="81" spans="1:94" ht="20.399999999999999" x14ac:dyDescent="0.3">
      <c r="A81" s="6234">
        <v>19150960</v>
      </c>
      <c r="B81" s="7669" t="s">
        <v>2851</v>
      </c>
      <c r="C81" s="3631" t="s">
        <v>2852</v>
      </c>
      <c r="D81" s="4561" t="s">
        <v>5292</v>
      </c>
      <c r="E81" s="4559" t="s">
        <v>5293</v>
      </c>
      <c r="F81" s="3216" t="s">
        <v>5294</v>
      </c>
      <c r="G81" s="5865" t="s">
        <v>5295</v>
      </c>
      <c r="H81" s="5866" t="s">
        <v>5296</v>
      </c>
      <c r="I81" s="5865" t="s">
        <v>5297</v>
      </c>
      <c r="J81" s="5867" t="s">
        <v>5298</v>
      </c>
      <c r="K81" s="5865" t="s">
        <v>5299</v>
      </c>
      <c r="L81" s="5867" t="s">
        <v>5300</v>
      </c>
      <c r="M81" s="5594" t="s">
        <v>5301</v>
      </c>
      <c r="N81" s="5595" t="s">
        <v>5302</v>
      </c>
      <c r="O81" s="5571" t="s">
        <v>5303</v>
      </c>
      <c r="P81" s="5868" t="s">
        <v>5304</v>
      </c>
      <c r="Q81" s="5869" t="s">
        <v>5305</v>
      </c>
      <c r="R81" s="5595" t="s">
        <v>5306</v>
      </c>
      <c r="S81" s="5870" t="s">
        <v>5307</v>
      </c>
      <c r="T81" s="5868" t="s">
        <v>5308</v>
      </c>
      <c r="U81" s="5594" t="s">
        <v>5309</v>
      </c>
      <c r="V81" s="5572" t="s">
        <v>5310</v>
      </c>
      <c r="W81" s="5571" t="s">
        <v>5311</v>
      </c>
      <c r="X81" s="5870" t="s">
        <v>5312</v>
      </c>
      <c r="Y81" s="5594" t="s">
        <v>5313</v>
      </c>
      <c r="Z81" s="5572" t="s">
        <v>5314</v>
      </c>
      <c r="AA81" s="5571" t="s">
        <v>5315</v>
      </c>
      <c r="AB81" s="5870" t="s">
        <v>5316</v>
      </c>
      <c r="AC81" s="5594" t="s">
        <v>5317</v>
      </c>
      <c r="AD81" s="5572" t="s">
        <v>5318</v>
      </c>
      <c r="AE81" s="5594" t="s">
        <v>5319</v>
      </c>
      <c r="AF81" s="5595" t="s">
        <v>5320</v>
      </c>
      <c r="AG81" s="5594" t="s">
        <v>5321</v>
      </c>
      <c r="AH81" s="5595" t="s">
        <v>5322</v>
      </c>
      <c r="AI81" s="5594" t="s">
        <v>5323</v>
      </c>
      <c r="AJ81" s="5595" t="s">
        <v>5324</v>
      </c>
      <c r="AK81" s="5865" t="s">
        <v>5325</v>
      </c>
      <c r="AL81" s="5867" t="s">
        <v>5326</v>
      </c>
      <c r="AM81" s="5866" t="s">
        <v>5327</v>
      </c>
      <c r="AN81" s="5871" t="s">
        <v>5328</v>
      </c>
      <c r="AO81" s="3479" t="s">
        <v>5329</v>
      </c>
      <c r="AP81" s="3503" t="s">
        <v>5330</v>
      </c>
      <c r="AQ81" s="3607" t="s">
        <v>5331</v>
      </c>
      <c r="AR81" s="3502" t="s">
        <v>5332</v>
      </c>
      <c r="AS81" s="3503" t="s">
        <v>5333</v>
      </c>
      <c r="AT81" s="3503" t="s">
        <v>5334</v>
      </c>
      <c r="AU81" s="1687" t="str">
        <f>$CB81&amp;CC81&amp;$CD81&amp;CE81&amp;CF81&amp;CG81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1" s="2784" t="str">
        <f>IF(AND(F81&gt;0,OR(AO81="")),"No olvide digitar los campos *TRANS Masculino (Digite CERO si no tiene).",IF(AO81&gt;$F81,"* El Número de TRANS Masculino no puede superar el Total Mujeres. ",""))</f>
        <v xml:space="preserve">* El Número de TRANS Masculino no puede superar el Total Mujeres. </v>
      </c>
      <c r="CC81" s="2784" t="str">
        <f>IF(AND(E81&gt;0,OR(AP81="")),"No olvide digitar los campos *TRANS Femenino (Digite CERO si no tiene).",IF(AP81&gt;E81,"* El Número de TRANS Femenino no puede superar el Total Hombres. ",""))</f>
        <v xml:space="preserve">* El Número de TRANS Femenino no puede superar el Total Hombres. </v>
      </c>
      <c r="CD81" s="2784" t="str">
        <f>IF(AND($D81&lt;&gt;0,AQ81=""),"* No olvide ingresar la columna Pueblos Originarios (Digite CERO si no tiene).  ",IF(AQ81&gt;$D81,"* El Número de Pueblos Originarios no puede superar el Total. ",""))</f>
        <v xml:space="preserve">* El Número de Pueblos Originarios no puede superar el Total. </v>
      </c>
      <c r="CE81" s="2784" t="str">
        <f>IF(AND($D81&lt;&gt;0,AR81=""),"* No olvide ingresar la columna Migrantes (Digite CERO si no tiene).  ",IF(AR81&gt;$D81,"* El Número de Migrantes no puede superar el Total. ",""))</f>
        <v xml:space="preserve">* El Número de Migrantes no puede superar el Total. </v>
      </c>
      <c r="CF81" s="2784" t="str">
        <f>IF(AND($D81&lt;&gt;0,AS81=""),"* No olvide ingresar la columna Niños, Niñas, Adolescentes y Jóvenes SENAME (Digite CERO si no tiene).  ",IF(AS81&gt;$D81,"* El Número de Niños, Niñas, Adolescentes y Jóvenes SENAME no puede superar el Total. ",""))</f>
        <v xml:space="preserve">* El Número de Niños, Niñas, Adolescentes y Jóvenes SENAME no puede superar el Total. </v>
      </c>
      <c r="CG81" s="2784" t="str">
        <f>IF(AND($D81&lt;&gt;0,AT81=""),"* No olvide ingresar la columna Niños, Niñas, Adolescentes y Jóvenes Mejor Niñez (Digite CERO si no tiene). ",IF(AT81&gt;$D81,"* El Número de Niños, Niñas, Adolescentes y Jóvenes Mejor Niñez no puede superar el Total. ",""))</f>
        <v xml:space="preserve">* El Número de Niños, Niñas, Adolescentes y Jóvenes Mejor Niñez no puede superar el Total. </v>
      </c>
      <c r="CK81" s="1725">
        <f>IF(AND($F81&lt;&gt;0,AO81=""),1,IF(AO81&gt;$F81,1,0))</f>
        <v>1</v>
      </c>
      <c r="CL81" s="1725">
        <f>IF(AND($E81&lt;&gt;0,AP81=""),1,IF(AP81&gt;$E81,1,0))</f>
        <v>1</v>
      </c>
      <c r="CM81" s="1725">
        <f>IF(AND($D81&lt;&gt;0,AQ81=""),1,IF(AQ81&gt;$D81,1,0))</f>
        <v>1</v>
      </c>
      <c r="CN81" s="1725">
        <f>IF(AND($D81&lt;&gt;0,AR81=""),1,IF(AR81&gt;$D81,1,0))</f>
        <v>1</v>
      </c>
      <c r="CO81" s="1725">
        <f>IF(AND($D81&lt;&gt;0,AS81=""),1,IF(AS81&gt;$D81,1,0))</f>
        <v>1</v>
      </c>
      <c r="CP81" s="1725">
        <f>IF(AND($D81&lt;&gt;0,AT81=""),1,IF(AT81&gt;$D81,1,0))</f>
        <v>1</v>
      </c>
    </row>
    <row r="82" spans="1:94" x14ac:dyDescent="0.3">
      <c r="A82" s="6234">
        <v>19150970</v>
      </c>
      <c r="B82" s="6779"/>
      <c r="C82" s="3381" t="s">
        <v>444</v>
      </c>
      <c r="D82" s="3588" t="s">
        <v>5292</v>
      </c>
      <c r="E82" s="3545" t="s">
        <v>5293</v>
      </c>
      <c r="F82" s="3242" t="s">
        <v>5294</v>
      </c>
      <c r="G82" s="3481" t="s">
        <v>5295</v>
      </c>
      <c r="H82" s="3633" t="s">
        <v>5296</v>
      </c>
      <c r="I82" s="3481" t="s">
        <v>5297</v>
      </c>
      <c r="J82" s="3511" t="s">
        <v>5298</v>
      </c>
      <c r="K82" s="3479" t="s">
        <v>5299</v>
      </c>
      <c r="L82" s="5872" t="s">
        <v>5300</v>
      </c>
      <c r="M82" s="3481" t="s">
        <v>5301</v>
      </c>
      <c r="N82" s="3484" t="s">
        <v>5302</v>
      </c>
      <c r="O82" s="3479" t="s">
        <v>5303</v>
      </c>
      <c r="P82" s="5872" t="s">
        <v>5304</v>
      </c>
      <c r="Q82" s="3609" t="s">
        <v>5305</v>
      </c>
      <c r="R82" s="3484" t="s">
        <v>5306</v>
      </c>
      <c r="S82" s="3633" t="s">
        <v>5307</v>
      </c>
      <c r="T82" s="5872" t="s">
        <v>5308</v>
      </c>
      <c r="U82" s="3481" t="s">
        <v>5309</v>
      </c>
      <c r="V82" s="3511" t="s">
        <v>5310</v>
      </c>
      <c r="W82" s="3479" t="s">
        <v>5311</v>
      </c>
      <c r="X82" s="3633" t="s">
        <v>5312</v>
      </c>
      <c r="Y82" s="3481" t="s">
        <v>5313</v>
      </c>
      <c r="Z82" s="3511" t="s">
        <v>5314</v>
      </c>
      <c r="AA82" s="3479" t="s">
        <v>5315</v>
      </c>
      <c r="AB82" s="3633" t="s">
        <v>5316</v>
      </c>
      <c r="AC82" s="3481" t="s">
        <v>5317</v>
      </c>
      <c r="AD82" s="3511" t="s">
        <v>5318</v>
      </c>
      <c r="AE82" s="3481" t="s">
        <v>5319</v>
      </c>
      <c r="AF82" s="3484" t="s">
        <v>5320</v>
      </c>
      <c r="AG82" s="3481" t="s">
        <v>5321</v>
      </c>
      <c r="AH82" s="3511" t="s">
        <v>5322</v>
      </c>
      <c r="AI82" s="3481" t="s">
        <v>5323</v>
      </c>
      <c r="AJ82" s="3511" t="s">
        <v>5324</v>
      </c>
      <c r="AK82" s="3481" t="s">
        <v>5325</v>
      </c>
      <c r="AL82" s="3511" t="s">
        <v>5326</v>
      </c>
      <c r="AM82" s="3479" t="s">
        <v>5327</v>
      </c>
      <c r="AN82" s="3512" t="s">
        <v>5328</v>
      </c>
      <c r="AO82" s="3479" t="s">
        <v>5329</v>
      </c>
      <c r="AP82" s="3484" t="s">
        <v>5330</v>
      </c>
      <c r="AQ82" s="3538" t="s">
        <v>5331</v>
      </c>
      <c r="AR82" s="3511" t="s">
        <v>5332</v>
      </c>
      <c r="AS82" s="3484" t="s">
        <v>5333</v>
      </c>
      <c r="AT82" s="3484" t="s">
        <v>5334</v>
      </c>
      <c r="AU82" s="1687" t="str">
        <f t="shared" ref="AU82:AU92" si="18">$CB82&amp;CC82&amp;$CD82&amp;CE82&amp;CF82&amp;CG82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2" s="2784" t="str">
        <f t="shared" ref="CB82:CB92" si="19">IF(AND(F82&gt;0,OR(AO82="")),"No olvide digitar los campos *TRANS Masculino (Digite CERO si no tiene).",IF(AO82&gt;$F82,"* El Número de TRANS Masculino no puede superar el Total Mujeres. ",""))</f>
        <v xml:space="preserve">* El Número de TRANS Masculino no puede superar el Total Mujeres. </v>
      </c>
      <c r="CC82" s="2784" t="str">
        <f t="shared" ref="CC82:CC92" si="20">IF(AND(E82&gt;0,OR(AP82="")),"No olvide digitar los campos *TRANS Femenino (Digite CERO si no tiene).",IF(AP82&gt;E82,"* El Número de TRANS Femenino no puede superar el Total Hombres. ",""))</f>
        <v xml:space="preserve">* El Número de TRANS Femenino no puede superar el Total Hombres. </v>
      </c>
      <c r="CD82" s="2784" t="str">
        <f t="shared" ref="CD82:CD92" si="21">IF(AND($D82&lt;&gt;0,AQ82=""),"* No olvide ingresar la columna Pueblos Originarios (Digite CERO si no tiene).  ",IF(AQ82&gt;$D82,"* El Número de Pueblos Originarios no puede superar el Total. ",""))</f>
        <v xml:space="preserve">* El Número de Pueblos Originarios no puede superar el Total. </v>
      </c>
      <c r="CE82" s="2784" t="str">
        <f t="shared" ref="CE82:CE92" si="22">IF(AND($D82&lt;&gt;0,AR82=""),"* No olvide ingresar la columna Migrantes (Digite CERO si no tiene).  ",IF(AR82&gt;$D82,"* El Número de Migrantes no puede superar el Total. ",""))</f>
        <v xml:space="preserve">* El Número de Migrantes no puede superar el Total. </v>
      </c>
      <c r="CF82" s="2784" t="str">
        <f t="shared" ref="CF82:CF92" si="23">IF(AND($D82&lt;&gt;0,AS82=""),"* No olvide ingresar la columna Niños, Niñas, Adolescentes y Jóvenes SENAME (Digite CERO si no tiene).  ",IF(AS82&gt;$D82,"* El Número de Niños, Niñas, Adolescentes y Jóvenes SENAME no puede superar el Total. ",""))</f>
        <v xml:space="preserve">* El Número de Niños, Niñas, Adolescentes y Jóvenes SENAME no puede superar el Total. </v>
      </c>
      <c r="CG82" s="2784" t="str">
        <f t="shared" ref="CG82:CG92" si="24">IF(AND($D82&lt;&gt;0,AT82=""),"* No olvide ingresar la columna Niños, Niñas, Adolescentes y Jóvenes Mejor Niñez (Digite CERO si no tiene). ",IF(AT82&gt;$D82,"* El Número de Niños, Niñas, Adolescentes y Jóvenes Mejor Niñez no puede superar el Total. ",""))</f>
        <v xml:space="preserve">* El Número de Niños, Niñas, Adolescentes y Jóvenes Mejor Niñez no puede superar el Total. </v>
      </c>
      <c r="CK82" s="1725">
        <f t="shared" ref="CK82:CK92" si="25">IF(AND($F82&lt;&gt;0,AO82=""),1,IF(AO82&gt;$F82,1,0))</f>
        <v>1</v>
      </c>
      <c r="CL82" s="1725">
        <f t="shared" ref="CL82:CL92" si="26">IF(AND($E82&lt;&gt;0,AP82=""),1,IF(AP82&gt;$E82,1,0))</f>
        <v>1</v>
      </c>
      <c r="CM82" s="1725">
        <f t="shared" ref="CM82:CM92" si="27">IF(AND($D82&lt;&gt;0,AQ82=""),1,IF(AQ82&gt;$D82,1,0))</f>
        <v>1</v>
      </c>
      <c r="CN82" s="1725">
        <f t="shared" ref="CN82:CN92" si="28">IF(AND($D82&lt;&gt;0,AR82=""),1,IF(AR82&gt;$D82,1,0))</f>
        <v>1</v>
      </c>
      <c r="CO82" s="1725">
        <f t="shared" ref="CO82:CO92" si="29">IF(AND($D82&lt;&gt;0,AS82=""),1,IF(AS82&gt;$D82,1,0))</f>
        <v>1</v>
      </c>
      <c r="CP82" s="1725">
        <f t="shared" ref="CP82:CP92" si="30">IF(AND($D82&lt;&gt;0,AT82=""),1,IF(AT82&gt;$D82,1,0))</f>
        <v>1</v>
      </c>
    </row>
    <row r="83" spans="1:94" x14ac:dyDescent="0.3">
      <c r="A83" s="6234">
        <v>19150980</v>
      </c>
      <c r="B83" s="6779"/>
      <c r="C83" s="3381" t="s">
        <v>2853</v>
      </c>
      <c r="D83" s="3588" t="s">
        <v>5292</v>
      </c>
      <c r="E83" s="3545" t="s">
        <v>5293</v>
      </c>
      <c r="F83" s="3242" t="s">
        <v>5294</v>
      </c>
      <c r="G83" s="3481" t="s">
        <v>5295</v>
      </c>
      <c r="H83" s="3633" t="s">
        <v>5296</v>
      </c>
      <c r="I83" s="3481" t="s">
        <v>5297</v>
      </c>
      <c r="J83" s="3511" t="s">
        <v>5298</v>
      </c>
      <c r="K83" s="3479" t="s">
        <v>5299</v>
      </c>
      <c r="L83" s="5872" t="s">
        <v>5300</v>
      </c>
      <c r="M83" s="3481" t="s">
        <v>5301</v>
      </c>
      <c r="N83" s="3484" t="s">
        <v>5302</v>
      </c>
      <c r="O83" s="3479" t="s">
        <v>5303</v>
      </c>
      <c r="P83" s="5872" t="s">
        <v>5304</v>
      </c>
      <c r="Q83" s="3609" t="s">
        <v>5305</v>
      </c>
      <c r="R83" s="3484" t="s">
        <v>5306</v>
      </c>
      <c r="S83" s="3633" t="s">
        <v>5307</v>
      </c>
      <c r="T83" s="5872" t="s">
        <v>5308</v>
      </c>
      <c r="U83" s="3481" t="s">
        <v>5309</v>
      </c>
      <c r="V83" s="3511" t="s">
        <v>5310</v>
      </c>
      <c r="W83" s="3479" t="s">
        <v>5311</v>
      </c>
      <c r="X83" s="3633" t="s">
        <v>5312</v>
      </c>
      <c r="Y83" s="3481" t="s">
        <v>5313</v>
      </c>
      <c r="Z83" s="3511" t="s">
        <v>5314</v>
      </c>
      <c r="AA83" s="3479" t="s">
        <v>5315</v>
      </c>
      <c r="AB83" s="3633" t="s">
        <v>5316</v>
      </c>
      <c r="AC83" s="3481" t="s">
        <v>5317</v>
      </c>
      <c r="AD83" s="3511" t="s">
        <v>5318</v>
      </c>
      <c r="AE83" s="3481" t="s">
        <v>5319</v>
      </c>
      <c r="AF83" s="3484" t="s">
        <v>5320</v>
      </c>
      <c r="AG83" s="3481" t="s">
        <v>5321</v>
      </c>
      <c r="AH83" s="3511" t="s">
        <v>5322</v>
      </c>
      <c r="AI83" s="3481" t="s">
        <v>5323</v>
      </c>
      <c r="AJ83" s="3511" t="s">
        <v>5324</v>
      </c>
      <c r="AK83" s="3481" t="s">
        <v>5325</v>
      </c>
      <c r="AL83" s="3511" t="s">
        <v>5326</v>
      </c>
      <c r="AM83" s="3479" t="s">
        <v>5327</v>
      </c>
      <c r="AN83" s="3512" t="s">
        <v>5328</v>
      </c>
      <c r="AO83" s="3479" t="s">
        <v>5329</v>
      </c>
      <c r="AP83" s="3484" t="s">
        <v>5330</v>
      </c>
      <c r="AQ83" s="3538" t="s">
        <v>5331</v>
      </c>
      <c r="AR83" s="3511" t="s">
        <v>5332</v>
      </c>
      <c r="AS83" s="3484" t="s">
        <v>5333</v>
      </c>
      <c r="AT83" s="3484" t="s">
        <v>5334</v>
      </c>
      <c r="AU83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3" s="2784" t="str">
        <f t="shared" si="19"/>
        <v xml:space="preserve">* El Número de TRANS Masculino no puede superar el Total Mujeres. </v>
      </c>
      <c r="CC83" s="2784" t="str">
        <f t="shared" si="20"/>
        <v xml:space="preserve">* El Número de TRANS Femenino no puede superar el Total Hombres. </v>
      </c>
      <c r="CD83" s="2784" t="str">
        <f t="shared" si="21"/>
        <v xml:space="preserve">* El Número de Pueblos Originarios no puede superar el Total. </v>
      </c>
      <c r="CE83" s="2784" t="str">
        <f t="shared" si="22"/>
        <v xml:space="preserve">* El Número de Migrantes no puede superar el Total. </v>
      </c>
      <c r="CF83" s="2784" t="str">
        <f t="shared" si="23"/>
        <v xml:space="preserve">* El Número de Niños, Niñas, Adolescentes y Jóvenes SENAME no puede superar el Total. </v>
      </c>
      <c r="CG83" s="2784" t="str">
        <f t="shared" si="24"/>
        <v xml:space="preserve">* El Número de Niños, Niñas, Adolescentes y Jóvenes Mejor Niñez no puede superar el Total. </v>
      </c>
      <c r="CK83" s="1725">
        <f t="shared" si="25"/>
        <v>1</v>
      </c>
      <c r="CL83" s="1725">
        <f t="shared" si="26"/>
        <v>1</v>
      </c>
      <c r="CM83" s="1725">
        <f t="shared" si="27"/>
        <v>1</v>
      </c>
      <c r="CN83" s="1725">
        <f t="shared" si="28"/>
        <v>1</v>
      </c>
      <c r="CO83" s="1725">
        <f t="shared" si="29"/>
        <v>1</v>
      </c>
      <c r="CP83" s="1725">
        <f t="shared" si="30"/>
        <v>1</v>
      </c>
    </row>
    <row r="84" spans="1:94" x14ac:dyDescent="0.3">
      <c r="A84" s="6234">
        <v>19150990</v>
      </c>
      <c r="B84" s="6779"/>
      <c r="C84" s="3381" t="s">
        <v>2854</v>
      </c>
      <c r="D84" s="3588" t="s">
        <v>5292</v>
      </c>
      <c r="E84" s="3545" t="s">
        <v>5293</v>
      </c>
      <c r="F84" s="3242" t="s">
        <v>5294</v>
      </c>
      <c r="G84" s="3481" t="s">
        <v>5295</v>
      </c>
      <c r="H84" s="3633" t="s">
        <v>5296</v>
      </c>
      <c r="I84" s="3481" t="s">
        <v>5297</v>
      </c>
      <c r="J84" s="3511" t="s">
        <v>5298</v>
      </c>
      <c r="K84" s="3479" t="s">
        <v>5299</v>
      </c>
      <c r="L84" s="5872" t="s">
        <v>5300</v>
      </c>
      <c r="M84" s="3481" t="s">
        <v>5301</v>
      </c>
      <c r="N84" s="3484" t="s">
        <v>5302</v>
      </c>
      <c r="O84" s="3479" t="s">
        <v>5303</v>
      </c>
      <c r="P84" s="5872" t="s">
        <v>5304</v>
      </c>
      <c r="Q84" s="3609" t="s">
        <v>5305</v>
      </c>
      <c r="R84" s="3484" t="s">
        <v>5306</v>
      </c>
      <c r="S84" s="3633" t="s">
        <v>5307</v>
      </c>
      <c r="T84" s="5872" t="s">
        <v>5308</v>
      </c>
      <c r="U84" s="3481" t="s">
        <v>5309</v>
      </c>
      <c r="V84" s="3511" t="s">
        <v>5310</v>
      </c>
      <c r="W84" s="3479" t="s">
        <v>5311</v>
      </c>
      <c r="X84" s="3633" t="s">
        <v>5312</v>
      </c>
      <c r="Y84" s="3481" t="s">
        <v>5313</v>
      </c>
      <c r="Z84" s="3511" t="s">
        <v>5314</v>
      </c>
      <c r="AA84" s="3479" t="s">
        <v>5315</v>
      </c>
      <c r="AB84" s="3633" t="s">
        <v>5316</v>
      </c>
      <c r="AC84" s="3481" t="s">
        <v>5317</v>
      </c>
      <c r="AD84" s="3511" t="s">
        <v>5318</v>
      </c>
      <c r="AE84" s="3481" t="s">
        <v>5319</v>
      </c>
      <c r="AF84" s="3484" t="s">
        <v>5320</v>
      </c>
      <c r="AG84" s="3481" t="s">
        <v>5321</v>
      </c>
      <c r="AH84" s="3511" t="s">
        <v>5322</v>
      </c>
      <c r="AI84" s="3481" t="s">
        <v>5323</v>
      </c>
      <c r="AJ84" s="3511" t="s">
        <v>5324</v>
      </c>
      <c r="AK84" s="3481" t="s">
        <v>5325</v>
      </c>
      <c r="AL84" s="3511" t="s">
        <v>5326</v>
      </c>
      <c r="AM84" s="3479" t="s">
        <v>5327</v>
      </c>
      <c r="AN84" s="3512" t="s">
        <v>5328</v>
      </c>
      <c r="AO84" s="3479" t="s">
        <v>5329</v>
      </c>
      <c r="AP84" s="3484" t="s">
        <v>5330</v>
      </c>
      <c r="AQ84" s="3538" t="s">
        <v>5331</v>
      </c>
      <c r="AR84" s="3511" t="s">
        <v>5332</v>
      </c>
      <c r="AS84" s="3484" t="s">
        <v>5333</v>
      </c>
      <c r="AT84" s="3484" t="s">
        <v>5334</v>
      </c>
      <c r="AU84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4" s="2784" t="str">
        <f t="shared" si="19"/>
        <v xml:space="preserve">* El Número de TRANS Masculino no puede superar el Total Mujeres. </v>
      </c>
      <c r="CC84" s="2784" t="str">
        <f t="shared" si="20"/>
        <v xml:space="preserve">* El Número de TRANS Femenino no puede superar el Total Hombres. </v>
      </c>
      <c r="CD84" s="2784" t="str">
        <f t="shared" si="21"/>
        <v xml:space="preserve">* El Número de Pueblos Originarios no puede superar el Total. </v>
      </c>
      <c r="CE84" s="2784" t="str">
        <f t="shared" si="22"/>
        <v xml:space="preserve">* El Número de Migrantes no puede superar el Total. </v>
      </c>
      <c r="CF84" s="2784" t="str">
        <f t="shared" si="23"/>
        <v xml:space="preserve">* El Número de Niños, Niñas, Adolescentes y Jóvenes SENAME no puede superar el Total. </v>
      </c>
      <c r="CG84" s="2784" t="str">
        <f t="shared" si="24"/>
        <v xml:space="preserve">* El Número de Niños, Niñas, Adolescentes y Jóvenes Mejor Niñez no puede superar el Total. </v>
      </c>
      <c r="CK84" s="1725">
        <f t="shared" si="25"/>
        <v>1</v>
      </c>
      <c r="CL84" s="1725">
        <f t="shared" si="26"/>
        <v>1</v>
      </c>
      <c r="CM84" s="1725">
        <f t="shared" si="27"/>
        <v>1</v>
      </c>
      <c r="CN84" s="1725">
        <f t="shared" si="28"/>
        <v>1</v>
      </c>
      <c r="CO84" s="1725">
        <f t="shared" si="29"/>
        <v>1</v>
      </c>
      <c r="CP84" s="1725">
        <f t="shared" si="30"/>
        <v>1</v>
      </c>
    </row>
    <row r="85" spans="1:94" x14ac:dyDescent="0.3">
      <c r="A85" s="6234">
        <v>19182040</v>
      </c>
      <c r="B85" s="6779"/>
      <c r="C85" s="3628" t="s">
        <v>2855</v>
      </c>
      <c r="D85" s="642" t="s">
        <v>5292</v>
      </c>
      <c r="E85" s="1953" t="s">
        <v>5293</v>
      </c>
      <c r="F85" s="89" t="s">
        <v>5294</v>
      </c>
      <c r="G85" s="3614" t="s">
        <v>5295</v>
      </c>
      <c r="H85" s="3634" t="s">
        <v>5296</v>
      </c>
      <c r="I85" s="3614" t="s">
        <v>5297</v>
      </c>
      <c r="J85" s="3615" t="s">
        <v>5298</v>
      </c>
      <c r="K85" s="3479" t="s">
        <v>5299</v>
      </c>
      <c r="L85" s="5872" t="s">
        <v>5300</v>
      </c>
      <c r="M85" s="410" t="s">
        <v>5301</v>
      </c>
      <c r="N85" s="412" t="s">
        <v>5302</v>
      </c>
      <c r="O85" s="414" t="s">
        <v>5303</v>
      </c>
      <c r="P85" s="3531" t="s">
        <v>5304</v>
      </c>
      <c r="Q85" s="3622" t="s">
        <v>5305</v>
      </c>
      <c r="R85" s="3621" t="s">
        <v>5306</v>
      </c>
      <c r="S85" s="3634" t="s">
        <v>5307</v>
      </c>
      <c r="T85" s="3635" t="s">
        <v>5308</v>
      </c>
      <c r="U85" s="3614" t="s">
        <v>5309</v>
      </c>
      <c r="V85" s="3615" t="s">
        <v>5310</v>
      </c>
      <c r="W85" s="638" t="s">
        <v>5311</v>
      </c>
      <c r="X85" s="3634" t="s">
        <v>5312</v>
      </c>
      <c r="Y85" s="3614" t="s">
        <v>5313</v>
      </c>
      <c r="Z85" s="3615" t="s">
        <v>5314</v>
      </c>
      <c r="AA85" s="638" t="s">
        <v>5315</v>
      </c>
      <c r="AB85" s="3634" t="s">
        <v>5316</v>
      </c>
      <c r="AC85" s="3614" t="s">
        <v>5317</v>
      </c>
      <c r="AD85" s="3615" t="s">
        <v>5318</v>
      </c>
      <c r="AE85" s="3614" t="s">
        <v>5319</v>
      </c>
      <c r="AF85" s="3621" t="s">
        <v>5320</v>
      </c>
      <c r="AG85" s="3614" t="s">
        <v>5321</v>
      </c>
      <c r="AH85" s="3615" t="s">
        <v>5322</v>
      </c>
      <c r="AI85" s="3614" t="s">
        <v>5323</v>
      </c>
      <c r="AJ85" s="3615" t="s">
        <v>5324</v>
      </c>
      <c r="AK85" s="3614" t="s">
        <v>5325</v>
      </c>
      <c r="AL85" s="3615" t="s">
        <v>5326</v>
      </c>
      <c r="AM85" s="3634" t="s">
        <v>5327</v>
      </c>
      <c r="AN85" s="3623" t="s">
        <v>5328</v>
      </c>
      <c r="AO85" s="3479" t="s">
        <v>5329</v>
      </c>
      <c r="AP85" s="3484" t="s">
        <v>5330</v>
      </c>
      <c r="AQ85" s="3538" t="s">
        <v>5331</v>
      </c>
      <c r="AR85" s="411" t="s">
        <v>5332</v>
      </c>
      <c r="AS85" s="412" t="s">
        <v>5333</v>
      </c>
      <c r="AT85" s="412" t="s">
        <v>5334</v>
      </c>
      <c r="AU85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5" s="2784" t="str">
        <f t="shared" si="19"/>
        <v xml:space="preserve">* El Número de TRANS Masculino no puede superar el Total Mujeres. </v>
      </c>
      <c r="CC85" s="2784" t="str">
        <f t="shared" si="20"/>
        <v xml:space="preserve">* El Número de TRANS Femenino no puede superar el Total Hombres. </v>
      </c>
      <c r="CD85" s="2784" t="str">
        <f t="shared" si="21"/>
        <v xml:space="preserve">* El Número de Pueblos Originarios no puede superar el Total. </v>
      </c>
      <c r="CE85" s="2784" t="str">
        <f t="shared" si="22"/>
        <v xml:space="preserve">* El Número de Migrantes no puede superar el Total. </v>
      </c>
      <c r="CF85" s="2784" t="str">
        <f t="shared" si="23"/>
        <v xml:space="preserve">* El Número de Niños, Niñas, Adolescentes y Jóvenes SENAME no puede superar el Total. </v>
      </c>
      <c r="CG85" s="2784" t="str">
        <f t="shared" si="24"/>
        <v xml:space="preserve">* El Número de Niños, Niñas, Adolescentes y Jóvenes Mejor Niñez no puede superar el Total. </v>
      </c>
      <c r="CK85" s="1725">
        <f t="shared" si="25"/>
        <v>1</v>
      </c>
      <c r="CL85" s="1725">
        <f t="shared" si="26"/>
        <v>1</v>
      </c>
      <c r="CM85" s="1725">
        <f t="shared" si="27"/>
        <v>1</v>
      </c>
      <c r="CN85" s="1725">
        <f t="shared" si="28"/>
        <v>1</v>
      </c>
      <c r="CO85" s="1725">
        <f t="shared" si="29"/>
        <v>1</v>
      </c>
      <c r="CP85" s="1725">
        <f t="shared" si="30"/>
        <v>1</v>
      </c>
    </row>
    <row r="86" spans="1:94" x14ac:dyDescent="0.3">
      <c r="A86" s="6234">
        <v>19160100</v>
      </c>
      <c r="B86" s="6908"/>
      <c r="C86" s="119" t="s">
        <v>2856</v>
      </c>
      <c r="D86" s="629" t="s">
        <v>5292</v>
      </c>
      <c r="E86" s="613" t="s">
        <v>5293</v>
      </c>
      <c r="F86" s="161" t="s">
        <v>5294</v>
      </c>
      <c r="G86" s="286" t="s">
        <v>5295</v>
      </c>
      <c r="H86" s="383" t="s">
        <v>5296</v>
      </c>
      <c r="I86" s="286" t="s">
        <v>5297</v>
      </c>
      <c r="J86" s="3724" t="s">
        <v>5298</v>
      </c>
      <c r="K86" s="288" t="s">
        <v>5299</v>
      </c>
      <c r="L86" s="3533" t="s">
        <v>5300</v>
      </c>
      <c r="M86" s="286" t="s">
        <v>5301</v>
      </c>
      <c r="N86" s="3493" t="s">
        <v>5302</v>
      </c>
      <c r="O86" s="288" t="s">
        <v>5303</v>
      </c>
      <c r="P86" s="3533" t="s">
        <v>5304</v>
      </c>
      <c r="Q86" s="3620" t="s">
        <v>5305</v>
      </c>
      <c r="R86" s="3493" t="s">
        <v>5306</v>
      </c>
      <c r="S86" s="383" t="s">
        <v>5307</v>
      </c>
      <c r="T86" s="3533" t="s">
        <v>5308</v>
      </c>
      <c r="U86" s="286" t="s">
        <v>5309</v>
      </c>
      <c r="V86" s="3724" t="s">
        <v>5310</v>
      </c>
      <c r="W86" s="288" t="s">
        <v>5311</v>
      </c>
      <c r="X86" s="383" t="s">
        <v>5312</v>
      </c>
      <c r="Y86" s="286" t="s">
        <v>5313</v>
      </c>
      <c r="Z86" s="3724" t="s">
        <v>5314</v>
      </c>
      <c r="AA86" s="288" t="s">
        <v>5315</v>
      </c>
      <c r="AB86" s="383" t="s">
        <v>5316</v>
      </c>
      <c r="AC86" s="286" t="s">
        <v>5317</v>
      </c>
      <c r="AD86" s="3724" t="s">
        <v>5318</v>
      </c>
      <c r="AE86" s="286" t="s">
        <v>5319</v>
      </c>
      <c r="AF86" s="3493" t="s">
        <v>5320</v>
      </c>
      <c r="AG86" s="286" t="s">
        <v>5321</v>
      </c>
      <c r="AH86" s="3724" t="s">
        <v>5322</v>
      </c>
      <c r="AI86" s="286" t="s">
        <v>5323</v>
      </c>
      <c r="AJ86" s="3724" t="s">
        <v>5324</v>
      </c>
      <c r="AK86" s="286" t="s">
        <v>5325</v>
      </c>
      <c r="AL86" s="3724" t="s">
        <v>5326</v>
      </c>
      <c r="AM86" s="286" t="s">
        <v>5327</v>
      </c>
      <c r="AN86" s="3494" t="s">
        <v>5328</v>
      </c>
      <c r="AO86" s="3479" t="s">
        <v>5329</v>
      </c>
      <c r="AP86" s="3484" t="s">
        <v>5330</v>
      </c>
      <c r="AQ86" s="3538" t="s">
        <v>5331</v>
      </c>
      <c r="AR86" s="3511" t="s">
        <v>5332</v>
      </c>
      <c r="AS86" s="3484" t="s">
        <v>5333</v>
      </c>
      <c r="AT86" s="3484" t="s">
        <v>5334</v>
      </c>
      <c r="AU86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6" s="2784" t="str">
        <f t="shared" si="19"/>
        <v xml:space="preserve">* El Número de TRANS Masculino no puede superar el Total Mujeres. </v>
      </c>
      <c r="CC86" s="2784" t="str">
        <f t="shared" si="20"/>
        <v xml:space="preserve">* El Número de TRANS Femenino no puede superar el Total Hombres. </v>
      </c>
      <c r="CD86" s="2784" t="str">
        <f t="shared" si="21"/>
        <v xml:space="preserve">* El Número de Pueblos Originarios no puede superar el Total. </v>
      </c>
      <c r="CE86" s="2784" t="str">
        <f t="shared" si="22"/>
        <v xml:space="preserve">* El Número de Migrantes no puede superar el Total. </v>
      </c>
      <c r="CF86" s="2784" t="str">
        <f t="shared" si="23"/>
        <v xml:space="preserve">* El Número de Niños, Niñas, Adolescentes y Jóvenes SENAME no puede superar el Total. </v>
      </c>
      <c r="CG86" s="2784" t="str">
        <f t="shared" si="24"/>
        <v xml:space="preserve">* El Número de Niños, Niñas, Adolescentes y Jóvenes Mejor Niñez no puede superar el Total. </v>
      </c>
      <c r="CK86" s="1725">
        <f t="shared" si="25"/>
        <v>1</v>
      </c>
      <c r="CL86" s="1725">
        <f t="shared" si="26"/>
        <v>1</v>
      </c>
      <c r="CM86" s="1725">
        <f t="shared" si="27"/>
        <v>1</v>
      </c>
      <c r="CN86" s="1725">
        <f t="shared" si="28"/>
        <v>1</v>
      </c>
      <c r="CO86" s="1725">
        <f t="shared" si="29"/>
        <v>1</v>
      </c>
      <c r="CP86" s="1725">
        <f t="shared" si="30"/>
        <v>1</v>
      </c>
    </row>
    <row r="87" spans="1:94" ht="20.399999999999999" x14ac:dyDescent="0.3">
      <c r="A87" s="6234">
        <v>19160200</v>
      </c>
      <c r="B87" s="6367" t="s">
        <v>2857</v>
      </c>
      <c r="C87" s="3631" t="s">
        <v>2852</v>
      </c>
      <c r="D87" s="4561" t="s">
        <v>5292</v>
      </c>
      <c r="E87" s="4559" t="s">
        <v>5293</v>
      </c>
      <c r="F87" s="3216" t="s">
        <v>5294</v>
      </c>
      <c r="G87" s="5865" t="s">
        <v>5295</v>
      </c>
      <c r="H87" s="5866" t="s">
        <v>5296</v>
      </c>
      <c r="I87" s="5865" t="s">
        <v>5297</v>
      </c>
      <c r="J87" s="5867" t="s">
        <v>5298</v>
      </c>
      <c r="K87" s="5865" t="s">
        <v>5299</v>
      </c>
      <c r="L87" s="5867" t="s">
        <v>5300</v>
      </c>
      <c r="M87" s="5594" t="s">
        <v>5301</v>
      </c>
      <c r="N87" s="5595" t="s">
        <v>5302</v>
      </c>
      <c r="O87" s="5571" t="s">
        <v>5303</v>
      </c>
      <c r="P87" s="5868" t="s">
        <v>5304</v>
      </c>
      <c r="Q87" s="5869" t="s">
        <v>5305</v>
      </c>
      <c r="R87" s="5595" t="s">
        <v>5306</v>
      </c>
      <c r="S87" s="5870" t="s">
        <v>5307</v>
      </c>
      <c r="T87" s="5868" t="s">
        <v>5308</v>
      </c>
      <c r="U87" s="5594" t="s">
        <v>5309</v>
      </c>
      <c r="V87" s="5572" t="s">
        <v>5310</v>
      </c>
      <c r="W87" s="5571" t="s">
        <v>5311</v>
      </c>
      <c r="X87" s="5870" t="s">
        <v>5312</v>
      </c>
      <c r="Y87" s="5594" t="s">
        <v>5313</v>
      </c>
      <c r="Z87" s="5572" t="s">
        <v>5314</v>
      </c>
      <c r="AA87" s="5571" t="s">
        <v>5315</v>
      </c>
      <c r="AB87" s="5870" t="s">
        <v>5316</v>
      </c>
      <c r="AC87" s="5594" t="s">
        <v>5317</v>
      </c>
      <c r="AD87" s="5572" t="s">
        <v>5318</v>
      </c>
      <c r="AE87" s="5594" t="s">
        <v>5319</v>
      </c>
      <c r="AF87" s="5595" t="s">
        <v>5320</v>
      </c>
      <c r="AG87" s="5594" t="s">
        <v>5321</v>
      </c>
      <c r="AH87" s="5595" t="s">
        <v>5322</v>
      </c>
      <c r="AI87" s="5594" t="s">
        <v>5323</v>
      </c>
      <c r="AJ87" s="5595" t="s">
        <v>5324</v>
      </c>
      <c r="AK87" s="3487" t="s">
        <v>5325</v>
      </c>
      <c r="AL87" s="3514" t="s">
        <v>5326</v>
      </c>
      <c r="AM87" s="3483" t="s">
        <v>5327</v>
      </c>
      <c r="AN87" s="3544" t="s">
        <v>5328</v>
      </c>
      <c r="AO87" s="3479" t="s">
        <v>5329</v>
      </c>
      <c r="AP87" s="3484" t="s">
        <v>5330</v>
      </c>
      <c r="AQ87" s="3538" t="s">
        <v>5331</v>
      </c>
      <c r="AR87" s="280" t="s">
        <v>5332</v>
      </c>
      <c r="AS87" s="608" t="s">
        <v>5333</v>
      </c>
      <c r="AT87" s="608" t="s">
        <v>5334</v>
      </c>
      <c r="AU87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7" s="2784" t="str">
        <f t="shared" si="19"/>
        <v xml:space="preserve">* El Número de TRANS Masculino no puede superar el Total Mujeres. </v>
      </c>
      <c r="CC87" s="2784" t="str">
        <f t="shared" si="20"/>
        <v xml:space="preserve">* El Número de TRANS Femenino no puede superar el Total Hombres. </v>
      </c>
      <c r="CD87" s="2784" t="str">
        <f t="shared" si="21"/>
        <v xml:space="preserve">* El Número de Pueblos Originarios no puede superar el Total. </v>
      </c>
      <c r="CE87" s="2784" t="str">
        <f t="shared" si="22"/>
        <v xml:space="preserve">* El Número de Migrantes no puede superar el Total. </v>
      </c>
      <c r="CF87" s="2784" t="str">
        <f t="shared" si="23"/>
        <v xml:space="preserve">* El Número de Niños, Niñas, Adolescentes y Jóvenes SENAME no puede superar el Total. </v>
      </c>
      <c r="CG87" s="2784" t="str">
        <f t="shared" si="24"/>
        <v xml:space="preserve">* El Número de Niños, Niñas, Adolescentes y Jóvenes Mejor Niñez no puede superar el Total. </v>
      </c>
      <c r="CK87" s="1725">
        <f t="shared" si="25"/>
        <v>1</v>
      </c>
      <c r="CL87" s="1725">
        <f t="shared" si="26"/>
        <v>1</v>
      </c>
      <c r="CM87" s="1725">
        <f t="shared" si="27"/>
        <v>1</v>
      </c>
      <c r="CN87" s="1725">
        <f t="shared" si="28"/>
        <v>1</v>
      </c>
      <c r="CO87" s="1725">
        <f t="shared" si="29"/>
        <v>1</v>
      </c>
      <c r="CP87" s="1725">
        <f t="shared" si="30"/>
        <v>1</v>
      </c>
    </row>
    <row r="88" spans="1:94" x14ac:dyDescent="0.3">
      <c r="A88" s="6234">
        <v>19160300</v>
      </c>
      <c r="B88" s="6349"/>
      <c r="C88" s="3381" t="s">
        <v>444</v>
      </c>
      <c r="D88" s="3588" t="s">
        <v>5292</v>
      </c>
      <c r="E88" s="3545" t="s">
        <v>5293</v>
      </c>
      <c r="F88" s="3242" t="s">
        <v>5294</v>
      </c>
      <c r="G88" s="5580" t="s">
        <v>5295</v>
      </c>
      <c r="H88" s="3636" t="s">
        <v>5296</v>
      </c>
      <c r="I88" s="5580" t="s">
        <v>5297</v>
      </c>
      <c r="J88" s="5873" t="s">
        <v>5298</v>
      </c>
      <c r="K88" s="5580" t="s">
        <v>5299</v>
      </c>
      <c r="L88" s="3636" t="s">
        <v>5300</v>
      </c>
      <c r="M88" s="3481" t="s">
        <v>5301</v>
      </c>
      <c r="N88" s="5873" t="s">
        <v>5302</v>
      </c>
      <c r="O88" s="3479" t="s">
        <v>5303</v>
      </c>
      <c r="P88" s="3636" t="s">
        <v>5304</v>
      </c>
      <c r="Q88" s="3481" t="s">
        <v>5305</v>
      </c>
      <c r="R88" s="5873" t="s">
        <v>5306</v>
      </c>
      <c r="S88" s="3479" t="s">
        <v>5307</v>
      </c>
      <c r="T88" s="3636" t="s">
        <v>5308</v>
      </c>
      <c r="U88" s="3481" t="s">
        <v>5309</v>
      </c>
      <c r="V88" s="5873" t="s">
        <v>5310</v>
      </c>
      <c r="W88" s="3479" t="s">
        <v>5311</v>
      </c>
      <c r="X88" s="3636" t="s">
        <v>5312</v>
      </c>
      <c r="Y88" s="3481" t="s">
        <v>5313</v>
      </c>
      <c r="Z88" s="5873" t="s">
        <v>5314</v>
      </c>
      <c r="AA88" s="3479" t="s">
        <v>5315</v>
      </c>
      <c r="AB88" s="3636" t="s">
        <v>5316</v>
      </c>
      <c r="AC88" s="3481" t="s">
        <v>5317</v>
      </c>
      <c r="AD88" s="5873" t="s">
        <v>5318</v>
      </c>
      <c r="AE88" s="3481" t="s">
        <v>5319</v>
      </c>
      <c r="AF88" s="5171" t="s">
        <v>5320</v>
      </c>
      <c r="AG88" s="3481" t="s">
        <v>5321</v>
      </c>
      <c r="AH88" s="3511" t="s">
        <v>5322</v>
      </c>
      <c r="AI88" s="3481" t="s">
        <v>5323</v>
      </c>
      <c r="AJ88" s="3511" t="s">
        <v>5324</v>
      </c>
      <c r="AK88" s="3481" t="s">
        <v>5325</v>
      </c>
      <c r="AL88" s="3511" t="s">
        <v>5326</v>
      </c>
      <c r="AM88" s="3479" t="s">
        <v>5327</v>
      </c>
      <c r="AN88" s="3512" t="s">
        <v>5328</v>
      </c>
      <c r="AO88" s="3479" t="s">
        <v>5329</v>
      </c>
      <c r="AP88" s="3484" t="s">
        <v>5330</v>
      </c>
      <c r="AQ88" s="3538" t="s">
        <v>5331</v>
      </c>
      <c r="AR88" s="280" t="s">
        <v>5332</v>
      </c>
      <c r="AS88" s="608" t="s">
        <v>5333</v>
      </c>
      <c r="AT88" s="608" t="s">
        <v>5334</v>
      </c>
      <c r="AU88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8" s="2784" t="str">
        <f t="shared" si="19"/>
        <v xml:space="preserve">* El Número de TRANS Masculino no puede superar el Total Mujeres. </v>
      </c>
      <c r="CC88" s="2784" t="str">
        <f t="shared" si="20"/>
        <v xml:space="preserve">* El Número de TRANS Femenino no puede superar el Total Hombres. </v>
      </c>
      <c r="CD88" s="2784" t="str">
        <f t="shared" si="21"/>
        <v xml:space="preserve">* El Número de Pueblos Originarios no puede superar el Total. </v>
      </c>
      <c r="CE88" s="2784" t="str">
        <f t="shared" si="22"/>
        <v xml:space="preserve">* El Número de Migrantes no puede superar el Total. </v>
      </c>
      <c r="CF88" s="2784" t="str">
        <f t="shared" si="23"/>
        <v xml:space="preserve">* El Número de Niños, Niñas, Adolescentes y Jóvenes SENAME no puede superar el Total. </v>
      </c>
      <c r="CG88" s="2784" t="str">
        <f t="shared" si="24"/>
        <v xml:space="preserve">* El Número de Niños, Niñas, Adolescentes y Jóvenes Mejor Niñez no puede superar el Total. </v>
      </c>
      <c r="CK88" s="1725">
        <f t="shared" si="25"/>
        <v>1</v>
      </c>
      <c r="CL88" s="1725">
        <f t="shared" si="26"/>
        <v>1</v>
      </c>
      <c r="CM88" s="1725">
        <f t="shared" si="27"/>
        <v>1</v>
      </c>
      <c r="CN88" s="1725">
        <f t="shared" si="28"/>
        <v>1</v>
      </c>
      <c r="CO88" s="1725">
        <f t="shared" si="29"/>
        <v>1</v>
      </c>
      <c r="CP88" s="1725">
        <f t="shared" si="30"/>
        <v>1</v>
      </c>
    </row>
    <row r="89" spans="1:94" x14ac:dyDescent="0.3">
      <c r="A89" s="6234">
        <v>19160400</v>
      </c>
      <c r="B89" s="6349"/>
      <c r="C89" s="3381" t="s">
        <v>2853</v>
      </c>
      <c r="D89" s="3588" t="s">
        <v>5292</v>
      </c>
      <c r="E89" s="3545" t="s">
        <v>5293</v>
      </c>
      <c r="F89" s="3242" t="s">
        <v>5294</v>
      </c>
      <c r="G89" s="3481" t="s">
        <v>5295</v>
      </c>
      <c r="H89" s="3633" t="s">
        <v>5296</v>
      </c>
      <c r="I89" s="3481" t="s">
        <v>5297</v>
      </c>
      <c r="J89" s="3511" t="s">
        <v>5298</v>
      </c>
      <c r="K89" s="3481" t="s">
        <v>5299</v>
      </c>
      <c r="L89" s="3633" t="s">
        <v>5300</v>
      </c>
      <c r="M89" s="3481" t="s">
        <v>5301</v>
      </c>
      <c r="N89" s="3511" t="s">
        <v>5302</v>
      </c>
      <c r="O89" s="3479" t="s">
        <v>5303</v>
      </c>
      <c r="P89" s="3633" t="s">
        <v>5304</v>
      </c>
      <c r="Q89" s="3481" t="s">
        <v>5305</v>
      </c>
      <c r="R89" s="3511" t="s">
        <v>5306</v>
      </c>
      <c r="S89" s="3479" t="s">
        <v>5307</v>
      </c>
      <c r="T89" s="3633" t="s">
        <v>5308</v>
      </c>
      <c r="U89" s="3481" t="s">
        <v>5309</v>
      </c>
      <c r="V89" s="3511" t="s">
        <v>5310</v>
      </c>
      <c r="W89" s="3479" t="s">
        <v>5311</v>
      </c>
      <c r="X89" s="3633" t="s">
        <v>5312</v>
      </c>
      <c r="Y89" s="3481" t="s">
        <v>5313</v>
      </c>
      <c r="Z89" s="3511" t="s">
        <v>5314</v>
      </c>
      <c r="AA89" s="3479" t="s">
        <v>5315</v>
      </c>
      <c r="AB89" s="3633" t="s">
        <v>5316</v>
      </c>
      <c r="AC89" s="3481" t="s">
        <v>5317</v>
      </c>
      <c r="AD89" s="3511" t="s">
        <v>5318</v>
      </c>
      <c r="AE89" s="3481" t="s">
        <v>5319</v>
      </c>
      <c r="AF89" s="3484" t="s">
        <v>5320</v>
      </c>
      <c r="AG89" s="3481" t="s">
        <v>5321</v>
      </c>
      <c r="AH89" s="3511" t="s">
        <v>5322</v>
      </c>
      <c r="AI89" s="3481" t="s">
        <v>5323</v>
      </c>
      <c r="AJ89" s="3511" t="s">
        <v>5324</v>
      </c>
      <c r="AK89" s="3481" t="s">
        <v>5325</v>
      </c>
      <c r="AL89" s="3511" t="s">
        <v>5326</v>
      </c>
      <c r="AM89" s="3479" t="s">
        <v>5327</v>
      </c>
      <c r="AN89" s="3512" t="s">
        <v>5328</v>
      </c>
      <c r="AO89" s="3479" t="s">
        <v>5329</v>
      </c>
      <c r="AP89" s="3484" t="s">
        <v>5330</v>
      </c>
      <c r="AQ89" s="3538" t="s">
        <v>5331</v>
      </c>
      <c r="AR89" s="3511" t="s">
        <v>5332</v>
      </c>
      <c r="AS89" s="3484" t="s">
        <v>5333</v>
      </c>
      <c r="AT89" s="3484" t="s">
        <v>5334</v>
      </c>
      <c r="AU89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89" s="2784" t="str">
        <f t="shared" si="19"/>
        <v xml:space="preserve">* El Número de TRANS Masculino no puede superar el Total Mujeres. </v>
      </c>
      <c r="CC89" s="2784" t="str">
        <f t="shared" si="20"/>
        <v xml:space="preserve">* El Número de TRANS Femenino no puede superar el Total Hombres. </v>
      </c>
      <c r="CD89" s="2784" t="str">
        <f t="shared" si="21"/>
        <v xml:space="preserve">* El Número de Pueblos Originarios no puede superar el Total. </v>
      </c>
      <c r="CE89" s="2784" t="str">
        <f t="shared" si="22"/>
        <v xml:space="preserve">* El Número de Migrantes no puede superar el Total. </v>
      </c>
      <c r="CF89" s="2784" t="str">
        <f t="shared" si="23"/>
        <v xml:space="preserve">* El Número de Niños, Niñas, Adolescentes y Jóvenes SENAME no puede superar el Total. </v>
      </c>
      <c r="CG89" s="2784" t="str">
        <f t="shared" si="24"/>
        <v xml:space="preserve">* El Número de Niños, Niñas, Adolescentes y Jóvenes Mejor Niñez no puede superar el Total. </v>
      </c>
      <c r="CK89" s="1725">
        <f t="shared" si="25"/>
        <v>1</v>
      </c>
      <c r="CL89" s="1725">
        <f t="shared" si="26"/>
        <v>1</v>
      </c>
      <c r="CM89" s="1725">
        <f t="shared" si="27"/>
        <v>1</v>
      </c>
      <c r="CN89" s="1725">
        <f t="shared" si="28"/>
        <v>1</v>
      </c>
      <c r="CO89" s="1725">
        <f t="shared" si="29"/>
        <v>1</v>
      </c>
      <c r="CP89" s="1725">
        <f t="shared" si="30"/>
        <v>1</v>
      </c>
    </row>
    <row r="90" spans="1:94" x14ac:dyDescent="0.3">
      <c r="A90" s="6234">
        <v>19160500</v>
      </c>
      <c r="B90" s="6349"/>
      <c r="C90" s="3381" t="s">
        <v>2854</v>
      </c>
      <c r="D90" s="3588" t="s">
        <v>5292</v>
      </c>
      <c r="E90" s="3545" t="s">
        <v>5293</v>
      </c>
      <c r="F90" s="3242" t="s">
        <v>5294</v>
      </c>
      <c r="G90" s="3481" t="s">
        <v>5295</v>
      </c>
      <c r="H90" s="3633" t="s">
        <v>5296</v>
      </c>
      <c r="I90" s="3481" t="s">
        <v>5297</v>
      </c>
      <c r="J90" s="3511" t="s">
        <v>5298</v>
      </c>
      <c r="K90" s="3481" t="s">
        <v>5299</v>
      </c>
      <c r="L90" s="3633" t="s">
        <v>5300</v>
      </c>
      <c r="M90" s="3481" t="s">
        <v>5301</v>
      </c>
      <c r="N90" s="3511" t="s">
        <v>5302</v>
      </c>
      <c r="O90" s="3479" t="s">
        <v>5303</v>
      </c>
      <c r="P90" s="3633" t="s">
        <v>5304</v>
      </c>
      <c r="Q90" s="3481" t="s">
        <v>5305</v>
      </c>
      <c r="R90" s="3511" t="s">
        <v>5306</v>
      </c>
      <c r="S90" s="3479" t="s">
        <v>5307</v>
      </c>
      <c r="T90" s="3633" t="s">
        <v>5308</v>
      </c>
      <c r="U90" s="3481" t="s">
        <v>5309</v>
      </c>
      <c r="V90" s="3511" t="s">
        <v>5310</v>
      </c>
      <c r="W90" s="3479" t="s">
        <v>5311</v>
      </c>
      <c r="X90" s="3633" t="s">
        <v>5312</v>
      </c>
      <c r="Y90" s="3481" t="s">
        <v>5313</v>
      </c>
      <c r="Z90" s="3511" t="s">
        <v>5314</v>
      </c>
      <c r="AA90" s="3479" t="s">
        <v>5315</v>
      </c>
      <c r="AB90" s="3633" t="s">
        <v>5316</v>
      </c>
      <c r="AC90" s="3481" t="s">
        <v>5317</v>
      </c>
      <c r="AD90" s="3511" t="s">
        <v>5318</v>
      </c>
      <c r="AE90" s="3481" t="s">
        <v>5319</v>
      </c>
      <c r="AF90" s="3484" t="s">
        <v>5320</v>
      </c>
      <c r="AG90" s="3481" t="s">
        <v>5321</v>
      </c>
      <c r="AH90" s="3511" t="s">
        <v>5322</v>
      </c>
      <c r="AI90" s="3481" t="s">
        <v>5323</v>
      </c>
      <c r="AJ90" s="3511" t="s">
        <v>5324</v>
      </c>
      <c r="AK90" s="3481" t="s">
        <v>5325</v>
      </c>
      <c r="AL90" s="3511" t="s">
        <v>5326</v>
      </c>
      <c r="AM90" s="3479" t="s">
        <v>5327</v>
      </c>
      <c r="AN90" s="3512" t="s">
        <v>5328</v>
      </c>
      <c r="AO90" s="3479" t="s">
        <v>5329</v>
      </c>
      <c r="AP90" s="3484" t="s">
        <v>5330</v>
      </c>
      <c r="AQ90" s="3538" t="s">
        <v>5331</v>
      </c>
      <c r="AR90" s="3511" t="s">
        <v>5332</v>
      </c>
      <c r="AS90" s="3484" t="s">
        <v>5333</v>
      </c>
      <c r="AT90" s="3484" t="s">
        <v>5334</v>
      </c>
      <c r="AU90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0" s="2784" t="str">
        <f t="shared" si="19"/>
        <v xml:space="preserve">* El Número de TRANS Masculino no puede superar el Total Mujeres. </v>
      </c>
      <c r="CC90" s="2784" t="str">
        <f t="shared" si="20"/>
        <v xml:space="preserve">* El Número de TRANS Femenino no puede superar el Total Hombres. </v>
      </c>
      <c r="CD90" s="2784" t="str">
        <f t="shared" si="21"/>
        <v xml:space="preserve">* El Número de Pueblos Originarios no puede superar el Total. </v>
      </c>
      <c r="CE90" s="2784" t="str">
        <f t="shared" si="22"/>
        <v xml:space="preserve">* El Número de Migrantes no puede superar el Total. </v>
      </c>
      <c r="CF90" s="2784" t="str">
        <f t="shared" si="23"/>
        <v xml:space="preserve">* El Número de Niños, Niñas, Adolescentes y Jóvenes SENAME no puede superar el Total. </v>
      </c>
      <c r="CG90" s="2784" t="str">
        <f t="shared" si="24"/>
        <v xml:space="preserve">* El Número de Niños, Niñas, Adolescentes y Jóvenes Mejor Niñez no puede superar el Total. </v>
      </c>
      <c r="CK90" s="1725">
        <f t="shared" si="25"/>
        <v>1</v>
      </c>
      <c r="CL90" s="1725">
        <f t="shared" si="26"/>
        <v>1</v>
      </c>
      <c r="CM90" s="1725">
        <f t="shared" si="27"/>
        <v>1</v>
      </c>
      <c r="CN90" s="1725">
        <f t="shared" si="28"/>
        <v>1</v>
      </c>
      <c r="CO90" s="1725">
        <f t="shared" si="29"/>
        <v>1</v>
      </c>
      <c r="CP90" s="1725">
        <f t="shared" si="30"/>
        <v>1</v>
      </c>
    </row>
    <row r="91" spans="1:94" x14ac:dyDescent="0.3">
      <c r="A91" s="6234">
        <v>19182050</v>
      </c>
      <c r="B91" s="6349"/>
      <c r="C91" s="3628" t="s">
        <v>2855</v>
      </c>
      <c r="D91" s="642" t="s">
        <v>5292</v>
      </c>
      <c r="E91" s="1953" t="s">
        <v>5293</v>
      </c>
      <c r="F91" s="89" t="s">
        <v>5294</v>
      </c>
      <c r="G91" s="3614" t="s">
        <v>5295</v>
      </c>
      <c r="H91" s="3634" t="s">
        <v>5296</v>
      </c>
      <c r="I91" s="3626" t="s">
        <v>5297</v>
      </c>
      <c r="J91" s="641" t="s">
        <v>5298</v>
      </c>
      <c r="K91" s="3481" t="s">
        <v>5299</v>
      </c>
      <c r="L91" s="3633" t="s">
        <v>5300</v>
      </c>
      <c r="M91" s="3481" t="s">
        <v>5301</v>
      </c>
      <c r="N91" s="3511" t="s">
        <v>5302</v>
      </c>
      <c r="O91" s="3479" t="s">
        <v>5303</v>
      </c>
      <c r="P91" s="3633" t="s">
        <v>5304</v>
      </c>
      <c r="Q91" s="3637" t="s">
        <v>5305</v>
      </c>
      <c r="R91" s="3627" t="s">
        <v>5306</v>
      </c>
      <c r="S91" s="3638" t="s">
        <v>5307</v>
      </c>
      <c r="T91" s="3639" t="s">
        <v>5308</v>
      </c>
      <c r="U91" s="3626" t="s">
        <v>5309</v>
      </c>
      <c r="V91" s="641" t="s">
        <v>5310</v>
      </c>
      <c r="W91" s="3640" t="s">
        <v>5311</v>
      </c>
      <c r="X91" s="3638" t="s">
        <v>5312</v>
      </c>
      <c r="Y91" s="3626" t="s">
        <v>5313</v>
      </c>
      <c r="Z91" s="641" t="s">
        <v>5314</v>
      </c>
      <c r="AA91" s="3640" t="s">
        <v>5315</v>
      </c>
      <c r="AB91" s="3638" t="s">
        <v>5316</v>
      </c>
      <c r="AC91" s="3626" t="s">
        <v>5317</v>
      </c>
      <c r="AD91" s="641" t="s">
        <v>5318</v>
      </c>
      <c r="AE91" s="3626" t="s">
        <v>5319</v>
      </c>
      <c r="AF91" s="3627" t="s">
        <v>5320</v>
      </c>
      <c r="AG91" s="3626" t="s">
        <v>5321</v>
      </c>
      <c r="AH91" s="641" t="s">
        <v>5322</v>
      </c>
      <c r="AI91" s="3626" t="s">
        <v>5323</v>
      </c>
      <c r="AJ91" s="641" t="s">
        <v>5324</v>
      </c>
      <c r="AK91" s="3626" t="s">
        <v>5325</v>
      </c>
      <c r="AL91" s="641" t="s">
        <v>5326</v>
      </c>
      <c r="AM91" s="3638" t="s">
        <v>5327</v>
      </c>
      <c r="AN91" s="3641" t="s">
        <v>5328</v>
      </c>
      <c r="AO91" s="3479" t="s">
        <v>5329</v>
      </c>
      <c r="AP91" s="3484" t="s">
        <v>5330</v>
      </c>
      <c r="AQ91" s="3538" t="s">
        <v>5331</v>
      </c>
      <c r="AR91" s="3511" t="s">
        <v>5332</v>
      </c>
      <c r="AS91" s="3484" t="s">
        <v>5333</v>
      </c>
      <c r="AT91" s="3484" t="s">
        <v>5334</v>
      </c>
      <c r="AU91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1" s="2784" t="str">
        <f t="shared" si="19"/>
        <v xml:space="preserve">* El Número de TRANS Masculino no puede superar el Total Mujeres. </v>
      </c>
      <c r="CC91" s="2784" t="str">
        <f t="shared" si="20"/>
        <v xml:space="preserve">* El Número de TRANS Femenino no puede superar el Total Hombres. </v>
      </c>
      <c r="CD91" s="2784" t="str">
        <f t="shared" si="21"/>
        <v xml:space="preserve">* El Número de Pueblos Originarios no puede superar el Total. </v>
      </c>
      <c r="CE91" s="2784" t="str">
        <f t="shared" si="22"/>
        <v xml:space="preserve">* El Número de Migrantes no puede superar el Total. </v>
      </c>
      <c r="CF91" s="2784" t="str">
        <f t="shared" si="23"/>
        <v xml:space="preserve">* El Número de Niños, Niñas, Adolescentes y Jóvenes SENAME no puede superar el Total. </v>
      </c>
      <c r="CG91" s="2784" t="str">
        <f t="shared" si="24"/>
        <v xml:space="preserve">* El Número de Niños, Niñas, Adolescentes y Jóvenes Mejor Niñez no puede superar el Total. </v>
      </c>
      <c r="CK91" s="1725">
        <f t="shared" si="25"/>
        <v>1</v>
      </c>
      <c r="CL91" s="1725">
        <f t="shared" si="26"/>
        <v>1</v>
      </c>
      <c r="CM91" s="1725">
        <f t="shared" si="27"/>
        <v>1</v>
      </c>
      <c r="CN91" s="1725">
        <f t="shared" si="28"/>
        <v>1</v>
      </c>
      <c r="CO91" s="1725">
        <f t="shared" si="29"/>
        <v>1</v>
      </c>
      <c r="CP91" s="1725">
        <f t="shared" si="30"/>
        <v>1</v>
      </c>
    </row>
    <row r="92" spans="1:94" x14ac:dyDescent="0.3">
      <c r="A92" s="6234">
        <v>19160600</v>
      </c>
      <c r="B92" s="6350"/>
      <c r="C92" s="119" t="s">
        <v>2856</v>
      </c>
      <c r="D92" s="629" t="s">
        <v>5292</v>
      </c>
      <c r="E92" s="613" t="s">
        <v>5293</v>
      </c>
      <c r="F92" s="161" t="s">
        <v>5294</v>
      </c>
      <c r="G92" s="286" t="s">
        <v>5295</v>
      </c>
      <c r="H92" s="383" t="s">
        <v>5296</v>
      </c>
      <c r="I92" s="286" t="s">
        <v>5297</v>
      </c>
      <c r="J92" s="3724" t="s">
        <v>5298</v>
      </c>
      <c r="K92" s="288" t="s">
        <v>5299</v>
      </c>
      <c r="L92" s="3533" t="s">
        <v>5300</v>
      </c>
      <c r="M92" s="286" t="s">
        <v>5301</v>
      </c>
      <c r="N92" s="3493" t="s">
        <v>5302</v>
      </c>
      <c r="O92" s="288" t="s">
        <v>5303</v>
      </c>
      <c r="P92" s="3533" t="s">
        <v>5304</v>
      </c>
      <c r="Q92" s="3620" t="s">
        <v>5305</v>
      </c>
      <c r="R92" s="3493" t="s">
        <v>5306</v>
      </c>
      <c r="S92" s="383" t="s">
        <v>5307</v>
      </c>
      <c r="T92" s="3533" t="s">
        <v>5308</v>
      </c>
      <c r="U92" s="286" t="s">
        <v>5309</v>
      </c>
      <c r="V92" s="3724" t="s">
        <v>5310</v>
      </c>
      <c r="W92" s="288" t="s">
        <v>5311</v>
      </c>
      <c r="X92" s="383" t="s">
        <v>5312</v>
      </c>
      <c r="Y92" s="286" t="s">
        <v>5313</v>
      </c>
      <c r="Z92" s="3724" t="s">
        <v>5314</v>
      </c>
      <c r="AA92" s="288" t="s">
        <v>5315</v>
      </c>
      <c r="AB92" s="383" t="s">
        <v>5316</v>
      </c>
      <c r="AC92" s="286" t="s">
        <v>5317</v>
      </c>
      <c r="AD92" s="3724" t="s">
        <v>5318</v>
      </c>
      <c r="AE92" s="286" t="s">
        <v>5319</v>
      </c>
      <c r="AF92" s="3493" t="s">
        <v>5320</v>
      </c>
      <c r="AG92" s="286" t="s">
        <v>5321</v>
      </c>
      <c r="AH92" s="3724" t="s">
        <v>5322</v>
      </c>
      <c r="AI92" s="286" t="s">
        <v>5323</v>
      </c>
      <c r="AJ92" s="3724" t="s">
        <v>5324</v>
      </c>
      <c r="AK92" s="286" t="s">
        <v>5325</v>
      </c>
      <c r="AL92" s="3724" t="s">
        <v>5326</v>
      </c>
      <c r="AM92" s="383" t="s">
        <v>5327</v>
      </c>
      <c r="AN92" s="3494" t="s">
        <v>5328</v>
      </c>
      <c r="AO92" s="288" t="s">
        <v>5329</v>
      </c>
      <c r="AP92" s="3493" t="s">
        <v>5330</v>
      </c>
      <c r="AQ92" s="384" t="s">
        <v>5331</v>
      </c>
      <c r="AR92" s="290" t="s">
        <v>5332</v>
      </c>
      <c r="AS92" s="290" t="s">
        <v>5333</v>
      </c>
      <c r="AT92" s="290" t="s">
        <v>5334</v>
      </c>
      <c r="AU92" s="1687" t="str">
        <f t="shared" si="18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2" s="2784" t="str">
        <f t="shared" si="19"/>
        <v xml:space="preserve">* El Número de TRANS Masculino no puede superar el Total Mujeres. </v>
      </c>
      <c r="CC92" s="2784" t="str">
        <f t="shared" si="20"/>
        <v xml:space="preserve">* El Número de TRANS Femenino no puede superar el Total Hombres. </v>
      </c>
      <c r="CD92" s="2784" t="str">
        <f t="shared" si="21"/>
        <v xml:space="preserve">* El Número de Pueblos Originarios no puede superar el Total. </v>
      </c>
      <c r="CE92" s="2784" t="str">
        <f t="shared" si="22"/>
        <v xml:space="preserve">* El Número de Migrantes no puede superar el Total. </v>
      </c>
      <c r="CF92" s="2784" t="str">
        <f t="shared" si="23"/>
        <v xml:space="preserve">* El Número de Niños, Niñas, Adolescentes y Jóvenes SENAME no puede superar el Total. </v>
      </c>
      <c r="CG92" s="2784" t="str">
        <f t="shared" si="24"/>
        <v xml:space="preserve">* El Número de Niños, Niñas, Adolescentes y Jóvenes Mejor Niñez no puede superar el Total. </v>
      </c>
      <c r="CK92" s="1725">
        <f t="shared" si="25"/>
        <v>1</v>
      </c>
      <c r="CL92" s="1725">
        <f t="shared" si="26"/>
        <v>1</v>
      </c>
      <c r="CM92" s="1725">
        <f t="shared" si="27"/>
        <v>1</v>
      </c>
      <c r="CN92" s="1725">
        <f t="shared" si="28"/>
        <v>1</v>
      </c>
      <c r="CO92" s="1725">
        <f t="shared" si="29"/>
        <v>1</v>
      </c>
      <c r="CP92" s="1725">
        <f t="shared" si="30"/>
        <v>1</v>
      </c>
    </row>
    <row r="93" spans="1:94" ht="18" customHeight="1" x14ac:dyDescent="0.3">
      <c r="B93" s="7670" t="s">
        <v>2858</v>
      </c>
      <c r="C93" s="7670"/>
      <c r="D93" s="7670"/>
      <c r="E93" s="7670"/>
    </row>
    <row r="94" spans="1:94" x14ac:dyDescent="0.3">
      <c r="B94" s="6367" t="s">
        <v>2859</v>
      </c>
      <c r="C94" s="3180" t="s">
        <v>2860</v>
      </c>
      <c r="D94" s="3226" t="s">
        <v>2906</v>
      </c>
      <c r="E94" s="3226" t="s">
        <v>1762</v>
      </c>
    </row>
    <row r="95" spans="1:94" x14ac:dyDescent="0.3">
      <c r="A95" s="6240">
        <v>19140700</v>
      </c>
      <c r="B95" s="6349"/>
      <c r="C95" s="3642" t="s">
        <v>2861</v>
      </c>
      <c r="D95" s="3607" t="s">
        <v>5292</v>
      </c>
      <c r="E95" s="3607" t="s">
        <v>5293</v>
      </c>
      <c r="F95" s="1687" t="str">
        <f>$CB95</f>
        <v xml:space="preserve">* Las consejerías realizadas en Espacios Amigables NO DEBEN ser mayor al Total de Actividades. </v>
      </c>
      <c r="G95" s="794"/>
      <c r="H95" s="794"/>
      <c r="I95" s="794"/>
      <c r="J95" s="794"/>
      <c r="K95" s="794"/>
      <c r="L95" s="794"/>
      <c r="M95" s="794"/>
      <c r="N95" s="794"/>
      <c r="O95" s="794"/>
      <c r="P95" s="794"/>
      <c r="Q95" s="794"/>
      <c r="R95" s="3199"/>
      <c r="S95" s="3199"/>
      <c r="T95" s="3199"/>
      <c r="U95" s="599"/>
      <c r="V95" s="599"/>
      <c r="W95" s="599"/>
      <c r="X95" s="599"/>
      <c r="Y95" s="599"/>
      <c r="Z95" s="599"/>
      <c r="AA95" s="599"/>
      <c r="AB95" s="599"/>
      <c r="AC95" s="599"/>
      <c r="AD95" s="599"/>
      <c r="AE95" s="599"/>
      <c r="AF95" s="599"/>
      <c r="AG95" s="599"/>
      <c r="AH95" s="599"/>
      <c r="AI95" s="599"/>
      <c r="AJ95" s="599"/>
      <c r="AK95" s="599"/>
      <c r="AL95" s="599"/>
      <c r="AM95" s="599"/>
      <c r="AN95" s="599"/>
      <c r="AO95" s="599"/>
      <c r="AP95" s="599"/>
      <c r="AQ95" s="599"/>
      <c r="AR95" s="599"/>
      <c r="AS95" s="599"/>
      <c r="AT95" s="599"/>
      <c r="AU95" s="599"/>
      <c r="AV95" s="599"/>
      <c r="AW95" s="599"/>
      <c r="AX95" s="599"/>
      <c r="AY95" s="599"/>
      <c r="AZ95" s="599"/>
      <c r="BA95" s="599"/>
      <c r="BB95" s="599"/>
      <c r="BC95" s="599"/>
      <c r="BD95" s="599"/>
      <c r="BE95" s="599"/>
      <c r="BF95" s="599"/>
      <c r="BG95" s="599"/>
      <c r="BH95" s="599"/>
      <c r="BI95" s="599"/>
      <c r="BJ95" s="599"/>
      <c r="BK95" s="599"/>
      <c r="BL95" s="599"/>
      <c r="BM95" s="599"/>
      <c r="BN95" s="599"/>
      <c r="BO95" s="599"/>
      <c r="BP95" s="599"/>
      <c r="BQ95" s="599"/>
      <c r="BR95" s="599"/>
      <c r="BS95" s="599"/>
      <c r="BT95" s="599"/>
      <c r="BU95" s="599"/>
      <c r="BV95" s="599"/>
      <c r="BW95" s="599"/>
      <c r="BX95" s="599"/>
      <c r="BY95" s="632"/>
      <c r="BZ95" s="632"/>
      <c r="CA95" s="632"/>
      <c r="CB95" s="3643" t="str">
        <f>IF(E95&lt;=D95,"","* Las consejerías realizadas en Espacios Amigables NO DEBEN ser mayor al Total de Actividades. ")</f>
        <v xml:space="preserve">* Las consejerías realizadas en Espacios Amigables NO DEBEN ser mayor al Total de Actividades. </v>
      </c>
      <c r="CC95" s="3201"/>
      <c r="CD95" s="3201"/>
      <c r="CE95" s="3201"/>
      <c r="CF95" s="3201"/>
      <c r="CG95" s="3201"/>
      <c r="CJ95" s="3644">
        <f>IF(E95&lt;=D95,0,1)</f>
        <v>1</v>
      </c>
    </row>
    <row r="96" spans="1:94" x14ac:dyDescent="0.3">
      <c r="A96" s="6240">
        <v>19140800</v>
      </c>
      <c r="B96" s="6349"/>
      <c r="C96" s="3486" t="s">
        <v>2862</v>
      </c>
      <c r="D96" s="3538" t="s">
        <v>5292</v>
      </c>
      <c r="E96" s="3538" t="s">
        <v>5293</v>
      </c>
      <c r="F96" s="1687" t="str">
        <f t="shared" ref="F96:F97" si="31">$CB96</f>
        <v xml:space="preserve">* Las consejerías realizadas en Espacios Amigables NO DEBEN ser mayor al Total de Actividades. </v>
      </c>
      <c r="G96" s="794"/>
      <c r="H96" s="794"/>
      <c r="I96" s="794"/>
      <c r="J96" s="794"/>
      <c r="K96" s="794"/>
      <c r="L96" s="794"/>
      <c r="M96" s="794"/>
      <c r="N96" s="794"/>
      <c r="O96" s="794"/>
      <c r="P96" s="794"/>
      <c r="Q96" s="794"/>
      <c r="R96" s="3199"/>
      <c r="S96" s="3199"/>
      <c r="T96" s="3199"/>
      <c r="U96" s="599"/>
      <c r="V96" s="599"/>
      <c r="W96" s="599"/>
      <c r="X96" s="599"/>
      <c r="Y96" s="599"/>
      <c r="Z96" s="599"/>
      <c r="AA96" s="599"/>
      <c r="AB96" s="599"/>
      <c r="AC96" s="599"/>
      <c r="AD96" s="599"/>
      <c r="AE96" s="599"/>
      <c r="AF96" s="599"/>
      <c r="AG96" s="599"/>
      <c r="AH96" s="599"/>
      <c r="AI96" s="599"/>
      <c r="AJ96" s="599"/>
      <c r="AK96" s="599"/>
      <c r="AL96" s="599"/>
      <c r="AM96" s="599"/>
      <c r="AN96" s="599"/>
      <c r="AO96" s="599"/>
      <c r="AP96" s="599"/>
      <c r="AQ96" s="599"/>
      <c r="AR96" s="599"/>
      <c r="AS96" s="599"/>
      <c r="AT96" s="599"/>
      <c r="AU96" s="599"/>
      <c r="AV96" s="599"/>
      <c r="AW96" s="599"/>
      <c r="AX96" s="599"/>
      <c r="AY96" s="599"/>
      <c r="AZ96" s="599"/>
      <c r="BA96" s="599"/>
      <c r="BB96" s="599"/>
      <c r="BC96" s="599"/>
      <c r="BD96" s="599"/>
      <c r="BE96" s="599"/>
      <c r="BF96" s="599"/>
      <c r="BG96" s="599"/>
      <c r="BH96" s="599"/>
      <c r="BI96" s="599"/>
      <c r="BJ96" s="599"/>
      <c r="BK96" s="599"/>
      <c r="BL96" s="599"/>
      <c r="BM96" s="599"/>
      <c r="BN96" s="599"/>
      <c r="BO96" s="599"/>
      <c r="BP96" s="599"/>
      <c r="BQ96" s="599"/>
      <c r="BR96" s="599"/>
      <c r="BS96" s="599"/>
      <c r="BT96" s="599"/>
      <c r="BU96" s="599"/>
      <c r="BV96" s="599"/>
      <c r="BW96" s="599"/>
      <c r="BX96" s="599"/>
      <c r="BY96" s="632"/>
      <c r="BZ96" s="632"/>
      <c r="CA96" s="632"/>
      <c r="CB96" s="3643" t="str">
        <f t="shared" ref="CB96:CB97" si="32">IF(E96&lt;=D96,"","* Las consejerías realizadas en Espacios Amigables NO DEBEN ser mayor al Total de Actividades. ")</f>
        <v xml:space="preserve">* Las consejerías realizadas en Espacios Amigables NO DEBEN ser mayor al Total de Actividades. </v>
      </c>
      <c r="CC96" s="3201"/>
      <c r="CD96" s="3201"/>
      <c r="CE96" s="3201"/>
      <c r="CF96" s="3201"/>
      <c r="CG96" s="3201"/>
      <c r="CJ96" s="3644">
        <f t="shared" ref="CJ96:CJ97" si="33">IF(E96&lt;=D96,0,1)</f>
        <v>1</v>
      </c>
    </row>
    <row r="97" spans="1:112" ht="20.399999999999999" x14ac:dyDescent="0.3">
      <c r="A97" s="6240">
        <v>19140900</v>
      </c>
      <c r="B97" s="6349"/>
      <c r="C97" s="3486" t="s">
        <v>2863</v>
      </c>
      <c r="D97" s="3538" t="s">
        <v>5292</v>
      </c>
      <c r="E97" s="3538" t="s">
        <v>5293</v>
      </c>
      <c r="F97" s="1687" t="str">
        <f t="shared" si="31"/>
        <v xml:space="preserve">* Las consejerías realizadas en Espacios Amigables NO DEBEN ser mayor al Total de Actividades. </v>
      </c>
      <c r="G97" s="794"/>
      <c r="H97" s="794"/>
      <c r="I97" s="794"/>
      <c r="J97" s="794"/>
      <c r="K97" s="794"/>
      <c r="L97" s="794"/>
      <c r="M97" s="794"/>
      <c r="N97" s="794"/>
      <c r="O97" s="794"/>
      <c r="P97" s="794"/>
      <c r="Q97" s="794"/>
      <c r="R97" s="3199"/>
      <c r="S97" s="3199"/>
      <c r="T97" s="3199"/>
      <c r="U97" s="599"/>
      <c r="V97" s="599"/>
      <c r="W97" s="599"/>
      <c r="X97" s="599"/>
      <c r="Y97" s="599"/>
      <c r="Z97" s="599"/>
      <c r="AA97" s="599"/>
      <c r="AB97" s="599"/>
      <c r="AC97" s="599"/>
      <c r="AD97" s="599"/>
      <c r="AE97" s="599"/>
      <c r="AF97" s="599"/>
      <c r="AG97" s="599"/>
      <c r="AH97" s="599"/>
      <c r="AI97" s="599"/>
      <c r="AJ97" s="599"/>
      <c r="AK97" s="599"/>
      <c r="AL97" s="599"/>
      <c r="AM97" s="599"/>
      <c r="AN97" s="599"/>
      <c r="AO97" s="599"/>
      <c r="AP97" s="599"/>
      <c r="AQ97" s="599"/>
      <c r="AR97" s="599"/>
      <c r="AS97" s="599"/>
      <c r="AT97" s="599"/>
      <c r="AU97" s="599"/>
      <c r="AV97" s="599"/>
      <c r="AW97" s="599"/>
      <c r="AX97" s="599"/>
      <c r="AY97" s="599"/>
      <c r="AZ97" s="599"/>
      <c r="BA97" s="599"/>
      <c r="BB97" s="599"/>
      <c r="BC97" s="599"/>
      <c r="BD97" s="599"/>
      <c r="BE97" s="599"/>
      <c r="BF97" s="599"/>
      <c r="BG97" s="599"/>
      <c r="BH97" s="599"/>
      <c r="BI97" s="599"/>
      <c r="BJ97" s="599"/>
      <c r="BK97" s="599"/>
      <c r="BL97" s="599"/>
      <c r="BM97" s="599"/>
      <c r="BN97" s="599"/>
      <c r="BO97" s="599"/>
      <c r="BP97" s="599"/>
      <c r="BQ97" s="599"/>
      <c r="BR97" s="599"/>
      <c r="BS97" s="599"/>
      <c r="BT97" s="599"/>
      <c r="BU97" s="599"/>
      <c r="BV97" s="599"/>
      <c r="BW97" s="599"/>
      <c r="BX97" s="599"/>
      <c r="BY97" s="632"/>
      <c r="BZ97" s="632"/>
      <c r="CA97" s="632"/>
      <c r="CB97" s="3643" t="str">
        <f t="shared" si="32"/>
        <v xml:space="preserve">* Las consejerías realizadas en Espacios Amigables NO DEBEN ser mayor al Total de Actividades. </v>
      </c>
      <c r="CC97" s="3201"/>
      <c r="CD97" s="3201"/>
      <c r="CE97" s="3201"/>
      <c r="CF97" s="3201"/>
      <c r="CG97" s="3201"/>
      <c r="CJ97" s="3644">
        <f t="shared" si="33"/>
        <v>1</v>
      </c>
    </row>
    <row r="98" spans="1:112" x14ac:dyDescent="0.3">
      <c r="A98" s="6240">
        <v>19150100</v>
      </c>
      <c r="B98" s="6349"/>
      <c r="C98" s="3486" t="s">
        <v>2864</v>
      </c>
      <c r="D98" s="3538" t="s">
        <v>5292</v>
      </c>
      <c r="E98" s="3645" t="s">
        <v>5293</v>
      </c>
    </row>
    <row r="99" spans="1:112" x14ac:dyDescent="0.3">
      <c r="A99" s="6240">
        <v>19150200</v>
      </c>
      <c r="B99" s="6349"/>
      <c r="C99" s="3239" t="s">
        <v>2865</v>
      </c>
      <c r="D99" s="3511" t="s">
        <v>5292</v>
      </c>
      <c r="E99" s="3645" t="s">
        <v>5293</v>
      </c>
    </row>
    <row r="100" spans="1:112" x14ac:dyDescent="0.3">
      <c r="A100" s="6240">
        <v>19150300</v>
      </c>
      <c r="B100" s="6349"/>
      <c r="C100" s="3239" t="s">
        <v>2866</v>
      </c>
      <c r="D100" s="3511" t="s">
        <v>5292</v>
      </c>
      <c r="E100" s="3538" t="s">
        <v>5293</v>
      </c>
      <c r="F100" s="1687" t="str">
        <f t="shared" ref="F100:F103" si="34">$CB100</f>
        <v xml:space="preserve">* Las consejerías realizadas en Espacios Amigables NO DEBEN ser mayor al Total de Actividades. </v>
      </c>
      <c r="G100" s="794"/>
      <c r="H100" s="794"/>
      <c r="I100" s="794"/>
      <c r="J100" s="794"/>
      <c r="K100" s="794"/>
      <c r="L100" s="794"/>
      <c r="M100" s="794"/>
      <c r="N100" s="794"/>
      <c r="O100" s="794"/>
      <c r="P100" s="794"/>
      <c r="Q100" s="794"/>
      <c r="R100" s="3199"/>
      <c r="S100" s="3199"/>
      <c r="T100" s="3199"/>
      <c r="U100" s="599"/>
      <c r="V100" s="599"/>
      <c r="W100" s="599"/>
      <c r="X100" s="599"/>
      <c r="Y100" s="599"/>
      <c r="Z100" s="599"/>
      <c r="AA100" s="599"/>
      <c r="AB100" s="599"/>
      <c r="AC100" s="599"/>
      <c r="AD100" s="599"/>
      <c r="AE100" s="599"/>
      <c r="AF100" s="599"/>
      <c r="AG100" s="599"/>
      <c r="AH100" s="599"/>
      <c r="AI100" s="599"/>
      <c r="AJ100" s="599"/>
      <c r="AK100" s="599"/>
      <c r="AL100" s="599"/>
      <c r="AM100" s="599"/>
      <c r="AN100" s="599"/>
      <c r="AO100" s="599"/>
      <c r="AP100" s="599"/>
      <c r="AQ100" s="599"/>
      <c r="AR100" s="599"/>
      <c r="AS100" s="599"/>
      <c r="AT100" s="599"/>
      <c r="AU100" s="599"/>
      <c r="AV100" s="599"/>
      <c r="AW100" s="599"/>
      <c r="AX100" s="599"/>
      <c r="AY100" s="599"/>
      <c r="AZ100" s="599"/>
      <c r="BA100" s="599"/>
      <c r="BB100" s="599"/>
      <c r="BC100" s="599"/>
      <c r="BD100" s="599"/>
      <c r="BE100" s="599"/>
      <c r="BF100" s="599"/>
      <c r="BG100" s="599"/>
      <c r="BH100" s="599"/>
      <c r="BI100" s="599"/>
      <c r="BJ100" s="599"/>
      <c r="BK100" s="599"/>
      <c r="BL100" s="599"/>
      <c r="BM100" s="599"/>
      <c r="BN100" s="599"/>
      <c r="BO100" s="599"/>
      <c r="BP100" s="599"/>
      <c r="BQ100" s="599"/>
      <c r="BR100" s="599"/>
      <c r="BS100" s="599"/>
      <c r="BT100" s="599"/>
      <c r="BU100" s="599"/>
      <c r="BV100" s="599"/>
      <c r="BW100" s="599"/>
      <c r="BX100" s="599"/>
      <c r="BY100" s="632"/>
      <c r="BZ100" s="632"/>
      <c r="CA100" s="632"/>
      <c r="CB100" s="3643" t="str">
        <f>IF(E100&lt;=D100,"","* Las consejerías realizadas en Espacios Amigables NO DEBEN ser mayor al Total de Actividades. ")</f>
        <v xml:space="preserve">* Las consejerías realizadas en Espacios Amigables NO DEBEN ser mayor al Total de Actividades. </v>
      </c>
      <c r="CC100" s="3201"/>
      <c r="CD100" s="3201"/>
      <c r="CE100" s="3201"/>
      <c r="CF100" s="3201"/>
      <c r="CG100" s="3201"/>
      <c r="CJ100" s="3644">
        <f>IF(E100&lt;=D100,0,1)</f>
        <v>1</v>
      </c>
    </row>
    <row r="101" spans="1:112" x14ac:dyDescent="0.3">
      <c r="A101" s="6240">
        <v>19150400</v>
      </c>
      <c r="B101" s="6349"/>
      <c r="C101" s="3239" t="s">
        <v>2867</v>
      </c>
      <c r="D101" s="3511" t="s">
        <v>5292</v>
      </c>
      <c r="E101" s="3538" t="s">
        <v>5293</v>
      </c>
      <c r="F101" s="1687" t="str">
        <f t="shared" si="34"/>
        <v xml:space="preserve">* Las consejerías realizadas en Espacios Amigables NO DEBEN ser mayor al Total de Actividades. </v>
      </c>
      <c r="G101" s="794"/>
      <c r="H101" s="794"/>
      <c r="I101" s="794"/>
      <c r="J101" s="794"/>
      <c r="K101" s="794"/>
      <c r="L101" s="794"/>
      <c r="M101" s="794"/>
      <c r="N101" s="794"/>
      <c r="O101" s="794"/>
      <c r="P101" s="794"/>
      <c r="Q101" s="794"/>
      <c r="R101" s="3199"/>
      <c r="S101" s="3199"/>
      <c r="T101" s="3199"/>
      <c r="U101" s="599"/>
      <c r="V101" s="599"/>
      <c r="W101" s="599"/>
      <c r="X101" s="599"/>
      <c r="Y101" s="599"/>
      <c r="Z101" s="599"/>
      <c r="AA101" s="599"/>
      <c r="AB101" s="599"/>
      <c r="AC101" s="599"/>
      <c r="AD101" s="599"/>
      <c r="AE101" s="599"/>
      <c r="AF101" s="599"/>
      <c r="AG101" s="599"/>
      <c r="AH101" s="599"/>
      <c r="AI101" s="599"/>
      <c r="AJ101" s="599"/>
      <c r="AK101" s="599"/>
      <c r="AL101" s="599"/>
      <c r="AM101" s="599"/>
      <c r="AN101" s="599"/>
      <c r="AO101" s="599"/>
      <c r="AP101" s="599"/>
      <c r="AQ101" s="599"/>
      <c r="AR101" s="599"/>
      <c r="AS101" s="599"/>
      <c r="AT101" s="599"/>
      <c r="AU101" s="599"/>
      <c r="AV101" s="599"/>
      <c r="AW101" s="599"/>
      <c r="AX101" s="599"/>
      <c r="AY101" s="599"/>
      <c r="AZ101" s="599"/>
      <c r="BA101" s="599"/>
      <c r="BB101" s="599"/>
      <c r="BC101" s="599"/>
      <c r="BD101" s="599"/>
      <c r="BE101" s="599"/>
      <c r="BF101" s="599"/>
      <c r="BG101" s="599"/>
      <c r="BH101" s="599"/>
      <c r="BI101" s="599"/>
      <c r="BJ101" s="599"/>
      <c r="BK101" s="599"/>
      <c r="BL101" s="599"/>
      <c r="BM101" s="599"/>
      <c r="BN101" s="599"/>
      <c r="BO101" s="599"/>
      <c r="BP101" s="599"/>
      <c r="BQ101" s="599"/>
      <c r="BR101" s="599"/>
      <c r="BS101" s="599"/>
      <c r="BT101" s="599"/>
      <c r="BU101" s="599"/>
      <c r="BV101" s="599"/>
      <c r="BW101" s="599"/>
      <c r="BX101" s="599"/>
      <c r="BY101" s="632"/>
      <c r="BZ101" s="632"/>
      <c r="CA101" s="632"/>
      <c r="CB101" s="3643" t="str">
        <f t="shared" ref="CB101:CB103" si="35">IF(E101&lt;=D101,"","* Las consejerías realizadas en Espacios Amigables NO DEBEN ser mayor al Total de Actividades. ")</f>
        <v xml:space="preserve">* Las consejerías realizadas en Espacios Amigables NO DEBEN ser mayor al Total de Actividades. </v>
      </c>
      <c r="CC101" s="3201"/>
      <c r="CD101" s="3201"/>
      <c r="CE101" s="3201"/>
      <c r="CF101" s="3201"/>
      <c r="CG101" s="3201"/>
      <c r="CJ101" s="3644">
        <f t="shared" ref="CJ101:CJ103" si="36">IF(E101&lt;=D101,0,1)</f>
        <v>1</v>
      </c>
    </row>
    <row r="102" spans="1:112" x14ac:dyDescent="0.3">
      <c r="A102" s="6277">
        <v>19150500</v>
      </c>
      <c r="B102" s="6349"/>
      <c r="C102" s="3239" t="s">
        <v>2868</v>
      </c>
      <c r="D102" s="3538" t="s">
        <v>5292</v>
      </c>
      <c r="E102" s="3538" t="s">
        <v>5293</v>
      </c>
      <c r="F102" s="1687" t="str">
        <f t="shared" si="34"/>
        <v xml:space="preserve">* Las consejerías realizadas en Espacios Amigables NO DEBEN ser mayor al Total de Actividades. </v>
      </c>
      <c r="G102" s="794"/>
      <c r="H102" s="794"/>
      <c r="I102" s="794"/>
      <c r="J102" s="794"/>
      <c r="K102" s="794"/>
      <c r="L102" s="794"/>
      <c r="M102" s="794"/>
      <c r="N102" s="794"/>
      <c r="O102" s="794"/>
      <c r="P102" s="794"/>
      <c r="Q102" s="794"/>
      <c r="R102" s="3199"/>
      <c r="S102" s="3199"/>
      <c r="T102" s="3199"/>
      <c r="U102" s="599"/>
      <c r="V102" s="599"/>
      <c r="W102" s="599"/>
      <c r="X102" s="599"/>
      <c r="Y102" s="599"/>
      <c r="Z102" s="599"/>
      <c r="AA102" s="599"/>
      <c r="AB102" s="599"/>
      <c r="AC102" s="599"/>
      <c r="AD102" s="599"/>
      <c r="AE102" s="599"/>
      <c r="AF102" s="599"/>
      <c r="AG102" s="599"/>
      <c r="AH102" s="599"/>
      <c r="AI102" s="599"/>
      <c r="AJ102" s="599"/>
      <c r="AK102" s="599"/>
      <c r="AL102" s="599"/>
      <c r="AM102" s="599"/>
      <c r="AN102" s="599"/>
      <c r="AO102" s="599"/>
      <c r="AP102" s="599"/>
      <c r="AQ102" s="599"/>
      <c r="AR102" s="599"/>
      <c r="AS102" s="599"/>
      <c r="AT102" s="599"/>
      <c r="AU102" s="599"/>
      <c r="AV102" s="599"/>
      <c r="AW102" s="599"/>
      <c r="AX102" s="599"/>
      <c r="AY102" s="599"/>
      <c r="AZ102" s="599"/>
      <c r="BA102" s="599"/>
      <c r="BB102" s="599"/>
      <c r="BC102" s="599"/>
      <c r="BD102" s="599"/>
      <c r="BE102" s="599"/>
      <c r="BF102" s="599"/>
      <c r="BG102" s="599"/>
      <c r="BH102" s="599"/>
      <c r="BI102" s="599"/>
      <c r="BJ102" s="599"/>
      <c r="BK102" s="599"/>
      <c r="BL102" s="599"/>
      <c r="BM102" s="599"/>
      <c r="BN102" s="599"/>
      <c r="BO102" s="599"/>
      <c r="BP102" s="599"/>
      <c r="BQ102" s="599"/>
      <c r="BR102" s="599"/>
      <c r="BS102" s="599"/>
      <c r="BT102" s="599"/>
      <c r="BU102" s="599"/>
      <c r="BV102" s="599"/>
      <c r="BW102" s="599"/>
      <c r="BX102" s="599"/>
      <c r="BY102" s="632"/>
      <c r="BZ102" s="632"/>
      <c r="CA102" s="632"/>
      <c r="CB102" s="3643" t="str">
        <f t="shared" si="35"/>
        <v xml:space="preserve">* Las consejerías realizadas en Espacios Amigables NO DEBEN ser mayor al Total de Actividades. </v>
      </c>
      <c r="CC102" s="3201"/>
      <c r="CD102" s="3201"/>
      <c r="CE102" s="3201"/>
      <c r="CF102" s="3201"/>
      <c r="CG102" s="3201"/>
      <c r="CJ102" s="3644">
        <f t="shared" si="36"/>
        <v>1</v>
      </c>
    </row>
    <row r="103" spans="1:112" x14ac:dyDescent="0.3">
      <c r="A103" s="6277">
        <v>19190100</v>
      </c>
      <c r="B103" s="6350"/>
      <c r="C103" s="2994" t="s">
        <v>2869</v>
      </c>
      <c r="D103" s="3646" t="s">
        <v>5292</v>
      </c>
      <c r="E103" s="3646" t="s">
        <v>5293</v>
      </c>
      <c r="F103" s="1687" t="str">
        <f t="shared" si="34"/>
        <v xml:space="preserve">* Las consejerías realizadas en Espacios Amigables NO DEBEN ser mayor al Total de Actividades. </v>
      </c>
      <c r="G103" s="794"/>
      <c r="H103" s="794"/>
      <c r="I103" s="794"/>
      <c r="J103" s="794"/>
      <c r="K103" s="794"/>
      <c r="L103" s="794"/>
      <c r="M103" s="794"/>
      <c r="N103" s="794"/>
      <c r="O103" s="794"/>
      <c r="P103" s="794"/>
      <c r="Q103" s="794"/>
      <c r="R103" s="3199"/>
      <c r="S103" s="3199"/>
      <c r="T103" s="3199"/>
      <c r="U103" s="599"/>
      <c r="V103" s="599"/>
      <c r="W103" s="599"/>
      <c r="X103" s="599"/>
      <c r="Y103" s="599"/>
      <c r="Z103" s="599"/>
      <c r="AA103" s="599"/>
      <c r="AB103" s="599"/>
      <c r="AC103" s="599"/>
      <c r="AD103" s="599"/>
      <c r="AE103" s="599"/>
      <c r="AF103" s="599"/>
      <c r="AG103" s="599"/>
      <c r="AH103" s="599"/>
      <c r="AI103" s="599"/>
      <c r="AJ103" s="599"/>
      <c r="AK103" s="599"/>
      <c r="AL103" s="599"/>
      <c r="AM103" s="599"/>
      <c r="AN103" s="599"/>
      <c r="AO103" s="599"/>
      <c r="AP103" s="599"/>
      <c r="AQ103" s="599"/>
      <c r="AR103" s="599"/>
      <c r="AS103" s="599"/>
      <c r="AT103" s="599"/>
      <c r="AU103" s="599"/>
      <c r="AV103" s="599"/>
      <c r="AW103" s="599"/>
      <c r="AX103" s="599"/>
      <c r="AY103" s="599"/>
      <c r="AZ103" s="599"/>
      <c r="BA103" s="599"/>
      <c r="BB103" s="599"/>
      <c r="BC103" s="599"/>
      <c r="BD103" s="599"/>
      <c r="BE103" s="599"/>
      <c r="BF103" s="599"/>
      <c r="BG103" s="599"/>
      <c r="BH103" s="599"/>
      <c r="BI103" s="599"/>
      <c r="BJ103" s="599"/>
      <c r="BK103" s="599"/>
      <c r="BL103" s="599"/>
      <c r="BM103" s="599"/>
      <c r="BN103" s="599"/>
      <c r="BO103" s="599"/>
      <c r="BP103" s="599"/>
      <c r="BQ103" s="599"/>
      <c r="BR103" s="599"/>
      <c r="BS103" s="599"/>
      <c r="BT103" s="599"/>
      <c r="BU103" s="599"/>
      <c r="BV103" s="599"/>
      <c r="BW103" s="599"/>
      <c r="BX103" s="599"/>
      <c r="BY103" s="632"/>
      <c r="BZ103" s="632"/>
      <c r="CA103" s="632"/>
      <c r="CB103" s="3643" t="str">
        <f t="shared" si="35"/>
        <v xml:space="preserve">* Las consejerías realizadas en Espacios Amigables NO DEBEN ser mayor al Total de Actividades. </v>
      </c>
      <c r="CC103" s="3201"/>
      <c r="CD103" s="3201"/>
      <c r="CE103" s="3201"/>
      <c r="CF103" s="3201"/>
      <c r="CG103" s="3201"/>
      <c r="CJ103" s="3644">
        <f t="shared" si="36"/>
        <v>1</v>
      </c>
    </row>
    <row r="104" spans="1:112" ht="18" customHeight="1" x14ac:dyDescent="0.3">
      <c r="B104" s="7680" t="s">
        <v>2870</v>
      </c>
      <c r="C104" s="7680"/>
      <c r="D104" s="7680"/>
      <c r="E104" s="7680"/>
      <c r="F104" s="7680"/>
      <c r="G104" s="7680"/>
      <c r="H104" s="7680"/>
      <c r="I104" s="7680"/>
      <c r="J104" s="7680"/>
      <c r="K104" s="7680"/>
      <c r="L104" s="7680"/>
      <c r="M104" s="7680"/>
      <c r="N104" s="7680"/>
      <c r="O104" s="7680"/>
      <c r="P104" s="7680"/>
      <c r="Q104" s="7680"/>
      <c r="R104" s="7680"/>
      <c r="S104" s="7680"/>
      <c r="T104" s="7680"/>
      <c r="U104" s="7680"/>
      <c r="V104" s="7680"/>
      <c r="W104" s="7680"/>
      <c r="X104" s="7680"/>
      <c r="Y104" s="7680"/>
      <c r="Z104" s="7680"/>
      <c r="AA104" s="7680"/>
      <c r="AB104" s="7680"/>
      <c r="AC104" s="7680"/>
      <c r="AD104" s="7680"/>
      <c r="AE104" s="7680"/>
      <c r="AF104" s="7680"/>
      <c r="AG104" s="7680"/>
      <c r="AH104" s="7680"/>
      <c r="AI104" s="7680"/>
      <c r="AJ104" s="7680"/>
      <c r="AK104" s="7680"/>
      <c r="AL104" s="7680"/>
    </row>
    <row r="105" spans="1:112" ht="15" customHeight="1" x14ac:dyDescent="0.3">
      <c r="B105" s="6340" t="s">
        <v>58</v>
      </c>
      <c r="C105" s="6342"/>
      <c r="D105" s="6340" t="s">
        <v>24</v>
      </c>
      <c r="E105" s="6341"/>
      <c r="F105" s="6342"/>
      <c r="G105" s="6600" t="s">
        <v>30</v>
      </c>
      <c r="H105" s="6602"/>
      <c r="I105" s="6602"/>
      <c r="J105" s="6602"/>
      <c r="K105" s="6602"/>
      <c r="L105" s="6602"/>
      <c r="M105" s="6602"/>
      <c r="N105" s="6602"/>
      <c r="O105" s="6602"/>
      <c r="P105" s="6602"/>
      <c r="Q105" s="6602"/>
      <c r="R105" s="6602"/>
      <c r="S105" s="6602"/>
      <c r="T105" s="6602"/>
      <c r="U105" s="6602"/>
      <c r="V105" s="6602"/>
      <c r="W105" s="6602"/>
      <c r="X105" s="6602"/>
      <c r="Y105" s="6602"/>
      <c r="Z105" s="6602"/>
      <c r="AA105" s="6602"/>
      <c r="AB105" s="6602"/>
      <c r="AC105" s="6602"/>
      <c r="AD105" s="6602"/>
      <c r="AE105" s="6602"/>
      <c r="AF105" s="6602"/>
      <c r="AG105" s="6602"/>
      <c r="AH105" s="6602"/>
      <c r="AI105" s="6602"/>
      <c r="AJ105" s="6602"/>
      <c r="AK105" s="6602"/>
      <c r="AL105" s="7679"/>
      <c r="AM105" s="6402" t="s">
        <v>17</v>
      </c>
    </row>
    <row r="106" spans="1:112" x14ac:dyDescent="0.3">
      <c r="B106" s="6590"/>
      <c r="C106" s="6324"/>
      <c r="D106" s="6459"/>
      <c r="E106" s="6383"/>
      <c r="F106" s="6460"/>
      <c r="G106" s="6326" t="s">
        <v>38</v>
      </c>
      <c r="H106" s="6462"/>
      <c r="I106" s="6326" t="s">
        <v>568</v>
      </c>
      <c r="J106" s="6462"/>
      <c r="K106" s="6326" t="s">
        <v>559</v>
      </c>
      <c r="L106" s="6462"/>
      <c r="M106" s="6326" t="s">
        <v>560</v>
      </c>
      <c r="N106" s="6462"/>
      <c r="O106" s="6326" t="s">
        <v>561</v>
      </c>
      <c r="P106" s="6462"/>
      <c r="Q106" s="6326" t="s">
        <v>562</v>
      </c>
      <c r="R106" s="6462"/>
      <c r="S106" s="6326" t="s">
        <v>563</v>
      </c>
      <c r="T106" s="6462"/>
      <c r="U106" s="6326" t="s">
        <v>564</v>
      </c>
      <c r="V106" s="6462"/>
      <c r="W106" s="6326" t="s">
        <v>565</v>
      </c>
      <c r="X106" s="6462"/>
      <c r="Y106" s="6326" t="s">
        <v>555</v>
      </c>
      <c r="Z106" s="6462"/>
      <c r="AA106" s="6326" t="s">
        <v>556</v>
      </c>
      <c r="AB106" s="6462"/>
      <c r="AC106" s="6326" t="s">
        <v>557</v>
      </c>
      <c r="AD106" s="6462"/>
      <c r="AE106" s="6326" t="s">
        <v>2832</v>
      </c>
      <c r="AF106" s="6462"/>
      <c r="AG106" s="6326" t="s">
        <v>2833</v>
      </c>
      <c r="AH106" s="6462"/>
      <c r="AI106" s="6330" t="s">
        <v>32</v>
      </c>
      <c r="AJ106" s="6333"/>
      <c r="AK106" s="6328" t="s">
        <v>2871</v>
      </c>
      <c r="AL106" s="6328"/>
      <c r="AM106" s="6668"/>
    </row>
    <row r="107" spans="1:112" x14ac:dyDescent="0.3">
      <c r="B107" s="6459"/>
      <c r="C107" s="6460"/>
      <c r="D107" s="3153" t="s">
        <v>26</v>
      </c>
      <c r="E107" s="3153" t="s">
        <v>22</v>
      </c>
      <c r="F107" s="3226" t="s">
        <v>27</v>
      </c>
      <c r="G107" s="3153" t="s">
        <v>22</v>
      </c>
      <c r="H107" s="3226" t="s">
        <v>27</v>
      </c>
      <c r="I107" s="3153" t="s">
        <v>22</v>
      </c>
      <c r="J107" s="3226" t="s">
        <v>27</v>
      </c>
      <c r="K107" s="3153" t="s">
        <v>22</v>
      </c>
      <c r="L107" s="3226" t="s">
        <v>27</v>
      </c>
      <c r="M107" s="3153" t="s">
        <v>22</v>
      </c>
      <c r="N107" s="3226" t="s">
        <v>27</v>
      </c>
      <c r="O107" s="3153" t="s">
        <v>22</v>
      </c>
      <c r="P107" s="3226" t="s">
        <v>27</v>
      </c>
      <c r="Q107" s="3153" t="s">
        <v>22</v>
      </c>
      <c r="R107" s="3226" t="s">
        <v>27</v>
      </c>
      <c r="S107" s="3153" t="s">
        <v>22</v>
      </c>
      <c r="T107" s="3226" t="s">
        <v>27</v>
      </c>
      <c r="U107" s="3153" t="s">
        <v>22</v>
      </c>
      <c r="V107" s="3226" t="s">
        <v>27</v>
      </c>
      <c r="W107" s="3153" t="s">
        <v>22</v>
      </c>
      <c r="X107" s="3226" t="s">
        <v>27</v>
      </c>
      <c r="Y107" s="3153" t="s">
        <v>22</v>
      </c>
      <c r="Z107" s="3226" t="s">
        <v>27</v>
      </c>
      <c r="AA107" s="3153" t="s">
        <v>22</v>
      </c>
      <c r="AB107" s="3226" t="s">
        <v>27</v>
      </c>
      <c r="AC107" s="3153" t="s">
        <v>22</v>
      </c>
      <c r="AD107" s="3226" t="s">
        <v>27</v>
      </c>
      <c r="AE107" s="3153" t="s">
        <v>22</v>
      </c>
      <c r="AF107" s="3226" t="s">
        <v>27</v>
      </c>
      <c r="AG107" s="3153" t="s">
        <v>22</v>
      </c>
      <c r="AH107" s="3226" t="s">
        <v>27</v>
      </c>
      <c r="AI107" s="3153" t="s">
        <v>22</v>
      </c>
      <c r="AJ107" s="3162" t="s">
        <v>27</v>
      </c>
      <c r="AK107" s="3160" t="s">
        <v>22</v>
      </c>
      <c r="AL107" s="3070" t="s">
        <v>27</v>
      </c>
      <c r="AM107" s="6403"/>
    </row>
    <row r="108" spans="1:112" x14ac:dyDescent="0.3">
      <c r="A108" s="6277">
        <v>19190101</v>
      </c>
      <c r="B108" s="6367" t="s">
        <v>2872</v>
      </c>
      <c r="C108" s="3378" t="s">
        <v>2873</v>
      </c>
      <c r="D108" s="3647" t="s">
        <v>5292</v>
      </c>
      <c r="E108" s="3540" t="s">
        <v>5293</v>
      </c>
      <c r="F108" s="3602" t="s">
        <v>5294</v>
      </c>
      <c r="G108" s="3496" t="s">
        <v>5295</v>
      </c>
      <c r="H108" s="3499" t="s">
        <v>5296</v>
      </c>
      <c r="I108" s="3496" t="s">
        <v>5297</v>
      </c>
      <c r="J108" s="3499" t="s">
        <v>5298</v>
      </c>
      <c r="K108" s="3496" t="s">
        <v>5299</v>
      </c>
      <c r="L108" s="3499" t="s">
        <v>5300</v>
      </c>
      <c r="M108" s="3496" t="s">
        <v>5301</v>
      </c>
      <c r="N108" s="3499" t="s">
        <v>5302</v>
      </c>
      <c r="O108" s="3496" t="s">
        <v>5303</v>
      </c>
      <c r="P108" s="3499" t="s">
        <v>5304</v>
      </c>
      <c r="Q108" s="3496" t="s">
        <v>5305</v>
      </c>
      <c r="R108" s="3499" t="s">
        <v>5306</v>
      </c>
      <c r="S108" s="3496" t="s">
        <v>5307</v>
      </c>
      <c r="T108" s="3499" t="s">
        <v>5308</v>
      </c>
      <c r="U108" s="3496" t="s">
        <v>5309</v>
      </c>
      <c r="V108" s="3499" t="s">
        <v>5310</v>
      </c>
      <c r="W108" s="3496" t="s">
        <v>5311</v>
      </c>
      <c r="X108" s="3499" t="s">
        <v>5312</v>
      </c>
      <c r="Y108" s="3496" t="s">
        <v>5313</v>
      </c>
      <c r="Z108" s="3499" t="s">
        <v>5314</v>
      </c>
      <c r="AA108" s="3496" t="s">
        <v>5315</v>
      </c>
      <c r="AB108" s="3499" t="s">
        <v>5316</v>
      </c>
      <c r="AC108" s="3496" t="s">
        <v>5317</v>
      </c>
      <c r="AD108" s="3499" t="s">
        <v>5318</v>
      </c>
      <c r="AE108" s="3496" t="s">
        <v>5319</v>
      </c>
      <c r="AF108" s="3499" t="s">
        <v>5320</v>
      </c>
      <c r="AG108" s="3496" t="s">
        <v>5321</v>
      </c>
      <c r="AH108" s="3499" t="s">
        <v>5322</v>
      </c>
      <c r="AI108" s="3603" t="s">
        <v>5323</v>
      </c>
      <c r="AJ108" s="3604" t="s">
        <v>5324</v>
      </c>
      <c r="AK108" s="3648" t="s">
        <v>5325</v>
      </c>
      <c r="AL108" s="3649" t="s">
        <v>5326</v>
      </c>
      <c r="AM108" s="3605" t="s">
        <v>5327</v>
      </c>
      <c r="AN108" s="1687" t="e">
        <f>CA108&amp;CB108&amp;CC108</f>
        <v>#VALUE!</v>
      </c>
      <c r="AO108" s="794"/>
      <c r="AP108" s="794"/>
      <c r="AQ108" s="794"/>
      <c r="AR108" s="794"/>
      <c r="AS108" s="794"/>
      <c r="AT108" s="794"/>
      <c r="AU108" s="794"/>
      <c r="AV108" s="794"/>
      <c r="AW108" s="794"/>
      <c r="AX108" s="794"/>
      <c r="AY108" s="794"/>
      <c r="AZ108" s="3199"/>
      <c r="BA108" s="3199"/>
      <c r="BB108" s="3199"/>
      <c r="BC108" s="599"/>
      <c r="BD108" s="599"/>
      <c r="BE108" s="599"/>
      <c r="BF108" s="599"/>
      <c r="BG108" s="599"/>
      <c r="BH108" s="599"/>
      <c r="BI108" s="599"/>
      <c r="BJ108" s="599"/>
      <c r="BK108" s="599"/>
      <c r="BL108" s="599"/>
      <c r="BM108" s="599"/>
      <c r="BN108" s="599"/>
      <c r="BO108" s="599"/>
      <c r="BP108" s="599"/>
      <c r="BQ108" s="599"/>
      <c r="BR108" s="599"/>
      <c r="BS108" s="599"/>
      <c r="BT108" s="599"/>
      <c r="BU108" s="599"/>
      <c r="BV108" s="599"/>
      <c r="BW108" s="599"/>
      <c r="BX108" s="599"/>
      <c r="BY108" s="599"/>
      <c r="BZ108" s="599"/>
      <c r="CA108" s="2784" t="e">
        <f>IF(AND(SUM(G108+I108)&gt;0,(AK108=""))," * No olvide digitar la variable 14-18 años Hombres. Si no tiene Digite CERO .",IF(AK108&gt;G108+I108,"* La suma del grupo de 14 a 18 años Hombres no puede superar el Total Hombres Grupo Etario de 10 a 19 años. ",""))</f>
        <v>#VALUE!</v>
      </c>
      <c r="CB108" s="2784" t="e">
        <f>IF(AND(SUM(H108+J108)&gt;0,(AL108="")),"* No olvide digitar la variable 14-18 años Mujeres. Si no tiene Digite CERO.",IF(AL108&gt;(H108+J108),"* La suma del grupo de 14 a 18 años Mujeres no puede superar el Total Mujeres Grupo Etario de 10 a 19 años. ",""))</f>
        <v>#VALUE!</v>
      </c>
      <c r="CC108" s="2784" t="str">
        <f>IF(AND($D108&lt;&gt;0,AM108=""),"* No olvide ingresar la columna Espacios Amigables/Adolescentes (Digite CERO si no tiene).  ",IF(AM108&gt;$D108,"* El Número de Espacios Amigables/Adolescentes no puede superar el Total. ",""))</f>
        <v xml:space="preserve">* El Número de Espacios Amigables/Adolescentes no puede superar el Total. </v>
      </c>
      <c r="CD108" s="3201"/>
      <c r="CE108" s="3201"/>
      <c r="CF108" s="3201"/>
      <c r="CG108" s="3201"/>
      <c r="CJ108" s="1725" t="e">
        <f>IF(AND(SUM(G108+I108)&gt;0,(AK108="")),1,IF(AK108&gt;G108+I108,1,0))</f>
        <v>#VALUE!</v>
      </c>
      <c r="CK108" s="1725" t="e">
        <f>IF(AND(SUM(H108+J108)&gt;0,(AL108="")),1,IF(AL108&gt;(H108+J108),1,0))</f>
        <v>#VALUE!</v>
      </c>
      <c r="CL108" s="1725">
        <f>IF(AND($D108&lt;&gt;0,AM108=""),1,IF(AM108&gt;$D108,1,0))</f>
        <v>1</v>
      </c>
      <c r="CM108" s="599"/>
      <c r="CN108" s="599"/>
      <c r="CO108" s="599"/>
      <c r="CP108" s="599"/>
      <c r="CQ108" s="599"/>
      <c r="CR108" s="599"/>
      <c r="CS108" s="599"/>
      <c r="CT108" s="599"/>
      <c r="CU108" s="599"/>
      <c r="CV108" s="599"/>
      <c r="CW108" s="599"/>
      <c r="CX108" s="599"/>
      <c r="CY108" s="599"/>
      <c r="CZ108" s="599"/>
      <c r="DA108" s="599"/>
      <c r="DB108" s="599"/>
      <c r="DC108" s="599"/>
      <c r="DD108" s="599"/>
      <c r="DE108" s="599"/>
      <c r="DF108" s="632"/>
      <c r="DG108" s="632"/>
      <c r="DH108" s="632"/>
    </row>
    <row r="109" spans="1:112" x14ac:dyDescent="0.3">
      <c r="A109" s="6277">
        <v>19190102</v>
      </c>
      <c r="B109" s="6349"/>
      <c r="C109" s="3381" t="s">
        <v>2874</v>
      </c>
      <c r="D109" s="3588" t="s">
        <v>5292</v>
      </c>
      <c r="E109" s="3545" t="s">
        <v>5293</v>
      </c>
      <c r="F109" s="3608" t="s">
        <v>5294</v>
      </c>
      <c r="G109" s="3481" t="s">
        <v>5295</v>
      </c>
      <c r="H109" s="3484" t="s">
        <v>5296</v>
      </c>
      <c r="I109" s="3481" t="s">
        <v>5297</v>
      </c>
      <c r="J109" s="3484" t="s">
        <v>5298</v>
      </c>
      <c r="K109" s="3481" t="s">
        <v>5299</v>
      </c>
      <c r="L109" s="3484" t="s">
        <v>5300</v>
      </c>
      <c r="M109" s="3481" t="s">
        <v>5301</v>
      </c>
      <c r="N109" s="3484" t="s">
        <v>5302</v>
      </c>
      <c r="O109" s="3481" t="s">
        <v>5303</v>
      </c>
      <c r="P109" s="3484" t="s">
        <v>5304</v>
      </c>
      <c r="Q109" s="3481" t="s">
        <v>5305</v>
      </c>
      <c r="R109" s="3484" t="s">
        <v>5306</v>
      </c>
      <c r="S109" s="3481" t="s">
        <v>5307</v>
      </c>
      <c r="T109" s="3484" t="s">
        <v>5308</v>
      </c>
      <c r="U109" s="3481" t="s">
        <v>5309</v>
      </c>
      <c r="V109" s="3484" t="s">
        <v>5310</v>
      </c>
      <c r="W109" s="3481" t="s">
        <v>5311</v>
      </c>
      <c r="X109" s="3484" t="s">
        <v>5312</v>
      </c>
      <c r="Y109" s="3481" t="s">
        <v>5313</v>
      </c>
      <c r="Z109" s="3484" t="s">
        <v>5314</v>
      </c>
      <c r="AA109" s="3481" t="s">
        <v>5315</v>
      </c>
      <c r="AB109" s="3484" t="s">
        <v>5316</v>
      </c>
      <c r="AC109" s="3481" t="s">
        <v>5317</v>
      </c>
      <c r="AD109" s="3484" t="s">
        <v>5318</v>
      </c>
      <c r="AE109" s="3481" t="s">
        <v>5319</v>
      </c>
      <c r="AF109" s="3484" t="s">
        <v>5320</v>
      </c>
      <c r="AG109" s="3481" t="s">
        <v>5321</v>
      </c>
      <c r="AH109" s="3484" t="s">
        <v>5322</v>
      </c>
      <c r="AI109" s="3609" t="s">
        <v>5323</v>
      </c>
      <c r="AJ109" s="3482" t="s">
        <v>5324</v>
      </c>
      <c r="AK109" s="3633" t="s">
        <v>5325</v>
      </c>
      <c r="AL109" s="3617" t="s">
        <v>5326</v>
      </c>
      <c r="AM109" s="3610" t="s">
        <v>5327</v>
      </c>
      <c r="AN109" s="1687" t="e">
        <f t="shared" ref="AN109:AN110" si="37">CA109&amp;CB109&amp;CC109</f>
        <v>#VALUE!</v>
      </c>
      <c r="AO109" s="794"/>
      <c r="AP109" s="794"/>
      <c r="AQ109" s="794"/>
      <c r="AR109" s="794"/>
      <c r="AS109" s="794"/>
      <c r="AT109" s="794"/>
      <c r="AU109" s="794"/>
      <c r="AV109" s="794"/>
      <c r="AW109" s="794"/>
      <c r="AX109" s="794"/>
      <c r="AY109" s="794"/>
      <c r="AZ109" s="3199"/>
      <c r="BA109" s="3199"/>
      <c r="BB109" s="3199"/>
      <c r="BC109" s="599"/>
      <c r="BD109" s="599"/>
      <c r="BE109" s="599"/>
      <c r="BF109" s="599"/>
      <c r="BG109" s="599"/>
      <c r="BH109" s="599"/>
      <c r="BI109" s="599"/>
      <c r="BJ109" s="599"/>
      <c r="BK109" s="599"/>
      <c r="BL109" s="599"/>
      <c r="BM109" s="599"/>
      <c r="BN109" s="599"/>
      <c r="BO109" s="599"/>
      <c r="BP109" s="599"/>
      <c r="BQ109" s="599"/>
      <c r="BR109" s="599"/>
      <c r="BS109" s="599"/>
      <c r="BT109" s="599"/>
      <c r="BU109" s="599"/>
      <c r="BV109" s="599"/>
      <c r="BW109" s="599"/>
      <c r="BX109" s="599"/>
      <c r="BY109" s="599"/>
      <c r="BZ109" s="599"/>
      <c r="CA109" s="2784" t="e">
        <f t="shared" ref="CA109:CA110" si="38">IF(AND(SUM(G109+I109)&gt;0,(AK109=""))," * No olvide digitar la variable 14-18 años Hombres. Si no tiene Digite CERO .",IF(AK109&gt;G109+I109,"* La suma del grupo de 14 a 18 años Hombres no puede superar el Total Hombres Grupo Etario de 10 a 19 años. ",""))</f>
        <v>#VALUE!</v>
      </c>
      <c r="CB109" s="2784" t="e">
        <f t="shared" ref="CB109:CB110" si="39">IF(AND(SUM(H109+J109)&gt;0,(AL109="")),"* No olvide digitar la variable 14-18 años Mujeres. Si no tiene Digite CERO.",IF(AL109&gt;(H109+J109),"* La suma del grupo de 14 a 18 años Mujeres no puede superar el Total Mujeres Grupo Etario de 10 a 19 años. ",""))</f>
        <v>#VALUE!</v>
      </c>
      <c r="CC109" s="2784" t="str">
        <f t="shared" ref="CC109:CC110" si="40">IF(AND($D109&lt;&gt;0,AM109=""),"* No olvide ingresar la columna Espacios Amigables/Adolescentes (Digite CERO si no tiene).  ",IF(AM109&gt;$D109,"* El Número de Espacios Amigables/Adolescentes no puede superar el Total. ",""))</f>
        <v xml:space="preserve">* El Número de Espacios Amigables/Adolescentes no puede superar el Total. </v>
      </c>
      <c r="CD109" s="3201"/>
      <c r="CE109" s="3201"/>
      <c r="CF109" s="3201"/>
      <c r="CG109" s="3201"/>
      <c r="CJ109" s="1725" t="e">
        <f t="shared" ref="CJ109:CJ110" si="41">IF(AND(SUM(G109+I109)&gt;0,(AK109="")),1,IF(AK109&gt;G109+I109,1,0))</f>
        <v>#VALUE!</v>
      </c>
      <c r="CK109" s="1725" t="e">
        <f t="shared" ref="CK109:CK110" si="42">IF(AND(SUM(H109+J109)&gt;0,(AL109="")),1,IF(AL109&gt;(H109+J109),1,0))</f>
        <v>#VALUE!</v>
      </c>
      <c r="CL109" s="1725">
        <f t="shared" ref="CL109:CL110" si="43">IF(AND($D109&lt;&gt;0,AM109=""),1,IF(AM109&gt;$D109,1,0))</f>
        <v>1</v>
      </c>
    </row>
    <row r="110" spans="1:112" x14ac:dyDescent="0.3">
      <c r="A110" s="6277">
        <v>19190103</v>
      </c>
      <c r="B110" s="6350"/>
      <c r="C110" s="119" t="s">
        <v>2875</v>
      </c>
      <c r="D110" s="629" t="s">
        <v>5292</v>
      </c>
      <c r="E110" s="613" t="s">
        <v>5293</v>
      </c>
      <c r="F110" s="3612" t="s">
        <v>5294</v>
      </c>
      <c r="G110" s="3492" t="s">
        <v>5295</v>
      </c>
      <c r="H110" s="3493" t="s">
        <v>5296</v>
      </c>
      <c r="I110" s="3492" t="s">
        <v>5297</v>
      </c>
      <c r="J110" s="3493" t="s">
        <v>5298</v>
      </c>
      <c r="K110" s="3492" t="s">
        <v>5299</v>
      </c>
      <c r="L110" s="3493" t="s">
        <v>5300</v>
      </c>
      <c r="M110" s="3492" t="s">
        <v>5301</v>
      </c>
      <c r="N110" s="3493" t="s">
        <v>5302</v>
      </c>
      <c r="O110" s="3492" t="s">
        <v>5303</v>
      </c>
      <c r="P110" s="3493" t="s">
        <v>5304</v>
      </c>
      <c r="Q110" s="3492" t="s">
        <v>5305</v>
      </c>
      <c r="R110" s="3493" t="s">
        <v>5306</v>
      </c>
      <c r="S110" s="3492" t="s">
        <v>5307</v>
      </c>
      <c r="T110" s="3493" t="s">
        <v>5308</v>
      </c>
      <c r="U110" s="3492" t="s">
        <v>5309</v>
      </c>
      <c r="V110" s="3493" t="s">
        <v>5310</v>
      </c>
      <c r="W110" s="3492" t="s">
        <v>5311</v>
      </c>
      <c r="X110" s="3493" t="s">
        <v>5312</v>
      </c>
      <c r="Y110" s="3492" t="s">
        <v>5313</v>
      </c>
      <c r="Z110" s="3493" t="s">
        <v>5314</v>
      </c>
      <c r="AA110" s="3492" t="s">
        <v>5315</v>
      </c>
      <c r="AB110" s="3493" t="s">
        <v>5316</v>
      </c>
      <c r="AC110" s="3492" t="s">
        <v>5317</v>
      </c>
      <c r="AD110" s="3493" t="s">
        <v>5318</v>
      </c>
      <c r="AE110" s="3492" t="s">
        <v>5319</v>
      </c>
      <c r="AF110" s="3493" t="s">
        <v>5320</v>
      </c>
      <c r="AG110" s="3492" t="s">
        <v>5321</v>
      </c>
      <c r="AH110" s="3493" t="s">
        <v>5322</v>
      </c>
      <c r="AI110" s="3620" t="s">
        <v>5323</v>
      </c>
      <c r="AJ110" s="3494" t="s">
        <v>5324</v>
      </c>
      <c r="AK110" s="383" t="s">
        <v>5325</v>
      </c>
      <c r="AL110" s="3533" t="s">
        <v>5326</v>
      </c>
      <c r="AM110" s="3613" t="s">
        <v>5327</v>
      </c>
      <c r="AN110" s="1687" t="e">
        <f t="shared" si="37"/>
        <v>#VALUE!</v>
      </c>
      <c r="AO110" s="794"/>
      <c r="AP110" s="794"/>
      <c r="AQ110" s="794"/>
      <c r="AR110" s="794"/>
      <c r="AS110" s="794"/>
      <c r="AT110" s="794"/>
      <c r="AU110" s="794"/>
      <c r="AV110" s="794"/>
      <c r="AW110" s="794"/>
      <c r="AX110" s="794"/>
      <c r="AY110" s="794"/>
      <c r="AZ110" s="3199"/>
      <c r="BA110" s="3199"/>
      <c r="BB110" s="3199"/>
      <c r="BC110" s="599"/>
      <c r="BD110" s="599"/>
      <c r="BE110" s="599"/>
      <c r="BF110" s="599"/>
      <c r="BG110" s="599"/>
      <c r="BH110" s="599"/>
      <c r="BI110" s="599"/>
      <c r="BJ110" s="599"/>
      <c r="BK110" s="599"/>
      <c r="BL110" s="599"/>
      <c r="BM110" s="599"/>
      <c r="BN110" s="599"/>
      <c r="BO110" s="599"/>
      <c r="BP110" s="599"/>
      <c r="BQ110" s="599"/>
      <c r="BR110" s="599"/>
      <c r="BS110" s="599"/>
      <c r="BT110" s="599"/>
      <c r="BU110" s="599"/>
      <c r="BV110" s="599"/>
      <c r="BW110" s="599"/>
      <c r="BX110" s="599"/>
      <c r="BY110" s="599"/>
      <c r="BZ110" s="599"/>
      <c r="CA110" s="2784" t="e">
        <f t="shared" si="38"/>
        <v>#VALUE!</v>
      </c>
      <c r="CB110" s="2784" t="e">
        <f t="shared" si="39"/>
        <v>#VALUE!</v>
      </c>
      <c r="CC110" s="2784" t="str">
        <f t="shared" si="40"/>
        <v xml:space="preserve">* El Número de Espacios Amigables/Adolescentes no puede superar el Total. </v>
      </c>
      <c r="CD110" s="3201"/>
      <c r="CE110" s="3201"/>
      <c r="CF110" s="3201"/>
      <c r="CG110" s="3201"/>
      <c r="CJ110" s="1725" t="e">
        <f t="shared" si="41"/>
        <v>#VALUE!</v>
      </c>
      <c r="CK110" s="1725" t="e">
        <f t="shared" si="42"/>
        <v>#VALUE!</v>
      </c>
      <c r="CL110" s="1725">
        <f t="shared" si="43"/>
        <v>1</v>
      </c>
    </row>
    <row r="111" spans="1:112" ht="18" customHeight="1" x14ac:dyDescent="0.3">
      <c r="A111" s="599"/>
      <c r="B111" s="7678" t="s">
        <v>2876</v>
      </c>
      <c r="C111" s="7678"/>
      <c r="D111" s="7678"/>
      <c r="E111" s="7678"/>
      <c r="F111" s="7678"/>
      <c r="G111" s="7678"/>
      <c r="H111" s="7678"/>
      <c r="I111" s="7678"/>
      <c r="J111" s="7678"/>
      <c r="K111" s="7678"/>
    </row>
    <row r="112" spans="1:112" ht="18" customHeight="1" x14ac:dyDescent="0.3">
      <c r="A112" s="599"/>
      <c r="B112" s="7675" t="s">
        <v>2877</v>
      </c>
      <c r="C112" s="7675"/>
      <c r="D112" s="7675"/>
      <c r="E112" s="7675"/>
      <c r="F112" s="7675"/>
      <c r="G112" s="7675"/>
      <c r="H112" s="7675"/>
      <c r="I112" s="7675"/>
      <c r="J112" s="7675"/>
      <c r="K112" s="7675"/>
    </row>
    <row r="113" spans="1:13" x14ac:dyDescent="0.3">
      <c r="A113" s="599"/>
      <c r="B113" s="6461" t="s">
        <v>137</v>
      </c>
      <c r="C113" s="6461" t="s">
        <v>2878</v>
      </c>
      <c r="D113" s="6461" t="s">
        <v>567</v>
      </c>
      <c r="E113" s="6326" t="s">
        <v>2879</v>
      </c>
      <c r="F113" s="6345"/>
      <c r="G113" s="6345"/>
      <c r="H113" s="6345"/>
      <c r="I113" s="6345"/>
      <c r="J113" s="6345"/>
      <c r="K113" s="6346"/>
      <c r="L113" s="7676" t="s">
        <v>2880</v>
      </c>
      <c r="M113" s="6342" t="s">
        <v>2881</v>
      </c>
    </row>
    <row r="114" spans="1:13" ht="42" customHeight="1" x14ac:dyDescent="0.3">
      <c r="A114" s="599"/>
      <c r="B114" s="6461"/>
      <c r="C114" s="6461"/>
      <c r="D114" s="6461"/>
      <c r="E114" s="3224" t="s">
        <v>2882</v>
      </c>
      <c r="F114" s="3474" t="s">
        <v>2883</v>
      </c>
      <c r="G114" s="3474" t="s">
        <v>2884</v>
      </c>
      <c r="H114" s="3474" t="s">
        <v>2885</v>
      </c>
      <c r="I114" s="3474" t="s">
        <v>2886</v>
      </c>
      <c r="J114" s="3651" t="s">
        <v>2887</v>
      </c>
      <c r="K114" s="3652" t="s">
        <v>2888</v>
      </c>
      <c r="L114" s="7677"/>
      <c r="M114" s="6460"/>
    </row>
    <row r="115" spans="1:13" x14ac:dyDescent="0.3">
      <c r="A115" s="6234">
        <v>19140101</v>
      </c>
      <c r="B115" s="6367" t="s">
        <v>2889</v>
      </c>
      <c r="C115" s="3198" t="s">
        <v>2890</v>
      </c>
      <c r="D115" s="3653" t="s">
        <v>5292</v>
      </c>
      <c r="E115" s="3496" t="s">
        <v>5293</v>
      </c>
      <c r="F115" s="3497" t="s">
        <v>5294</v>
      </c>
      <c r="G115" s="3497" t="s">
        <v>5295</v>
      </c>
      <c r="H115" s="3497" t="s">
        <v>5296</v>
      </c>
      <c r="I115" s="3497" t="s">
        <v>5297</v>
      </c>
      <c r="J115" s="3649" t="s">
        <v>5298</v>
      </c>
      <c r="K115" s="3604" t="s">
        <v>5299</v>
      </c>
      <c r="L115" s="3606" t="s">
        <v>5300</v>
      </c>
      <c r="M115" s="3618" t="s">
        <v>5301</v>
      </c>
    </row>
    <row r="116" spans="1:13" x14ac:dyDescent="0.3">
      <c r="A116" s="6234">
        <v>19170700</v>
      </c>
      <c r="B116" s="6349"/>
      <c r="C116" s="3239" t="s">
        <v>2891</v>
      </c>
      <c r="D116" s="3588" t="s">
        <v>5292</v>
      </c>
      <c r="E116" s="3481" t="s">
        <v>5293</v>
      </c>
      <c r="F116" s="3480" t="s">
        <v>5294</v>
      </c>
      <c r="G116" s="3480" t="s">
        <v>5295</v>
      </c>
      <c r="H116" s="3480" t="s">
        <v>5296</v>
      </c>
      <c r="I116" s="3480" t="s">
        <v>5297</v>
      </c>
      <c r="J116" s="3617" t="s">
        <v>5298</v>
      </c>
      <c r="K116" s="3482" t="s">
        <v>5299</v>
      </c>
      <c r="L116" s="3479" t="s">
        <v>5300</v>
      </c>
      <c r="M116" s="3538" t="s">
        <v>5301</v>
      </c>
    </row>
    <row r="117" spans="1:13" x14ac:dyDescent="0.3">
      <c r="A117" s="6234">
        <v>19140102</v>
      </c>
      <c r="B117" s="6349"/>
      <c r="C117" s="3239" t="s">
        <v>2892</v>
      </c>
      <c r="D117" s="3588" t="s">
        <v>5292</v>
      </c>
      <c r="E117" s="3481" t="s">
        <v>5293</v>
      </c>
      <c r="F117" s="3480" t="s">
        <v>5294</v>
      </c>
      <c r="G117" s="3480" t="s">
        <v>5295</v>
      </c>
      <c r="H117" s="3480" t="s">
        <v>5296</v>
      </c>
      <c r="I117" s="3480" t="s">
        <v>5297</v>
      </c>
      <c r="J117" s="3617" t="s">
        <v>5298</v>
      </c>
      <c r="K117" s="3482" t="s">
        <v>5299</v>
      </c>
      <c r="L117" s="3479" t="s">
        <v>5300</v>
      </c>
      <c r="M117" s="3538" t="s">
        <v>5301</v>
      </c>
    </row>
    <row r="118" spans="1:13" x14ac:dyDescent="0.3">
      <c r="A118" s="6234">
        <v>19140103</v>
      </c>
      <c r="B118" s="6350"/>
      <c r="C118" s="207" t="s">
        <v>2893</v>
      </c>
      <c r="D118" s="629" t="s">
        <v>5292</v>
      </c>
      <c r="E118" s="3505" t="s">
        <v>5293</v>
      </c>
      <c r="F118" s="3506" t="s">
        <v>5294</v>
      </c>
      <c r="G118" s="3506" t="s">
        <v>5295</v>
      </c>
      <c r="H118" s="3506" t="s">
        <v>5296</v>
      </c>
      <c r="I118" s="3506" t="s">
        <v>5297</v>
      </c>
      <c r="J118" s="3654" t="s">
        <v>5298</v>
      </c>
      <c r="K118" s="3596" t="s">
        <v>5299</v>
      </c>
      <c r="L118" s="3595" t="s">
        <v>5300</v>
      </c>
      <c r="M118" s="3646" t="s">
        <v>5301</v>
      </c>
    </row>
    <row r="119" spans="1:13" x14ac:dyDescent="0.3">
      <c r="A119" s="6234">
        <v>19140201</v>
      </c>
      <c r="B119" s="6367" t="s">
        <v>2894</v>
      </c>
      <c r="C119" s="3198" t="s">
        <v>2890</v>
      </c>
      <c r="D119" s="3647" t="s">
        <v>5292</v>
      </c>
      <c r="E119" s="3500" t="s">
        <v>5293</v>
      </c>
      <c r="F119" s="3501" t="s">
        <v>5294</v>
      </c>
      <c r="G119" s="3501" t="s">
        <v>5295</v>
      </c>
      <c r="H119" s="3501" t="s">
        <v>5296</v>
      </c>
      <c r="I119" s="3501" t="s">
        <v>5297</v>
      </c>
      <c r="J119" s="3632" t="s">
        <v>5298</v>
      </c>
      <c r="K119" s="3537" t="s">
        <v>5299</v>
      </c>
      <c r="L119" s="3521" t="s">
        <v>5300</v>
      </c>
      <c r="M119" s="3607" t="s">
        <v>5301</v>
      </c>
    </row>
    <row r="120" spans="1:13" x14ac:dyDescent="0.3">
      <c r="A120" s="6234">
        <v>19170800</v>
      </c>
      <c r="B120" s="6349"/>
      <c r="C120" s="3239" t="s">
        <v>2891</v>
      </c>
      <c r="D120" s="1682" t="s">
        <v>5292</v>
      </c>
      <c r="E120" s="3528" t="s">
        <v>5293</v>
      </c>
      <c r="F120" s="3529" t="s">
        <v>5294</v>
      </c>
      <c r="G120" s="3529" t="s">
        <v>5295</v>
      </c>
      <c r="H120" s="3529" t="s">
        <v>5296</v>
      </c>
      <c r="I120" s="3529" t="s">
        <v>5297</v>
      </c>
      <c r="J120" s="3530" t="s">
        <v>5298</v>
      </c>
      <c r="K120" s="3598" t="s">
        <v>5299</v>
      </c>
      <c r="L120" s="3593" t="s">
        <v>5300</v>
      </c>
      <c r="M120" s="3625" t="s">
        <v>5301</v>
      </c>
    </row>
    <row r="121" spans="1:13" x14ac:dyDescent="0.3">
      <c r="A121" s="6234">
        <v>19140202</v>
      </c>
      <c r="B121" s="6349"/>
      <c r="C121" s="3239" t="s">
        <v>2892</v>
      </c>
      <c r="D121" s="3588" t="s">
        <v>5292</v>
      </c>
      <c r="E121" s="3481" t="s">
        <v>5293</v>
      </c>
      <c r="F121" s="3480" t="s">
        <v>5294</v>
      </c>
      <c r="G121" s="3480" t="s">
        <v>5295</v>
      </c>
      <c r="H121" s="3480" t="s">
        <v>5296</v>
      </c>
      <c r="I121" s="3480" t="s">
        <v>5297</v>
      </c>
      <c r="J121" s="3617" t="s">
        <v>5298</v>
      </c>
      <c r="K121" s="3482" t="s">
        <v>5299</v>
      </c>
      <c r="L121" s="3479" t="s">
        <v>5300</v>
      </c>
      <c r="M121" s="3538" t="s">
        <v>5301</v>
      </c>
    </row>
    <row r="122" spans="1:13" x14ac:dyDescent="0.3">
      <c r="A122" s="6234">
        <v>19140203</v>
      </c>
      <c r="B122" s="6350"/>
      <c r="C122" s="207" t="s">
        <v>2893</v>
      </c>
      <c r="D122" s="629" t="s">
        <v>5292</v>
      </c>
      <c r="E122" s="3492" t="s">
        <v>5293</v>
      </c>
      <c r="F122" s="3491" t="s">
        <v>5294</v>
      </c>
      <c r="G122" s="3491" t="s">
        <v>5295</v>
      </c>
      <c r="H122" s="3491" t="s">
        <v>5296</v>
      </c>
      <c r="I122" s="3491" t="s">
        <v>5297</v>
      </c>
      <c r="J122" s="3533" t="s">
        <v>5298</v>
      </c>
      <c r="K122" s="3494" t="s">
        <v>5299</v>
      </c>
      <c r="L122" s="288" t="s">
        <v>5300</v>
      </c>
      <c r="M122" s="384" t="s">
        <v>5301</v>
      </c>
    </row>
    <row r="123" spans="1:13" x14ac:dyDescent="0.3">
      <c r="A123" s="6234">
        <v>19140301</v>
      </c>
      <c r="B123" s="6367" t="s">
        <v>2895</v>
      </c>
      <c r="C123" s="3198" t="s">
        <v>2890</v>
      </c>
      <c r="D123" s="3647" t="s">
        <v>5292</v>
      </c>
      <c r="E123" s="3500" t="s">
        <v>5293</v>
      </c>
      <c r="F123" s="3501" t="s">
        <v>5294</v>
      </c>
      <c r="G123" s="3501" t="s">
        <v>5295</v>
      </c>
      <c r="H123" s="3501" t="s">
        <v>5296</v>
      </c>
      <c r="I123" s="3501" t="s">
        <v>5297</v>
      </c>
      <c r="J123" s="3632" t="s">
        <v>5298</v>
      </c>
      <c r="K123" s="3537" t="s">
        <v>5299</v>
      </c>
      <c r="L123" s="3521" t="s">
        <v>5300</v>
      </c>
      <c r="M123" s="3607" t="s">
        <v>5301</v>
      </c>
    </row>
    <row r="124" spans="1:13" x14ac:dyDescent="0.3">
      <c r="A124" s="6234">
        <v>19170900</v>
      </c>
      <c r="B124" s="6349"/>
      <c r="C124" s="3239" t="s">
        <v>2891</v>
      </c>
      <c r="D124" s="1682" t="s">
        <v>5292</v>
      </c>
      <c r="E124" s="3528" t="s">
        <v>5293</v>
      </c>
      <c r="F124" s="3529" t="s">
        <v>5294</v>
      </c>
      <c r="G124" s="3529" t="s">
        <v>5295</v>
      </c>
      <c r="H124" s="3529" t="s">
        <v>5296</v>
      </c>
      <c r="I124" s="3529" t="s">
        <v>5297</v>
      </c>
      <c r="J124" s="3530" t="s">
        <v>5298</v>
      </c>
      <c r="K124" s="3598" t="s">
        <v>5299</v>
      </c>
      <c r="L124" s="3593" t="s">
        <v>5300</v>
      </c>
      <c r="M124" s="3625" t="s">
        <v>5301</v>
      </c>
    </row>
    <row r="125" spans="1:13" x14ac:dyDescent="0.3">
      <c r="A125" s="6234">
        <v>19140302</v>
      </c>
      <c r="B125" s="6349"/>
      <c r="C125" s="3239" t="s">
        <v>2892</v>
      </c>
      <c r="D125" s="3588" t="s">
        <v>5292</v>
      </c>
      <c r="E125" s="3481" t="s">
        <v>5293</v>
      </c>
      <c r="F125" s="3480" t="s">
        <v>5294</v>
      </c>
      <c r="G125" s="3480" t="s">
        <v>5295</v>
      </c>
      <c r="H125" s="3480" t="s">
        <v>5296</v>
      </c>
      <c r="I125" s="3480" t="s">
        <v>5297</v>
      </c>
      <c r="J125" s="3617" t="s">
        <v>5298</v>
      </c>
      <c r="K125" s="3482" t="s">
        <v>5299</v>
      </c>
      <c r="L125" s="3479" t="s">
        <v>5300</v>
      </c>
      <c r="M125" s="3538" t="s">
        <v>5301</v>
      </c>
    </row>
    <row r="126" spans="1:13" x14ac:dyDescent="0.3">
      <c r="A126" s="6234">
        <v>19140303</v>
      </c>
      <c r="B126" s="6350"/>
      <c r="C126" s="207" t="s">
        <v>2893</v>
      </c>
      <c r="D126" s="629" t="s">
        <v>5292</v>
      </c>
      <c r="E126" s="3492" t="s">
        <v>5293</v>
      </c>
      <c r="F126" s="3491" t="s">
        <v>5294</v>
      </c>
      <c r="G126" s="3491" t="s">
        <v>5295</v>
      </c>
      <c r="H126" s="3491" t="s">
        <v>5296</v>
      </c>
      <c r="I126" s="3491" t="s">
        <v>5297</v>
      </c>
      <c r="J126" s="3533" t="s">
        <v>5298</v>
      </c>
      <c r="K126" s="3494" t="s">
        <v>5299</v>
      </c>
      <c r="L126" s="288" t="s">
        <v>5300</v>
      </c>
      <c r="M126" s="384" t="s">
        <v>5301</v>
      </c>
    </row>
    <row r="127" spans="1:13" x14ac:dyDescent="0.3">
      <c r="A127" s="6234">
        <v>19140401</v>
      </c>
      <c r="B127" s="6367" t="s">
        <v>2896</v>
      </c>
      <c r="C127" s="3198" t="s">
        <v>2890</v>
      </c>
      <c r="D127" s="3647" t="s">
        <v>5292</v>
      </c>
      <c r="E127" s="3500" t="s">
        <v>5293</v>
      </c>
      <c r="F127" s="3501" t="s">
        <v>5294</v>
      </c>
      <c r="G127" s="3501" t="s">
        <v>5295</v>
      </c>
      <c r="H127" s="3501" t="s">
        <v>5296</v>
      </c>
      <c r="I127" s="3501" t="s">
        <v>5297</v>
      </c>
      <c r="J127" s="3632" t="s">
        <v>5298</v>
      </c>
      <c r="K127" s="3537" t="s">
        <v>5299</v>
      </c>
      <c r="L127" s="3521" t="s">
        <v>5300</v>
      </c>
      <c r="M127" s="3607" t="s">
        <v>5301</v>
      </c>
    </row>
    <row r="128" spans="1:13" x14ac:dyDescent="0.3">
      <c r="A128" s="6234">
        <v>19180000</v>
      </c>
      <c r="B128" s="6349"/>
      <c r="C128" s="3239" t="s">
        <v>2891</v>
      </c>
      <c r="D128" s="1682" t="s">
        <v>5292</v>
      </c>
      <c r="E128" s="3528" t="s">
        <v>5293</v>
      </c>
      <c r="F128" s="3529" t="s">
        <v>5294</v>
      </c>
      <c r="G128" s="3529" t="s">
        <v>5295</v>
      </c>
      <c r="H128" s="3529" t="s">
        <v>5296</v>
      </c>
      <c r="I128" s="3529" t="s">
        <v>5297</v>
      </c>
      <c r="J128" s="3530" t="s">
        <v>5298</v>
      </c>
      <c r="K128" s="3598" t="s">
        <v>5299</v>
      </c>
      <c r="L128" s="3593" t="s">
        <v>5300</v>
      </c>
      <c r="M128" s="3625" t="s">
        <v>5301</v>
      </c>
    </row>
    <row r="129" spans="1:13" x14ac:dyDescent="0.3">
      <c r="A129" s="6234">
        <v>19140402</v>
      </c>
      <c r="B129" s="6349"/>
      <c r="C129" s="3239" t="s">
        <v>2892</v>
      </c>
      <c r="D129" s="3588" t="s">
        <v>5292</v>
      </c>
      <c r="E129" s="3481" t="s">
        <v>5293</v>
      </c>
      <c r="F129" s="3480" t="s">
        <v>5294</v>
      </c>
      <c r="G129" s="3480" t="s">
        <v>5295</v>
      </c>
      <c r="H129" s="3480" t="s">
        <v>5296</v>
      </c>
      <c r="I129" s="3480" t="s">
        <v>5297</v>
      </c>
      <c r="J129" s="3617" t="s">
        <v>5298</v>
      </c>
      <c r="K129" s="3482" t="s">
        <v>5299</v>
      </c>
      <c r="L129" s="3479" t="s">
        <v>5300</v>
      </c>
      <c r="M129" s="3538" t="s">
        <v>5301</v>
      </c>
    </row>
    <row r="130" spans="1:13" x14ac:dyDescent="0.3">
      <c r="A130" s="6234">
        <v>19140403</v>
      </c>
      <c r="B130" s="6350"/>
      <c r="C130" s="207" t="s">
        <v>2893</v>
      </c>
      <c r="D130" s="629" t="s">
        <v>5292</v>
      </c>
      <c r="E130" s="3492" t="s">
        <v>5293</v>
      </c>
      <c r="F130" s="3491" t="s">
        <v>5294</v>
      </c>
      <c r="G130" s="3491" t="s">
        <v>5295</v>
      </c>
      <c r="H130" s="3491" t="s">
        <v>5296</v>
      </c>
      <c r="I130" s="3491" t="s">
        <v>5297</v>
      </c>
      <c r="J130" s="3533" t="s">
        <v>5298</v>
      </c>
      <c r="K130" s="3494" t="s">
        <v>5299</v>
      </c>
      <c r="L130" s="288" t="s">
        <v>5300</v>
      </c>
      <c r="M130" s="384" t="s">
        <v>5301</v>
      </c>
    </row>
    <row r="131" spans="1:13" ht="18" customHeight="1" x14ac:dyDescent="0.3">
      <c r="B131" s="7670" t="s">
        <v>2897</v>
      </c>
      <c r="C131" s="7670"/>
      <c r="D131" s="7670"/>
      <c r="E131" s="7670"/>
      <c r="F131" s="7670"/>
      <c r="G131" s="7670"/>
      <c r="H131" s="7670"/>
      <c r="I131" s="7670"/>
    </row>
    <row r="132" spans="1:13" ht="20.399999999999999" x14ac:dyDescent="0.3">
      <c r="B132" s="3180" t="s">
        <v>2898</v>
      </c>
      <c r="C132" s="3271" t="s">
        <v>3793</v>
      </c>
      <c r="D132" s="3153" t="s">
        <v>2899</v>
      </c>
      <c r="E132" s="3225" t="s">
        <v>2900</v>
      </c>
      <c r="F132" s="3225" t="s">
        <v>2901</v>
      </c>
      <c r="G132" s="3225" t="s">
        <v>2902</v>
      </c>
      <c r="H132" s="3225" t="s">
        <v>2903</v>
      </c>
      <c r="I132" s="3304" t="s">
        <v>2904</v>
      </c>
    </row>
    <row r="133" spans="1:13" x14ac:dyDescent="0.3">
      <c r="A133" s="6234">
        <v>19140501</v>
      </c>
      <c r="B133" s="3198" t="s">
        <v>2890</v>
      </c>
      <c r="C133" s="3655" t="s">
        <v>5292</v>
      </c>
      <c r="D133" s="3500" t="s">
        <v>5293</v>
      </c>
      <c r="E133" s="3655" t="s">
        <v>5294</v>
      </c>
      <c r="F133" s="3655" t="s">
        <v>5295</v>
      </c>
      <c r="G133" s="3655" t="s">
        <v>5296</v>
      </c>
      <c r="H133" s="3655" t="s">
        <v>5297</v>
      </c>
      <c r="I133" s="3656" t="s">
        <v>5298</v>
      </c>
    </row>
    <row r="134" spans="1:13" x14ac:dyDescent="0.3">
      <c r="A134" s="6234">
        <v>19180100</v>
      </c>
      <c r="B134" s="3239" t="s">
        <v>2891</v>
      </c>
      <c r="C134" s="3529" t="s">
        <v>5292</v>
      </c>
      <c r="D134" s="3528" t="s">
        <v>5293</v>
      </c>
      <c r="E134" s="3529" t="s">
        <v>5294</v>
      </c>
      <c r="F134" s="3529" t="s">
        <v>5295</v>
      </c>
      <c r="G134" s="3529" t="s">
        <v>5296</v>
      </c>
      <c r="H134" s="3529" t="s">
        <v>5297</v>
      </c>
      <c r="I134" s="3657" t="s">
        <v>5298</v>
      </c>
    </row>
    <row r="135" spans="1:13" x14ac:dyDescent="0.3">
      <c r="A135" s="6234">
        <v>19140502</v>
      </c>
      <c r="B135" s="3239" t="s">
        <v>2892</v>
      </c>
      <c r="C135" s="3480" t="s">
        <v>5292</v>
      </c>
      <c r="D135" s="3481" t="s">
        <v>5293</v>
      </c>
      <c r="E135" s="3480" t="s">
        <v>5294</v>
      </c>
      <c r="F135" s="3480" t="s">
        <v>5295</v>
      </c>
      <c r="G135" s="3480" t="s">
        <v>5296</v>
      </c>
      <c r="H135" s="3480" t="s">
        <v>5297</v>
      </c>
      <c r="I135" s="3484" t="s">
        <v>5298</v>
      </c>
    </row>
    <row r="136" spans="1:13" x14ac:dyDescent="0.3">
      <c r="A136" s="6234">
        <v>19140503</v>
      </c>
      <c r="B136" s="207" t="s">
        <v>569</v>
      </c>
      <c r="C136" s="3491" t="s">
        <v>5292</v>
      </c>
      <c r="D136" s="3492" t="s">
        <v>5293</v>
      </c>
      <c r="E136" s="3491" t="s">
        <v>5294</v>
      </c>
      <c r="F136" s="3491" t="s">
        <v>5295</v>
      </c>
      <c r="G136" s="3491" t="s">
        <v>5296</v>
      </c>
      <c r="H136" s="3491" t="s">
        <v>5297</v>
      </c>
      <c r="I136" s="3493" t="s">
        <v>5298</v>
      </c>
    </row>
    <row r="137" spans="1:13" ht="18" customHeight="1" x14ac:dyDescent="0.3">
      <c r="A137" s="599"/>
      <c r="B137" s="7670" t="s">
        <v>2905</v>
      </c>
      <c r="C137" s="7670"/>
      <c r="D137" s="7670"/>
      <c r="E137" s="7670"/>
      <c r="F137" s="7670"/>
      <c r="G137" s="7670"/>
      <c r="H137" s="7670"/>
      <c r="I137" s="7670"/>
    </row>
    <row r="138" spans="1:13" ht="30.6" x14ac:dyDescent="0.3">
      <c r="A138" s="599"/>
      <c r="B138" s="3180" t="s">
        <v>2898</v>
      </c>
      <c r="C138" s="3271" t="s">
        <v>567</v>
      </c>
      <c r="D138" s="3153" t="s">
        <v>2907</v>
      </c>
      <c r="E138" s="3225" t="s">
        <v>2908</v>
      </c>
      <c r="F138" s="3225" t="s">
        <v>2909</v>
      </c>
      <c r="G138" s="3225" t="s">
        <v>2910</v>
      </c>
      <c r="H138" s="3225" t="s">
        <v>2911</v>
      </c>
      <c r="I138" s="3304" t="s">
        <v>2912</v>
      </c>
    </row>
    <row r="139" spans="1:13" x14ac:dyDescent="0.3">
      <c r="A139" s="6234">
        <v>19140601</v>
      </c>
      <c r="B139" s="3198" t="s">
        <v>2890</v>
      </c>
      <c r="C139" s="3647" t="s">
        <v>5292</v>
      </c>
      <c r="D139" s="3500" t="s">
        <v>5293</v>
      </c>
      <c r="E139" s="3655" t="s">
        <v>5294</v>
      </c>
      <c r="F139" s="3655" t="s">
        <v>5295</v>
      </c>
      <c r="G139" s="3655" t="s">
        <v>5296</v>
      </c>
      <c r="H139" s="3655" t="s">
        <v>5297</v>
      </c>
      <c r="I139" s="3656" t="s">
        <v>5298</v>
      </c>
    </row>
    <row r="140" spans="1:13" x14ac:dyDescent="0.3">
      <c r="A140" s="6234">
        <v>19180200</v>
      </c>
      <c r="B140" s="3239" t="s">
        <v>2891</v>
      </c>
      <c r="C140" s="3588" t="s">
        <v>5292</v>
      </c>
      <c r="D140" s="3481" t="s">
        <v>5293</v>
      </c>
      <c r="E140" s="3480" t="s">
        <v>5294</v>
      </c>
      <c r="F140" s="3480" t="s">
        <v>5295</v>
      </c>
      <c r="G140" s="3480" t="s">
        <v>5296</v>
      </c>
      <c r="H140" s="3480" t="s">
        <v>5297</v>
      </c>
      <c r="I140" s="3484" t="s">
        <v>5298</v>
      </c>
    </row>
    <row r="141" spans="1:13" x14ac:dyDescent="0.3">
      <c r="A141" s="6234">
        <v>19140602</v>
      </c>
      <c r="B141" s="3239" t="s">
        <v>2892</v>
      </c>
      <c r="C141" s="3588" t="s">
        <v>5292</v>
      </c>
      <c r="D141" s="3481" t="s">
        <v>5293</v>
      </c>
      <c r="E141" s="3480" t="s">
        <v>5294</v>
      </c>
      <c r="F141" s="3480" t="s">
        <v>5295</v>
      </c>
      <c r="G141" s="3480" t="s">
        <v>5296</v>
      </c>
      <c r="H141" s="3480" t="s">
        <v>5297</v>
      </c>
      <c r="I141" s="3484" t="s">
        <v>5298</v>
      </c>
    </row>
    <row r="142" spans="1:13" x14ac:dyDescent="0.3">
      <c r="A142" s="6234">
        <v>19140603</v>
      </c>
      <c r="B142" s="3184" t="s">
        <v>569</v>
      </c>
      <c r="C142" s="3588" t="s">
        <v>5292</v>
      </c>
      <c r="D142" s="3481" t="s">
        <v>5293</v>
      </c>
      <c r="E142" s="3480" t="s">
        <v>5294</v>
      </c>
      <c r="F142" s="3480" t="s">
        <v>5295</v>
      </c>
      <c r="G142" s="3480" t="s">
        <v>5296</v>
      </c>
      <c r="H142" s="3480" t="s">
        <v>5297</v>
      </c>
      <c r="I142" s="3484" t="s">
        <v>5298</v>
      </c>
    </row>
    <row r="143" spans="1:13" x14ac:dyDescent="0.3">
      <c r="A143" s="6234">
        <v>19182060</v>
      </c>
      <c r="B143" s="205" t="s">
        <v>2913</v>
      </c>
      <c r="C143" s="642" t="s">
        <v>5292</v>
      </c>
      <c r="D143" s="410" t="s">
        <v>5293</v>
      </c>
      <c r="E143" s="3518" t="s">
        <v>5294</v>
      </c>
      <c r="F143" s="3518" t="s">
        <v>5295</v>
      </c>
      <c r="G143" s="3518" t="s">
        <v>5296</v>
      </c>
      <c r="H143" s="3518" t="s">
        <v>5297</v>
      </c>
      <c r="I143" s="412" t="s">
        <v>5298</v>
      </c>
    </row>
    <row r="144" spans="1:13" x14ac:dyDescent="0.3">
      <c r="A144" s="6234">
        <v>19140610</v>
      </c>
      <c r="B144" s="150" t="s">
        <v>28</v>
      </c>
      <c r="C144" s="629" t="s">
        <v>5292</v>
      </c>
      <c r="D144" s="3492" t="s">
        <v>5293</v>
      </c>
      <c r="E144" s="3491" t="s">
        <v>5294</v>
      </c>
      <c r="F144" s="3491" t="s">
        <v>5295</v>
      </c>
      <c r="G144" s="3491" t="s">
        <v>5296</v>
      </c>
      <c r="H144" s="3491" t="s">
        <v>5297</v>
      </c>
      <c r="I144" s="3493" t="s">
        <v>5298</v>
      </c>
    </row>
    <row r="145" spans="1:13" s="17" customFormat="1" ht="18" customHeight="1" x14ac:dyDescent="0.25">
      <c r="B145" s="562" t="s">
        <v>2914</v>
      </c>
      <c r="C145" s="101"/>
      <c r="D145" s="101"/>
      <c r="E145" s="101"/>
      <c r="F145" s="101"/>
      <c r="G145" s="101"/>
      <c r="H145" s="101"/>
      <c r="I145" s="101"/>
      <c r="J145" s="643"/>
      <c r="K145" s="643"/>
    </row>
    <row r="146" spans="1:13" ht="40.799999999999997" x14ac:dyDescent="0.3">
      <c r="B146" s="3180" t="s">
        <v>2898</v>
      </c>
      <c r="C146" s="3180" t="s">
        <v>3793</v>
      </c>
      <c r="D146" s="3160" t="s">
        <v>2881</v>
      </c>
      <c r="E146" s="3160" t="s">
        <v>2915</v>
      </c>
      <c r="F146" s="3225" t="s">
        <v>2916</v>
      </c>
      <c r="G146" s="3225" t="s">
        <v>2917</v>
      </c>
      <c r="H146" s="3225" t="s">
        <v>2918</v>
      </c>
      <c r="I146" s="3225" t="s">
        <v>2919</v>
      </c>
      <c r="J146" s="3225" t="s">
        <v>2920</v>
      </c>
      <c r="K146" s="3226" t="s">
        <v>2921</v>
      </c>
    </row>
    <row r="147" spans="1:13" x14ac:dyDescent="0.3">
      <c r="A147" s="6234">
        <v>19190104</v>
      </c>
      <c r="B147" s="3198" t="s">
        <v>2922</v>
      </c>
      <c r="C147" s="3658" t="s">
        <v>5292</v>
      </c>
      <c r="D147" s="3260" t="s">
        <v>5293</v>
      </c>
      <c r="E147" s="3260" t="s">
        <v>5294</v>
      </c>
      <c r="F147" s="3659" t="s">
        <v>5295</v>
      </c>
      <c r="G147" s="3659" t="s">
        <v>5296</v>
      </c>
      <c r="H147" s="3659" t="s">
        <v>5297</v>
      </c>
      <c r="I147" s="3659" t="s">
        <v>5298</v>
      </c>
      <c r="J147" s="3659" t="s">
        <v>5299</v>
      </c>
      <c r="K147" s="3660" t="s">
        <v>5300</v>
      </c>
    </row>
    <row r="148" spans="1:13" x14ac:dyDescent="0.3">
      <c r="A148" s="6234">
        <v>19190105</v>
      </c>
      <c r="B148" s="3239" t="s">
        <v>2923</v>
      </c>
      <c r="C148" s="3145" t="s">
        <v>5292</v>
      </c>
      <c r="D148" s="3143" t="s">
        <v>5293</v>
      </c>
      <c r="E148" s="3143" t="s">
        <v>5294</v>
      </c>
      <c r="F148" s="617" t="s">
        <v>5295</v>
      </c>
      <c r="G148" s="617" t="s">
        <v>5296</v>
      </c>
      <c r="H148" s="617" t="s">
        <v>5297</v>
      </c>
      <c r="I148" s="617" t="s">
        <v>5298</v>
      </c>
      <c r="J148" s="617" t="s">
        <v>5299</v>
      </c>
      <c r="K148" s="3077" t="s">
        <v>5300</v>
      </c>
    </row>
    <row r="149" spans="1:13" x14ac:dyDescent="0.3">
      <c r="A149" s="6234">
        <v>19190106</v>
      </c>
      <c r="B149" s="593" t="s">
        <v>2924</v>
      </c>
      <c r="C149" s="153" t="s">
        <v>5292</v>
      </c>
      <c r="D149" s="121" t="s">
        <v>5293</v>
      </c>
      <c r="E149" s="121" t="s">
        <v>5294</v>
      </c>
      <c r="F149" s="3020" t="s">
        <v>5295</v>
      </c>
      <c r="G149" s="3020" t="s">
        <v>5296</v>
      </c>
      <c r="H149" s="3020" t="s">
        <v>5297</v>
      </c>
      <c r="I149" s="3020" t="s">
        <v>5298</v>
      </c>
      <c r="J149" s="3020" t="s">
        <v>5299</v>
      </c>
      <c r="K149" s="117" t="s">
        <v>5300</v>
      </c>
    </row>
    <row r="150" spans="1:13" ht="18" customHeight="1" x14ac:dyDescent="0.3">
      <c r="B150" s="7666" t="s">
        <v>2925</v>
      </c>
      <c r="C150" s="7666"/>
      <c r="D150" s="7666"/>
      <c r="E150" s="7666"/>
      <c r="F150" s="7666"/>
      <c r="G150" s="7666"/>
      <c r="H150" s="7666"/>
      <c r="I150" s="7666"/>
      <c r="J150" s="7666"/>
      <c r="K150" s="7666"/>
    </row>
    <row r="151" spans="1:13" x14ac:dyDescent="0.3">
      <c r="B151" s="7671" t="s">
        <v>137</v>
      </c>
      <c r="C151" s="7671" t="s">
        <v>2926</v>
      </c>
      <c r="D151" s="7671" t="s">
        <v>567</v>
      </c>
      <c r="E151" s="7672" t="s">
        <v>2879</v>
      </c>
      <c r="F151" s="7673"/>
      <c r="G151" s="7673"/>
      <c r="H151" s="7673"/>
      <c r="I151" s="7673"/>
      <c r="J151" s="7673"/>
      <c r="K151" s="7674"/>
      <c r="L151" s="7667" t="s">
        <v>2880</v>
      </c>
      <c r="M151" s="6399" t="s">
        <v>2927</v>
      </c>
    </row>
    <row r="152" spans="1:13" ht="40.5" customHeight="1" x14ac:dyDescent="0.3">
      <c r="B152" s="6896"/>
      <c r="C152" s="6896"/>
      <c r="D152" s="6896"/>
      <c r="E152" s="3661" t="s">
        <v>2882</v>
      </c>
      <c r="F152" s="2463" t="s">
        <v>2883</v>
      </c>
      <c r="G152" s="2463" t="s">
        <v>2884</v>
      </c>
      <c r="H152" s="2463" t="s">
        <v>2885</v>
      </c>
      <c r="I152" s="2463" t="s">
        <v>2886</v>
      </c>
      <c r="J152" s="3662" t="s">
        <v>2887</v>
      </c>
      <c r="K152" s="3663" t="s">
        <v>2888</v>
      </c>
      <c r="L152" s="7668"/>
      <c r="M152" s="7036"/>
    </row>
    <row r="153" spans="1:13" x14ac:dyDescent="0.3">
      <c r="A153" s="6234" t="s">
        <v>5185</v>
      </c>
      <c r="B153" s="7669" t="s">
        <v>2889</v>
      </c>
      <c r="C153" s="3664" t="s">
        <v>2890</v>
      </c>
      <c r="D153" s="3665" t="s">
        <v>5292</v>
      </c>
      <c r="E153" s="3666" t="s">
        <v>5293</v>
      </c>
      <c r="F153" s="3667" t="s">
        <v>5294</v>
      </c>
      <c r="G153" s="3667" t="s">
        <v>5295</v>
      </c>
      <c r="H153" s="3667" t="s">
        <v>5296</v>
      </c>
      <c r="I153" s="3667" t="s">
        <v>5297</v>
      </c>
      <c r="J153" s="3668" t="s">
        <v>5298</v>
      </c>
      <c r="K153" s="3669" t="s">
        <v>5299</v>
      </c>
      <c r="L153" s="3670" t="s">
        <v>5300</v>
      </c>
      <c r="M153" s="1359" t="s">
        <v>5301</v>
      </c>
    </row>
    <row r="154" spans="1:13" x14ac:dyDescent="0.3">
      <c r="A154" s="6234" t="s">
        <v>5186</v>
      </c>
      <c r="B154" s="6779"/>
      <c r="C154" s="3671" t="s">
        <v>2891</v>
      </c>
      <c r="D154" s="3672" t="s">
        <v>5292</v>
      </c>
      <c r="E154" s="3673" t="s">
        <v>5293</v>
      </c>
      <c r="F154" s="3674" t="s">
        <v>5294</v>
      </c>
      <c r="G154" s="3674" t="s">
        <v>5295</v>
      </c>
      <c r="H154" s="3674" t="s">
        <v>5296</v>
      </c>
      <c r="I154" s="3674" t="s">
        <v>5297</v>
      </c>
      <c r="J154" s="3675" t="s">
        <v>5298</v>
      </c>
      <c r="K154" s="3676" t="s">
        <v>5299</v>
      </c>
      <c r="L154" s="3677" t="s">
        <v>5300</v>
      </c>
      <c r="M154" s="3678" t="s">
        <v>5301</v>
      </c>
    </row>
    <row r="155" spans="1:13" x14ac:dyDescent="0.3">
      <c r="A155" s="6234" t="s">
        <v>5187</v>
      </c>
      <c r="B155" s="6779"/>
      <c r="C155" s="3671" t="s">
        <v>2892</v>
      </c>
      <c r="D155" s="3672" t="s">
        <v>5292</v>
      </c>
      <c r="E155" s="3673" t="s">
        <v>5293</v>
      </c>
      <c r="F155" s="3674" t="s">
        <v>5294</v>
      </c>
      <c r="G155" s="3674" t="s">
        <v>5295</v>
      </c>
      <c r="H155" s="3674" t="s">
        <v>5296</v>
      </c>
      <c r="I155" s="3674" t="s">
        <v>5297</v>
      </c>
      <c r="J155" s="3675" t="s">
        <v>5298</v>
      </c>
      <c r="K155" s="3676" t="s">
        <v>5299</v>
      </c>
      <c r="L155" s="3677" t="s">
        <v>5300</v>
      </c>
      <c r="M155" s="3678" t="s">
        <v>5301</v>
      </c>
    </row>
    <row r="156" spans="1:13" x14ac:dyDescent="0.3">
      <c r="A156" s="6234" t="s">
        <v>5188</v>
      </c>
      <c r="B156" s="6908"/>
      <c r="C156" s="55" t="s">
        <v>2893</v>
      </c>
      <c r="D156" s="645" t="s">
        <v>5292</v>
      </c>
      <c r="E156" s="3679" t="s">
        <v>5293</v>
      </c>
      <c r="F156" s="3680" t="s">
        <v>5294</v>
      </c>
      <c r="G156" s="3680" t="s">
        <v>5295</v>
      </c>
      <c r="H156" s="3680" t="s">
        <v>5296</v>
      </c>
      <c r="I156" s="3680" t="s">
        <v>5297</v>
      </c>
      <c r="J156" s="3681" t="s">
        <v>5298</v>
      </c>
      <c r="K156" s="3682" t="s">
        <v>5299</v>
      </c>
      <c r="L156" s="3683" t="s">
        <v>5300</v>
      </c>
      <c r="M156" s="3684" t="s">
        <v>5301</v>
      </c>
    </row>
    <row r="157" spans="1:13" x14ac:dyDescent="0.3">
      <c r="A157" s="6234" t="s">
        <v>5189</v>
      </c>
      <c r="B157" s="7669" t="s">
        <v>2894</v>
      </c>
      <c r="C157" s="3664" t="s">
        <v>2890</v>
      </c>
      <c r="D157" s="3685" t="s">
        <v>5292</v>
      </c>
      <c r="E157" s="3686" t="s">
        <v>5293</v>
      </c>
      <c r="F157" s="646" t="s">
        <v>5294</v>
      </c>
      <c r="G157" s="646" t="s">
        <v>5295</v>
      </c>
      <c r="H157" s="646" t="s">
        <v>5296</v>
      </c>
      <c r="I157" s="646" t="s">
        <v>5297</v>
      </c>
      <c r="J157" s="3687" t="s">
        <v>5298</v>
      </c>
      <c r="K157" s="3688" t="s">
        <v>5299</v>
      </c>
      <c r="L157" s="3689" t="s">
        <v>5300</v>
      </c>
      <c r="M157" s="3690" t="s">
        <v>5301</v>
      </c>
    </row>
    <row r="158" spans="1:13" x14ac:dyDescent="0.3">
      <c r="A158" s="6234" t="s">
        <v>5190</v>
      </c>
      <c r="B158" s="6779"/>
      <c r="C158" s="3671" t="s">
        <v>2891</v>
      </c>
      <c r="D158" s="3691" t="s">
        <v>5292</v>
      </c>
      <c r="E158" s="3692" t="s">
        <v>5293</v>
      </c>
      <c r="F158" s="3693" t="s">
        <v>5294</v>
      </c>
      <c r="G158" s="3693" t="s">
        <v>5295</v>
      </c>
      <c r="H158" s="3693" t="s">
        <v>5296</v>
      </c>
      <c r="I158" s="3693" t="s">
        <v>5297</v>
      </c>
      <c r="J158" s="3694" t="s">
        <v>5298</v>
      </c>
      <c r="K158" s="3695" t="s">
        <v>5299</v>
      </c>
      <c r="L158" s="650" t="s">
        <v>5300</v>
      </c>
      <c r="M158" s="3696" t="s">
        <v>5301</v>
      </c>
    </row>
    <row r="159" spans="1:13" x14ac:dyDescent="0.3">
      <c r="A159" s="6234" t="s">
        <v>5191</v>
      </c>
      <c r="B159" s="6779"/>
      <c r="C159" s="3671" t="s">
        <v>2892</v>
      </c>
      <c r="D159" s="3672" t="s">
        <v>5292</v>
      </c>
      <c r="E159" s="3673" t="s">
        <v>5293</v>
      </c>
      <c r="F159" s="3674" t="s">
        <v>5294</v>
      </c>
      <c r="G159" s="3674" t="s">
        <v>5295</v>
      </c>
      <c r="H159" s="3674" t="s">
        <v>5296</v>
      </c>
      <c r="I159" s="3674" t="s">
        <v>5297</v>
      </c>
      <c r="J159" s="3675" t="s">
        <v>5298</v>
      </c>
      <c r="K159" s="3676" t="s">
        <v>5299</v>
      </c>
      <c r="L159" s="3677" t="s">
        <v>5300</v>
      </c>
      <c r="M159" s="3678" t="s">
        <v>5301</v>
      </c>
    </row>
    <row r="160" spans="1:13" x14ac:dyDescent="0.3">
      <c r="A160" s="6234" t="s">
        <v>5192</v>
      </c>
      <c r="B160" s="6908"/>
      <c r="C160" s="55" t="s">
        <v>2893</v>
      </c>
      <c r="D160" s="645" t="s">
        <v>5292</v>
      </c>
      <c r="E160" s="3697" t="s">
        <v>5293</v>
      </c>
      <c r="F160" s="3698" t="s">
        <v>5294</v>
      </c>
      <c r="G160" s="3698" t="s">
        <v>5295</v>
      </c>
      <c r="H160" s="3698" t="s">
        <v>5296</v>
      </c>
      <c r="I160" s="3698" t="s">
        <v>5297</v>
      </c>
      <c r="J160" s="3699" t="s">
        <v>5298</v>
      </c>
      <c r="K160" s="3700" t="s">
        <v>5299</v>
      </c>
      <c r="L160" s="654" t="s">
        <v>5300</v>
      </c>
      <c r="M160" s="655" t="s">
        <v>5301</v>
      </c>
    </row>
    <row r="161" spans="1:13" x14ac:dyDescent="0.3">
      <c r="A161" s="6234" t="s">
        <v>5193</v>
      </c>
      <c r="B161" s="7669" t="s">
        <v>2895</v>
      </c>
      <c r="C161" s="3664" t="s">
        <v>2890</v>
      </c>
      <c r="D161" s="3685" t="s">
        <v>5292</v>
      </c>
      <c r="E161" s="3686" t="s">
        <v>5293</v>
      </c>
      <c r="F161" s="646" t="s">
        <v>5294</v>
      </c>
      <c r="G161" s="646" t="s">
        <v>5295</v>
      </c>
      <c r="H161" s="646" t="s">
        <v>5296</v>
      </c>
      <c r="I161" s="646" t="s">
        <v>5297</v>
      </c>
      <c r="J161" s="3687" t="s">
        <v>5298</v>
      </c>
      <c r="K161" s="3688" t="s">
        <v>5299</v>
      </c>
      <c r="L161" s="3689" t="s">
        <v>5300</v>
      </c>
      <c r="M161" s="3690" t="s">
        <v>5301</v>
      </c>
    </row>
    <row r="162" spans="1:13" x14ac:dyDescent="0.3">
      <c r="A162" s="6234" t="s">
        <v>5194</v>
      </c>
      <c r="B162" s="6779"/>
      <c r="C162" s="3671" t="s">
        <v>2891</v>
      </c>
      <c r="D162" s="3691" t="s">
        <v>5292</v>
      </c>
      <c r="E162" s="3692" t="s">
        <v>5293</v>
      </c>
      <c r="F162" s="3693" t="s">
        <v>5294</v>
      </c>
      <c r="G162" s="3693" t="s">
        <v>5295</v>
      </c>
      <c r="H162" s="3693" t="s">
        <v>5296</v>
      </c>
      <c r="I162" s="3693" t="s">
        <v>5297</v>
      </c>
      <c r="J162" s="3694" t="s">
        <v>5298</v>
      </c>
      <c r="K162" s="3695" t="s">
        <v>5299</v>
      </c>
      <c r="L162" s="650" t="s">
        <v>5300</v>
      </c>
      <c r="M162" s="3696" t="s">
        <v>5301</v>
      </c>
    </row>
    <row r="163" spans="1:13" x14ac:dyDescent="0.3">
      <c r="A163" s="6234" t="s">
        <v>5195</v>
      </c>
      <c r="B163" s="6779"/>
      <c r="C163" s="3671" t="s">
        <v>2892</v>
      </c>
      <c r="D163" s="3672" t="s">
        <v>5292</v>
      </c>
      <c r="E163" s="3673" t="s">
        <v>5293</v>
      </c>
      <c r="F163" s="3674" t="s">
        <v>5294</v>
      </c>
      <c r="G163" s="3674" t="s">
        <v>5295</v>
      </c>
      <c r="H163" s="3674" t="s">
        <v>5296</v>
      </c>
      <c r="I163" s="3674" t="s">
        <v>5297</v>
      </c>
      <c r="J163" s="3675" t="s">
        <v>5298</v>
      </c>
      <c r="K163" s="3676" t="s">
        <v>5299</v>
      </c>
      <c r="L163" s="3677" t="s">
        <v>5300</v>
      </c>
      <c r="M163" s="3678" t="s">
        <v>5301</v>
      </c>
    </row>
    <row r="164" spans="1:13" x14ac:dyDescent="0.3">
      <c r="A164" s="6234" t="s">
        <v>5196</v>
      </c>
      <c r="B164" s="6908"/>
      <c r="C164" s="55" t="s">
        <v>2893</v>
      </c>
      <c r="D164" s="645" t="s">
        <v>5292</v>
      </c>
      <c r="E164" s="3697" t="s">
        <v>5293</v>
      </c>
      <c r="F164" s="3698" t="s">
        <v>5294</v>
      </c>
      <c r="G164" s="3698" t="s">
        <v>5295</v>
      </c>
      <c r="H164" s="3698" t="s">
        <v>5296</v>
      </c>
      <c r="I164" s="3698" t="s">
        <v>5297</v>
      </c>
      <c r="J164" s="3699" t="s">
        <v>5298</v>
      </c>
      <c r="K164" s="3700" t="s">
        <v>5299</v>
      </c>
      <c r="L164" s="654" t="s">
        <v>5300</v>
      </c>
      <c r="M164" s="655" t="s">
        <v>5301</v>
      </c>
    </row>
    <row r="165" spans="1:13" x14ac:dyDescent="0.3">
      <c r="A165" s="6234" t="s">
        <v>5197</v>
      </c>
      <c r="B165" s="7669" t="s">
        <v>2896</v>
      </c>
      <c r="C165" s="3664" t="s">
        <v>2890</v>
      </c>
      <c r="D165" s="3685" t="s">
        <v>5292</v>
      </c>
      <c r="E165" s="3686" t="s">
        <v>5293</v>
      </c>
      <c r="F165" s="646" t="s">
        <v>5294</v>
      </c>
      <c r="G165" s="646" t="s">
        <v>5295</v>
      </c>
      <c r="H165" s="646" t="s">
        <v>5296</v>
      </c>
      <c r="I165" s="646" t="s">
        <v>5297</v>
      </c>
      <c r="J165" s="3687" t="s">
        <v>5298</v>
      </c>
      <c r="K165" s="3688" t="s">
        <v>5299</v>
      </c>
      <c r="L165" s="3689" t="s">
        <v>5300</v>
      </c>
      <c r="M165" s="3690" t="s">
        <v>5301</v>
      </c>
    </row>
    <row r="166" spans="1:13" x14ac:dyDescent="0.3">
      <c r="A166" s="6234" t="s">
        <v>5198</v>
      </c>
      <c r="B166" s="6779"/>
      <c r="C166" s="3671" t="s">
        <v>2891</v>
      </c>
      <c r="D166" s="3691" t="s">
        <v>5292</v>
      </c>
      <c r="E166" s="3692" t="s">
        <v>5293</v>
      </c>
      <c r="F166" s="3693" t="s">
        <v>5294</v>
      </c>
      <c r="G166" s="3693" t="s">
        <v>5295</v>
      </c>
      <c r="H166" s="3693" t="s">
        <v>5296</v>
      </c>
      <c r="I166" s="3693" t="s">
        <v>5297</v>
      </c>
      <c r="J166" s="3694" t="s">
        <v>5298</v>
      </c>
      <c r="K166" s="3695" t="s">
        <v>5299</v>
      </c>
      <c r="L166" s="650" t="s">
        <v>5300</v>
      </c>
      <c r="M166" s="3696" t="s">
        <v>5301</v>
      </c>
    </row>
    <row r="167" spans="1:13" x14ac:dyDescent="0.3">
      <c r="A167" s="6234" t="s">
        <v>5199</v>
      </c>
      <c r="B167" s="6779"/>
      <c r="C167" s="3671" t="s">
        <v>2892</v>
      </c>
      <c r="D167" s="3672" t="s">
        <v>5292</v>
      </c>
      <c r="E167" s="3673" t="s">
        <v>5293</v>
      </c>
      <c r="F167" s="3674" t="s">
        <v>5294</v>
      </c>
      <c r="G167" s="3674" t="s">
        <v>5295</v>
      </c>
      <c r="H167" s="3674" t="s">
        <v>5296</v>
      </c>
      <c r="I167" s="3674" t="s">
        <v>5297</v>
      </c>
      <c r="J167" s="3675" t="s">
        <v>5298</v>
      </c>
      <c r="K167" s="3676" t="s">
        <v>5299</v>
      </c>
      <c r="L167" s="3677" t="s">
        <v>5300</v>
      </c>
      <c r="M167" s="3678" t="s">
        <v>5301</v>
      </c>
    </row>
    <row r="168" spans="1:13" x14ac:dyDescent="0.3">
      <c r="A168" s="6234" t="s">
        <v>5200</v>
      </c>
      <c r="B168" s="6908"/>
      <c r="C168" s="55" t="s">
        <v>2893</v>
      </c>
      <c r="D168" s="645" t="s">
        <v>5292</v>
      </c>
      <c r="E168" s="3697" t="s">
        <v>5293</v>
      </c>
      <c r="F168" s="3698" t="s">
        <v>5294</v>
      </c>
      <c r="G168" s="3698" t="s">
        <v>5295</v>
      </c>
      <c r="H168" s="3698" t="s">
        <v>5296</v>
      </c>
      <c r="I168" s="3698" t="s">
        <v>5297</v>
      </c>
      <c r="J168" s="3699" t="s">
        <v>5298</v>
      </c>
      <c r="K168" s="3700" t="s">
        <v>5299</v>
      </c>
      <c r="L168" s="654" t="s">
        <v>5300</v>
      </c>
      <c r="M168" s="655" t="s">
        <v>5301</v>
      </c>
    </row>
    <row r="169" spans="1:13" ht="18" customHeight="1" x14ac:dyDescent="0.3">
      <c r="B169" s="7666" t="s">
        <v>2928</v>
      </c>
      <c r="C169" s="7666"/>
      <c r="D169" s="7666"/>
      <c r="E169" s="7666"/>
    </row>
    <row r="170" spans="1:13" ht="30.6" x14ac:dyDescent="0.3">
      <c r="B170" s="3701" t="s">
        <v>137</v>
      </c>
      <c r="C170" s="3701" t="s">
        <v>138</v>
      </c>
      <c r="D170" s="3702" t="s">
        <v>3791</v>
      </c>
      <c r="E170" s="3703" t="s">
        <v>3792</v>
      </c>
    </row>
    <row r="171" spans="1:13" x14ac:dyDescent="0.3">
      <c r="A171" s="6234" t="s">
        <v>5201</v>
      </c>
      <c r="B171" s="3704" t="s">
        <v>2929</v>
      </c>
      <c r="C171" s="3705" t="s">
        <v>5292</v>
      </c>
      <c r="D171" s="68" t="s">
        <v>5293</v>
      </c>
      <c r="E171" s="69" t="s">
        <v>5294</v>
      </c>
    </row>
    <row r="172" spans="1:13" x14ac:dyDescent="0.3">
      <c r="A172" s="6234" t="s">
        <v>5202</v>
      </c>
      <c r="B172" s="3706" t="s">
        <v>2930</v>
      </c>
      <c r="C172" s="3707" t="s">
        <v>5292</v>
      </c>
      <c r="D172" s="3673" t="s">
        <v>5293</v>
      </c>
      <c r="E172" s="3708" t="s">
        <v>5294</v>
      </c>
    </row>
    <row r="173" spans="1:13" x14ac:dyDescent="0.3">
      <c r="A173" s="6234" t="s">
        <v>5203</v>
      </c>
      <c r="B173" s="3706" t="s">
        <v>2931</v>
      </c>
      <c r="C173" s="3707" t="s">
        <v>5292</v>
      </c>
      <c r="D173" s="3673" t="s">
        <v>5293</v>
      </c>
      <c r="E173" s="3708" t="s">
        <v>5294</v>
      </c>
    </row>
    <row r="174" spans="1:13" x14ac:dyDescent="0.3">
      <c r="A174" s="6234" t="s">
        <v>5204</v>
      </c>
      <c r="B174" s="3709" t="s">
        <v>2932</v>
      </c>
      <c r="C174" s="3707" t="s">
        <v>5292</v>
      </c>
      <c r="D174" s="3673" t="s">
        <v>5293</v>
      </c>
      <c r="E174" s="3708" t="s">
        <v>5294</v>
      </c>
    </row>
    <row r="175" spans="1:13" ht="21.6" x14ac:dyDescent="0.3">
      <c r="A175" s="6234" t="s">
        <v>5205</v>
      </c>
      <c r="B175" s="3710" t="s">
        <v>145</v>
      </c>
      <c r="C175" s="3707" t="s">
        <v>5292</v>
      </c>
      <c r="D175" s="3673" t="s">
        <v>5293</v>
      </c>
      <c r="E175" s="3708" t="s">
        <v>5294</v>
      </c>
    </row>
    <row r="176" spans="1:13" ht="21.6" x14ac:dyDescent="0.3">
      <c r="A176" s="6234" t="s">
        <v>5206</v>
      </c>
      <c r="B176" s="3710" t="s">
        <v>2933</v>
      </c>
      <c r="C176" s="3711" t="s">
        <v>5292</v>
      </c>
      <c r="D176" s="3673" t="s">
        <v>5293</v>
      </c>
      <c r="E176" s="3708" t="s">
        <v>5294</v>
      </c>
    </row>
    <row r="177" spans="1:5" ht="21.6" x14ac:dyDescent="0.3">
      <c r="A177" s="6234" t="s">
        <v>5207</v>
      </c>
      <c r="B177" s="38" t="s">
        <v>2934</v>
      </c>
      <c r="C177" s="3712" t="s">
        <v>5292</v>
      </c>
      <c r="D177" s="3697" t="s">
        <v>5293</v>
      </c>
      <c r="E177" s="65" t="s">
        <v>5294</v>
      </c>
    </row>
    <row r="207" spans="2:3" hidden="1" x14ac:dyDescent="0.3">
      <c r="B207" s="3177">
        <f>SUM(D13:D68,D81:D92,D95:E103,D108:D110,D115:D130,C133:I136,C139:C144,C147:K149,D153:D168,C171:E177)</f>
        <v>0</v>
      </c>
      <c r="C207" s="3177" t="e">
        <f>SUM(CJ13:CR110)</f>
        <v>#VALUE!</v>
      </c>
    </row>
  </sheetData>
  <mergeCells count="118">
    <mergeCell ref="B69:B76"/>
    <mergeCell ref="B6:U6"/>
    <mergeCell ref="B8:AN8"/>
    <mergeCell ref="B9:AN9"/>
    <mergeCell ref="B10:B12"/>
    <mergeCell ref="C10:C12"/>
    <mergeCell ref="D10:F11"/>
    <mergeCell ref="G10:AN10"/>
    <mergeCell ref="Y11:Z11"/>
    <mergeCell ref="AA11:AB11"/>
    <mergeCell ref="AC11:AD11"/>
    <mergeCell ref="AK11:AL11"/>
    <mergeCell ref="AM11:AN11"/>
    <mergeCell ref="B24:B34"/>
    <mergeCell ref="B35:B45"/>
    <mergeCell ref="B46:B51"/>
    <mergeCell ref="B52:B55"/>
    <mergeCell ref="B56:B62"/>
    <mergeCell ref="B63:B67"/>
    <mergeCell ref="B13:B23"/>
    <mergeCell ref="AV10:AV12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AO10:AO12"/>
    <mergeCell ref="AP10:AQ11"/>
    <mergeCell ref="AR10:AR12"/>
    <mergeCell ref="AS10:AS12"/>
    <mergeCell ref="AT10:AT12"/>
    <mergeCell ref="AU10:AU12"/>
    <mergeCell ref="AE11:AF11"/>
    <mergeCell ref="AG11:AH11"/>
    <mergeCell ref="AI11:AJ11"/>
    <mergeCell ref="B77:AN77"/>
    <mergeCell ref="B78:B80"/>
    <mergeCell ref="C78:C80"/>
    <mergeCell ref="D78:F79"/>
    <mergeCell ref="G78:AN78"/>
    <mergeCell ref="AO78:AP79"/>
    <mergeCell ref="S79:T79"/>
    <mergeCell ref="U79:V79"/>
    <mergeCell ref="W79:X79"/>
    <mergeCell ref="Y79:Z79"/>
    <mergeCell ref="AQ78:AQ80"/>
    <mergeCell ref="AR78:AR80"/>
    <mergeCell ref="AS78:AS80"/>
    <mergeCell ref="AT78:AT80"/>
    <mergeCell ref="G79:H79"/>
    <mergeCell ref="I79:J79"/>
    <mergeCell ref="K79:L79"/>
    <mergeCell ref="M79:N79"/>
    <mergeCell ref="O79:P79"/>
    <mergeCell ref="Q79:R79"/>
    <mergeCell ref="AM105:AM107"/>
    <mergeCell ref="G106:H106"/>
    <mergeCell ref="I106:J106"/>
    <mergeCell ref="K106:L106"/>
    <mergeCell ref="M106:N106"/>
    <mergeCell ref="O106:P106"/>
    <mergeCell ref="Q106:R106"/>
    <mergeCell ref="AM79:AN79"/>
    <mergeCell ref="B81:B86"/>
    <mergeCell ref="B87:B92"/>
    <mergeCell ref="B93:E93"/>
    <mergeCell ref="B94:B103"/>
    <mergeCell ref="B104:AL104"/>
    <mergeCell ref="AA79:AB79"/>
    <mergeCell ref="AC79:AD79"/>
    <mergeCell ref="AE79:AF79"/>
    <mergeCell ref="AG79:AH79"/>
    <mergeCell ref="AI79:AJ79"/>
    <mergeCell ref="AK79:AL79"/>
    <mergeCell ref="AE106:AF106"/>
    <mergeCell ref="AG106:AH106"/>
    <mergeCell ref="AI106:AJ106"/>
    <mergeCell ref="AK106:AL106"/>
    <mergeCell ref="B108:B110"/>
    <mergeCell ref="B111:K111"/>
    <mergeCell ref="S106:T106"/>
    <mergeCell ref="U106:V106"/>
    <mergeCell ref="W106:X106"/>
    <mergeCell ref="Y106:Z106"/>
    <mergeCell ref="AA106:AB106"/>
    <mergeCell ref="AC106:AD106"/>
    <mergeCell ref="B105:C107"/>
    <mergeCell ref="D105:F106"/>
    <mergeCell ref="G105:AL105"/>
    <mergeCell ref="M113:M114"/>
    <mergeCell ref="B115:B118"/>
    <mergeCell ref="B119:B122"/>
    <mergeCell ref="B123:B126"/>
    <mergeCell ref="B127:B130"/>
    <mergeCell ref="B131:I131"/>
    <mergeCell ref="B112:K112"/>
    <mergeCell ref="B113:B114"/>
    <mergeCell ref="C113:C114"/>
    <mergeCell ref="D113:D114"/>
    <mergeCell ref="E113:K113"/>
    <mergeCell ref="L113:L114"/>
    <mergeCell ref="B169:E169"/>
    <mergeCell ref="L151:L152"/>
    <mergeCell ref="M151:M152"/>
    <mergeCell ref="B153:B156"/>
    <mergeCell ref="B157:B160"/>
    <mergeCell ref="B161:B164"/>
    <mergeCell ref="B165:B168"/>
    <mergeCell ref="B137:I137"/>
    <mergeCell ref="B150:K150"/>
    <mergeCell ref="B151:B152"/>
    <mergeCell ref="C151:C152"/>
    <mergeCell ref="D151:D152"/>
    <mergeCell ref="E151:K151"/>
  </mergeCells>
  <dataValidations count="4">
    <dataValidation type="whole" operator="greaterThanOrEqual" allowBlank="1" showInputMessage="1" showErrorMessage="1" sqref="C171:E177 I24:AS45 I46:J67 AT13:AV76 G24:H67 G13:AS23 G68:J68 G81:AT92 G108:AM110 E115:M130 C133:I136 D139:I144 C147:K149 E153:M168 K46:AS76 D95:E103" xr:uid="{00000000-0002-0000-0C00-000000000000}">
      <formula1>0</formula1>
    </dataValidation>
    <dataValidation type="whole" allowBlank="1" showInputMessage="1" showErrorMessage="1" error="Valor no Permitido" sqref="C108:F110 B104:B105 B108 D105:F106 F152:K152 B165 B157 B153 D153:D168 B151:D151 E151:E152 D69:J76" xr:uid="{00000000-0002-0000-0C00-000001000000}">
      <formula1>0</formula1>
      <formula2>1E+30</formula2>
    </dataValidation>
    <dataValidation allowBlank="1" showInputMessage="1" showErrorMessage="1" error="Valor no Permitido" sqref="L151:M152 B69:B76" xr:uid="{00000000-0002-0000-0C00-000002000000}"/>
    <dataValidation type="whole" allowBlank="1" showInputMessage="1" showErrorMessage="1" sqref="B171:B174 B176:B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F90"/>
  <sheetViews>
    <sheetView showGridLines="0" workbookViewId="0"/>
  </sheetViews>
  <sheetFormatPr baseColWidth="10" defaultRowHeight="14.4" x14ac:dyDescent="0.3"/>
  <cols>
    <col min="1" max="1" width="16.33203125" customWidth="1"/>
    <col min="2" max="2" width="55.5546875" customWidth="1"/>
    <col min="3" max="3" width="14.5546875" customWidth="1"/>
    <col min="4" max="5" width="15.6640625" customWidth="1"/>
    <col min="6" max="7" width="14.5546875" customWidth="1"/>
    <col min="8" max="8" width="16.109375" customWidth="1"/>
    <col min="9" max="9" width="16.6640625" customWidth="1"/>
    <col min="10" max="10" width="15.44140625" customWidth="1"/>
    <col min="11" max="11" width="15.88671875" customWidth="1"/>
    <col min="12" max="12" width="16" customWidth="1"/>
    <col min="78" max="79" width="11.44140625" customWidth="1"/>
    <col min="80" max="80" width="22.88671875" hidden="1" customWidth="1"/>
    <col min="81" max="81" width="22.6640625" hidden="1" customWidth="1"/>
    <col min="82" max="84" width="11.44140625" hidden="1" customWidth="1"/>
    <col min="85" max="86" width="11.44140625" customWidth="1"/>
  </cols>
  <sheetData>
    <row r="1" spans="1:84" x14ac:dyDescent="0.3">
      <c r="B1" s="774" t="s">
        <v>3879</v>
      </c>
    </row>
    <row r="2" spans="1:84" x14ac:dyDescent="0.3">
      <c r="B2" s="774" t="str">
        <f>CONCATENATE("COMUNA: ",NOMBRE!B2," - ","( ",NOMBRE!C2,NOMBRE!D2,NOMBRE!E2,NOMBRE!F2,NOMBRE!G2," )")</f>
        <v>COMUNA:  - (  )</v>
      </c>
    </row>
    <row r="3" spans="1:84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84" x14ac:dyDescent="0.3">
      <c r="B4" s="774" t="str">
        <f>CONCATENATE("MES: ",NOMBRE!B6," - ","( ",NOMBRE!C6,NOMBRE!D6," )")</f>
        <v>MES:  - (  )</v>
      </c>
    </row>
    <row r="5" spans="1:84" x14ac:dyDescent="0.3">
      <c r="B5" s="774" t="str">
        <f>CONCATENATE("AÑO: ",NOMBRE!B7)</f>
        <v>AÑO: 2024</v>
      </c>
    </row>
    <row r="6" spans="1:84" s="628" customFormat="1" ht="18" customHeight="1" x14ac:dyDescent="0.3">
      <c r="B6" s="6396" t="s">
        <v>2935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</row>
    <row r="8" spans="1:84" ht="18" customHeight="1" x14ac:dyDescent="0.3">
      <c r="B8" s="7675" t="s">
        <v>2936</v>
      </c>
      <c r="C8" s="7675"/>
      <c r="D8" s="7675"/>
      <c r="E8" s="7675"/>
      <c r="F8" s="7675"/>
      <c r="G8" s="7675"/>
      <c r="H8" s="7675"/>
      <c r="I8" s="7675"/>
      <c r="J8" s="7675"/>
      <c r="K8" s="7675"/>
      <c r="L8" s="7675"/>
    </row>
    <row r="9" spans="1:84" ht="24" customHeight="1" x14ac:dyDescent="0.3">
      <c r="B9" s="6337" t="s">
        <v>2937</v>
      </c>
      <c r="C9" s="6371" t="s">
        <v>2938</v>
      </c>
      <c r="D9" s="6328"/>
      <c r="E9" s="6328"/>
      <c r="F9" s="6374" t="s">
        <v>3905</v>
      </c>
      <c r="G9" s="7685"/>
      <c r="H9" s="6342" t="s">
        <v>2939</v>
      </c>
      <c r="I9" s="6371" t="s">
        <v>2940</v>
      </c>
      <c r="J9" s="7686"/>
      <c r="K9" s="6371" t="s">
        <v>48</v>
      </c>
      <c r="L9" s="7686"/>
    </row>
    <row r="10" spans="1:84" ht="30.6" x14ac:dyDescent="0.3">
      <c r="B10" s="7097"/>
      <c r="C10" s="3002" t="s">
        <v>24</v>
      </c>
      <c r="D10" s="1931" t="s">
        <v>22</v>
      </c>
      <c r="E10" s="3713" t="s">
        <v>27</v>
      </c>
      <c r="F10" s="2615" t="s">
        <v>2941</v>
      </c>
      <c r="G10" s="2556" t="s">
        <v>2942</v>
      </c>
      <c r="H10" s="6324"/>
      <c r="I10" s="2615" t="s">
        <v>2943</v>
      </c>
      <c r="J10" s="2556" t="s">
        <v>2944</v>
      </c>
      <c r="K10" s="3714" t="s">
        <v>2945</v>
      </c>
      <c r="L10" s="3715" t="s">
        <v>2946</v>
      </c>
    </row>
    <row r="11" spans="1:84" x14ac:dyDescent="0.3">
      <c r="A11" s="6278"/>
      <c r="B11" s="3001" t="s">
        <v>2947</v>
      </c>
      <c r="C11" s="3716">
        <f t="shared" ref="C11:C29" si="0">SUM(D11:E11)</f>
        <v>0</v>
      </c>
      <c r="D11" s="3717">
        <f>SUM(D12:D24)</f>
        <v>0</v>
      </c>
      <c r="E11" s="3718">
        <f t="shared" ref="E11:J11" si="1">SUM(E12:E24)</f>
        <v>0</v>
      </c>
      <c r="F11" s="3717">
        <f t="shared" si="1"/>
        <v>0</v>
      </c>
      <c r="G11" s="3718">
        <f>SUM(G12:G24)</f>
        <v>0</v>
      </c>
      <c r="H11" s="3719">
        <f t="shared" si="1"/>
        <v>0</v>
      </c>
      <c r="I11" s="3720">
        <f>SUM(I12:I24)</f>
        <v>0</v>
      </c>
      <c r="J11" s="3718">
        <f t="shared" si="1"/>
        <v>0</v>
      </c>
      <c r="K11" s="3718">
        <f>SUM(K12:K24)</f>
        <v>0</v>
      </c>
      <c r="L11" s="3719">
        <f>SUM(L12:L24)</f>
        <v>0</v>
      </c>
    </row>
    <row r="12" spans="1:84" x14ac:dyDescent="0.3">
      <c r="A12" s="6239">
        <v>19180400</v>
      </c>
      <c r="B12" s="2998" t="s">
        <v>2948</v>
      </c>
      <c r="C12" s="1974" t="s">
        <v>5292</v>
      </c>
      <c r="D12" s="276" t="s">
        <v>5293</v>
      </c>
      <c r="E12" s="608" t="s">
        <v>5294</v>
      </c>
      <c r="F12" s="276" t="s">
        <v>5295</v>
      </c>
      <c r="G12" s="608" t="s">
        <v>5296</v>
      </c>
      <c r="H12" s="280" t="s">
        <v>5297</v>
      </c>
      <c r="I12" s="3504" t="s">
        <v>5298</v>
      </c>
      <c r="J12" s="608" t="s">
        <v>5299</v>
      </c>
      <c r="K12" s="280" t="s">
        <v>5300</v>
      </c>
      <c r="L12" s="280" t="s">
        <v>5301</v>
      </c>
      <c r="M12" s="3559" t="str">
        <f>CB12&amp;CC12</f>
        <v xml:space="preserve"> * El Número de TRANS Masculino no puede superar el Total Mujeres.  * El Número de TRANS Femenino no puede superar el Total Hombres. </v>
      </c>
      <c r="CB12" s="2784" t="str">
        <f>IF(AND(E12&gt;0,K12=""),"*No olvide digitar el campo TRANS Masculino (Digite CERO si no tiene).", IF(K12&gt;E12," * El Número de TRANS Masculino no puede superar el Total Mujeres. ",""))</f>
        <v xml:space="preserve"> * El Número de TRANS Masculino no puede superar el Total Mujeres. </v>
      </c>
      <c r="CC12" s="2784" t="str">
        <f>IF(AND(D12&gt;0,OR(L12=""))," *No olvide digitar el campo TRANS Femenino (Digite CERO si no tiene).",IF(L12&gt;$D12," * El Número de TRANS Femenino no puede superar el Total Hombres. ",""))</f>
        <v xml:space="preserve"> * El Número de TRANS Femenino no puede superar el Total Hombres. </v>
      </c>
      <c r="CE12" s="1725">
        <f>IF(AND(E12&gt;0,OR(K12="")),1,IF(K12&gt;E12,1,0))</f>
        <v>1</v>
      </c>
      <c r="CF12" s="1725">
        <f>IF(AND(D12&gt;0,OR(L12="")),1,IF(L12&gt;D12,1,0))</f>
        <v>1</v>
      </c>
    </row>
    <row r="13" spans="1:84" x14ac:dyDescent="0.3">
      <c r="A13" s="6239">
        <v>19180500</v>
      </c>
      <c r="B13" s="3486" t="s">
        <v>2949</v>
      </c>
      <c r="C13" s="3721" t="s">
        <v>5292</v>
      </c>
      <c r="D13" s="3481" t="s">
        <v>5293</v>
      </c>
      <c r="E13" s="3484" t="s">
        <v>5294</v>
      </c>
      <c r="F13" s="3481" t="s">
        <v>5295</v>
      </c>
      <c r="G13" s="3484" t="s">
        <v>5296</v>
      </c>
      <c r="H13" s="3511" t="s">
        <v>5297</v>
      </c>
      <c r="I13" s="3480" t="s">
        <v>5298</v>
      </c>
      <c r="J13" s="3484" t="s">
        <v>5299</v>
      </c>
      <c r="K13" s="3511" t="s">
        <v>5300</v>
      </c>
      <c r="L13" s="3511" t="s">
        <v>5301</v>
      </c>
      <c r="M13" s="3559" t="str">
        <f t="shared" ref="M13:M29" si="2">CB13&amp;CC13</f>
        <v xml:space="preserve"> * El Número de TRANS Masculino no puede superar el Total Mujeres.  * El Número de TRANS Femenino no puede superar el Total Hombres. </v>
      </c>
      <c r="CB13" s="2784" t="str">
        <f t="shared" ref="CB13:CB29" si="3">IF(AND(E13&gt;0,K13=""),"*No olvide digitar el campo TRANS Masculino (Digite CERO si no tiene).", IF(K13&gt;E13," * El Número de TRANS Masculino no puede superar el Total Mujeres. ",""))</f>
        <v xml:space="preserve"> * El Número de TRANS Masculino no puede superar el Total Mujeres. </v>
      </c>
      <c r="CC13" s="2784" t="str">
        <f t="shared" ref="CC13:CC29" si="4">IF(AND(D13&gt;0,OR(L13=""))," *No olvide digitar el campo TRANS Femenino (Digite CERO si no tiene).",IF(L13&gt;$D13," * El Número de TRANS Femenino no puede superar el Total Hombres. ",""))</f>
        <v xml:space="preserve"> * El Número de TRANS Femenino no puede superar el Total Hombres. </v>
      </c>
      <c r="CE13" s="1725">
        <f t="shared" ref="CE13:CE29" si="5">IF(AND(E13&gt;0,OR(K13="")),1,IF(K13&gt;E13,1,0))</f>
        <v>1</v>
      </c>
      <c r="CF13" s="1725">
        <f t="shared" ref="CF13:CF29" si="6">IF(AND(D13&gt;0,OR(L13="")),1,IF(L13&gt;D13,1,0))</f>
        <v>1</v>
      </c>
    </row>
    <row r="14" spans="1:84" x14ac:dyDescent="0.3">
      <c r="A14" s="6239">
        <v>19180600</v>
      </c>
      <c r="B14" s="3486" t="s">
        <v>519</v>
      </c>
      <c r="C14" s="3721" t="s">
        <v>5292</v>
      </c>
      <c r="D14" s="3481" t="s">
        <v>5293</v>
      </c>
      <c r="E14" s="3484" t="s">
        <v>5294</v>
      </c>
      <c r="F14" s="3481" t="s">
        <v>5295</v>
      </c>
      <c r="G14" s="3511" t="s">
        <v>5296</v>
      </c>
      <c r="H14" s="3511" t="s">
        <v>5297</v>
      </c>
      <c r="I14" s="3479" t="s">
        <v>5298</v>
      </c>
      <c r="J14" s="3511" t="s">
        <v>5299</v>
      </c>
      <c r="K14" s="3511" t="s">
        <v>5300</v>
      </c>
      <c r="L14" s="3511" t="s">
        <v>5301</v>
      </c>
      <c r="M14" s="3559" t="str">
        <f t="shared" si="2"/>
        <v xml:space="preserve"> * El Número de TRANS Masculino no puede superar el Total Mujeres.  * El Número de TRANS Femenino no puede superar el Total Hombres. </v>
      </c>
      <c r="CB14" s="2784" t="str">
        <f t="shared" si="3"/>
        <v xml:space="preserve"> * El Número de TRANS Masculino no puede superar el Total Mujeres. </v>
      </c>
      <c r="CC14" s="2784" t="str">
        <f t="shared" si="4"/>
        <v xml:space="preserve"> * El Número de TRANS Femenino no puede superar el Total Hombres. </v>
      </c>
      <c r="CE14" s="1725">
        <f t="shared" si="5"/>
        <v>1</v>
      </c>
      <c r="CF14" s="1725">
        <f t="shared" si="6"/>
        <v>1</v>
      </c>
    </row>
    <row r="15" spans="1:84" x14ac:dyDescent="0.3">
      <c r="A15" s="6239">
        <v>19180700</v>
      </c>
      <c r="B15" s="3486" t="s">
        <v>3798</v>
      </c>
      <c r="C15" s="3721" t="s">
        <v>5292</v>
      </c>
      <c r="D15" s="3481" t="s">
        <v>5293</v>
      </c>
      <c r="E15" s="3484" t="s">
        <v>5294</v>
      </c>
      <c r="F15" s="3481" t="s">
        <v>5295</v>
      </c>
      <c r="G15" s="3511" t="s">
        <v>5296</v>
      </c>
      <c r="H15" s="3511" t="s">
        <v>5297</v>
      </c>
      <c r="I15" s="3479" t="s">
        <v>5298</v>
      </c>
      <c r="J15" s="3511" t="s">
        <v>5299</v>
      </c>
      <c r="K15" s="3511" t="s">
        <v>5300</v>
      </c>
      <c r="L15" s="3511" t="s">
        <v>5301</v>
      </c>
      <c r="M15" s="3559" t="str">
        <f t="shared" si="2"/>
        <v xml:space="preserve"> * El Número de TRANS Masculino no puede superar el Total Mujeres.  * El Número de TRANS Femenino no puede superar el Total Hombres. </v>
      </c>
      <c r="CB15" s="2784" t="str">
        <f t="shared" si="3"/>
        <v xml:space="preserve"> * El Número de TRANS Masculino no puede superar el Total Mujeres. </v>
      </c>
      <c r="CC15" s="2784" t="str">
        <f t="shared" si="4"/>
        <v xml:space="preserve"> * El Número de TRANS Femenino no puede superar el Total Hombres. </v>
      </c>
      <c r="CE15" s="1725">
        <f t="shared" si="5"/>
        <v>1</v>
      </c>
      <c r="CF15" s="1725">
        <f t="shared" si="6"/>
        <v>1</v>
      </c>
    </row>
    <row r="16" spans="1:84" ht="15" customHeight="1" x14ac:dyDescent="0.3">
      <c r="A16" s="6239">
        <v>19182070</v>
      </c>
      <c r="B16" s="3486" t="s">
        <v>3799</v>
      </c>
      <c r="C16" s="3721" t="s">
        <v>5292</v>
      </c>
      <c r="D16" s="3481" t="s">
        <v>5293</v>
      </c>
      <c r="E16" s="3484" t="s">
        <v>5294</v>
      </c>
      <c r="F16" s="3481" t="s">
        <v>5295</v>
      </c>
      <c r="G16" s="3511" t="s">
        <v>5296</v>
      </c>
      <c r="H16" s="3538" t="s">
        <v>5297</v>
      </c>
      <c r="I16" s="3479" t="s">
        <v>5298</v>
      </c>
      <c r="J16" s="3511" t="s">
        <v>5299</v>
      </c>
      <c r="K16" s="3511" t="s">
        <v>5300</v>
      </c>
      <c r="L16" s="3511" t="s">
        <v>5301</v>
      </c>
      <c r="M16" s="3559" t="str">
        <f t="shared" si="2"/>
        <v xml:space="preserve"> * El Número de TRANS Masculino no puede superar el Total Mujeres.  * El Número de TRANS Femenino no puede superar el Total Hombres. </v>
      </c>
      <c r="CB16" s="2784" t="str">
        <f t="shared" si="3"/>
        <v xml:space="preserve"> * El Número de TRANS Masculino no puede superar el Total Mujeres. </v>
      </c>
      <c r="CC16" s="2784" t="str">
        <f t="shared" si="4"/>
        <v xml:space="preserve"> * El Número de TRANS Femenino no puede superar el Total Hombres. </v>
      </c>
      <c r="CE16" s="1725">
        <f t="shared" si="5"/>
        <v>1</v>
      </c>
      <c r="CF16" s="1725">
        <f t="shared" si="6"/>
        <v>1</v>
      </c>
    </row>
    <row r="17" spans="1:84" x14ac:dyDescent="0.3">
      <c r="A17" s="6239">
        <v>19191010</v>
      </c>
      <c r="B17" s="3486" t="s">
        <v>3800</v>
      </c>
      <c r="C17" s="3721" t="s">
        <v>5292</v>
      </c>
      <c r="D17" s="3481" t="s">
        <v>5293</v>
      </c>
      <c r="E17" s="3484" t="s">
        <v>5294</v>
      </c>
      <c r="F17" s="3481" t="s">
        <v>5295</v>
      </c>
      <c r="G17" s="3511" t="s">
        <v>5296</v>
      </c>
      <c r="H17" s="3538" t="s">
        <v>5297</v>
      </c>
      <c r="I17" s="3479" t="s">
        <v>5298</v>
      </c>
      <c r="J17" s="3511" t="s">
        <v>5299</v>
      </c>
      <c r="K17" s="3511" t="s">
        <v>5300</v>
      </c>
      <c r="L17" s="3511" t="s">
        <v>5301</v>
      </c>
      <c r="M17" s="3559" t="str">
        <f t="shared" si="2"/>
        <v xml:space="preserve"> * El Número de TRANS Masculino no puede superar el Total Mujeres.  * El Número de TRANS Femenino no puede superar el Total Hombres. </v>
      </c>
      <c r="CB17" s="2784" t="str">
        <f t="shared" si="3"/>
        <v xml:space="preserve"> * El Número de TRANS Masculino no puede superar el Total Mujeres. </v>
      </c>
      <c r="CC17" s="2784" t="str">
        <f t="shared" si="4"/>
        <v xml:space="preserve"> * El Número de TRANS Femenino no puede superar el Total Hombres. </v>
      </c>
      <c r="CE17" s="1725">
        <f t="shared" si="5"/>
        <v>1</v>
      </c>
      <c r="CF17" s="1725">
        <f t="shared" si="6"/>
        <v>1</v>
      </c>
    </row>
    <row r="18" spans="1:84" x14ac:dyDescent="0.3">
      <c r="A18" s="6239">
        <v>19191020</v>
      </c>
      <c r="B18" s="3486" t="s">
        <v>3801</v>
      </c>
      <c r="C18" s="3721" t="s">
        <v>5292</v>
      </c>
      <c r="D18" s="3481" t="s">
        <v>5293</v>
      </c>
      <c r="E18" s="3484" t="s">
        <v>5294</v>
      </c>
      <c r="F18" s="3481" t="s">
        <v>5295</v>
      </c>
      <c r="G18" s="3511" t="s">
        <v>5296</v>
      </c>
      <c r="H18" s="3538" t="s">
        <v>5297</v>
      </c>
      <c r="I18" s="3479" t="s">
        <v>5298</v>
      </c>
      <c r="J18" s="3511" t="s">
        <v>5299</v>
      </c>
      <c r="K18" s="3511" t="s">
        <v>5300</v>
      </c>
      <c r="L18" s="3511" t="s">
        <v>5301</v>
      </c>
      <c r="M18" s="3559" t="str">
        <f t="shared" si="2"/>
        <v xml:space="preserve"> * El Número de TRANS Masculino no puede superar el Total Mujeres.  * El Número de TRANS Femenino no puede superar el Total Hombres. </v>
      </c>
      <c r="CB18" s="2784" t="str">
        <f t="shared" si="3"/>
        <v xml:space="preserve"> * El Número de TRANS Masculino no puede superar el Total Mujeres. </v>
      </c>
      <c r="CC18" s="2784" t="str">
        <f t="shared" si="4"/>
        <v xml:space="preserve"> * El Número de TRANS Femenino no puede superar el Total Hombres. </v>
      </c>
      <c r="CE18" s="1725">
        <f t="shared" si="5"/>
        <v>1</v>
      </c>
      <c r="CF18" s="1725">
        <f t="shared" si="6"/>
        <v>1</v>
      </c>
    </row>
    <row r="19" spans="1:84" x14ac:dyDescent="0.3">
      <c r="A19" s="6239">
        <v>19180800</v>
      </c>
      <c r="B19" s="3486" t="s">
        <v>2950</v>
      </c>
      <c r="C19" s="3721" t="s">
        <v>5292</v>
      </c>
      <c r="D19" s="3481" t="s">
        <v>5293</v>
      </c>
      <c r="E19" s="3484" t="s">
        <v>5294</v>
      </c>
      <c r="F19" s="3481" t="s">
        <v>5295</v>
      </c>
      <c r="G19" s="3511" t="s">
        <v>5296</v>
      </c>
      <c r="H19" s="3511" t="s">
        <v>5297</v>
      </c>
      <c r="I19" s="3479" t="s">
        <v>5298</v>
      </c>
      <c r="J19" s="3511" t="s">
        <v>5299</v>
      </c>
      <c r="K19" s="3511" t="s">
        <v>5300</v>
      </c>
      <c r="L19" s="3511" t="s">
        <v>5301</v>
      </c>
      <c r="M19" s="3559" t="str">
        <f t="shared" si="2"/>
        <v xml:space="preserve"> * El Número de TRANS Masculino no puede superar el Total Mujeres.  * El Número de TRANS Femenino no puede superar el Total Hombres. </v>
      </c>
      <c r="CB19" s="2784" t="str">
        <f t="shared" si="3"/>
        <v xml:space="preserve"> * El Número de TRANS Masculino no puede superar el Total Mujeres. </v>
      </c>
      <c r="CC19" s="2784" t="str">
        <f t="shared" si="4"/>
        <v xml:space="preserve"> * El Número de TRANS Femenino no puede superar el Total Hombres. </v>
      </c>
      <c r="CE19" s="1725">
        <f t="shared" si="5"/>
        <v>1</v>
      </c>
      <c r="CF19" s="1725">
        <f t="shared" si="6"/>
        <v>1</v>
      </c>
    </row>
    <row r="20" spans="1:84" x14ac:dyDescent="0.3">
      <c r="A20" s="6239">
        <v>19180900</v>
      </c>
      <c r="B20" s="3486" t="s">
        <v>2951</v>
      </c>
      <c r="C20" s="3721" t="s">
        <v>5292</v>
      </c>
      <c r="D20" s="3481" t="s">
        <v>5293</v>
      </c>
      <c r="E20" s="3484" t="s">
        <v>5294</v>
      </c>
      <c r="F20" s="3481" t="s">
        <v>5295</v>
      </c>
      <c r="G20" s="3511" t="s">
        <v>5296</v>
      </c>
      <c r="H20" s="3511" t="s">
        <v>5297</v>
      </c>
      <c r="I20" s="3479" t="s">
        <v>5298</v>
      </c>
      <c r="J20" s="3511" t="s">
        <v>5299</v>
      </c>
      <c r="K20" s="3511" t="s">
        <v>5300</v>
      </c>
      <c r="L20" s="3511" t="s">
        <v>5301</v>
      </c>
      <c r="M20" s="3559" t="str">
        <f t="shared" si="2"/>
        <v xml:space="preserve"> * El Número de TRANS Masculino no puede superar el Total Mujeres.  * El Número de TRANS Femenino no puede superar el Total Hombres. </v>
      </c>
      <c r="CB20" s="2784" t="str">
        <f t="shared" si="3"/>
        <v xml:space="preserve"> * El Número de TRANS Masculino no puede superar el Total Mujeres. </v>
      </c>
      <c r="CC20" s="2784" t="str">
        <f t="shared" si="4"/>
        <v xml:space="preserve"> * El Número de TRANS Femenino no puede superar el Total Hombres. </v>
      </c>
      <c r="CE20" s="1725">
        <f t="shared" si="5"/>
        <v>1</v>
      </c>
      <c r="CF20" s="1725">
        <f t="shared" si="6"/>
        <v>1</v>
      </c>
    </row>
    <row r="21" spans="1:84" x14ac:dyDescent="0.3">
      <c r="A21" s="6239">
        <v>19181000</v>
      </c>
      <c r="B21" s="3486" t="s">
        <v>2952</v>
      </c>
      <c r="C21" s="3721" t="s">
        <v>5292</v>
      </c>
      <c r="D21" s="3481" t="s">
        <v>5293</v>
      </c>
      <c r="E21" s="3484" t="s">
        <v>5294</v>
      </c>
      <c r="F21" s="3481" t="s">
        <v>5295</v>
      </c>
      <c r="G21" s="3511" t="s">
        <v>5296</v>
      </c>
      <c r="H21" s="3511" t="s">
        <v>5297</v>
      </c>
      <c r="I21" s="3479" t="s">
        <v>5298</v>
      </c>
      <c r="J21" s="3511" t="s">
        <v>5299</v>
      </c>
      <c r="K21" s="3511" t="s">
        <v>5300</v>
      </c>
      <c r="L21" s="3511" t="s">
        <v>5301</v>
      </c>
      <c r="M21" s="3559" t="str">
        <f t="shared" si="2"/>
        <v xml:space="preserve"> * El Número de TRANS Masculino no puede superar el Total Mujeres.  * El Número de TRANS Femenino no puede superar el Total Hombres. </v>
      </c>
      <c r="CB21" s="2784" t="str">
        <f t="shared" si="3"/>
        <v xml:space="preserve"> * El Número de TRANS Masculino no puede superar el Total Mujeres. </v>
      </c>
      <c r="CC21" s="2784" t="str">
        <f t="shared" si="4"/>
        <v xml:space="preserve"> * El Número de TRANS Femenino no puede superar el Total Hombres. </v>
      </c>
      <c r="CE21" s="1725">
        <f t="shared" si="5"/>
        <v>1</v>
      </c>
      <c r="CF21" s="1725">
        <f t="shared" si="6"/>
        <v>1</v>
      </c>
    </row>
    <row r="22" spans="1:84" x14ac:dyDescent="0.3">
      <c r="A22" s="6279">
        <v>19181001</v>
      </c>
      <c r="B22" s="3486" t="s">
        <v>2953</v>
      </c>
      <c r="C22" s="3721" t="s">
        <v>5292</v>
      </c>
      <c r="D22" s="3481" t="s">
        <v>5293</v>
      </c>
      <c r="E22" s="3484" t="s">
        <v>5294</v>
      </c>
      <c r="F22" s="3481" t="s">
        <v>5295</v>
      </c>
      <c r="G22" s="3511" t="s">
        <v>5296</v>
      </c>
      <c r="H22" s="3511" t="s">
        <v>5297</v>
      </c>
      <c r="I22" s="3479" t="s">
        <v>5298</v>
      </c>
      <c r="J22" s="3484" t="s">
        <v>5299</v>
      </c>
      <c r="K22" s="3511" t="s">
        <v>5300</v>
      </c>
      <c r="L22" s="3511" t="s">
        <v>5301</v>
      </c>
      <c r="M22" s="3559" t="str">
        <f t="shared" si="2"/>
        <v xml:space="preserve"> * El Número de TRANS Masculino no puede superar el Total Mujeres.  * El Número de TRANS Femenino no puede superar el Total Hombres. </v>
      </c>
      <c r="CB22" s="2784" t="str">
        <f t="shared" si="3"/>
        <v xml:space="preserve"> * El Número de TRANS Masculino no puede superar el Total Mujeres. </v>
      </c>
      <c r="CC22" s="2784" t="str">
        <f t="shared" si="4"/>
        <v xml:space="preserve"> * El Número de TRANS Femenino no puede superar el Total Hombres. </v>
      </c>
      <c r="CE22" s="1725">
        <f t="shared" si="5"/>
        <v>1</v>
      </c>
      <c r="CF22" s="1725">
        <f t="shared" si="6"/>
        <v>1</v>
      </c>
    </row>
    <row r="23" spans="1:84" x14ac:dyDescent="0.3">
      <c r="A23" s="6279">
        <v>19181002</v>
      </c>
      <c r="B23" s="3486" t="s">
        <v>2954</v>
      </c>
      <c r="C23" s="3721" t="s">
        <v>5292</v>
      </c>
      <c r="D23" s="3481" t="s">
        <v>5293</v>
      </c>
      <c r="E23" s="3484" t="s">
        <v>5294</v>
      </c>
      <c r="F23" s="3481" t="s">
        <v>5295</v>
      </c>
      <c r="G23" s="3511" t="s">
        <v>5296</v>
      </c>
      <c r="H23" s="3511" t="s">
        <v>5297</v>
      </c>
      <c r="I23" s="3479" t="s">
        <v>5298</v>
      </c>
      <c r="J23" s="3484" t="s">
        <v>5299</v>
      </c>
      <c r="K23" s="3511" t="s">
        <v>5300</v>
      </c>
      <c r="L23" s="3511" t="s">
        <v>5301</v>
      </c>
      <c r="M23" s="3559" t="str">
        <f t="shared" si="2"/>
        <v xml:space="preserve"> * El Número de TRANS Masculino no puede superar el Total Mujeres.  * El Número de TRANS Femenino no puede superar el Total Hombres. </v>
      </c>
      <c r="CB23" s="2784" t="str">
        <f t="shared" si="3"/>
        <v xml:space="preserve"> * El Número de TRANS Masculino no puede superar el Total Mujeres. </v>
      </c>
      <c r="CC23" s="2784" t="str">
        <f t="shared" si="4"/>
        <v xml:space="preserve"> * El Número de TRANS Femenino no puede superar el Total Hombres. </v>
      </c>
      <c r="CE23" s="1725">
        <f t="shared" si="5"/>
        <v>1</v>
      </c>
      <c r="CF23" s="1725">
        <f t="shared" si="6"/>
        <v>1</v>
      </c>
    </row>
    <row r="24" spans="1:84" x14ac:dyDescent="0.3">
      <c r="A24" s="6279">
        <v>19181003</v>
      </c>
      <c r="B24" s="5583" t="s">
        <v>2955</v>
      </c>
      <c r="C24" s="5584" t="s">
        <v>5292</v>
      </c>
      <c r="D24" s="3492" t="s">
        <v>5293</v>
      </c>
      <c r="E24" s="3493" t="s">
        <v>5294</v>
      </c>
      <c r="F24" s="3492" t="s">
        <v>5295</v>
      </c>
      <c r="G24" s="3724" t="s">
        <v>5296</v>
      </c>
      <c r="H24" s="3724" t="s">
        <v>5297</v>
      </c>
      <c r="I24" s="288" t="s">
        <v>5298</v>
      </c>
      <c r="J24" s="3493" t="s">
        <v>5299</v>
      </c>
      <c r="K24" s="3724" t="s">
        <v>5300</v>
      </c>
      <c r="L24" s="3724" t="s">
        <v>5301</v>
      </c>
      <c r="M24" s="3559" t="str">
        <f t="shared" si="2"/>
        <v xml:space="preserve"> * El Número de TRANS Masculino no puede superar el Total Mujeres.  * El Número de TRANS Femenino no puede superar el Total Hombres. </v>
      </c>
      <c r="CB24" s="2784" t="str">
        <f t="shared" si="3"/>
        <v xml:space="preserve"> * El Número de TRANS Masculino no puede superar el Total Mujeres. </v>
      </c>
      <c r="CC24" s="2784" t="str">
        <f t="shared" si="4"/>
        <v xml:space="preserve"> * El Número de TRANS Femenino no puede superar el Total Hombres. </v>
      </c>
      <c r="CE24" s="1725">
        <f t="shared" si="5"/>
        <v>1</v>
      </c>
      <c r="CF24" s="1725">
        <f t="shared" si="6"/>
        <v>1</v>
      </c>
    </row>
    <row r="25" spans="1:84" x14ac:dyDescent="0.3">
      <c r="A25" s="6239">
        <v>19140612</v>
      </c>
      <c r="B25" s="5579" t="s">
        <v>570</v>
      </c>
      <c r="C25" s="1974" t="s">
        <v>5292</v>
      </c>
      <c r="D25" s="5580" t="s">
        <v>5293</v>
      </c>
      <c r="E25" s="5171" t="s">
        <v>5294</v>
      </c>
      <c r="F25" s="5581" t="s">
        <v>5295</v>
      </c>
      <c r="G25" s="5142" t="s">
        <v>5296</v>
      </c>
      <c r="H25" s="5582" t="s">
        <v>5297</v>
      </c>
      <c r="I25" s="5104" t="s">
        <v>5298</v>
      </c>
      <c r="J25" s="5142" t="s">
        <v>5299</v>
      </c>
      <c r="K25" s="4522" t="s">
        <v>5300</v>
      </c>
      <c r="L25" s="4522" t="s">
        <v>5301</v>
      </c>
      <c r="M25" s="3559" t="str">
        <f t="shared" si="2"/>
        <v xml:space="preserve"> * El Número de TRANS Masculino no puede superar el Total Mujeres.  * El Número de TRANS Femenino no puede superar el Total Hombres. </v>
      </c>
      <c r="CB25" s="2784" t="str">
        <f t="shared" si="3"/>
        <v xml:space="preserve"> * El Número de TRANS Masculino no puede superar el Total Mujeres. </v>
      </c>
      <c r="CC25" s="2784" t="str">
        <f t="shared" si="4"/>
        <v xml:space="preserve"> * El Número de TRANS Femenino no puede superar el Total Hombres. </v>
      </c>
      <c r="CE25" s="1725">
        <f t="shared" si="5"/>
        <v>1</v>
      </c>
      <c r="CF25" s="1725">
        <f t="shared" si="6"/>
        <v>1</v>
      </c>
    </row>
    <row r="26" spans="1:84" x14ac:dyDescent="0.3">
      <c r="A26" s="6239">
        <v>19140613</v>
      </c>
      <c r="B26" s="3261" t="s">
        <v>2956</v>
      </c>
      <c r="C26" s="3721" t="s">
        <v>5292</v>
      </c>
      <c r="D26" s="3481" t="s">
        <v>5293</v>
      </c>
      <c r="E26" s="3484" t="s">
        <v>5294</v>
      </c>
      <c r="F26" s="3477" t="s">
        <v>5295</v>
      </c>
      <c r="G26" s="3478" t="s">
        <v>5296</v>
      </c>
      <c r="H26" s="3629" t="s">
        <v>5297</v>
      </c>
      <c r="I26" s="3476" t="s">
        <v>5298</v>
      </c>
      <c r="J26" s="3478" t="s">
        <v>5299</v>
      </c>
      <c r="K26" s="3511" t="s">
        <v>5300</v>
      </c>
      <c r="L26" s="3511" t="s">
        <v>5301</v>
      </c>
      <c r="M26" s="3559" t="str">
        <f t="shared" si="2"/>
        <v xml:space="preserve"> * El Número de TRANS Masculino no puede superar el Total Mujeres.  * El Número de TRANS Femenino no puede superar el Total Hombres. </v>
      </c>
      <c r="CB26" s="2784" t="str">
        <f t="shared" si="3"/>
        <v xml:space="preserve"> * El Número de TRANS Masculino no puede superar el Total Mujeres. </v>
      </c>
      <c r="CC26" s="2784" t="str">
        <f t="shared" si="4"/>
        <v xml:space="preserve"> * El Número de TRANS Femenino no puede superar el Total Hombres. </v>
      </c>
      <c r="CE26" s="1725">
        <f t="shared" si="5"/>
        <v>1</v>
      </c>
      <c r="CF26" s="1725">
        <f t="shared" si="6"/>
        <v>1</v>
      </c>
    </row>
    <row r="27" spans="1:84" x14ac:dyDescent="0.3">
      <c r="A27" s="6239">
        <v>19140615</v>
      </c>
      <c r="B27" s="3261" t="s">
        <v>2957</v>
      </c>
      <c r="C27" s="3721" t="s">
        <v>5292</v>
      </c>
      <c r="D27" s="3481" t="s">
        <v>5293</v>
      </c>
      <c r="E27" s="3484" t="s">
        <v>5294</v>
      </c>
      <c r="F27" s="3477" t="s">
        <v>5295</v>
      </c>
      <c r="G27" s="3478" t="s">
        <v>5296</v>
      </c>
      <c r="H27" s="3629" t="s">
        <v>5297</v>
      </c>
      <c r="I27" s="3476" t="s">
        <v>5298</v>
      </c>
      <c r="J27" s="3478" t="s">
        <v>5299</v>
      </c>
      <c r="K27" s="3511" t="s">
        <v>5300</v>
      </c>
      <c r="L27" s="3511" t="s">
        <v>5301</v>
      </c>
      <c r="M27" s="3559" t="str">
        <f t="shared" si="2"/>
        <v xml:space="preserve"> * El Número de TRANS Masculino no puede superar el Total Mujeres.  * El Número de TRANS Femenino no puede superar el Total Hombres. </v>
      </c>
      <c r="CB27" s="2784" t="str">
        <f t="shared" si="3"/>
        <v xml:space="preserve"> * El Número de TRANS Masculino no puede superar el Total Mujeres. </v>
      </c>
      <c r="CC27" s="2784" t="str">
        <f t="shared" si="4"/>
        <v xml:space="preserve"> * El Número de TRANS Femenino no puede superar el Total Hombres. </v>
      </c>
      <c r="CE27" s="1725">
        <f t="shared" si="5"/>
        <v>1</v>
      </c>
      <c r="CF27" s="1725">
        <f t="shared" si="6"/>
        <v>1</v>
      </c>
    </row>
    <row r="28" spans="1:84" x14ac:dyDescent="0.3">
      <c r="A28" s="6239">
        <v>19182100</v>
      </c>
      <c r="B28" s="3261" t="s">
        <v>2958</v>
      </c>
      <c r="C28" s="3721" t="s">
        <v>5292</v>
      </c>
      <c r="D28" s="3481" t="s">
        <v>5293</v>
      </c>
      <c r="E28" s="3484" t="s">
        <v>5294</v>
      </c>
      <c r="F28" s="3722" t="s">
        <v>5295</v>
      </c>
      <c r="G28" s="3616" t="s">
        <v>5296</v>
      </c>
      <c r="H28" s="342" t="s">
        <v>5297</v>
      </c>
      <c r="I28" s="2415" t="s">
        <v>5298</v>
      </c>
      <c r="J28" s="3616" t="s">
        <v>5299</v>
      </c>
      <c r="K28" s="3511" t="s">
        <v>5300</v>
      </c>
      <c r="L28" s="3511" t="s">
        <v>5301</v>
      </c>
      <c r="M28" s="3559" t="str">
        <f t="shared" si="2"/>
        <v xml:space="preserve"> * El Número de TRANS Masculino no puede superar el Total Mujeres.  * El Número de TRANS Femenino no puede superar el Total Hombres. </v>
      </c>
      <c r="CB28" s="2784" t="str">
        <f t="shared" si="3"/>
        <v xml:space="preserve"> * El Número de TRANS Masculino no puede superar el Total Mujeres. </v>
      </c>
      <c r="CC28" s="2784" t="str">
        <f t="shared" si="4"/>
        <v xml:space="preserve"> * El Número de TRANS Femenino no puede superar el Total Hombres. </v>
      </c>
      <c r="CE28" s="1725">
        <f t="shared" si="5"/>
        <v>1</v>
      </c>
      <c r="CF28" s="1725">
        <f t="shared" si="6"/>
        <v>1</v>
      </c>
    </row>
    <row r="29" spans="1:84" x14ac:dyDescent="0.3">
      <c r="A29" s="6239">
        <v>19182110</v>
      </c>
      <c r="B29" s="3004" t="s">
        <v>2959</v>
      </c>
      <c r="C29" s="1977" t="s">
        <v>5292</v>
      </c>
      <c r="D29" s="3492" t="s">
        <v>5293</v>
      </c>
      <c r="E29" s="3493" t="s">
        <v>5294</v>
      </c>
      <c r="F29" s="3524" t="s">
        <v>5295</v>
      </c>
      <c r="G29" s="3624" t="s">
        <v>5296</v>
      </c>
      <c r="H29" s="3723" t="s">
        <v>5297</v>
      </c>
      <c r="I29" s="3525" t="s">
        <v>5298</v>
      </c>
      <c r="J29" s="3624" t="s">
        <v>5299</v>
      </c>
      <c r="K29" s="3724" t="s">
        <v>5300</v>
      </c>
      <c r="L29" s="3724" t="s">
        <v>5301</v>
      </c>
      <c r="M29" s="3559" t="str">
        <f t="shared" si="2"/>
        <v xml:space="preserve"> * El Número de TRANS Masculino no puede superar el Total Mujeres.  * El Número de TRANS Femenino no puede superar el Total Hombres. </v>
      </c>
      <c r="CB29" s="2784" t="str">
        <f t="shared" si="3"/>
        <v xml:space="preserve"> * El Número de TRANS Masculino no puede superar el Total Mujeres. </v>
      </c>
      <c r="CC29" s="2784" t="str">
        <f t="shared" si="4"/>
        <v xml:space="preserve"> * El Número de TRANS Femenino no puede superar el Total Hombres. </v>
      </c>
      <c r="CE29" s="1725">
        <f t="shared" si="5"/>
        <v>1</v>
      </c>
      <c r="CF29" s="1725">
        <f t="shared" si="6"/>
        <v>1</v>
      </c>
    </row>
    <row r="30" spans="1:84" ht="18" customHeight="1" x14ac:dyDescent="0.3">
      <c r="B30" s="7675" t="s">
        <v>2960</v>
      </c>
      <c r="C30" s="7675"/>
      <c r="D30" s="7675"/>
      <c r="E30" s="7675"/>
      <c r="F30" s="7675"/>
      <c r="G30" s="7675"/>
      <c r="H30" s="7675"/>
      <c r="I30" s="7675"/>
      <c r="J30" s="7675"/>
      <c r="K30" s="7675"/>
      <c r="L30" s="7675"/>
      <c r="M30" s="7675"/>
      <c r="N30" s="7675"/>
      <c r="O30" s="7675"/>
    </row>
    <row r="31" spans="1:84" x14ac:dyDescent="0.3">
      <c r="B31" s="6340" t="s">
        <v>2961</v>
      </c>
      <c r="C31" s="6342"/>
      <c r="D31" s="6358" t="s">
        <v>2962</v>
      </c>
      <c r="E31" s="6359"/>
      <c r="F31" s="6359"/>
      <c r="G31" s="6359"/>
      <c r="H31" s="6335"/>
      <c r="I31" s="6358" t="s">
        <v>2963</v>
      </c>
      <c r="J31" s="6359"/>
      <c r="K31" s="6359"/>
      <c r="L31" s="6360"/>
      <c r="M31" s="6359" t="s">
        <v>2964</v>
      </c>
      <c r="N31" s="7687"/>
      <c r="O31" s="7688"/>
    </row>
    <row r="32" spans="1:84" ht="51" x14ac:dyDescent="0.3">
      <c r="B32" s="6459"/>
      <c r="C32" s="6460"/>
      <c r="D32" s="5587" t="s">
        <v>2965</v>
      </c>
      <c r="E32" s="5588" t="s">
        <v>2966</v>
      </c>
      <c r="F32" s="5588" t="s">
        <v>2967</v>
      </c>
      <c r="G32" s="5589" t="s">
        <v>2968</v>
      </c>
      <c r="H32" s="5590" t="s">
        <v>3796</v>
      </c>
      <c r="I32" s="5591" t="s">
        <v>2969</v>
      </c>
      <c r="J32" s="5592" t="s">
        <v>2970</v>
      </c>
      <c r="K32" s="5589" t="s">
        <v>2971</v>
      </c>
      <c r="L32" s="5593" t="s">
        <v>3797</v>
      </c>
      <c r="M32" s="5585" t="s">
        <v>2881</v>
      </c>
      <c r="N32" s="2615" t="s">
        <v>3794</v>
      </c>
      <c r="O32" s="3725" t="s">
        <v>3795</v>
      </c>
    </row>
    <row r="33" spans="1:15" x14ac:dyDescent="0.3">
      <c r="A33" s="6234">
        <v>19150600</v>
      </c>
      <c r="B33" s="7683" t="s">
        <v>2972</v>
      </c>
      <c r="C33" s="7684"/>
      <c r="D33" s="5594" t="s">
        <v>5292</v>
      </c>
      <c r="E33" s="5168" t="s">
        <v>5293</v>
      </c>
      <c r="F33" s="5168" t="s">
        <v>5294</v>
      </c>
      <c r="G33" s="5168" t="s">
        <v>5295</v>
      </c>
      <c r="H33" s="5595" t="s">
        <v>5296</v>
      </c>
      <c r="I33" s="5201" t="s">
        <v>5297</v>
      </c>
      <c r="J33" s="5168" t="s">
        <v>5298</v>
      </c>
      <c r="K33" s="5168" t="s">
        <v>5299</v>
      </c>
      <c r="L33" s="5570" t="s">
        <v>5300</v>
      </c>
      <c r="M33" s="5141" t="s">
        <v>5301</v>
      </c>
      <c r="N33" s="3727" t="s">
        <v>5302</v>
      </c>
      <c r="O33" s="3728" t="s">
        <v>5303</v>
      </c>
    </row>
    <row r="34" spans="1:15" x14ac:dyDescent="0.3">
      <c r="A34" s="6234">
        <v>19140616</v>
      </c>
      <c r="B34" s="6588" t="s">
        <v>2911</v>
      </c>
      <c r="C34" s="6589"/>
      <c r="D34" s="5038" t="s">
        <v>5292</v>
      </c>
      <c r="E34" s="3480" t="s">
        <v>5293</v>
      </c>
      <c r="F34" s="3480" t="s">
        <v>5294</v>
      </c>
      <c r="G34" s="3480" t="s">
        <v>5295</v>
      </c>
      <c r="H34" s="3484" t="s">
        <v>5296</v>
      </c>
      <c r="I34" s="3479" t="s">
        <v>5297</v>
      </c>
      <c r="J34" s="3480" t="s">
        <v>5298</v>
      </c>
      <c r="K34" s="3480" t="s">
        <v>5299</v>
      </c>
      <c r="L34" s="3482" t="s">
        <v>5300</v>
      </c>
      <c r="M34" s="3242" t="s">
        <v>5301</v>
      </c>
      <c r="N34" s="3481" t="s">
        <v>5302</v>
      </c>
      <c r="O34" s="3511" t="s">
        <v>5303</v>
      </c>
    </row>
    <row r="35" spans="1:15" x14ac:dyDescent="0.3">
      <c r="A35" s="6234">
        <v>19140617</v>
      </c>
      <c r="B35" s="6588" t="s">
        <v>2973</v>
      </c>
      <c r="C35" s="6589"/>
      <c r="D35" s="5038" t="s">
        <v>5292</v>
      </c>
      <c r="E35" s="3480" t="s">
        <v>5293</v>
      </c>
      <c r="F35" s="3480" t="s">
        <v>5294</v>
      </c>
      <c r="G35" s="3480" t="s">
        <v>5295</v>
      </c>
      <c r="H35" s="3484" t="s">
        <v>5296</v>
      </c>
      <c r="I35" s="3479" t="s">
        <v>5297</v>
      </c>
      <c r="J35" s="3480" t="s">
        <v>5298</v>
      </c>
      <c r="K35" s="3480" t="s">
        <v>5299</v>
      </c>
      <c r="L35" s="3482" t="s">
        <v>5300</v>
      </c>
      <c r="M35" s="3242" t="s">
        <v>5301</v>
      </c>
      <c r="N35" s="3481" t="s">
        <v>5302</v>
      </c>
      <c r="O35" s="3511" t="s">
        <v>5303</v>
      </c>
    </row>
    <row r="36" spans="1:15" x14ac:dyDescent="0.3">
      <c r="A36" s="6234">
        <v>19140618</v>
      </c>
      <c r="B36" s="6588" t="s">
        <v>2974</v>
      </c>
      <c r="C36" s="6589"/>
      <c r="D36" s="5038" t="s">
        <v>5292</v>
      </c>
      <c r="E36" s="3480" t="s">
        <v>5293</v>
      </c>
      <c r="F36" s="3480" t="s">
        <v>5294</v>
      </c>
      <c r="G36" s="3480" t="s">
        <v>5295</v>
      </c>
      <c r="H36" s="3484" t="s">
        <v>5296</v>
      </c>
      <c r="I36" s="3479" t="s">
        <v>5297</v>
      </c>
      <c r="J36" s="3480" t="s">
        <v>5298</v>
      </c>
      <c r="K36" s="3480" t="s">
        <v>5299</v>
      </c>
      <c r="L36" s="3482" t="s">
        <v>5300</v>
      </c>
      <c r="M36" s="3242" t="s">
        <v>5301</v>
      </c>
      <c r="N36" s="3481" t="s">
        <v>5302</v>
      </c>
      <c r="O36" s="3511" t="s">
        <v>5303</v>
      </c>
    </row>
    <row r="37" spans="1:15" x14ac:dyDescent="0.3">
      <c r="A37" s="6234">
        <v>19150700</v>
      </c>
      <c r="B37" s="6588" t="s">
        <v>2975</v>
      </c>
      <c r="C37" s="6589"/>
      <c r="D37" s="5038" t="s">
        <v>5292</v>
      </c>
      <c r="E37" s="3480" t="s">
        <v>5293</v>
      </c>
      <c r="F37" s="3480" t="s">
        <v>5294</v>
      </c>
      <c r="G37" s="3480" t="s">
        <v>5295</v>
      </c>
      <c r="H37" s="3484" t="s">
        <v>5296</v>
      </c>
      <c r="I37" s="3479" t="s">
        <v>5297</v>
      </c>
      <c r="J37" s="3480" t="s">
        <v>5298</v>
      </c>
      <c r="K37" s="3480" t="s">
        <v>5299</v>
      </c>
      <c r="L37" s="3482" t="s">
        <v>5300</v>
      </c>
      <c r="M37" s="3629" t="s">
        <v>5301</v>
      </c>
      <c r="N37" s="3477" t="s">
        <v>5302</v>
      </c>
      <c r="O37" s="3629" t="s">
        <v>5303</v>
      </c>
    </row>
    <row r="38" spans="1:15" x14ac:dyDescent="0.3">
      <c r="A38" s="6234">
        <v>19140620</v>
      </c>
      <c r="B38" s="6588" t="s">
        <v>2976</v>
      </c>
      <c r="C38" s="6589"/>
      <c r="D38" s="5038" t="s">
        <v>5292</v>
      </c>
      <c r="E38" s="3480" t="s">
        <v>5293</v>
      </c>
      <c r="F38" s="3480" t="s">
        <v>5294</v>
      </c>
      <c r="G38" s="3480" t="s">
        <v>5295</v>
      </c>
      <c r="H38" s="3484" t="s">
        <v>5296</v>
      </c>
      <c r="I38" s="3479" t="s">
        <v>5297</v>
      </c>
      <c r="J38" s="3480" t="s">
        <v>5298</v>
      </c>
      <c r="K38" s="3480" t="s">
        <v>5299</v>
      </c>
      <c r="L38" s="3482" t="s">
        <v>5300</v>
      </c>
      <c r="M38" s="3629" t="s">
        <v>5301</v>
      </c>
      <c r="N38" s="3477" t="s">
        <v>5302</v>
      </c>
      <c r="O38" s="3629" t="s">
        <v>5303</v>
      </c>
    </row>
    <row r="39" spans="1:15" x14ac:dyDescent="0.3">
      <c r="A39" s="6234">
        <v>19150860</v>
      </c>
      <c r="B39" s="6588" t="s">
        <v>2977</v>
      </c>
      <c r="C39" s="6589"/>
      <c r="D39" s="5038" t="s">
        <v>5292</v>
      </c>
      <c r="E39" s="3480" t="s">
        <v>5293</v>
      </c>
      <c r="F39" s="3480" t="s">
        <v>5294</v>
      </c>
      <c r="G39" s="3480" t="s">
        <v>5295</v>
      </c>
      <c r="H39" s="3484" t="s">
        <v>5296</v>
      </c>
      <c r="I39" s="3479" t="s">
        <v>5297</v>
      </c>
      <c r="J39" s="3480" t="s">
        <v>5298</v>
      </c>
      <c r="K39" s="3480" t="s">
        <v>5299</v>
      </c>
      <c r="L39" s="3482" t="s">
        <v>5300</v>
      </c>
      <c r="M39" s="3511" t="s">
        <v>5301</v>
      </c>
      <c r="N39" s="3477" t="s">
        <v>5302</v>
      </c>
      <c r="O39" s="3629" t="s">
        <v>5303</v>
      </c>
    </row>
    <row r="40" spans="1:15" x14ac:dyDescent="0.3">
      <c r="A40" s="6234">
        <v>19140621</v>
      </c>
      <c r="B40" s="6588" t="s">
        <v>2978</v>
      </c>
      <c r="C40" s="6589"/>
      <c r="D40" s="5038" t="s">
        <v>5292</v>
      </c>
      <c r="E40" s="3480" t="s">
        <v>5293</v>
      </c>
      <c r="F40" s="3480" t="s">
        <v>5294</v>
      </c>
      <c r="G40" s="3480" t="s">
        <v>5295</v>
      </c>
      <c r="H40" s="3484" t="s">
        <v>5296</v>
      </c>
      <c r="I40" s="3479" t="s">
        <v>5297</v>
      </c>
      <c r="J40" s="3480" t="s">
        <v>5298</v>
      </c>
      <c r="K40" s="3480" t="s">
        <v>5299</v>
      </c>
      <c r="L40" s="3482" t="s">
        <v>5300</v>
      </c>
      <c r="M40" s="3511" t="s">
        <v>5301</v>
      </c>
      <c r="N40" s="3477" t="s">
        <v>5302</v>
      </c>
      <c r="O40" s="3629" t="s">
        <v>5303</v>
      </c>
    </row>
    <row r="41" spans="1:15" x14ac:dyDescent="0.3">
      <c r="A41" s="6234">
        <v>19140622</v>
      </c>
      <c r="B41" s="6588" t="s">
        <v>2979</v>
      </c>
      <c r="C41" s="6589"/>
      <c r="D41" s="5038" t="s">
        <v>5292</v>
      </c>
      <c r="E41" s="3480" t="s">
        <v>5293</v>
      </c>
      <c r="F41" s="3480" t="s">
        <v>5294</v>
      </c>
      <c r="G41" s="3480" t="s">
        <v>5295</v>
      </c>
      <c r="H41" s="3484" t="s">
        <v>5296</v>
      </c>
      <c r="I41" s="3479" t="s">
        <v>5297</v>
      </c>
      <c r="J41" s="3480" t="s">
        <v>5298</v>
      </c>
      <c r="K41" s="3480" t="s">
        <v>5299</v>
      </c>
      <c r="L41" s="3482" t="s">
        <v>5300</v>
      </c>
      <c r="M41" s="3242" t="s">
        <v>5301</v>
      </c>
      <c r="N41" s="3481" t="s">
        <v>5302</v>
      </c>
      <c r="O41" s="3511" t="s">
        <v>5303</v>
      </c>
    </row>
    <row r="42" spans="1:15" x14ac:dyDescent="0.3">
      <c r="A42" s="6234">
        <v>19140623</v>
      </c>
      <c r="B42" s="6588" t="s">
        <v>2980</v>
      </c>
      <c r="C42" s="6589"/>
      <c r="D42" s="410" t="s">
        <v>5292</v>
      </c>
      <c r="E42" s="3518" t="s">
        <v>5293</v>
      </c>
      <c r="F42" s="3518" t="s">
        <v>5294</v>
      </c>
      <c r="G42" s="3518" t="s">
        <v>5295</v>
      </c>
      <c r="H42" s="412" t="s">
        <v>5296</v>
      </c>
      <c r="I42" s="414" t="s">
        <v>5297</v>
      </c>
      <c r="J42" s="3518" t="s">
        <v>5298</v>
      </c>
      <c r="K42" s="3518" t="s">
        <v>5299</v>
      </c>
      <c r="L42" s="630" t="s">
        <v>5300</v>
      </c>
      <c r="M42" s="3615" t="s">
        <v>5301</v>
      </c>
      <c r="N42" s="3614" t="s">
        <v>5302</v>
      </c>
      <c r="O42" s="3615" t="s">
        <v>5303</v>
      </c>
    </row>
    <row r="43" spans="1:15" x14ac:dyDescent="0.3">
      <c r="A43" s="6234">
        <v>19181100</v>
      </c>
      <c r="B43" s="7458" t="s">
        <v>2981</v>
      </c>
      <c r="C43" s="7691"/>
      <c r="D43" s="410" t="s">
        <v>5292</v>
      </c>
      <c r="E43" s="3518" t="s">
        <v>5293</v>
      </c>
      <c r="F43" s="3518" t="s">
        <v>5294</v>
      </c>
      <c r="G43" s="3518" t="s">
        <v>5295</v>
      </c>
      <c r="H43" s="412" t="s">
        <v>5296</v>
      </c>
      <c r="I43" s="3630" t="s">
        <v>5297</v>
      </c>
      <c r="J43" s="414" t="s">
        <v>5298</v>
      </c>
      <c r="K43" s="3518" t="s">
        <v>5299</v>
      </c>
      <c r="L43" s="630" t="s">
        <v>5300</v>
      </c>
      <c r="M43" s="3242" t="s">
        <v>5301</v>
      </c>
      <c r="N43" s="410" t="s">
        <v>5302</v>
      </c>
      <c r="O43" s="411" t="s">
        <v>5303</v>
      </c>
    </row>
    <row r="44" spans="1:15" x14ac:dyDescent="0.3">
      <c r="A44" s="6242"/>
      <c r="B44" s="7692" t="s">
        <v>571</v>
      </c>
      <c r="C44" s="7693"/>
      <c r="D44" s="5596">
        <v>0</v>
      </c>
      <c r="E44" s="5597">
        <v>0</v>
      </c>
      <c r="F44" s="5597">
        <v>0</v>
      </c>
      <c r="G44" s="5597">
        <v>0</v>
      </c>
      <c r="H44" s="5598">
        <v>0</v>
      </c>
      <c r="I44" s="5599">
        <v>0</v>
      </c>
      <c r="J44" s="5597">
        <v>0</v>
      </c>
      <c r="K44" s="5597">
        <v>0</v>
      </c>
      <c r="L44" s="5600">
        <v>0</v>
      </c>
      <c r="M44" s="5586" t="e">
        <v>#VALUE!</v>
      </c>
      <c r="N44" s="1993" t="e">
        <v>#VALUE!</v>
      </c>
      <c r="O44" s="3729" t="e">
        <v>#VALUE!</v>
      </c>
    </row>
    <row r="45" spans="1:15" x14ac:dyDescent="0.3">
      <c r="A45" s="6234">
        <v>19180300</v>
      </c>
      <c r="B45" s="7689" t="s">
        <v>2982</v>
      </c>
      <c r="C45" s="7690"/>
      <c r="D45" s="5601" t="s">
        <v>5292</v>
      </c>
      <c r="E45" s="5602" t="s">
        <v>5293</v>
      </c>
      <c r="F45" s="5602" t="s">
        <v>5294</v>
      </c>
      <c r="G45" s="5602" t="s">
        <v>5295</v>
      </c>
      <c r="H45" s="5603" t="s">
        <v>5296</v>
      </c>
      <c r="I45" s="5604" t="s">
        <v>5297</v>
      </c>
      <c r="J45" s="5602" t="s">
        <v>5298</v>
      </c>
      <c r="K45" s="5602" t="s">
        <v>5299</v>
      </c>
      <c r="L45" s="5605" t="s">
        <v>5300</v>
      </c>
      <c r="M45" s="5586" t="s">
        <v>5301</v>
      </c>
      <c r="N45" s="3730" t="s">
        <v>5302</v>
      </c>
      <c r="O45" s="3731" t="s">
        <v>5303</v>
      </c>
    </row>
    <row r="90" spans="2:3" hidden="1" x14ac:dyDescent="0.3">
      <c r="B90" s="4463" t="e">
        <f>SUM(C11:L11,C12:C29,D44:L44,M33:M45,N44:O44)</f>
        <v>#VALUE!</v>
      </c>
      <c r="C90" s="4437">
        <f>SUM(CE12:CG29)</f>
        <v>36</v>
      </c>
    </row>
  </sheetData>
  <mergeCells count="26">
    <mergeCell ref="B45:C45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33:C33"/>
    <mergeCell ref="B6:O6"/>
    <mergeCell ref="B8:L8"/>
    <mergeCell ref="B9:B10"/>
    <mergeCell ref="C9:E9"/>
    <mergeCell ref="F9:G9"/>
    <mergeCell ref="H9:H10"/>
    <mergeCell ref="I9:J9"/>
    <mergeCell ref="K9:L9"/>
    <mergeCell ref="B30:O30"/>
    <mergeCell ref="B31:C32"/>
    <mergeCell ref="D31:H31"/>
    <mergeCell ref="I31:L31"/>
    <mergeCell ref="M31:O31"/>
  </mergeCells>
  <dataValidations count="2">
    <dataValidation type="whole" operator="greaterThanOrEqual" allowBlank="1" showInputMessage="1" showErrorMessage="1" sqref="D12:L29 D33:O43 D45:O45" xr:uid="{00000000-0002-0000-0D00-000000000000}">
      <formula1>0</formula1>
    </dataValidation>
    <dataValidation allowBlank="1" showInputMessage="1" showErrorMessage="1" errorTitle="Error" error="Por favor ingrese números enteros" sqref="A12:A29 A33:A43 A45" xr:uid="{AC876915-E077-47C1-8AE0-C8CC2B10355E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I201"/>
  <sheetViews>
    <sheetView showGridLines="0" workbookViewId="0"/>
  </sheetViews>
  <sheetFormatPr baseColWidth="10" defaultColWidth="11.44140625" defaultRowHeight="14.4" x14ac:dyDescent="0.3"/>
  <cols>
    <col min="1" max="1" width="14.109375" customWidth="1"/>
    <col min="2" max="2" width="75.44140625" customWidth="1"/>
    <col min="3" max="3" width="16.5546875" customWidth="1"/>
    <col min="4" max="5" width="16.6640625" customWidth="1"/>
    <col min="6" max="6" width="16.5546875" customWidth="1"/>
    <col min="7" max="7" width="15.109375" customWidth="1"/>
    <col min="8" max="8" width="15.88671875" customWidth="1"/>
    <col min="9" max="9" width="18.44140625" customWidth="1"/>
    <col min="10" max="10" width="14.88671875" customWidth="1"/>
    <col min="11" max="11" width="13.44140625" customWidth="1"/>
    <col min="12" max="12" width="14.33203125" customWidth="1"/>
    <col min="14" max="14" width="13" customWidth="1"/>
    <col min="15" max="15" width="10" customWidth="1"/>
    <col min="28" max="28" width="14.109375" customWidth="1"/>
    <col min="29" max="29" width="15.6640625" customWidth="1"/>
    <col min="31" max="31" width="12.33203125" customWidth="1"/>
    <col min="32" max="32" width="13.5546875" customWidth="1"/>
    <col min="41" max="41" width="11.44140625" customWidth="1"/>
    <col min="42" max="48" width="11.44140625" hidden="1" customWidth="1"/>
    <col min="49" max="49" width="11.44140625" customWidth="1"/>
    <col min="85" max="85" width="11.6640625" customWidth="1"/>
    <col min="86" max="86" width="12.33203125" customWidth="1"/>
    <col min="87" max="113" width="11.44140625" customWidth="1"/>
  </cols>
  <sheetData>
    <row r="1" spans="1:113" x14ac:dyDescent="0.3">
      <c r="B1" s="774" t="s">
        <v>3879</v>
      </c>
      <c r="F1" t="s">
        <v>435</v>
      </c>
      <c r="L1" t="s">
        <v>434</v>
      </c>
    </row>
    <row r="2" spans="1:113" x14ac:dyDescent="0.3">
      <c r="B2" s="774" t="str">
        <f>CONCATENATE("COMUNA: ",NOMBRE!B2," - ","( ",NOMBRE!C2,NOMBRE!D2,NOMBRE!E2,NOMBRE!F2,NOMBRE!G2," )")</f>
        <v>COMUNA:  - (  )</v>
      </c>
    </row>
    <row r="3" spans="1:113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13" x14ac:dyDescent="0.3">
      <c r="B4" s="774" t="str">
        <f>CONCATENATE("MES: ",NOMBRE!B6," - ","( ",NOMBRE!C6,NOMBRE!D6," )")</f>
        <v>MES:  - (  )</v>
      </c>
    </row>
    <row r="5" spans="1:113" x14ac:dyDescent="0.3">
      <c r="B5" s="774" t="str">
        <f>CONCATENATE("AÑO: ",NOMBRE!B7)</f>
        <v>AÑO: 2024</v>
      </c>
    </row>
    <row r="6" spans="1:113" s="103" customFormat="1" ht="18" customHeight="1" x14ac:dyDescent="0.3">
      <c r="B6" s="7731" t="s">
        <v>420</v>
      </c>
      <c r="C6" s="7731"/>
      <c r="D6" s="7731"/>
      <c r="E6" s="7731"/>
      <c r="F6" s="7731"/>
      <c r="G6" s="7731"/>
      <c r="H6" s="7731"/>
      <c r="I6" s="7731"/>
      <c r="J6" s="7731"/>
      <c r="K6" s="7731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F6" s="419"/>
      <c r="AP6" s="777"/>
      <c r="AQ6" s="777"/>
      <c r="AR6" s="777"/>
      <c r="AS6" s="777"/>
      <c r="AT6" s="777"/>
      <c r="AU6" s="777"/>
      <c r="AV6" s="777"/>
      <c r="CF6" s="104"/>
      <c r="CG6" s="420"/>
      <c r="CH6" s="420"/>
      <c r="CI6" s="2572"/>
      <c r="CJ6" s="2572"/>
      <c r="CK6" s="2572"/>
      <c r="CL6" s="2572"/>
      <c r="CM6" s="2572"/>
      <c r="CN6" s="2572"/>
      <c r="CO6" s="2572"/>
      <c r="CP6" s="2572"/>
      <c r="CQ6" s="2572"/>
      <c r="CR6" s="2572"/>
      <c r="CS6" s="2572"/>
      <c r="CT6" s="2572"/>
      <c r="CU6" s="2572"/>
      <c r="CV6" s="2572"/>
      <c r="CW6" s="2572"/>
      <c r="CX6" s="2572"/>
      <c r="CY6" s="2572"/>
      <c r="CZ6" s="2572"/>
      <c r="DA6" s="2572"/>
      <c r="DB6" s="2572"/>
      <c r="DC6" s="2572"/>
      <c r="DD6" s="2572"/>
      <c r="DE6" s="2572"/>
      <c r="DF6" s="2572"/>
      <c r="DG6" s="2572"/>
      <c r="DH6" s="2572"/>
      <c r="DI6" s="777"/>
    </row>
    <row r="8" spans="1:113" s="17" customFormat="1" ht="18" customHeight="1" x14ac:dyDescent="0.25">
      <c r="B8" s="426" t="s">
        <v>421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</row>
    <row r="9" spans="1:113" x14ac:dyDescent="0.3">
      <c r="A9" s="6236"/>
      <c r="B9" s="7732" t="s">
        <v>422</v>
      </c>
      <c r="C9" s="7734" t="s">
        <v>538</v>
      </c>
      <c r="D9" s="7441" t="s">
        <v>539</v>
      </c>
      <c r="E9" s="7441" t="s">
        <v>540</v>
      </c>
      <c r="F9" s="7441" t="s">
        <v>541</v>
      </c>
      <c r="G9" s="7354" t="s">
        <v>542</v>
      </c>
      <c r="H9" s="7739" t="s">
        <v>423</v>
      </c>
      <c r="I9" s="7740"/>
      <c r="J9" s="7740"/>
      <c r="K9" s="7740"/>
      <c r="L9" s="7740"/>
      <c r="M9" s="7740"/>
      <c r="N9" s="7740"/>
      <c r="O9" s="7740"/>
      <c r="P9" s="7740"/>
      <c r="Q9" s="7740"/>
      <c r="R9" s="7740"/>
      <c r="S9" s="7740"/>
      <c r="T9" s="7740"/>
      <c r="U9" s="7740"/>
      <c r="V9" s="7740"/>
      <c r="W9" s="7740"/>
      <c r="X9" s="7740"/>
      <c r="Y9" s="7740"/>
      <c r="Z9" s="7741"/>
      <c r="AA9" s="7742" t="s">
        <v>3774</v>
      </c>
      <c r="AB9" s="7742"/>
      <c r="AC9" s="7742"/>
      <c r="AD9" s="7742"/>
      <c r="AE9" s="7742"/>
      <c r="AF9" s="7743"/>
    </row>
    <row r="10" spans="1:113" x14ac:dyDescent="0.3">
      <c r="A10" s="6236"/>
      <c r="B10" s="7732"/>
      <c r="C10" s="7735"/>
      <c r="D10" s="7442"/>
      <c r="E10" s="7442"/>
      <c r="F10" s="7442"/>
      <c r="G10" s="7356"/>
      <c r="H10" s="7353" t="s">
        <v>532</v>
      </c>
      <c r="I10" s="7432"/>
      <c r="J10" s="7432"/>
      <c r="K10" s="7354"/>
      <c r="L10" s="7353" t="s">
        <v>533</v>
      </c>
      <c r="M10" s="7432"/>
      <c r="N10" s="7432"/>
      <c r="O10" s="7432"/>
      <c r="P10" s="7354"/>
      <c r="Q10" s="7353" t="s">
        <v>534</v>
      </c>
      <c r="R10" s="7432"/>
      <c r="S10" s="7432"/>
      <c r="T10" s="7432"/>
      <c r="U10" s="7354"/>
      <c r="V10" s="7353" t="s">
        <v>535</v>
      </c>
      <c r="W10" s="7432"/>
      <c r="X10" s="7432"/>
      <c r="Y10" s="7432"/>
      <c r="Z10" s="7746"/>
      <c r="AA10" s="7432" t="s">
        <v>536</v>
      </c>
      <c r="AB10" s="7432"/>
      <c r="AC10" s="7354"/>
      <c r="AD10" s="7353" t="s">
        <v>537</v>
      </c>
      <c r="AE10" s="7432"/>
      <c r="AF10" s="7354"/>
    </row>
    <row r="11" spans="1:113" x14ac:dyDescent="0.3">
      <c r="A11" s="6236"/>
      <c r="B11" s="7732"/>
      <c r="C11" s="7735"/>
      <c r="D11" s="7442"/>
      <c r="E11" s="7442"/>
      <c r="F11" s="7442"/>
      <c r="G11" s="7356"/>
      <c r="H11" s="7744"/>
      <c r="I11" s="7745"/>
      <c r="J11" s="7745"/>
      <c r="K11" s="7738"/>
      <c r="L11" s="7744"/>
      <c r="M11" s="7745"/>
      <c r="N11" s="7745"/>
      <c r="O11" s="7745"/>
      <c r="P11" s="7738"/>
      <c r="Q11" s="7744"/>
      <c r="R11" s="7745"/>
      <c r="S11" s="7745"/>
      <c r="T11" s="7745"/>
      <c r="U11" s="7738"/>
      <c r="V11" s="7744"/>
      <c r="W11" s="7745"/>
      <c r="X11" s="7745"/>
      <c r="Y11" s="7745"/>
      <c r="Z11" s="7747"/>
      <c r="AA11" s="7745"/>
      <c r="AB11" s="7745"/>
      <c r="AC11" s="7738"/>
      <c r="AD11" s="7744"/>
      <c r="AE11" s="7745"/>
      <c r="AF11" s="7738"/>
    </row>
    <row r="12" spans="1:113" ht="20.399999999999999" x14ac:dyDescent="0.3">
      <c r="A12" s="6236"/>
      <c r="B12" s="7733"/>
      <c r="C12" s="7736"/>
      <c r="D12" s="7737"/>
      <c r="E12" s="7737"/>
      <c r="F12" s="7737"/>
      <c r="G12" s="7738"/>
      <c r="H12" s="421" t="s">
        <v>50</v>
      </c>
      <c r="I12" s="422" t="s">
        <v>424</v>
      </c>
      <c r="J12" s="422" t="s">
        <v>425</v>
      </c>
      <c r="K12" s="423" t="s">
        <v>28</v>
      </c>
      <c r="L12" s="421" t="s">
        <v>50</v>
      </c>
      <c r="M12" s="422" t="s">
        <v>424</v>
      </c>
      <c r="N12" s="422" t="s">
        <v>425</v>
      </c>
      <c r="O12" s="422" t="s">
        <v>28</v>
      </c>
      <c r="P12" s="423" t="s">
        <v>426</v>
      </c>
      <c r="Q12" s="421" t="s">
        <v>50</v>
      </c>
      <c r="R12" s="422" t="s">
        <v>424</v>
      </c>
      <c r="S12" s="422" t="s">
        <v>425</v>
      </c>
      <c r="T12" s="422" t="s">
        <v>28</v>
      </c>
      <c r="U12" s="423" t="s">
        <v>426</v>
      </c>
      <c r="V12" s="421" t="s">
        <v>50</v>
      </c>
      <c r="W12" s="422" t="s">
        <v>424</v>
      </c>
      <c r="X12" s="422" t="s">
        <v>425</v>
      </c>
      <c r="Y12" s="422" t="s">
        <v>28</v>
      </c>
      <c r="Z12" s="424" t="s">
        <v>426</v>
      </c>
      <c r="AA12" s="421" t="s">
        <v>50</v>
      </c>
      <c r="AB12" s="422" t="s">
        <v>427</v>
      </c>
      <c r="AC12" s="425" t="s">
        <v>428</v>
      </c>
      <c r="AD12" s="421" t="s">
        <v>50</v>
      </c>
      <c r="AE12" s="422" t="s">
        <v>427</v>
      </c>
      <c r="AF12" s="425" t="s">
        <v>428</v>
      </c>
    </row>
    <row r="13" spans="1:113" x14ac:dyDescent="0.3">
      <c r="A13" s="6280"/>
      <c r="B13" s="367" t="s">
        <v>429</v>
      </c>
      <c r="C13" s="5800">
        <f t="shared" ref="C13:AF13" si="0">SUM(C14:C17)</f>
        <v>0</v>
      </c>
      <c r="D13" s="5801">
        <f t="shared" si="0"/>
        <v>0</v>
      </c>
      <c r="E13" s="5802">
        <f t="shared" si="0"/>
        <v>0</v>
      </c>
      <c r="F13" s="5802">
        <f t="shared" si="0"/>
        <v>0</v>
      </c>
      <c r="G13" s="5803">
        <f t="shared" si="0"/>
        <v>0</v>
      </c>
      <c r="H13" s="5804">
        <f t="shared" si="0"/>
        <v>0</v>
      </c>
      <c r="I13" s="5802">
        <f t="shared" si="0"/>
        <v>0</v>
      </c>
      <c r="J13" s="5802">
        <f t="shared" si="0"/>
        <v>0</v>
      </c>
      <c r="K13" s="5803">
        <f t="shared" si="0"/>
        <v>0</v>
      </c>
      <c r="L13" s="5804">
        <f t="shared" si="0"/>
        <v>0</v>
      </c>
      <c r="M13" s="5802">
        <f t="shared" si="0"/>
        <v>0</v>
      </c>
      <c r="N13" s="5802">
        <f t="shared" si="0"/>
        <v>0</v>
      </c>
      <c r="O13" s="5802">
        <f t="shared" si="0"/>
        <v>0</v>
      </c>
      <c r="P13" s="5803">
        <f t="shared" si="0"/>
        <v>0</v>
      </c>
      <c r="Q13" s="5804">
        <f t="shared" si="0"/>
        <v>0</v>
      </c>
      <c r="R13" s="5802">
        <f t="shared" si="0"/>
        <v>0</v>
      </c>
      <c r="S13" s="5802">
        <f t="shared" si="0"/>
        <v>0</v>
      </c>
      <c r="T13" s="5802">
        <f t="shared" si="0"/>
        <v>0</v>
      </c>
      <c r="U13" s="5803">
        <f t="shared" si="0"/>
        <v>0</v>
      </c>
      <c r="V13" s="5804">
        <f t="shared" si="0"/>
        <v>0</v>
      </c>
      <c r="W13" s="5802">
        <f t="shared" si="0"/>
        <v>0</v>
      </c>
      <c r="X13" s="5802">
        <f t="shared" si="0"/>
        <v>0</v>
      </c>
      <c r="Y13" s="5802">
        <f t="shared" si="0"/>
        <v>0</v>
      </c>
      <c r="Z13" s="5805">
        <f t="shared" si="0"/>
        <v>0</v>
      </c>
      <c r="AA13" s="5801">
        <f t="shared" si="0"/>
        <v>0</v>
      </c>
      <c r="AB13" s="5802">
        <f>SUM(AB14:AB17)</f>
        <v>0</v>
      </c>
      <c r="AC13" s="5806">
        <f t="shared" si="0"/>
        <v>0</v>
      </c>
      <c r="AD13" s="5804">
        <f t="shared" si="0"/>
        <v>0</v>
      </c>
      <c r="AE13" s="5802">
        <f t="shared" si="0"/>
        <v>0</v>
      </c>
      <c r="AF13" s="5806">
        <f t="shared" si="0"/>
        <v>0</v>
      </c>
    </row>
    <row r="14" spans="1:113" x14ac:dyDescent="0.3">
      <c r="A14" s="6258">
        <v>21220100</v>
      </c>
      <c r="B14" s="427" t="s">
        <v>430</v>
      </c>
      <c r="C14" s="5767" t="s">
        <v>5292</v>
      </c>
      <c r="D14" s="5768" t="s">
        <v>5293</v>
      </c>
      <c r="E14" s="5768" t="s">
        <v>5294</v>
      </c>
      <c r="F14" s="5768" t="s">
        <v>5295</v>
      </c>
      <c r="G14" s="5768" t="s">
        <v>5296</v>
      </c>
      <c r="H14" s="5807" t="s">
        <v>5297</v>
      </c>
      <c r="I14" s="5775" t="s">
        <v>5298</v>
      </c>
      <c r="J14" s="5768" t="s">
        <v>5299</v>
      </c>
      <c r="K14" s="5768" t="s">
        <v>5300</v>
      </c>
      <c r="L14" s="5808" t="s">
        <v>5301</v>
      </c>
      <c r="M14" s="5775" t="s">
        <v>5302</v>
      </c>
      <c r="N14" s="5768" t="s">
        <v>5303</v>
      </c>
      <c r="O14" s="5781" t="s">
        <v>5304</v>
      </c>
      <c r="P14" s="5782" t="s">
        <v>5305</v>
      </c>
      <c r="Q14" s="5808" t="s">
        <v>5306</v>
      </c>
      <c r="R14" s="5775" t="s">
        <v>5307</v>
      </c>
      <c r="S14" s="5768" t="s">
        <v>5308</v>
      </c>
      <c r="T14" s="5781" t="s">
        <v>5309</v>
      </c>
      <c r="U14" s="5782" t="s">
        <v>5310</v>
      </c>
      <c r="V14" s="5808" t="s">
        <v>5311</v>
      </c>
      <c r="W14" s="5775" t="s">
        <v>5312</v>
      </c>
      <c r="X14" s="5768" t="s">
        <v>5313</v>
      </c>
      <c r="Y14" s="5781" t="s">
        <v>5314</v>
      </c>
      <c r="Z14" s="5790" t="s">
        <v>5315</v>
      </c>
      <c r="AA14" s="5809" t="s">
        <v>5316</v>
      </c>
      <c r="AB14" s="5768" t="s">
        <v>5317</v>
      </c>
      <c r="AC14" s="5794" t="s">
        <v>5318</v>
      </c>
      <c r="AD14" s="5808" t="s">
        <v>5319</v>
      </c>
      <c r="AE14" s="5768" t="s">
        <v>5320</v>
      </c>
      <c r="AF14" s="5794" t="s">
        <v>5321</v>
      </c>
    </row>
    <row r="15" spans="1:113" x14ac:dyDescent="0.3">
      <c r="A15" s="6258">
        <v>21220200</v>
      </c>
      <c r="B15" s="428" t="s">
        <v>431</v>
      </c>
      <c r="C15" s="5769" t="s">
        <v>5292</v>
      </c>
      <c r="D15" s="5770" t="s">
        <v>5293</v>
      </c>
      <c r="E15" s="5770" t="s">
        <v>5294</v>
      </c>
      <c r="F15" s="5770" t="s">
        <v>5295</v>
      </c>
      <c r="G15" s="5770" t="s">
        <v>5296</v>
      </c>
      <c r="H15" s="5810" t="s">
        <v>5297</v>
      </c>
      <c r="I15" s="5776" t="s">
        <v>5298</v>
      </c>
      <c r="J15" s="5770" t="s">
        <v>5299</v>
      </c>
      <c r="K15" s="5776" t="s">
        <v>5300</v>
      </c>
      <c r="L15" s="5810" t="s">
        <v>5301</v>
      </c>
      <c r="M15" s="5776" t="s">
        <v>5302</v>
      </c>
      <c r="N15" s="5776" t="s">
        <v>5303</v>
      </c>
      <c r="O15" s="5783" t="s">
        <v>5304</v>
      </c>
      <c r="P15" s="5784" t="s">
        <v>5305</v>
      </c>
      <c r="Q15" s="5810" t="s">
        <v>5306</v>
      </c>
      <c r="R15" s="5776" t="s">
        <v>5307</v>
      </c>
      <c r="S15" s="5770" t="s">
        <v>5308</v>
      </c>
      <c r="T15" s="5783" t="s">
        <v>5309</v>
      </c>
      <c r="U15" s="5784" t="s">
        <v>5310</v>
      </c>
      <c r="V15" s="5810" t="s">
        <v>5311</v>
      </c>
      <c r="W15" s="5776" t="s">
        <v>5312</v>
      </c>
      <c r="X15" s="5770" t="s">
        <v>5313</v>
      </c>
      <c r="Y15" s="5783" t="s">
        <v>5314</v>
      </c>
      <c r="Z15" s="5791" t="s">
        <v>5315</v>
      </c>
      <c r="AA15" s="5811" t="s">
        <v>5316</v>
      </c>
      <c r="AB15" s="5770" t="s">
        <v>5317</v>
      </c>
      <c r="AC15" s="5795" t="s">
        <v>5318</v>
      </c>
      <c r="AD15" s="5810" t="s">
        <v>5319</v>
      </c>
      <c r="AE15" s="5770" t="s">
        <v>5320</v>
      </c>
      <c r="AF15" s="5795" t="s">
        <v>5321</v>
      </c>
    </row>
    <row r="16" spans="1:113" x14ac:dyDescent="0.3">
      <c r="A16" s="6258">
        <v>21220700</v>
      </c>
      <c r="B16" s="429" t="s">
        <v>432</v>
      </c>
      <c r="C16" s="5769" t="s">
        <v>5292</v>
      </c>
      <c r="D16" s="5770" t="s">
        <v>5293</v>
      </c>
      <c r="E16" s="5770" t="s">
        <v>5294</v>
      </c>
      <c r="F16" s="5770" t="s">
        <v>5295</v>
      </c>
      <c r="G16" s="5770" t="s">
        <v>5296</v>
      </c>
      <c r="H16" s="5810" t="s">
        <v>5297</v>
      </c>
      <c r="I16" s="5776" t="s">
        <v>5298</v>
      </c>
      <c r="J16" s="5770" t="s">
        <v>5299</v>
      </c>
      <c r="K16" s="5777" t="s">
        <v>5300</v>
      </c>
      <c r="L16" s="5810" t="s">
        <v>5301</v>
      </c>
      <c r="M16" s="5776" t="s">
        <v>5302</v>
      </c>
      <c r="N16" s="5777" t="s">
        <v>5303</v>
      </c>
      <c r="O16" s="5785" t="s">
        <v>5304</v>
      </c>
      <c r="P16" s="5786" t="s">
        <v>5305</v>
      </c>
      <c r="Q16" s="5810" t="s">
        <v>5306</v>
      </c>
      <c r="R16" s="5776" t="s">
        <v>5307</v>
      </c>
      <c r="S16" s="5777" t="s">
        <v>5308</v>
      </c>
      <c r="T16" s="5785" t="s">
        <v>5309</v>
      </c>
      <c r="U16" s="5786" t="s">
        <v>5310</v>
      </c>
      <c r="V16" s="5810" t="s">
        <v>5311</v>
      </c>
      <c r="W16" s="5776" t="s">
        <v>5312</v>
      </c>
      <c r="X16" s="5777" t="s">
        <v>5313</v>
      </c>
      <c r="Y16" s="5785" t="s">
        <v>5314</v>
      </c>
      <c r="Z16" s="5792" t="s">
        <v>5315</v>
      </c>
      <c r="AA16" s="5811" t="s">
        <v>5316</v>
      </c>
      <c r="AB16" s="5770" t="s">
        <v>5317</v>
      </c>
      <c r="AC16" s="5795" t="s">
        <v>5318</v>
      </c>
      <c r="AD16" s="5810" t="s">
        <v>5319</v>
      </c>
      <c r="AE16" s="5770" t="s">
        <v>5320</v>
      </c>
      <c r="AF16" s="5795" t="s">
        <v>5321</v>
      </c>
    </row>
    <row r="17" spans="1:32" x14ac:dyDescent="0.3">
      <c r="A17" s="6258">
        <v>21220600</v>
      </c>
      <c r="B17" s="430" t="s">
        <v>433</v>
      </c>
      <c r="C17" s="5771" t="s">
        <v>5292</v>
      </c>
      <c r="D17" s="5772" t="s">
        <v>5293</v>
      </c>
      <c r="E17" s="5773" t="s">
        <v>5294</v>
      </c>
      <c r="F17" s="5773" t="s">
        <v>5295</v>
      </c>
      <c r="G17" s="5774" t="s">
        <v>5296</v>
      </c>
      <c r="H17" s="5812" t="s">
        <v>5297</v>
      </c>
      <c r="I17" s="5778" t="s">
        <v>5298</v>
      </c>
      <c r="J17" s="5779" t="s">
        <v>5299</v>
      </c>
      <c r="K17" s="5780" t="s">
        <v>5300</v>
      </c>
      <c r="L17" s="5813" t="s">
        <v>5301</v>
      </c>
      <c r="M17" s="5778" t="s">
        <v>5302</v>
      </c>
      <c r="N17" s="5787" t="s">
        <v>5303</v>
      </c>
      <c r="O17" s="5788" t="s">
        <v>5304</v>
      </c>
      <c r="P17" s="5780" t="s">
        <v>5305</v>
      </c>
      <c r="Q17" s="5813" t="s">
        <v>5306</v>
      </c>
      <c r="R17" s="5787" t="s">
        <v>5307</v>
      </c>
      <c r="S17" s="5772" t="s">
        <v>5308</v>
      </c>
      <c r="T17" s="5788" t="s">
        <v>5309</v>
      </c>
      <c r="U17" s="5789" t="s">
        <v>5310</v>
      </c>
      <c r="V17" s="5813" t="s">
        <v>5311</v>
      </c>
      <c r="W17" s="5787" t="s">
        <v>5312</v>
      </c>
      <c r="X17" s="5772" t="s">
        <v>5313</v>
      </c>
      <c r="Y17" s="5788" t="s">
        <v>5314</v>
      </c>
      <c r="Z17" s="5793" t="s">
        <v>5315</v>
      </c>
      <c r="AA17" s="5814" t="s">
        <v>5316</v>
      </c>
      <c r="AB17" s="5772" t="s">
        <v>5317</v>
      </c>
      <c r="AC17" s="5796" t="s">
        <v>5318</v>
      </c>
      <c r="AD17" s="5812" t="s">
        <v>5319</v>
      </c>
      <c r="AE17" s="5772" t="s">
        <v>5320</v>
      </c>
      <c r="AF17" s="5796" t="s">
        <v>5321</v>
      </c>
    </row>
    <row r="18" spans="1:32" ht="16.2" x14ac:dyDescent="0.3">
      <c r="B18" s="431" t="s">
        <v>3773</v>
      </c>
    </row>
    <row r="20" spans="1:32" s="17" customFormat="1" ht="18" customHeight="1" x14ac:dyDescent="0.25">
      <c r="B20" s="452" t="s">
        <v>436</v>
      </c>
      <c r="C20" s="453"/>
      <c r="D20" s="454"/>
      <c r="E20" s="454"/>
      <c r="F20" s="454"/>
      <c r="G20" s="454"/>
      <c r="H20" s="453"/>
    </row>
    <row r="21" spans="1:32" ht="32.25" customHeight="1" x14ac:dyDescent="0.3">
      <c r="B21" s="432" t="s">
        <v>437</v>
      </c>
      <c r="C21" s="433" t="s">
        <v>24</v>
      </c>
      <c r="D21" s="434" t="s">
        <v>499</v>
      </c>
      <c r="E21" s="435" t="s">
        <v>500</v>
      </c>
      <c r="F21" s="435" t="s">
        <v>3809</v>
      </c>
      <c r="G21" s="435" t="s">
        <v>3810</v>
      </c>
      <c r="H21" s="436" t="s">
        <v>44</v>
      </c>
    </row>
    <row r="22" spans="1:32" ht="15" customHeight="1" x14ac:dyDescent="0.3">
      <c r="A22" s="6281">
        <v>21220800</v>
      </c>
      <c r="B22" s="437" t="s">
        <v>438</v>
      </c>
      <c r="C22" s="438" t="s">
        <v>5292</v>
      </c>
      <c r="D22" s="439" t="s">
        <v>5293</v>
      </c>
      <c r="E22" s="440" t="s">
        <v>5294</v>
      </c>
      <c r="F22" s="440" t="s">
        <v>5295</v>
      </c>
      <c r="G22" s="440" t="s">
        <v>5296</v>
      </c>
      <c r="H22" s="441" t="s">
        <v>5297</v>
      </c>
    </row>
    <row r="23" spans="1:32" ht="15" customHeight="1" x14ac:dyDescent="0.3">
      <c r="A23" s="6281">
        <v>21400300</v>
      </c>
      <c r="B23" s="442" t="s">
        <v>25</v>
      </c>
      <c r="C23" s="443" t="s">
        <v>5292</v>
      </c>
      <c r="D23" s="444" t="s">
        <v>5293</v>
      </c>
      <c r="E23" s="445" t="s">
        <v>5294</v>
      </c>
      <c r="F23" s="445" t="s">
        <v>5295</v>
      </c>
      <c r="G23" s="445" t="s">
        <v>5296</v>
      </c>
      <c r="H23" s="446" t="s">
        <v>5297</v>
      </c>
    </row>
    <row r="24" spans="1:32" ht="15" customHeight="1" x14ac:dyDescent="0.3">
      <c r="A24" s="6281">
        <v>21220900</v>
      </c>
      <c r="B24" s="442" t="s">
        <v>439</v>
      </c>
      <c r="C24" s="443" t="s">
        <v>5292</v>
      </c>
      <c r="D24" s="444" t="s">
        <v>5293</v>
      </c>
      <c r="E24" s="445" t="s">
        <v>5294</v>
      </c>
      <c r="F24" s="445" t="s">
        <v>5295</v>
      </c>
      <c r="G24" s="445" t="s">
        <v>5296</v>
      </c>
      <c r="H24" s="446" t="s">
        <v>5297</v>
      </c>
    </row>
    <row r="25" spans="1:32" ht="15" customHeight="1" x14ac:dyDescent="0.3">
      <c r="A25" s="6281">
        <v>21300100</v>
      </c>
      <c r="B25" s="442" t="s">
        <v>440</v>
      </c>
      <c r="C25" s="443" t="s">
        <v>5292</v>
      </c>
      <c r="D25" s="444" t="s">
        <v>5293</v>
      </c>
      <c r="E25" s="445" t="s">
        <v>5294</v>
      </c>
      <c r="F25" s="445" t="s">
        <v>5295</v>
      </c>
      <c r="G25" s="445" t="s">
        <v>5296</v>
      </c>
      <c r="H25" s="446" t="s">
        <v>5297</v>
      </c>
    </row>
    <row r="26" spans="1:32" ht="15" customHeight="1" x14ac:dyDescent="0.3">
      <c r="A26" s="6281">
        <v>21400400</v>
      </c>
      <c r="B26" s="447" t="s">
        <v>34</v>
      </c>
      <c r="C26" s="448" t="s">
        <v>5292</v>
      </c>
      <c r="D26" s="449" t="s">
        <v>5293</v>
      </c>
      <c r="E26" s="450" t="s">
        <v>5294</v>
      </c>
      <c r="F26" s="450" t="s">
        <v>5295</v>
      </c>
      <c r="G26" s="450" t="s">
        <v>5296</v>
      </c>
      <c r="H26" s="451" t="s">
        <v>5297</v>
      </c>
    </row>
    <row r="27" spans="1:32" s="17" customFormat="1" ht="18" customHeight="1" x14ac:dyDescent="0.25">
      <c r="B27" s="452" t="s">
        <v>441</v>
      </c>
    </row>
    <row r="28" spans="1:32" s="17" customFormat="1" ht="18" customHeight="1" x14ac:dyDescent="0.25">
      <c r="B28" s="452" t="s">
        <v>442</v>
      </c>
      <c r="C28" s="462"/>
      <c r="D28" s="463"/>
      <c r="E28" s="463"/>
      <c r="F28" s="463"/>
      <c r="G28" s="463"/>
      <c r="H28" s="463"/>
      <c r="I28" s="463"/>
      <c r="J28" s="464"/>
      <c r="K28" s="464"/>
      <c r="L28" s="465"/>
      <c r="M28" s="465"/>
    </row>
    <row r="29" spans="1:32" x14ac:dyDescent="0.3">
      <c r="A29" s="6236"/>
      <c r="B29" s="7723" t="s">
        <v>437</v>
      </c>
      <c r="C29" s="7710"/>
      <c r="D29" s="7701" t="s">
        <v>24</v>
      </c>
      <c r="E29" s="7725" t="s">
        <v>12</v>
      </c>
      <c r="F29" s="7698"/>
      <c r="G29" s="7726"/>
      <c r="H29" s="7727" t="s">
        <v>531</v>
      </c>
      <c r="I29" s="7727"/>
      <c r="J29" s="7727"/>
      <c r="K29" s="7727"/>
      <c r="L29" s="7727"/>
      <c r="M29" s="7728"/>
    </row>
    <row r="30" spans="1:32" x14ac:dyDescent="0.3">
      <c r="A30" s="6236"/>
      <c r="B30" s="7724"/>
      <c r="C30" s="7712"/>
      <c r="D30" s="7702"/>
      <c r="E30" s="456" t="s">
        <v>1320</v>
      </c>
      <c r="F30" s="456" t="s">
        <v>4</v>
      </c>
      <c r="G30" s="455" t="s">
        <v>131</v>
      </c>
      <c r="H30" s="457" t="s">
        <v>220</v>
      </c>
      <c r="I30" s="456" t="s">
        <v>221</v>
      </c>
      <c r="J30" s="456" t="s">
        <v>444</v>
      </c>
      <c r="K30" s="456" t="s">
        <v>445</v>
      </c>
      <c r="L30" s="456" t="s">
        <v>446</v>
      </c>
      <c r="M30" s="456" t="s">
        <v>447</v>
      </c>
    </row>
    <row r="31" spans="1:32" ht="15" customHeight="1" x14ac:dyDescent="0.3">
      <c r="A31" s="6258">
        <v>21400500</v>
      </c>
      <c r="B31" s="7729" t="s">
        <v>25</v>
      </c>
      <c r="C31" s="7730"/>
      <c r="D31" s="8686" t="s">
        <v>5292</v>
      </c>
      <c r="E31" s="8687" t="s">
        <v>5293</v>
      </c>
      <c r="F31" s="8688" t="s">
        <v>5294</v>
      </c>
      <c r="G31" s="8689" t="s">
        <v>5295</v>
      </c>
      <c r="H31" s="8690" t="s">
        <v>5296</v>
      </c>
      <c r="I31" s="8688" t="s">
        <v>5297</v>
      </c>
      <c r="J31" s="8688" t="s">
        <v>5298</v>
      </c>
      <c r="K31" s="8688" t="s">
        <v>5299</v>
      </c>
      <c r="L31" s="8688" t="s">
        <v>5300</v>
      </c>
      <c r="M31" s="8688" t="s">
        <v>5301</v>
      </c>
    </row>
    <row r="32" spans="1:32" ht="15" customHeight="1" x14ac:dyDescent="0.3">
      <c r="A32" s="6258">
        <v>21400600</v>
      </c>
      <c r="B32" s="7719" t="s">
        <v>439</v>
      </c>
      <c r="C32" s="7720"/>
      <c r="D32" s="8686" t="s">
        <v>5292</v>
      </c>
      <c r="E32" s="8688" t="s">
        <v>5293</v>
      </c>
      <c r="F32" s="8688" t="s">
        <v>5294</v>
      </c>
      <c r="G32" s="8689" t="s">
        <v>5295</v>
      </c>
      <c r="H32" s="8690" t="s">
        <v>5296</v>
      </c>
      <c r="I32" s="8688" t="s">
        <v>5297</v>
      </c>
      <c r="J32" s="8688" t="s">
        <v>5298</v>
      </c>
      <c r="K32" s="8688" t="s">
        <v>5299</v>
      </c>
      <c r="L32" s="8688" t="s">
        <v>5300</v>
      </c>
      <c r="M32" s="8688" t="s">
        <v>5301</v>
      </c>
    </row>
    <row r="33" spans="1:13" ht="15" customHeight="1" x14ac:dyDescent="0.3">
      <c r="A33" s="6258">
        <v>21400700</v>
      </c>
      <c r="B33" s="7719" t="s">
        <v>440</v>
      </c>
      <c r="C33" s="7720"/>
      <c r="D33" s="8686" t="s">
        <v>5292</v>
      </c>
      <c r="E33" s="8688" t="s">
        <v>5293</v>
      </c>
      <c r="F33" s="8688" t="s">
        <v>5294</v>
      </c>
      <c r="G33" s="8689" t="s">
        <v>5295</v>
      </c>
      <c r="H33" s="8690" t="s">
        <v>5296</v>
      </c>
      <c r="I33" s="8688" t="s">
        <v>5297</v>
      </c>
      <c r="J33" s="8688" t="s">
        <v>5298</v>
      </c>
      <c r="K33" s="8688" t="s">
        <v>5299</v>
      </c>
      <c r="L33" s="8688" t="s">
        <v>5300</v>
      </c>
      <c r="M33" s="8688" t="s">
        <v>5301</v>
      </c>
    </row>
    <row r="34" spans="1:13" ht="15" customHeight="1" x14ac:dyDescent="0.3">
      <c r="A34" s="6258">
        <v>21300600</v>
      </c>
      <c r="B34" s="7721" t="s">
        <v>34</v>
      </c>
      <c r="C34" s="7722"/>
      <c r="D34" s="459" t="s">
        <v>5292</v>
      </c>
      <c r="E34" s="8691" t="s">
        <v>5293</v>
      </c>
      <c r="F34" s="8691" t="s">
        <v>5294</v>
      </c>
      <c r="G34" s="8692" t="s">
        <v>5295</v>
      </c>
      <c r="H34" s="8693" t="s">
        <v>5296</v>
      </c>
      <c r="I34" s="8691" t="s">
        <v>5297</v>
      </c>
      <c r="J34" s="8691" t="s">
        <v>5298</v>
      </c>
      <c r="K34" s="8691" t="s">
        <v>5299</v>
      </c>
      <c r="L34" s="8691" t="s">
        <v>5300</v>
      </c>
      <c r="M34" s="8691" t="s">
        <v>5301</v>
      </c>
    </row>
    <row r="35" spans="1:13" ht="15" customHeight="1" x14ac:dyDescent="0.3">
      <c r="A35" s="6258">
        <v>21300700</v>
      </c>
      <c r="B35" s="7715" t="s">
        <v>450</v>
      </c>
      <c r="C35" s="461" t="s">
        <v>448</v>
      </c>
      <c r="D35" s="8686" t="s">
        <v>5292</v>
      </c>
      <c r="E35" s="8688" t="s">
        <v>5293</v>
      </c>
      <c r="F35" s="8688" t="s">
        <v>5294</v>
      </c>
      <c r="G35" s="8689" t="s">
        <v>5295</v>
      </c>
      <c r="H35" s="8690" t="s">
        <v>5296</v>
      </c>
      <c r="I35" s="8688" t="s">
        <v>5297</v>
      </c>
      <c r="J35" s="8688" t="s">
        <v>5298</v>
      </c>
      <c r="K35" s="8688" t="s">
        <v>5299</v>
      </c>
      <c r="L35" s="8688" t="s">
        <v>5300</v>
      </c>
      <c r="M35" s="8688" t="s">
        <v>5301</v>
      </c>
    </row>
    <row r="36" spans="1:13" ht="15" customHeight="1" x14ac:dyDescent="0.3">
      <c r="A36" s="6258">
        <v>21900100</v>
      </c>
      <c r="B36" s="7716"/>
      <c r="C36" s="459" t="s">
        <v>449</v>
      </c>
      <c r="D36" s="8694" t="s">
        <v>5292</v>
      </c>
      <c r="E36" s="8695" t="s">
        <v>5293</v>
      </c>
      <c r="F36" s="8695" t="s">
        <v>5294</v>
      </c>
      <c r="G36" s="8696" t="s">
        <v>5295</v>
      </c>
      <c r="H36" s="8697" t="s">
        <v>5296</v>
      </c>
      <c r="I36" s="8698" t="s">
        <v>5297</v>
      </c>
      <c r="J36" s="8698" t="s">
        <v>5298</v>
      </c>
      <c r="K36" s="8698" t="s">
        <v>5299</v>
      </c>
      <c r="L36" s="8698" t="s">
        <v>5300</v>
      </c>
      <c r="M36" s="8698" t="s">
        <v>5301</v>
      </c>
    </row>
    <row r="37" spans="1:13" ht="15" customHeight="1" x14ac:dyDescent="0.3">
      <c r="A37" s="6258">
        <v>21800810</v>
      </c>
      <c r="B37" s="7717" t="s">
        <v>451</v>
      </c>
      <c r="C37" s="7718"/>
      <c r="D37" s="6227" t="s">
        <v>5292</v>
      </c>
      <c r="E37" s="8698" t="s">
        <v>5293</v>
      </c>
      <c r="F37" s="8698" t="s">
        <v>5294</v>
      </c>
      <c r="G37" s="8696" t="s">
        <v>5295</v>
      </c>
      <c r="H37" s="8697" t="s">
        <v>5296</v>
      </c>
      <c r="I37" s="8698" t="s">
        <v>5297</v>
      </c>
      <c r="J37" s="8698" t="s">
        <v>5298</v>
      </c>
      <c r="K37" s="8698" t="s">
        <v>5299</v>
      </c>
      <c r="L37" s="8698" t="s">
        <v>5300</v>
      </c>
      <c r="M37" s="8698" t="s">
        <v>5301</v>
      </c>
    </row>
    <row r="38" spans="1:13" s="17" customFormat="1" ht="18" customHeight="1" x14ac:dyDescent="0.25">
      <c r="A38" s="103"/>
      <c r="B38" s="467" t="s">
        <v>452</v>
      </c>
      <c r="C38" s="468"/>
    </row>
    <row r="39" spans="1:13" ht="15" customHeight="1" x14ac:dyDescent="0.3">
      <c r="A39" s="103"/>
      <c r="B39" s="456" t="s">
        <v>453</v>
      </c>
      <c r="C39" s="456" t="s">
        <v>50</v>
      </c>
    </row>
    <row r="40" spans="1:13" ht="15" customHeight="1" x14ac:dyDescent="0.3">
      <c r="A40" s="6258">
        <v>21900110</v>
      </c>
      <c r="B40" s="458" t="s">
        <v>60</v>
      </c>
      <c r="C40" s="5797" t="s">
        <v>5292</v>
      </c>
    </row>
    <row r="41" spans="1:13" ht="15" customHeight="1" x14ac:dyDescent="0.3">
      <c r="A41" s="6258">
        <v>21900120</v>
      </c>
      <c r="B41" s="458" t="s">
        <v>454</v>
      </c>
      <c r="C41" s="5797" t="s">
        <v>5292</v>
      </c>
    </row>
    <row r="42" spans="1:13" ht="15" customHeight="1" x14ac:dyDescent="0.3">
      <c r="A42" s="6258">
        <v>21900130</v>
      </c>
      <c r="B42" s="458" t="s">
        <v>192</v>
      </c>
      <c r="C42" s="5797" t="s">
        <v>5292</v>
      </c>
    </row>
    <row r="43" spans="1:13" ht="15" customHeight="1" x14ac:dyDescent="0.3">
      <c r="A43" s="6258">
        <v>21900140</v>
      </c>
      <c r="B43" s="458" t="s">
        <v>455</v>
      </c>
      <c r="C43" s="5797" t="s">
        <v>5292</v>
      </c>
    </row>
    <row r="44" spans="1:13" ht="15" customHeight="1" x14ac:dyDescent="0.3">
      <c r="A44" s="6258">
        <v>21900150</v>
      </c>
      <c r="B44" s="458" t="s">
        <v>456</v>
      </c>
      <c r="C44" s="5797" t="s">
        <v>5292</v>
      </c>
    </row>
    <row r="45" spans="1:13" ht="15" customHeight="1" x14ac:dyDescent="0.3">
      <c r="A45" s="6258">
        <v>21900160</v>
      </c>
      <c r="B45" s="458" t="s">
        <v>457</v>
      </c>
      <c r="C45" s="5797" t="s">
        <v>5292</v>
      </c>
    </row>
    <row r="46" spans="1:13" ht="15" customHeight="1" x14ac:dyDescent="0.3">
      <c r="A46" s="6258">
        <v>21900170</v>
      </c>
      <c r="B46" s="458" t="s">
        <v>249</v>
      </c>
      <c r="C46" s="5797" t="s">
        <v>5292</v>
      </c>
    </row>
    <row r="47" spans="1:13" ht="15" customHeight="1" x14ac:dyDescent="0.3">
      <c r="A47" s="6258">
        <v>21900180</v>
      </c>
      <c r="B47" s="466" t="s">
        <v>62</v>
      </c>
      <c r="C47" s="5799" t="s">
        <v>5292</v>
      </c>
    </row>
    <row r="48" spans="1:13" ht="15" customHeight="1" x14ac:dyDescent="0.3">
      <c r="A48" s="6258">
        <v>21900190</v>
      </c>
      <c r="B48" s="460" t="s">
        <v>79</v>
      </c>
      <c r="C48" s="5798" t="s">
        <v>5292</v>
      </c>
    </row>
    <row r="49" spans="1:7" s="17" customFormat="1" ht="18" customHeight="1" x14ac:dyDescent="0.25">
      <c r="B49" s="474" t="s">
        <v>458</v>
      </c>
      <c r="C49" s="462"/>
      <c r="D49" s="101"/>
      <c r="E49" s="475"/>
      <c r="F49" s="475"/>
    </row>
    <row r="50" spans="1:7" ht="20.399999999999999" x14ac:dyDescent="0.3">
      <c r="B50" s="456" t="s">
        <v>437</v>
      </c>
      <c r="C50" s="456" t="s">
        <v>24</v>
      </c>
      <c r="D50" s="456" t="s">
        <v>459</v>
      </c>
      <c r="E50" s="456" t="s">
        <v>460</v>
      </c>
      <c r="F50" s="456" t="s">
        <v>461</v>
      </c>
    </row>
    <row r="51" spans="1:7" x14ac:dyDescent="0.3">
      <c r="A51" s="6258">
        <v>21900200</v>
      </c>
      <c r="B51" s="469" t="s">
        <v>462</v>
      </c>
      <c r="C51" s="470" t="s">
        <v>5292</v>
      </c>
      <c r="D51" s="471" t="s">
        <v>5293</v>
      </c>
      <c r="E51" s="471" t="s">
        <v>5294</v>
      </c>
      <c r="F51" s="471" t="s">
        <v>5295</v>
      </c>
    </row>
    <row r="52" spans="1:7" x14ac:dyDescent="0.3">
      <c r="A52" s="6258">
        <v>21900210</v>
      </c>
      <c r="B52" s="469" t="s">
        <v>463</v>
      </c>
      <c r="C52" s="470" t="s">
        <v>5292</v>
      </c>
      <c r="D52" s="471" t="s">
        <v>5293</v>
      </c>
      <c r="E52" s="471" t="s">
        <v>5294</v>
      </c>
      <c r="F52" s="471" t="s">
        <v>5295</v>
      </c>
    </row>
    <row r="53" spans="1:7" x14ac:dyDescent="0.3">
      <c r="A53" s="6258">
        <v>21900220</v>
      </c>
      <c r="B53" s="460" t="s">
        <v>464</v>
      </c>
      <c r="C53" s="472" t="s">
        <v>5292</v>
      </c>
      <c r="D53" s="473" t="s">
        <v>5293</v>
      </c>
      <c r="E53" s="473" t="s">
        <v>5294</v>
      </c>
      <c r="F53" s="473" t="s">
        <v>5295</v>
      </c>
    </row>
    <row r="54" spans="1:7" s="17" customFormat="1" ht="13.8" x14ac:dyDescent="0.25">
      <c r="A54" s="103"/>
      <c r="B54" s="491" t="s">
        <v>465</v>
      </c>
      <c r="C54" s="492"/>
      <c r="D54" s="493"/>
      <c r="E54" s="493"/>
      <c r="F54" s="494"/>
      <c r="G54" s="494"/>
    </row>
    <row r="55" spans="1:7" ht="30.6" x14ac:dyDescent="0.3">
      <c r="A55" s="103"/>
      <c r="B55" s="227" t="s">
        <v>466</v>
      </c>
      <c r="C55" s="227" t="s">
        <v>24</v>
      </c>
      <c r="D55" s="476" t="s">
        <v>467</v>
      </c>
      <c r="E55" s="477" t="s">
        <v>3730</v>
      </c>
      <c r="F55" s="478" t="s">
        <v>131</v>
      </c>
      <c r="G55" s="479" t="s">
        <v>461</v>
      </c>
    </row>
    <row r="56" spans="1:7" x14ac:dyDescent="0.3">
      <c r="A56" s="6258">
        <v>21100010</v>
      </c>
      <c r="B56" s="480" t="s">
        <v>468</v>
      </c>
      <c r="C56" s="481" t="s">
        <v>5292</v>
      </c>
      <c r="D56" s="482" t="s">
        <v>5293</v>
      </c>
      <c r="E56" s="483" t="s">
        <v>5294</v>
      </c>
      <c r="F56" s="321" t="s">
        <v>5295</v>
      </c>
      <c r="G56" s="484" t="s">
        <v>5296</v>
      </c>
    </row>
    <row r="57" spans="1:7" x14ac:dyDescent="0.3">
      <c r="A57" s="6258">
        <v>21100020</v>
      </c>
      <c r="B57" s="485" t="s">
        <v>469</v>
      </c>
      <c r="C57" s="486" t="s">
        <v>5292</v>
      </c>
      <c r="D57" s="487" t="s">
        <v>5293</v>
      </c>
      <c r="E57" s="110" t="s">
        <v>5294</v>
      </c>
      <c r="F57" s="86" t="s">
        <v>5295</v>
      </c>
      <c r="G57" s="484" t="s">
        <v>5296</v>
      </c>
    </row>
    <row r="58" spans="1:7" x14ac:dyDescent="0.3">
      <c r="A58" s="6258">
        <v>21100030</v>
      </c>
      <c r="B58" s="488" t="s">
        <v>470</v>
      </c>
      <c r="C58" s="489" t="s">
        <v>5292</v>
      </c>
      <c r="D58" s="114" t="s">
        <v>5293</v>
      </c>
      <c r="E58" s="121" t="s">
        <v>5294</v>
      </c>
      <c r="F58" s="162" t="s">
        <v>5295</v>
      </c>
      <c r="G58" s="490" t="s">
        <v>5296</v>
      </c>
    </row>
    <row r="59" spans="1:7" s="17" customFormat="1" ht="18" customHeight="1" x14ac:dyDescent="0.25">
      <c r="B59" s="491" t="s">
        <v>471</v>
      </c>
      <c r="C59" s="505"/>
      <c r="D59" s="505"/>
      <c r="E59" s="505"/>
      <c r="F59" s="505"/>
    </row>
    <row r="60" spans="1:7" ht="20.399999999999999" x14ac:dyDescent="0.3">
      <c r="B60" s="495" t="s">
        <v>58</v>
      </c>
      <c r="C60" s="172" t="s">
        <v>472</v>
      </c>
      <c r="D60" s="496" t="s">
        <v>473</v>
      </c>
      <c r="E60" s="77" t="s">
        <v>474</v>
      </c>
      <c r="F60" s="172" t="s">
        <v>475</v>
      </c>
    </row>
    <row r="61" spans="1:7" x14ac:dyDescent="0.3">
      <c r="A61" s="6258">
        <v>21100040</v>
      </c>
      <c r="B61" s="497" t="s">
        <v>476</v>
      </c>
      <c r="C61" s="498" t="s">
        <v>5292</v>
      </c>
      <c r="D61" s="482" t="s">
        <v>5293</v>
      </c>
      <c r="E61" s="320" t="s">
        <v>5294</v>
      </c>
      <c r="F61" s="499" t="s">
        <v>5295</v>
      </c>
    </row>
    <row r="62" spans="1:7" x14ac:dyDescent="0.3">
      <c r="A62" s="6258">
        <v>21100050</v>
      </c>
      <c r="B62" s="500" t="s">
        <v>477</v>
      </c>
      <c r="C62" s="501" t="s">
        <v>5292</v>
      </c>
      <c r="D62" s="487" t="s">
        <v>5293</v>
      </c>
      <c r="E62" s="502" t="s">
        <v>5294</v>
      </c>
      <c r="F62" s="83" t="s">
        <v>5295</v>
      </c>
    </row>
    <row r="63" spans="1:7" x14ac:dyDescent="0.3">
      <c r="A63" s="6258">
        <v>21100060</v>
      </c>
      <c r="B63" s="500" t="s">
        <v>478</v>
      </c>
      <c r="C63" s="501" t="s">
        <v>5292</v>
      </c>
      <c r="D63" s="487" t="s">
        <v>5293</v>
      </c>
      <c r="E63" s="502" t="s">
        <v>5294</v>
      </c>
      <c r="F63" s="83" t="s">
        <v>5295</v>
      </c>
    </row>
    <row r="64" spans="1:7" x14ac:dyDescent="0.3">
      <c r="A64" s="6258">
        <v>21100070</v>
      </c>
      <c r="B64" s="500" t="s">
        <v>479</v>
      </c>
      <c r="C64" s="501" t="s">
        <v>5292</v>
      </c>
      <c r="D64" s="487" t="s">
        <v>5293</v>
      </c>
      <c r="E64" s="502" t="s">
        <v>5294</v>
      </c>
      <c r="F64" s="83" t="s">
        <v>5295</v>
      </c>
    </row>
    <row r="65" spans="1:48" x14ac:dyDescent="0.3">
      <c r="A65" s="6258">
        <v>21100080</v>
      </c>
      <c r="B65" s="500" t="s">
        <v>480</v>
      </c>
      <c r="C65" s="501" t="s">
        <v>5292</v>
      </c>
      <c r="D65" s="487" t="s">
        <v>5293</v>
      </c>
      <c r="E65" s="502" t="s">
        <v>5294</v>
      </c>
      <c r="F65" s="83" t="s">
        <v>5295</v>
      </c>
    </row>
    <row r="66" spans="1:48" x14ac:dyDescent="0.3">
      <c r="A66" s="6258">
        <v>21100090</v>
      </c>
      <c r="B66" s="120" t="s">
        <v>481</v>
      </c>
      <c r="C66" s="153" t="s">
        <v>5292</v>
      </c>
      <c r="D66" s="114" t="s">
        <v>5293</v>
      </c>
      <c r="E66" s="115" t="s">
        <v>5294</v>
      </c>
      <c r="F66" s="117" t="s">
        <v>5295</v>
      </c>
    </row>
    <row r="67" spans="1:48" x14ac:dyDescent="0.3">
      <c r="A67" s="6238"/>
      <c r="B67" s="506" t="s">
        <v>24</v>
      </c>
      <c r="C67" s="503">
        <f>SUM(C61:C66)</f>
        <v>0</v>
      </c>
      <c r="D67" s="503">
        <f>SUM(D61:D66)</f>
        <v>0</v>
      </c>
      <c r="E67" s="504">
        <f>SUM(E61:E66)</f>
        <v>0</v>
      </c>
      <c r="F67" s="96">
        <f>SUM(F61:F66)</f>
        <v>0</v>
      </c>
    </row>
    <row r="68" spans="1:48" s="17" customFormat="1" ht="18" customHeight="1" x14ac:dyDescent="0.25">
      <c r="B68" s="7703" t="s">
        <v>482</v>
      </c>
      <c r="C68" s="7704"/>
      <c r="D68" s="7704"/>
      <c r="E68" s="7704"/>
      <c r="F68" s="7705"/>
      <c r="G68" s="534"/>
      <c r="H68" s="534"/>
      <c r="I68" s="534"/>
      <c r="J68" s="534"/>
    </row>
    <row r="69" spans="1:48" ht="20.399999999999999" x14ac:dyDescent="0.3">
      <c r="B69" s="507" t="s">
        <v>23</v>
      </c>
      <c r="C69" s="507" t="s">
        <v>483</v>
      </c>
      <c r="D69" s="507" t="s">
        <v>24</v>
      </c>
      <c r="E69" s="508" t="s">
        <v>484</v>
      </c>
      <c r="F69" s="509" t="s">
        <v>485</v>
      </c>
      <c r="G69" s="510" t="s">
        <v>3727</v>
      </c>
      <c r="H69" s="510" t="s">
        <v>37</v>
      </c>
      <c r="I69" s="510" t="s">
        <v>38</v>
      </c>
      <c r="J69" s="511" t="s">
        <v>4</v>
      </c>
    </row>
    <row r="70" spans="1:48" x14ac:dyDescent="0.3">
      <c r="A70" s="6234">
        <v>21500300</v>
      </c>
      <c r="B70" s="7706" t="s">
        <v>486</v>
      </c>
      <c r="C70" s="7707"/>
      <c r="D70" s="512" t="s">
        <v>5292</v>
      </c>
      <c r="E70" s="513" t="s">
        <v>5293</v>
      </c>
      <c r="F70" s="514" t="s">
        <v>5294</v>
      </c>
      <c r="G70" s="514" t="s">
        <v>5295</v>
      </c>
      <c r="H70" s="514" t="s">
        <v>5296</v>
      </c>
      <c r="I70" s="514" t="s">
        <v>5297</v>
      </c>
      <c r="J70" s="515" t="s">
        <v>5298</v>
      </c>
    </row>
    <row r="71" spans="1:48" ht="24.9" customHeight="1" x14ac:dyDescent="0.3">
      <c r="A71" s="6258">
        <v>21800850</v>
      </c>
      <c r="B71" s="7708" t="s">
        <v>489</v>
      </c>
      <c r="C71" s="516" t="s">
        <v>487</v>
      </c>
      <c r="D71" s="517" t="s">
        <v>5292</v>
      </c>
      <c r="E71" s="518" t="s">
        <v>5293</v>
      </c>
      <c r="F71" s="519" t="s">
        <v>5294</v>
      </c>
      <c r="G71" s="519" t="s">
        <v>5295</v>
      </c>
      <c r="H71" s="519" t="s">
        <v>5296</v>
      </c>
      <c r="I71" s="519" t="s">
        <v>5297</v>
      </c>
      <c r="J71" s="520" t="s">
        <v>5298</v>
      </c>
    </row>
    <row r="72" spans="1:48" ht="24.9" customHeight="1" x14ac:dyDescent="0.3">
      <c r="A72" s="6258">
        <v>21800860</v>
      </c>
      <c r="B72" s="7709"/>
      <c r="C72" s="521" t="s">
        <v>488</v>
      </c>
      <c r="D72" s="522" t="s">
        <v>5292</v>
      </c>
      <c r="E72" s="523" t="s">
        <v>5293</v>
      </c>
      <c r="F72" s="524" t="s">
        <v>5294</v>
      </c>
      <c r="G72" s="524" t="s">
        <v>5295</v>
      </c>
      <c r="H72" s="524" t="s">
        <v>5296</v>
      </c>
      <c r="I72" s="524" t="s">
        <v>5297</v>
      </c>
      <c r="J72" s="525" t="s">
        <v>5298</v>
      </c>
    </row>
    <row r="73" spans="1:48" ht="24.9" customHeight="1" x14ac:dyDescent="0.3">
      <c r="A73" s="6258">
        <v>21800870</v>
      </c>
      <c r="B73" s="7708" t="s">
        <v>490</v>
      </c>
      <c r="C73" s="516" t="s">
        <v>487</v>
      </c>
      <c r="D73" s="517" t="s">
        <v>5292</v>
      </c>
      <c r="E73" s="526" t="s">
        <v>5293</v>
      </c>
      <c r="F73" s="527" t="s">
        <v>5294</v>
      </c>
      <c r="G73" s="527" t="s">
        <v>5295</v>
      </c>
      <c r="H73" s="527" t="s">
        <v>5296</v>
      </c>
      <c r="I73" s="527" t="s">
        <v>5297</v>
      </c>
      <c r="J73" s="528" t="s">
        <v>5298</v>
      </c>
    </row>
    <row r="74" spans="1:48" ht="24.9" customHeight="1" x14ac:dyDescent="0.3">
      <c r="A74" s="6258">
        <v>21800880</v>
      </c>
      <c r="B74" s="7709"/>
      <c r="C74" s="529" t="s">
        <v>488</v>
      </c>
      <c r="D74" s="530" t="s">
        <v>5292</v>
      </c>
      <c r="E74" s="531" t="s">
        <v>5293</v>
      </c>
      <c r="F74" s="532" t="s">
        <v>5294</v>
      </c>
      <c r="G74" s="532" t="s">
        <v>5295</v>
      </c>
      <c r="H74" s="532" t="s">
        <v>5296</v>
      </c>
      <c r="I74" s="532" t="s">
        <v>5297</v>
      </c>
      <c r="J74" s="533" t="s">
        <v>5298</v>
      </c>
    </row>
    <row r="75" spans="1:48" s="17" customFormat="1" ht="18" customHeight="1" x14ac:dyDescent="0.25">
      <c r="B75" s="491" t="s">
        <v>501</v>
      </c>
      <c r="C75" s="475"/>
      <c r="D75" s="475"/>
      <c r="E75" s="468"/>
      <c r="F75" s="468"/>
      <c r="G75" s="468"/>
      <c r="H75" s="468"/>
      <c r="I75" s="544"/>
      <c r="J75" s="544"/>
    </row>
    <row r="76" spans="1:48" x14ac:dyDescent="0.3">
      <c r="A76" s="6236"/>
      <c r="B76" s="7710" t="s">
        <v>502</v>
      </c>
      <c r="C76" s="7713" t="s">
        <v>503</v>
      </c>
      <c r="D76" s="7710"/>
      <c r="E76" s="7713" t="s">
        <v>504</v>
      </c>
      <c r="F76" s="7710"/>
      <c r="G76" s="7697" t="s">
        <v>505</v>
      </c>
      <c r="H76" s="7698"/>
      <c r="I76" s="7698"/>
      <c r="J76" s="7699"/>
    </row>
    <row r="77" spans="1:48" x14ac:dyDescent="0.3">
      <c r="A77" s="6236"/>
      <c r="B77" s="7711"/>
      <c r="C77" s="7714"/>
      <c r="D77" s="7712"/>
      <c r="E77" s="7714"/>
      <c r="F77" s="7712"/>
      <c r="G77" s="7697" t="s">
        <v>529</v>
      </c>
      <c r="H77" s="7699"/>
      <c r="I77" s="7697" t="s">
        <v>530</v>
      </c>
      <c r="J77" s="7699"/>
    </row>
    <row r="78" spans="1:48" x14ac:dyDescent="0.3">
      <c r="A78" s="6236"/>
      <c r="B78" s="7712"/>
      <c r="C78" s="2448" t="s">
        <v>1320</v>
      </c>
      <c r="D78" s="2447" t="s">
        <v>242</v>
      </c>
      <c r="E78" s="2448" t="s">
        <v>1320</v>
      </c>
      <c r="F78" s="2447" t="s">
        <v>242</v>
      </c>
      <c r="G78" s="2448" t="s">
        <v>1320</v>
      </c>
      <c r="H78" s="2447" t="s">
        <v>242</v>
      </c>
      <c r="I78" s="2448" t="s">
        <v>1320</v>
      </c>
      <c r="J78" s="2449" t="s">
        <v>242</v>
      </c>
    </row>
    <row r="79" spans="1:48" x14ac:dyDescent="0.3">
      <c r="A79" s="6234">
        <v>21500600</v>
      </c>
      <c r="B79" s="535" t="s">
        <v>299</v>
      </c>
      <c r="C79" s="536" t="s">
        <v>5292</v>
      </c>
      <c r="D79" s="537" t="s">
        <v>5293</v>
      </c>
      <c r="E79" s="536" t="s">
        <v>5294</v>
      </c>
      <c r="F79" s="537" t="s">
        <v>5295</v>
      </c>
      <c r="G79" s="538" t="s">
        <v>5296</v>
      </c>
      <c r="H79" s="484" t="s">
        <v>5297</v>
      </c>
      <c r="I79" s="538" t="s">
        <v>5298</v>
      </c>
      <c r="J79" s="484" t="s">
        <v>5299</v>
      </c>
      <c r="K79" t="e">
        <f>AP79</f>
        <v>#VALUE!</v>
      </c>
      <c r="AP79" s="1723" t="e">
        <f>IF((E79+F79)&lt;((G79+H79)-(I79+J79)),"* La suma de los pacientes intervenidos debe ser mayor o igual a la Suma de Pacientes Programados menos la suma de Pacientes Suspendidos","")</f>
        <v>#VALUE!</v>
      </c>
      <c r="AQ79" s="1723"/>
      <c r="AR79" s="1723"/>
      <c r="AT79" s="1725" t="e">
        <f>IF((E79+F79)&lt;((G79+H79)-(I79+J79)),1,0)</f>
        <v>#VALUE!</v>
      </c>
      <c r="AU79" s="1725"/>
      <c r="AV79" s="1725"/>
    </row>
    <row r="80" spans="1:48" x14ac:dyDescent="0.3">
      <c r="A80" s="6234">
        <v>21600800</v>
      </c>
      <c r="B80" s="539" t="s">
        <v>235</v>
      </c>
      <c r="C80" s="540" t="s">
        <v>5292</v>
      </c>
      <c r="D80" s="541" t="s">
        <v>5293</v>
      </c>
      <c r="E80" s="540" t="s">
        <v>5294</v>
      </c>
      <c r="F80" s="541" t="s">
        <v>5295</v>
      </c>
      <c r="G80" s="542" t="s">
        <v>5296</v>
      </c>
      <c r="H80" s="543" t="s">
        <v>5297</v>
      </c>
      <c r="I80" s="542" t="s">
        <v>5298</v>
      </c>
      <c r="J80" s="543" t="s">
        <v>5299</v>
      </c>
      <c r="K80" t="e">
        <f t="shared" ref="K80:K91" si="1">AP80</f>
        <v>#VALUE!</v>
      </c>
      <c r="AP80" s="1723" t="e">
        <f t="shared" ref="AP80:AP91" si="2">IF((E80+F80)&lt;((G80+H80)-(I80+J80)),"* La suma de los pacientes intervenidos debe ser mayor o igual a la Suma de Pacientes Programados menos la suma de Pacientes Suspendidos","")</f>
        <v>#VALUE!</v>
      </c>
      <c r="AQ80" s="1723"/>
      <c r="AR80" s="1723"/>
      <c r="AT80" s="1725" t="e">
        <f t="shared" ref="AT80:AT91" si="3">IF((E80+F80)&lt;((G80+H80)-(I80+J80)),1,0)</f>
        <v>#VALUE!</v>
      </c>
      <c r="AU80" s="1725"/>
      <c r="AV80" s="1725"/>
    </row>
    <row r="81" spans="1:48" x14ac:dyDescent="0.3">
      <c r="A81" s="6234">
        <v>21600900</v>
      </c>
      <c r="B81" s="539" t="s">
        <v>506</v>
      </c>
      <c r="C81" s="540" t="s">
        <v>5292</v>
      </c>
      <c r="D81" s="541" t="s">
        <v>5293</v>
      </c>
      <c r="E81" s="540" t="s">
        <v>5294</v>
      </c>
      <c r="F81" s="541" t="s">
        <v>5295</v>
      </c>
      <c r="G81" s="542" t="s">
        <v>5296</v>
      </c>
      <c r="H81" s="543" t="s">
        <v>5297</v>
      </c>
      <c r="I81" s="542" t="s">
        <v>5298</v>
      </c>
      <c r="J81" s="543" t="s">
        <v>5299</v>
      </c>
      <c r="K81" t="e">
        <f t="shared" si="1"/>
        <v>#VALUE!</v>
      </c>
      <c r="AP81" s="1723" t="e">
        <f t="shared" si="2"/>
        <v>#VALUE!</v>
      </c>
      <c r="AQ81" s="1723"/>
      <c r="AR81" s="1723"/>
      <c r="AT81" s="1725" t="e">
        <f t="shared" si="3"/>
        <v>#VALUE!</v>
      </c>
      <c r="AU81" s="1725"/>
      <c r="AV81" s="1725"/>
    </row>
    <row r="82" spans="1:48" x14ac:dyDescent="0.3">
      <c r="A82" s="6234">
        <v>21700100</v>
      </c>
      <c r="B82" s="539" t="s">
        <v>232</v>
      </c>
      <c r="C82" s="540" t="s">
        <v>5292</v>
      </c>
      <c r="D82" s="541" t="s">
        <v>5293</v>
      </c>
      <c r="E82" s="540" t="s">
        <v>5294</v>
      </c>
      <c r="F82" s="541" t="s">
        <v>5295</v>
      </c>
      <c r="G82" s="542" t="s">
        <v>5296</v>
      </c>
      <c r="H82" s="543" t="s">
        <v>5297</v>
      </c>
      <c r="I82" s="542" t="s">
        <v>5298</v>
      </c>
      <c r="J82" s="543" t="s">
        <v>5299</v>
      </c>
      <c r="K82" t="e">
        <f t="shared" si="1"/>
        <v>#VALUE!</v>
      </c>
      <c r="AP82" s="1723" t="e">
        <f t="shared" si="2"/>
        <v>#VALUE!</v>
      </c>
      <c r="AQ82" s="1723"/>
      <c r="AR82" s="1723"/>
      <c r="AT82" s="1725" t="e">
        <f t="shared" si="3"/>
        <v>#VALUE!</v>
      </c>
      <c r="AU82" s="1725"/>
      <c r="AV82" s="1725"/>
    </row>
    <row r="83" spans="1:48" x14ac:dyDescent="0.3">
      <c r="A83" s="6234">
        <v>21500700</v>
      </c>
      <c r="B83" s="539" t="s">
        <v>507</v>
      </c>
      <c r="C83" s="540" t="s">
        <v>5292</v>
      </c>
      <c r="D83" s="541" t="s">
        <v>5293</v>
      </c>
      <c r="E83" s="540" t="s">
        <v>5294</v>
      </c>
      <c r="F83" s="541" t="s">
        <v>5295</v>
      </c>
      <c r="G83" s="542" t="s">
        <v>5296</v>
      </c>
      <c r="H83" s="543" t="s">
        <v>5297</v>
      </c>
      <c r="I83" s="542" t="s">
        <v>5298</v>
      </c>
      <c r="J83" s="543" t="s">
        <v>5299</v>
      </c>
      <c r="K83" t="e">
        <f t="shared" si="1"/>
        <v>#VALUE!</v>
      </c>
      <c r="AP83" s="1723" t="e">
        <f t="shared" si="2"/>
        <v>#VALUE!</v>
      </c>
      <c r="AQ83" s="1723"/>
      <c r="AR83" s="1723"/>
      <c r="AT83" s="1725" t="e">
        <f t="shared" si="3"/>
        <v>#VALUE!</v>
      </c>
      <c r="AU83" s="1725"/>
      <c r="AV83" s="1725"/>
    </row>
    <row r="84" spans="1:48" x14ac:dyDescent="0.3">
      <c r="A84" s="6234">
        <v>21500800</v>
      </c>
      <c r="B84" s="539" t="s">
        <v>234</v>
      </c>
      <c r="C84" s="540" t="s">
        <v>5292</v>
      </c>
      <c r="D84" s="541" t="s">
        <v>5293</v>
      </c>
      <c r="E84" s="540" t="s">
        <v>5294</v>
      </c>
      <c r="F84" s="541" t="s">
        <v>5295</v>
      </c>
      <c r="G84" s="542" t="s">
        <v>5296</v>
      </c>
      <c r="H84" s="543" t="s">
        <v>5297</v>
      </c>
      <c r="I84" s="542" t="s">
        <v>5298</v>
      </c>
      <c r="J84" s="543" t="s">
        <v>5299</v>
      </c>
      <c r="K84" t="e">
        <f t="shared" si="1"/>
        <v>#VALUE!</v>
      </c>
      <c r="AP84" s="1723" t="e">
        <f t="shared" si="2"/>
        <v>#VALUE!</v>
      </c>
      <c r="AQ84" s="1723"/>
      <c r="AR84" s="1723"/>
      <c r="AT84" s="1725" t="e">
        <f t="shared" si="3"/>
        <v>#VALUE!</v>
      </c>
      <c r="AU84" s="1725"/>
      <c r="AV84" s="1725"/>
    </row>
    <row r="85" spans="1:48" x14ac:dyDescent="0.3">
      <c r="A85" s="6234">
        <v>21700300</v>
      </c>
      <c r="B85" s="539" t="s">
        <v>239</v>
      </c>
      <c r="C85" s="540" t="s">
        <v>5292</v>
      </c>
      <c r="D85" s="541" t="s">
        <v>5293</v>
      </c>
      <c r="E85" s="540" t="s">
        <v>5294</v>
      </c>
      <c r="F85" s="541" t="s">
        <v>5295</v>
      </c>
      <c r="G85" s="542" t="s">
        <v>5296</v>
      </c>
      <c r="H85" s="543" t="s">
        <v>5297</v>
      </c>
      <c r="I85" s="542" t="s">
        <v>5298</v>
      </c>
      <c r="J85" s="543" t="s">
        <v>5299</v>
      </c>
      <c r="K85" t="e">
        <f t="shared" si="1"/>
        <v>#VALUE!</v>
      </c>
      <c r="AP85" s="1723" t="e">
        <f t="shared" si="2"/>
        <v>#VALUE!</v>
      </c>
      <c r="AQ85" s="1723"/>
      <c r="AR85" s="1723"/>
      <c r="AT85" s="1725" t="e">
        <f t="shared" si="3"/>
        <v>#VALUE!</v>
      </c>
      <c r="AU85" s="1725"/>
      <c r="AV85" s="1725"/>
    </row>
    <row r="86" spans="1:48" x14ac:dyDescent="0.3">
      <c r="A86" s="6234">
        <v>21700400</v>
      </c>
      <c r="B86" s="539" t="s">
        <v>238</v>
      </c>
      <c r="C86" s="540" t="s">
        <v>5292</v>
      </c>
      <c r="D86" s="541" t="s">
        <v>5293</v>
      </c>
      <c r="E86" s="540" t="s">
        <v>5294</v>
      </c>
      <c r="F86" s="541" t="s">
        <v>5295</v>
      </c>
      <c r="G86" s="542" t="s">
        <v>5296</v>
      </c>
      <c r="H86" s="543" t="s">
        <v>5297</v>
      </c>
      <c r="I86" s="542" t="s">
        <v>5298</v>
      </c>
      <c r="J86" s="543" t="s">
        <v>5299</v>
      </c>
      <c r="K86" t="e">
        <f t="shared" si="1"/>
        <v>#VALUE!</v>
      </c>
      <c r="AP86" s="1723" t="e">
        <f t="shared" si="2"/>
        <v>#VALUE!</v>
      </c>
      <c r="AQ86" s="1723"/>
      <c r="AR86" s="1723"/>
      <c r="AT86" s="1725" t="e">
        <f t="shared" si="3"/>
        <v>#VALUE!</v>
      </c>
      <c r="AU86" s="1725"/>
      <c r="AV86" s="1725"/>
    </row>
    <row r="87" spans="1:48" x14ac:dyDescent="0.3">
      <c r="A87" s="6234">
        <v>21700500</v>
      </c>
      <c r="B87" s="539" t="s">
        <v>508</v>
      </c>
      <c r="C87" s="540" t="s">
        <v>5292</v>
      </c>
      <c r="D87" s="541" t="s">
        <v>5293</v>
      </c>
      <c r="E87" s="540" t="s">
        <v>5294</v>
      </c>
      <c r="F87" s="541" t="s">
        <v>5295</v>
      </c>
      <c r="G87" s="542" t="s">
        <v>5296</v>
      </c>
      <c r="H87" s="543" t="s">
        <v>5297</v>
      </c>
      <c r="I87" s="542" t="s">
        <v>5298</v>
      </c>
      <c r="J87" s="543" t="s">
        <v>5299</v>
      </c>
      <c r="K87" t="e">
        <f t="shared" si="1"/>
        <v>#VALUE!</v>
      </c>
      <c r="AP87" s="1723" t="e">
        <f t="shared" si="2"/>
        <v>#VALUE!</v>
      </c>
      <c r="AQ87" s="1723"/>
      <c r="AR87" s="1723"/>
      <c r="AT87" s="1725" t="e">
        <f t="shared" si="3"/>
        <v>#VALUE!</v>
      </c>
      <c r="AU87" s="1725"/>
      <c r="AV87" s="1725"/>
    </row>
    <row r="88" spans="1:48" x14ac:dyDescent="0.3">
      <c r="A88" s="6234">
        <v>21700600</v>
      </c>
      <c r="B88" s="539" t="s">
        <v>509</v>
      </c>
      <c r="C88" s="540" t="s">
        <v>5292</v>
      </c>
      <c r="D88" s="541" t="s">
        <v>5293</v>
      </c>
      <c r="E88" s="540" t="s">
        <v>5294</v>
      </c>
      <c r="F88" s="541" t="s">
        <v>5295</v>
      </c>
      <c r="G88" s="542" t="s">
        <v>5296</v>
      </c>
      <c r="H88" s="543" t="s">
        <v>5297</v>
      </c>
      <c r="I88" s="542" t="s">
        <v>5298</v>
      </c>
      <c r="J88" s="543" t="s">
        <v>5299</v>
      </c>
      <c r="K88" t="e">
        <f t="shared" si="1"/>
        <v>#VALUE!</v>
      </c>
      <c r="AP88" s="1723" t="e">
        <f t="shared" si="2"/>
        <v>#VALUE!</v>
      </c>
      <c r="AQ88" s="1723"/>
      <c r="AR88" s="1723"/>
      <c r="AT88" s="1725" t="e">
        <f t="shared" si="3"/>
        <v>#VALUE!</v>
      </c>
      <c r="AU88" s="1725"/>
      <c r="AV88" s="1725"/>
    </row>
    <row r="89" spans="1:48" x14ac:dyDescent="0.3">
      <c r="A89" s="6234">
        <v>21500900</v>
      </c>
      <c r="B89" s="539" t="s">
        <v>297</v>
      </c>
      <c r="C89" s="540" t="s">
        <v>5292</v>
      </c>
      <c r="D89" s="541" t="s">
        <v>5293</v>
      </c>
      <c r="E89" s="540" t="s">
        <v>5294</v>
      </c>
      <c r="F89" s="541" t="s">
        <v>5295</v>
      </c>
      <c r="G89" s="542" t="s">
        <v>5296</v>
      </c>
      <c r="H89" s="543" t="s">
        <v>5297</v>
      </c>
      <c r="I89" s="542" t="s">
        <v>5298</v>
      </c>
      <c r="J89" s="543" t="s">
        <v>5299</v>
      </c>
      <c r="K89" t="e">
        <f t="shared" si="1"/>
        <v>#VALUE!</v>
      </c>
      <c r="AP89" s="1723" t="e">
        <f t="shared" si="2"/>
        <v>#VALUE!</v>
      </c>
      <c r="AQ89" s="1723"/>
      <c r="AR89" s="1723"/>
      <c r="AT89" s="1725" t="e">
        <f t="shared" si="3"/>
        <v>#VALUE!</v>
      </c>
      <c r="AU89" s="1725"/>
      <c r="AV89" s="1725"/>
    </row>
    <row r="90" spans="1:48" x14ac:dyDescent="0.3">
      <c r="A90" s="6234">
        <v>21700700</v>
      </c>
      <c r="B90" s="539" t="s">
        <v>510</v>
      </c>
      <c r="C90" s="540" t="s">
        <v>5292</v>
      </c>
      <c r="D90" s="541" t="s">
        <v>5293</v>
      </c>
      <c r="E90" s="540" t="s">
        <v>5294</v>
      </c>
      <c r="F90" s="541" t="s">
        <v>5295</v>
      </c>
      <c r="G90" s="542" t="s">
        <v>5296</v>
      </c>
      <c r="H90" s="543" t="s">
        <v>5297</v>
      </c>
      <c r="I90" s="542" t="s">
        <v>5298</v>
      </c>
      <c r="J90" s="543" t="s">
        <v>5299</v>
      </c>
      <c r="K90" t="e">
        <f t="shared" si="1"/>
        <v>#VALUE!</v>
      </c>
      <c r="AP90" s="1723" t="e">
        <f t="shared" si="2"/>
        <v>#VALUE!</v>
      </c>
      <c r="AQ90" s="1723"/>
      <c r="AR90" s="1723"/>
      <c r="AT90" s="1725" t="e">
        <f t="shared" si="3"/>
        <v>#VALUE!</v>
      </c>
      <c r="AU90" s="1725"/>
      <c r="AV90" s="1725"/>
    </row>
    <row r="91" spans="1:48" x14ac:dyDescent="0.3">
      <c r="A91" s="6234">
        <v>29101381</v>
      </c>
      <c r="B91" s="539" t="s">
        <v>511</v>
      </c>
      <c r="C91" s="540" t="s">
        <v>5292</v>
      </c>
      <c r="D91" s="541" t="s">
        <v>5293</v>
      </c>
      <c r="E91" s="540" t="s">
        <v>5294</v>
      </c>
      <c r="F91" s="541" t="s">
        <v>5295</v>
      </c>
      <c r="G91" s="542" t="s">
        <v>5296</v>
      </c>
      <c r="H91" s="543" t="s">
        <v>5297</v>
      </c>
      <c r="I91" s="542" t="s">
        <v>5298</v>
      </c>
      <c r="J91" s="543" t="s">
        <v>5299</v>
      </c>
      <c r="K91" t="e">
        <f t="shared" si="1"/>
        <v>#VALUE!</v>
      </c>
      <c r="AP91" s="1723" t="e">
        <f t="shared" si="2"/>
        <v>#VALUE!</v>
      </c>
      <c r="AQ91" s="1723"/>
      <c r="AR91" s="1723"/>
      <c r="AT91" s="1725" t="e">
        <f t="shared" si="3"/>
        <v>#VALUE!</v>
      </c>
      <c r="AU91" s="1725"/>
      <c r="AV91" s="1725"/>
    </row>
    <row r="92" spans="1:48" x14ac:dyDescent="0.3">
      <c r="A92" s="6238"/>
      <c r="B92" s="2450" t="s">
        <v>24</v>
      </c>
      <c r="C92" s="4478">
        <f t="shared" ref="C92:J92" si="4">SUM(C79:C91)</f>
        <v>0</v>
      </c>
      <c r="D92" s="4478">
        <f t="shared" si="4"/>
        <v>0</v>
      </c>
      <c r="E92" s="4478">
        <f t="shared" si="4"/>
        <v>0</v>
      </c>
      <c r="F92" s="4478">
        <f t="shared" si="4"/>
        <v>0</v>
      </c>
      <c r="G92" s="4478">
        <f t="shared" si="4"/>
        <v>0</v>
      </c>
      <c r="H92" s="4478">
        <f t="shared" si="4"/>
        <v>0</v>
      </c>
      <c r="I92" s="4478">
        <f t="shared" si="4"/>
        <v>0</v>
      </c>
      <c r="J92" s="512">
        <f t="shared" si="4"/>
        <v>0</v>
      </c>
    </row>
    <row r="93" spans="1:48" s="17" customFormat="1" ht="18" customHeight="1" x14ac:dyDescent="0.25">
      <c r="B93" s="7700" t="s">
        <v>512</v>
      </c>
      <c r="C93" s="7700"/>
      <c r="D93" s="7700"/>
      <c r="E93" s="7700"/>
      <c r="F93" s="7700"/>
      <c r="G93" s="7700"/>
      <c r="H93" s="7700"/>
    </row>
    <row r="94" spans="1:48" x14ac:dyDescent="0.3">
      <c r="B94" s="7701" t="s">
        <v>513</v>
      </c>
      <c r="C94" s="7697" t="s">
        <v>514</v>
      </c>
      <c r="D94" s="7698"/>
      <c r="E94" s="7698"/>
      <c r="F94" s="7698"/>
      <c r="G94" s="7698"/>
      <c r="H94" s="7699"/>
    </row>
    <row r="95" spans="1:48" x14ac:dyDescent="0.3">
      <c r="B95" s="7702"/>
      <c r="C95" s="2451" t="s">
        <v>385</v>
      </c>
      <c r="D95" s="2448" t="s">
        <v>1320</v>
      </c>
      <c r="E95" s="455" t="s">
        <v>242</v>
      </c>
      <c r="F95" s="477" t="s">
        <v>424</v>
      </c>
      <c r="G95" s="2449" t="s">
        <v>425</v>
      </c>
      <c r="H95" s="2449" t="s">
        <v>28</v>
      </c>
    </row>
    <row r="96" spans="1:48" x14ac:dyDescent="0.3">
      <c r="A96" s="6234">
        <v>21700701</v>
      </c>
      <c r="B96" s="535" t="s">
        <v>515</v>
      </c>
      <c r="C96" s="545" t="s">
        <v>5292</v>
      </c>
      <c r="D96" s="538" t="s">
        <v>5293</v>
      </c>
      <c r="E96" s="546" t="s">
        <v>5294</v>
      </c>
      <c r="F96" s="547" t="s">
        <v>5295</v>
      </c>
      <c r="G96" s="548" t="s">
        <v>5296</v>
      </c>
      <c r="H96" s="548" t="s">
        <v>5297</v>
      </c>
      <c r="I96" t="str">
        <f>AP96</f>
        <v>* La Suma de los Beneficiarios MAI, MLE y Otros debe ser igual al Total.</v>
      </c>
      <c r="AP96" s="1723" t="str">
        <f>IF(SUM(F96:H96)&lt;&gt;C96,"* La Suma de los Beneficiarios MAI, MLE y Otros debe ser igual al Total.","")</f>
        <v>* La Suma de los Beneficiarios MAI, MLE y Otros debe ser igual al Total.</v>
      </c>
      <c r="AT96" s="1723">
        <f>IF(SUM(F96:H96)&lt;&gt;C96,1,0)</f>
        <v>1</v>
      </c>
    </row>
    <row r="97" spans="1:48" x14ac:dyDescent="0.3">
      <c r="A97" s="6234">
        <v>21700702</v>
      </c>
      <c r="B97" s="549" t="s">
        <v>516</v>
      </c>
      <c r="C97" s="443" t="s">
        <v>5292</v>
      </c>
      <c r="D97" s="542" t="s">
        <v>5293</v>
      </c>
      <c r="E97" s="550" t="s">
        <v>5294</v>
      </c>
      <c r="F97" s="551" t="s">
        <v>5295</v>
      </c>
      <c r="G97" s="446" t="s">
        <v>5296</v>
      </c>
      <c r="H97" s="446" t="s">
        <v>5297</v>
      </c>
      <c r="I97" t="str">
        <f t="shared" ref="I97:I103" si="5">AP97</f>
        <v>* La Suma de los Beneficiarios MAI, MLE y Otros debe ser igual al Total.</v>
      </c>
      <c r="AP97" s="1723" t="str">
        <f t="shared" ref="AP97:AP103" si="6">IF(SUM(F97:H97)&lt;&gt;C97,"* La Suma de los Beneficiarios MAI, MLE y Otros debe ser igual al Total.","")</f>
        <v>* La Suma de los Beneficiarios MAI, MLE y Otros debe ser igual al Total.</v>
      </c>
      <c r="AT97" s="1723">
        <f t="shared" ref="AT97:AT103" si="7">IF(SUM(F97:H97)&lt;&gt;C97,1,0)</f>
        <v>1</v>
      </c>
    </row>
    <row r="98" spans="1:48" x14ac:dyDescent="0.3">
      <c r="A98" s="6234">
        <v>21700703</v>
      </c>
      <c r="B98" s="539" t="s">
        <v>517</v>
      </c>
      <c r="C98" s="443" t="s">
        <v>5292</v>
      </c>
      <c r="D98" s="542" t="s">
        <v>5293</v>
      </c>
      <c r="E98" s="550" t="s">
        <v>5294</v>
      </c>
      <c r="F98" s="551" t="s">
        <v>5295</v>
      </c>
      <c r="G98" s="446" t="s">
        <v>5296</v>
      </c>
      <c r="H98" s="446" t="s">
        <v>5297</v>
      </c>
      <c r="I98" t="str">
        <f t="shared" si="5"/>
        <v>* La Suma de los Beneficiarios MAI, MLE y Otros debe ser igual al Total.</v>
      </c>
      <c r="AP98" s="1723" t="str">
        <f t="shared" si="6"/>
        <v>* La Suma de los Beneficiarios MAI, MLE y Otros debe ser igual al Total.</v>
      </c>
      <c r="AT98" s="1723">
        <f t="shared" si="7"/>
        <v>1</v>
      </c>
    </row>
    <row r="99" spans="1:48" x14ac:dyDescent="0.3">
      <c r="A99" s="6241">
        <v>21700709</v>
      </c>
      <c r="B99" s="539" t="s">
        <v>3898</v>
      </c>
      <c r="C99" s="443" t="s">
        <v>5292</v>
      </c>
      <c r="D99" s="542" t="s">
        <v>5293</v>
      </c>
      <c r="E99" s="5719" t="s">
        <v>5294</v>
      </c>
      <c r="F99" s="5720" t="s">
        <v>5295</v>
      </c>
      <c r="G99" s="5721" t="s">
        <v>5296</v>
      </c>
      <c r="H99" s="5721" t="s">
        <v>5297</v>
      </c>
      <c r="I99" t="str">
        <f t="shared" si="5"/>
        <v>* La Suma de los Beneficiarios MAI, MLE y Otros debe ser igual al Total.</v>
      </c>
      <c r="AP99" s="1723" t="str">
        <f t="shared" si="6"/>
        <v>* La Suma de los Beneficiarios MAI, MLE y Otros debe ser igual al Total.</v>
      </c>
      <c r="AT99" s="1723">
        <f t="shared" si="7"/>
        <v>1</v>
      </c>
    </row>
    <row r="100" spans="1:48" x14ac:dyDescent="0.3">
      <c r="A100" s="6234">
        <v>21700704</v>
      </c>
      <c r="B100" s="539" t="s">
        <v>518</v>
      </c>
      <c r="C100" s="443" t="s">
        <v>5292</v>
      </c>
      <c r="D100" s="542" t="s">
        <v>5293</v>
      </c>
      <c r="E100" s="550" t="s">
        <v>5294</v>
      </c>
      <c r="F100" s="551" t="s">
        <v>5295</v>
      </c>
      <c r="G100" s="446" t="s">
        <v>5296</v>
      </c>
      <c r="H100" s="446" t="s">
        <v>5297</v>
      </c>
      <c r="I100" t="str">
        <f t="shared" si="5"/>
        <v>* La Suma de los Beneficiarios MAI, MLE y Otros debe ser igual al Total.</v>
      </c>
      <c r="AP100" s="1723" t="str">
        <f t="shared" si="6"/>
        <v>* La Suma de los Beneficiarios MAI, MLE y Otros debe ser igual al Total.</v>
      </c>
      <c r="AT100" s="1723">
        <f t="shared" si="7"/>
        <v>1</v>
      </c>
    </row>
    <row r="101" spans="1:48" x14ac:dyDescent="0.3">
      <c r="A101" s="6234">
        <v>21700705</v>
      </c>
      <c r="B101" s="539" t="s">
        <v>519</v>
      </c>
      <c r="C101" s="443" t="s">
        <v>5292</v>
      </c>
      <c r="D101" s="542" t="s">
        <v>5293</v>
      </c>
      <c r="E101" s="550" t="s">
        <v>5294</v>
      </c>
      <c r="F101" s="551" t="s">
        <v>5295</v>
      </c>
      <c r="G101" s="446" t="s">
        <v>5296</v>
      </c>
      <c r="H101" s="446" t="s">
        <v>5297</v>
      </c>
      <c r="I101" t="str">
        <f t="shared" si="5"/>
        <v>* La Suma de los Beneficiarios MAI, MLE y Otros debe ser igual al Total.</v>
      </c>
      <c r="AP101" s="1723" t="str">
        <f t="shared" si="6"/>
        <v>* La Suma de los Beneficiarios MAI, MLE y Otros debe ser igual al Total.</v>
      </c>
      <c r="AT101" s="1723">
        <f t="shared" si="7"/>
        <v>1</v>
      </c>
    </row>
    <row r="102" spans="1:48" x14ac:dyDescent="0.3">
      <c r="A102" s="6234">
        <v>21700706</v>
      </c>
      <c r="B102" s="549" t="s">
        <v>520</v>
      </c>
      <c r="C102" s="443" t="s">
        <v>5292</v>
      </c>
      <c r="D102" s="542" t="s">
        <v>5293</v>
      </c>
      <c r="E102" s="550" t="s">
        <v>5294</v>
      </c>
      <c r="F102" s="551" t="s">
        <v>5295</v>
      </c>
      <c r="G102" s="446" t="s">
        <v>5296</v>
      </c>
      <c r="H102" s="446" t="s">
        <v>5297</v>
      </c>
      <c r="I102" t="str">
        <f t="shared" si="5"/>
        <v>* La Suma de los Beneficiarios MAI, MLE y Otros debe ser igual al Total.</v>
      </c>
      <c r="AP102" s="1723" t="str">
        <f t="shared" si="6"/>
        <v>* La Suma de los Beneficiarios MAI, MLE y Otros debe ser igual al Total.</v>
      </c>
      <c r="AT102" s="1723">
        <f t="shared" si="7"/>
        <v>1</v>
      </c>
    </row>
    <row r="103" spans="1:48" x14ac:dyDescent="0.3">
      <c r="A103" s="6234">
        <v>21800890</v>
      </c>
      <c r="B103" s="552" t="s">
        <v>521</v>
      </c>
      <c r="C103" s="553" t="s">
        <v>5292</v>
      </c>
      <c r="D103" s="542" t="s">
        <v>5293</v>
      </c>
      <c r="E103" s="550" t="s">
        <v>5294</v>
      </c>
      <c r="F103" s="551" t="s">
        <v>5295</v>
      </c>
      <c r="G103" s="554" t="s">
        <v>5296</v>
      </c>
      <c r="H103" s="554" t="s">
        <v>5297</v>
      </c>
      <c r="I103" t="str">
        <f t="shared" si="5"/>
        <v>* La Suma de los Beneficiarios MAI, MLE y Otros debe ser igual al Total.</v>
      </c>
      <c r="AP103" s="1723" t="str">
        <f t="shared" si="6"/>
        <v>* La Suma de los Beneficiarios MAI, MLE y Otros debe ser igual al Total.</v>
      </c>
      <c r="AT103" s="1723">
        <f t="shared" si="7"/>
        <v>1</v>
      </c>
    </row>
    <row r="104" spans="1:48" x14ac:dyDescent="0.3">
      <c r="A104" s="6238"/>
      <c r="B104" s="2452" t="s">
        <v>24</v>
      </c>
      <c r="C104" s="2453">
        <f t="shared" ref="C104:H104" si="8">SUM(C96:C103)</f>
        <v>0</v>
      </c>
      <c r="D104" s="4474">
        <f t="shared" si="8"/>
        <v>0</v>
      </c>
      <c r="E104" s="4475">
        <f t="shared" si="8"/>
        <v>0</v>
      </c>
      <c r="F104" s="4476">
        <f t="shared" si="8"/>
        <v>0</v>
      </c>
      <c r="G104" s="4477">
        <f t="shared" si="8"/>
        <v>0</v>
      </c>
      <c r="H104" s="4477">
        <f t="shared" si="8"/>
        <v>0</v>
      </c>
      <c r="I104" s="2454" t="str">
        <f>AP104</f>
        <v/>
      </c>
      <c r="AP104" s="1723" t="str">
        <f>IF((I92+J92)&lt;&gt;C104," * El total de Causas de suspensión debe coincidir con la suma de Pacientes suspendidos de la Sección E","")</f>
        <v/>
      </c>
      <c r="AQ104" s="1722"/>
      <c r="AR104" s="1722"/>
      <c r="AT104" s="1724">
        <f>IF((I92+J92)&lt;&gt;C104,1,0)</f>
        <v>0</v>
      </c>
      <c r="AU104" s="1724"/>
      <c r="AV104" s="1724"/>
    </row>
    <row r="105" spans="1:48" s="17" customFormat="1" ht="18" customHeight="1" x14ac:dyDescent="0.25">
      <c r="A105" s="103"/>
      <c r="B105" s="778" t="s">
        <v>522</v>
      </c>
      <c r="F105" s="5740"/>
      <c r="G105" s="163"/>
      <c r="H105" s="163"/>
    </row>
    <row r="106" spans="1:48" x14ac:dyDescent="0.3">
      <c r="A106" s="103"/>
      <c r="B106" s="7299" t="s">
        <v>523</v>
      </c>
      <c r="C106" s="7299" t="s">
        <v>1</v>
      </c>
      <c r="D106" s="7695" t="s">
        <v>12</v>
      </c>
      <c r="E106" s="7695"/>
      <c r="F106" s="7695"/>
      <c r="G106" s="7696" t="s">
        <v>48</v>
      </c>
      <c r="H106" s="7226"/>
    </row>
    <row r="107" spans="1:48" ht="20.399999999999999" x14ac:dyDescent="0.3">
      <c r="A107" s="103"/>
      <c r="B107" s="7694"/>
      <c r="C107" s="7694"/>
      <c r="D107" s="5741" t="s">
        <v>3758</v>
      </c>
      <c r="E107" s="555" t="s">
        <v>524</v>
      </c>
      <c r="F107" s="5742" t="s">
        <v>525</v>
      </c>
      <c r="G107" s="5829" t="s">
        <v>41</v>
      </c>
      <c r="H107" s="5830" t="s">
        <v>42</v>
      </c>
    </row>
    <row r="108" spans="1:48" x14ac:dyDescent="0.3">
      <c r="A108" s="6234">
        <v>29101382</v>
      </c>
      <c r="B108" s="556" t="s">
        <v>21</v>
      </c>
      <c r="C108" s="557" t="s">
        <v>5292</v>
      </c>
      <c r="D108" s="482" t="s">
        <v>5293</v>
      </c>
      <c r="E108" s="320" t="s">
        <v>5294</v>
      </c>
      <c r="F108" s="558" t="s">
        <v>5295</v>
      </c>
      <c r="G108" s="5691" t="s">
        <v>5296</v>
      </c>
      <c r="H108" s="790" t="s">
        <v>5297</v>
      </c>
      <c r="I108" t="str">
        <f>AP108</f>
        <v xml:space="preserve"> * Trans Masculino no puede ser mayor al Total.</v>
      </c>
      <c r="AP108" s="1723" t="str">
        <f>IF(AND(C108&gt;0,G108=""),"* No olvide digitar la variable Trans Masculino.",IF(G108&gt;C108," * Trans Masculino no puede ser mayor al Total.",""))</f>
        <v xml:space="preserve"> * Trans Masculino no puede ser mayor al Total.</v>
      </c>
      <c r="AT108" s="1725">
        <f>IF(AND(C108&gt;0,G108=""),1,IF(G108&gt;C108,1,0))</f>
        <v>1</v>
      </c>
    </row>
    <row r="109" spans="1:48" x14ac:dyDescent="0.3">
      <c r="A109" s="6234">
        <v>29101383</v>
      </c>
      <c r="B109" s="560" t="s">
        <v>250</v>
      </c>
      <c r="C109" s="150" t="s">
        <v>5292</v>
      </c>
      <c r="D109" s="114" t="s">
        <v>5293</v>
      </c>
      <c r="E109" s="115" t="s">
        <v>5294</v>
      </c>
      <c r="F109" s="138" t="s">
        <v>5295</v>
      </c>
      <c r="G109" s="2816" t="s">
        <v>5296</v>
      </c>
      <c r="H109" s="116" t="s">
        <v>5297</v>
      </c>
      <c r="I109" t="str">
        <f>AQ109</f>
        <v xml:space="preserve"> * Trans Femeninoo no puede ser mayor al Total.</v>
      </c>
      <c r="AQ109" s="1723" t="str">
        <f>IF(AND(C109&gt;0,H109=""),"* No olvide digitar la variable Trans Femenino.",IF(H109&gt;C109," * Trans Femeninoo no puede ser mayor al Total.",""))</f>
        <v xml:space="preserve"> * Trans Femeninoo no puede ser mayor al Total.</v>
      </c>
      <c r="AU109" s="1725">
        <f>IF(AND(C109&gt;0,H109=""),1,IF(H109&gt;C109,1,0))</f>
        <v>1</v>
      </c>
    </row>
    <row r="112" spans="1:48" x14ac:dyDescent="0.3">
      <c r="A112" t="s">
        <v>5208</v>
      </c>
    </row>
    <row r="113" spans="1:1" x14ac:dyDescent="0.3">
      <c r="A113" s="6241">
        <v>21700709</v>
      </c>
    </row>
    <row r="201" spans="2:3" hidden="1" x14ac:dyDescent="0.3">
      <c r="B201" s="4463">
        <f>SUM(C13:G13,H13:K13,H14:H17,L13:AF13,L14:L17,Q14:Q17,V14:V17,AA14:AA17,AD14:AD17,C22:C26,D31:D37,C40:C48,C51:C53,C56:C58,C67:F67,D70:D74,C92:J92,C96:C103,C104:H104,C108:C109)</f>
        <v>0</v>
      </c>
      <c r="C201" s="4437" t="e">
        <f>SUM(AT79:AW109)</f>
        <v>#VALUE!</v>
      </c>
    </row>
  </sheetData>
  <mergeCells count="42">
    <mergeCell ref="AA9:AF9"/>
    <mergeCell ref="H10:K11"/>
    <mergeCell ref="L10:P11"/>
    <mergeCell ref="Q10:U11"/>
    <mergeCell ref="V10:Z11"/>
    <mergeCell ref="AA10:AC11"/>
    <mergeCell ref="AD10:AF11"/>
    <mergeCell ref="B6:K6"/>
    <mergeCell ref="B9:B12"/>
    <mergeCell ref="C9:C12"/>
    <mergeCell ref="D9:D12"/>
    <mergeCell ref="E9:E12"/>
    <mergeCell ref="F9:F12"/>
    <mergeCell ref="G9:G12"/>
    <mergeCell ref="H9:Z9"/>
    <mergeCell ref="B29:C30"/>
    <mergeCell ref="D29:D30"/>
    <mergeCell ref="E29:G29"/>
    <mergeCell ref="H29:M29"/>
    <mergeCell ref="B31:C31"/>
    <mergeCell ref="B35:B36"/>
    <mergeCell ref="B37:C37"/>
    <mergeCell ref="B32:C32"/>
    <mergeCell ref="B33:C33"/>
    <mergeCell ref="B34:C34"/>
    <mergeCell ref="B68:F68"/>
    <mergeCell ref="B70:C70"/>
    <mergeCell ref="B71:B72"/>
    <mergeCell ref="B73:B74"/>
    <mergeCell ref="B76:B78"/>
    <mergeCell ref="C76:D77"/>
    <mergeCell ref="E76:F77"/>
    <mergeCell ref="B106:B107"/>
    <mergeCell ref="C106:C107"/>
    <mergeCell ref="D106:F106"/>
    <mergeCell ref="G106:H106"/>
    <mergeCell ref="G76:J76"/>
    <mergeCell ref="G77:H77"/>
    <mergeCell ref="I77:J77"/>
    <mergeCell ref="B93:H93"/>
    <mergeCell ref="B94:B95"/>
    <mergeCell ref="C94:H94"/>
  </mergeCells>
  <dataValidations count="5">
    <dataValidation type="whole" operator="greaterThanOrEqual" allowBlank="1" showInputMessage="1" showErrorMessage="1" sqref="C14:C17 D22:H26 C40:C48 D51:F53 D56:G58 C61:F66 E70:J74 C79:J91 D96:H103 E31:M37" xr:uid="{00000000-0002-0000-0E00-000000000000}">
      <formula1>0</formula1>
    </dataValidation>
    <dataValidation type="whole" allowBlank="1" showInputMessage="1" showErrorMessage="1" sqref="C55 D59:E60 B67:F67 D105:E105" xr:uid="{00000000-0002-0000-0E00-000001000000}">
      <formula1>0</formula1>
      <formula2>1E+27</formula2>
    </dataValidation>
    <dataValidation type="whole" allowBlank="1" showInputMessage="1" showErrorMessage="1" sqref="E92:J92 D108:H109" xr:uid="{00000000-0002-0000-0E00-000002000000}">
      <formula1>0</formula1>
      <formula2>10000000</formula2>
    </dataValidation>
    <dataValidation allowBlank="1" showInputMessage="1" showErrorMessage="1" error="Valor no Permitido" sqref="B108 B105:B106 C105:C109 D105:F105" xr:uid="{00000000-0002-0000-0E00-000003000000}"/>
    <dataValidation type="decimal" operator="greaterThanOrEqual" allowBlank="1" showInputMessage="1" showErrorMessage="1" sqref="D14:G17 I14:K17 M14:P17 R14:U17 W14:Z17 AB14:AC17 AE14:AF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M342"/>
  <sheetViews>
    <sheetView showGridLines="0" workbookViewId="0"/>
  </sheetViews>
  <sheetFormatPr baseColWidth="10" defaultRowHeight="14.4" x14ac:dyDescent="0.3"/>
  <cols>
    <col min="1" max="1" width="16" customWidth="1"/>
    <col min="2" max="2" width="56.109375" customWidth="1"/>
    <col min="3" max="3" width="32.6640625" customWidth="1"/>
    <col min="4" max="4" width="19.88671875" customWidth="1"/>
    <col min="5" max="5" width="15.6640625" customWidth="1"/>
    <col min="6" max="6" width="13.44140625" customWidth="1"/>
    <col min="39" max="39" width="11.88671875" customWidth="1"/>
    <col min="80" max="80" width="11.44140625" customWidth="1"/>
    <col min="81" max="84" width="11.44140625" style="1723" hidden="1" customWidth="1"/>
    <col min="85" max="85" width="11.44140625" hidden="1" customWidth="1"/>
    <col min="86" max="89" width="11.44140625" style="1725" hidden="1" customWidth="1"/>
    <col min="90" max="90" width="11.44140625" customWidth="1"/>
  </cols>
  <sheetData>
    <row r="1" spans="1:89" x14ac:dyDescent="0.3">
      <c r="B1" s="774" t="s">
        <v>3879</v>
      </c>
      <c r="CC1"/>
      <c r="CD1"/>
      <c r="CE1"/>
      <c r="CF1"/>
      <c r="CH1"/>
      <c r="CI1"/>
      <c r="CJ1"/>
      <c r="CK1"/>
    </row>
    <row r="2" spans="1:89" x14ac:dyDescent="0.3">
      <c r="B2" s="774" t="str">
        <f>CONCATENATE("COMUNA: ",NOMBRE!B2," - ","( ",NOMBRE!C2,NOMBRE!D2,NOMBRE!E2,NOMBRE!F2,NOMBRE!G2," )")</f>
        <v>COMUNA:  - (  )</v>
      </c>
      <c r="CC2"/>
      <c r="CD2"/>
      <c r="CE2"/>
      <c r="CF2"/>
      <c r="CH2"/>
      <c r="CI2"/>
      <c r="CJ2"/>
      <c r="CK2"/>
    </row>
    <row r="3" spans="1:89" x14ac:dyDescent="0.3">
      <c r="B3" s="774" t="str">
        <f>CONCATENATE("ESTABLECIMIENTO/ESTRATEGIA: ",NOMBRE!B3," - ","( ",NOMBRE!C3,NOMBRE!D3,NOMBRE!E3,NOMBRE!F3,NOMBRE!G3,NOMBRE!H3," )")</f>
        <v>ESTABLECIMIENTO/ESTRATEGIA:  - (  )</v>
      </c>
      <c r="CC3"/>
      <c r="CD3"/>
      <c r="CE3"/>
      <c r="CF3"/>
      <c r="CH3"/>
      <c r="CI3"/>
      <c r="CJ3"/>
      <c r="CK3"/>
    </row>
    <row r="4" spans="1:89" x14ac:dyDescent="0.3">
      <c r="B4" s="774" t="str">
        <f>CONCATENATE("MES: ",NOMBRE!B6," - ","( ",NOMBRE!C6,NOMBRE!D6," )")</f>
        <v>MES:  - (  )</v>
      </c>
      <c r="CC4"/>
      <c r="CD4"/>
      <c r="CE4"/>
      <c r="CF4"/>
      <c r="CH4"/>
      <c r="CI4"/>
      <c r="CJ4"/>
      <c r="CK4"/>
    </row>
    <row r="5" spans="1:89" x14ac:dyDescent="0.3">
      <c r="B5" s="774" t="str">
        <f>CONCATENATE("AÑO: ",NOMBRE!B7)</f>
        <v>AÑO: 2024</v>
      </c>
      <c r="CC5"/>
      <c r="CD5"/>
      <c r="CE5"/>
      <c r="CF5"/>
      <c r="CH5"/>
      <c r="CI5"/>
      <c r="CJ5"/>
      <c r="CK5"/>
    </row>
    <row r="6" spans="1:89" ht="18" customHeight="1" x14ac:dyDescent="0.3">
      <c r="B6" s="7028" t="s">
        <v>998</v>
      </c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7028"/>
      <c r="R6" s="7028"/>
      <c r="S6" s="7028"/>
      <c r="T6" s="7028"/>
      <c r="U6" s="7028"/>
      <c r="V6" s="7028"/>
      <c r="W6" s="7028"/>
      <c r="CC6"/>
      <c r="CD6"/>
      <c r="CE6"/>
      <c r="CF6"/>
      <c r="CH6"/>
      <c r="CI6"/>
      <c r="CJ6"/>
      <c r="CK6"/>
    </row>
    <row r="7" spans="1:89" ht="15" customHeight="1" x14ac:dyDescent="0.3">
      <c r="CC7"/>
      <c r="CD7"/>
      <c r="CE7"/>
      <c r="CF7"/>
      <c r="CH7"/>
      <c r="CI7"/>
      <c r="CJ7"/>
      <c r="CK7"/>
    </row>
    <row r="8" spans="1:89" s="1116" customFormat="1" ht="18" customHeight="1" x14ac:dyDescent="0.2">
      <c r="B8" s="7" t="s">
        <v>999</v>
      </c>
      <c r="C8" s="19"/>
    </row>
    <row r="9" spans="1:89" s="170" customFormat="1" ht="15" customHeight="1" x14ac:dyDescent="0.2">
      <c r="A9" s="6282"/>
      <c r="B9" s="7755" t="s">
        <v>1000</v>
      </c>
      <c r="C9" s="7858" t="s">
        <v>24</v>
      </c>
      <c r="D9" s="7859"/>
      <c r="E9" s="7860"/>
      <c r="F9" s="7864" t="s">
        <v>30</v>
      </c>
      <c r="G9" s="7864"/>
      <c r="H9" s="7864"/>
      <c r="I9" s="7864"/>
      <c r="J9" s="7864"/>
      <c r="K9" s="7864"/>
      <c r="L9" s="7864"/>
      <c r="M9" s="7864"/>
      <c r="N9" s="7864"/>
      <c r="O9" s="7864"/>
      <c r="P9" s="7864"/>
      <c r="Q9" s="7864"/>
      <c r="R9" s="7864"/>
      <c r="S9" s="7864"/>
      <c r="T9" s="7864"/>
      <c r="U9" s="7864"/>
      <c r="V9" s="7864"/>
      <c r="W9" s="7864"/>
      <c r="X9" s="7864"/>
      <c r="Y9" s="7864"/>
      <c r="Z9" s="7864"/>
      <c r="AA9" s="7864"/>
      <c r="AB9" s="7864"/>
      <c r="AC9" s="7864"/>
      <c r="AD9" s="7864"/>
      <c r="AE9" s="7864"/>
      <c r="AF9" s="7864"/>
      <c r="AG9" s="7864"/>
      <c r="AH9" s="7864"/>
      <c r="AI9" s="7864"/>
      <c r="AJ9" s="7864"/>
      <c r="AK9" s="7865"/>
      <c r="AL9" s="7820" t="s">
        <v>2</v>
      </c>
      <c r="AM9" s="7671" t="s">
        <v>3</v>
      </c>
      <c r="AN9" s="7671" t="s">
        <v>267</v>
      </c>
    </row>
    <row r="10" spans="1:89" s="170" customFormat="1" ht="15" customHeight="1" x14ac:dyDescent="0.2">
      <c r="A10" s="6282"/>
      <c r="B10" s="6762"/>
      <c r="C10" s="7861"/>
      <c r="D10" s="7862"/>
      <c r="E10" s="7863"/>
      <c r="F10" s="7770" t="s">
        <v>682</v>
      </c>
      <c r="G10" s="7755"/>
      <c r="H10" s="7754" t="s">
        <v>1002</v>
      </c>
      <c r="I10" s="7755"/>
      <c r="J10" s="7754" t="s">
        <v>1003</v>
      </c>
      <c r="K10" s="7755"/>
      <c r="L10" s="6891" t="s">
        <v>38</v>
      </c>
      <c r="M10" s="6983"/>
      <c r="N10" s="7770" t="s">
        <v>4</v>
      </c>
      <c r="O10" s="7755"/>
      <c r="P10" s="6891" t="s">
        <v>5</v>
      </c>
      <c r="Q10" s="6983"/>
      <c r="R10" s="7754" t="s">
        <v>1004</v>
      </c>
      <c r="S10" s="7755"/>
      <c r="T10" s="6983" t="s">
        <v>9</v>
      </c>
      <c r="U10" s="6983"/>
      <c r="V10" s="7754" t="s">
        <v>10</v>
      </c>
      <c r="W10" s="7755"/>
      <c r="X10" s="6983" t="s">
        <v>11</v>
      </c>
      <c r="Y10" s="6983"/>
      <c r="Z10" s="7754" t="s">
        <v>18</v>
      </c>
      <c r="AA10" s="7755"/>
      <c r="AB10" s="6983" t="s">
        <v>19</v>
      </c>
      <c r="AC10" s="6983"/>
      <c r="AD10" s="7754" t="s">
        <v>20</v>
      </c>
      <c r="AE10" s="7755"/>
      <c r="AF10" s="6983" t="s">
        <v>70</v>
      </c>
      <c r="AG10" s="6983"/>
      <c r="AH10" s="7754" t="s">
        <v>71</v>
      </c>
      <c r="AI10" s="7755"/>
      <c r="AJ10" s="6983" t="s">
        <v>32</v>
      </c>
      <c r="AK10" s="7827"/>
      <c r="AL10" s="6831"/>
      <c r="AM10" s="7817"/>
      <c r="AN10" s="7817"/>
    </row>
    <row r="11" spans="1:89" s="170" customFormat="1" ht="15" customHeight="1" x14ac:dyDescent="0.2">
      <c r="A11" s="6282"/>
      <c r="B11" s="7853"/>
      <c r="C11" s="4760" t="s">
        <v>26</v>
      </c>
      <c r="D11" s="4775" t="s">
        <v>22</v>
      </c>
      <c r="E11" s="1104" t="s">
        <v>27</v>
      </c>
      <c r="F11" s="1118" t="s">
        <v>22</v>
      </c>
      <c r="G11" s="1119" t="s">
        <v>27</v>
      </c>
      <c r="H11" s="1118" t="s">
        <v>22</v>
      </c>
      <c r="I11" s="1119" t="s">
        <v>27</v>
      </c>
      <c r="J11" s="1118" t="s">
        <v>22</v>
      </c>
      <c r="K11" s="1119" t="s">
        <v>27</v>
      </c>
      <c r="L11" s="1117" t="s">
        <v>22</v>
      </c>
      <c r="M11" s="1068" t="s">
        <v>27</v>
      </c>
      <c r="N11" s="1118" t="s">
        <v>22</v>
      </c>
      <c r="O11" s="1119" t="s">
        <v>27</v>
      </c>
      <c r="P11" s="1117" t="s">
        <v>22</v>
      </c>
      <c r="Q11" s="1068" t="s">
        <v>27</v>
      </c>
      <c r="R11" s="1118" t="s">
        <v>22</v>
      </c>
      <c r="S11" s="1119" t="s">
        <v>27</v>
      </c>
      <c r="T11" s="1117" t="s">
        <v>22</v>
      </c>
      <c r="U11" s="1068" t="s">
        <v>27</v>
      </c>
      <c r="V11" s="1118" t="s">
        <v>22</v>
      </c>
      <c r="W11" s="1119" t="s">
        <v>27</v>
      </c>
      <c r="X11" s="1117" t="s">
        <v>22</v>
      </c>
      <c r="Y11" s="1068" t="s">
        <v>27</v>
      </c>
      <c r="Z11" s="1118" t="s">
        <v>22</v>
      </c>
      <c r="AA11" s="1119" t="s">
        <v>27</v>
      </c>
      <c r="AB11" s="1117" t="s">
        <v>22</v>
      </c>
      <c r="AC11" s="1068" t="s">
        <v>27</v>
      </c>
      <c r="AD11" s="1118" t="s">
        <v>22</v>
      </c>
      <c r="AE11" s="1119" t="s">
        <v>27</v>
      </c>
      <c r="AF11" s="1117" t="s">
        <v>22</v>
      </c>
      <c r="AG11" s="1068" t="s">
        <v>27</v>
      </c>
      <c r="AH11" s="1118" t="s">
        <v>22</v>
      </c>
      <c r="AI11" s="1119" t="s">
        <v>27</v>
      </c>
      <c r="AJ11" s="1117" t="s">
        <v>22</v>
      </c>
      <c r="AK11" s="1120" t="s">
        <v>27</v>
      </c>
      <c r="AL11" s="7855"/>
      <c r="AM11" s="7857"/>
      <c r="AN11" s="7857"/>
    </row>
    <row r="12" spans="1:89" s="170" customFormat="1" ht="15" customHeight="1" x14ac:dyDescent="0.2">
      <c r="A12" s="6240">
        <v>23030100</v>
      </c>
      <c r="B12" s="1121" t="s">
        <v>1005</v>
      </c>
      <c r="C12" s="1122" t="s">
        <v>5292</v>
      </c>
      <c r="D12" s="1123" t="s">
        <v>5293</v>
      </c>
      <c r="E12" s="1124" t="s">
        <v>5294</v>
      </c>
      <c r="F12" s="1125" t="s">
        <v>5295</v>
      </c>
      <c r="G12" s="1126" t="s">
        <v>5296</v>
      </c>
      <c r="H12" s="1125" t="s">
        <v>5297</v>
      </c>
      <c r="I12" s="1127" t="s">
        <v>5298</v>
      </c>
      <c r="J12" s="1125" t="s">
        <v>5299</v>
      </c>
      <c r="K12" s="1127" t="s">
        <v>5300</v>
      </c>
      <c r="L12" s="1128" t="s">
        <v>5301</v>
      </c>
      <c r="M12" s="1129" t="s">
        <v>5302</v>
      </c>
      <c r="N12" s="1125" t="s">
        <v>5303</v>
      </c>
      <c r="O12" s="1127" t="s">
        <v>5304</v>
      </c>
      <c r="P12" s="1128" t="s">
        <v>5305</v>
      </c>
      <c r="Q12" s="1129" t="s">
        <v>5306</v>
      </c>
      <c r="R12" s="1125" t="s">
        <v>5307</v>
      </c>
      <c r="S12" s="1127" t="s">
        <v>5308</v>
      </c>
      <c r="T12" s="1128" t="s">
        <v>5309</v>
      </c>
      <c r="U12" s="1129" t="s">
        <v>5310</v>
      </c>
      <c r="V12" s="1125" t="s">
        <v>5311</v>
      </c>
      <c r="W12" s="1127" t="s">
        <v>5312</v>
      </c>
      <c r="X12" s="1128" t="s">
        <v>5313</v>
      </c>
      <c r="Y12" s="1129" t="s">
        <v>5314</v>
      </c>
      <c r="Z12" s="1125" t="s">
        <v>5315</v>
      </c>
      <c r="AA12" s="1127" t="s">
        <v>5316</v>
      </c>
      <c r="AB12" s="1128" t="s">
        <v>5317</v>
      </c>
      <c r="AC12" s="1129" t="s">
        <v>5318</v>
      </c>
      <c r="AD12" s="1125" t="s">
        <v>5319</v>
      </c>
      <c r="AE12" s="1127" t="s">
        <v>5320</v>
      </c>
      <c r="AF12" s="1128" t="s">
        <v>5321</v>
      </c>
      <c r="AG12" s="1129" t="s">
        <v>5322</v>
      </c>
      <c r="AH12" s="1125" t="s">
        <v>5323</v>
      </c>
      <c r="AI12" s="1127" t="s">
        <v>5324</v>
      </c>
      <c r="AJ12" s="1130" t="s">
        <v>5325</v>
      </c>
      <c r="AK12" s="647" t="s">
        <v>5326</v>
      </c>
      <c r="AL12" s="1126" t="s">
        <v>5327</v>
      </c>
      <c r="AM12" s="1126" t="s">
        <v>5328</v>
      </c>
      <c r="AN12" s="1126" t="s">
        <v>5329</v>
      </c>
      <c r="AO12" s="170" t="str">
        <f>CC12&amp;CD12&amp;CE12&amp;CF12</f>
        <v xml:space="preserve"> * La variable Pueblos originarios no puede ser mayor al Total. * La variable Migrantes no puede ser mayor al Total. * La variable Por campaña de invierno no puede ser mayor al Total.</v>
      </c>
      <c r="CC12" s="2465" t="str">
        <f>IF(AND(C12&gt;0,AL12="")," * No olvide digitar la variable Pueblos originarios. Digite Cero si no tiene.",IF(AL12&gt;C12," * La variable Pueblos originarios no puede ser mayor al Total.",""))</f>
        <v xml:space="preserve"> * La variable Pueblos originarios no puede ser mayor al Total.</v>
      </c>
      <c r="CD12" s="2465" t="str">
        <f>IF(AND(C12&gt;0,AM12="")," * No olvide digitar la variable Migrantes. Digite Cero si no tiene.",IF(AM12&gt;C12," * La variable Migrantes no puede ser mayor al Total.",""))</f>
        <v xml:space="preserve"> * La variable Migrantes no puede ser mayor al Total.</v>
      </c>
      <c r="CE12" s="2465" t="str">
        <f>IF(AND(C12&gt;0,AN12="")," * No olvide digitar la variable Por campaña de invierno. Digite Cero si no tiene.",IF(AN12&gt;C12," * La variable Por campaña de invierno no puede ser mayor al Total.",""))</f>
        <v xml:space="preserve"> * La variable Por campaña de invierno no puede ser mayor al Total.</v>
      </c>
      <c r="CF12" s="2465"/>
      <c r="CH12" s="2466">
        <f>IF(AND(C12&gt;0,AL12=""),1,IF(AL12&gt;C12,1,0))</f>
        <v>1</v>
      </c>
      <c r="CI12" s="2466">
        <f>IF(AND(C12&gt;0,AM12=""),1,IF(AM12&gt;C12,1,0))</f>
        <v>1</v>
      </c>
      <c r="CJ12" s="2466">
        <f>IF(AND(C12&gt;0,AN12=""),1,IF(AN12&gt;C12,1,0))</f>
        <v>1</v>
      </c>
      <c r="CK12" s="2466"/>
    </row>
    <row r="13" spans="1:89" s="170" customFormat="1" ht="15" customHeight="1" x14ac:dyDescent="0.2">
      <c r="A13" s="6234">
        <v>23030300</v>
      </c>
      <c r="B13" s="1091" t="s">
        <v>1006</v>
      </c>
      <c r="C13" s="1131" t="s">
        <v>5292</v>
      </c>
      <c r="D13" s="1132" t="s">
        <v>5293</v>
      </c>
      <c r="E13" s="1133" t="s">
        <v>5294</v>
      </c>
      <c r="F13" s="1134" t="s">
        <v>5295</v>
      </c>
      <c r="G13" s="62" t="s">
        <v>5296</v>
      </c>
      <c r="H13" s="1134" t="s">
        <v>5297</v>
      </c>
      <c r="I13" s="1135" t="s">
        <v>5298</v>
      </c>
      <c r="J13" s="1134" t="s">
        <v>5299</v>
      </c>
      <c r="K13" s="1135" t="s">
        <v>5300</v>
      </c>
      <c r="L13" s="1136" t="s">
        <v>5301</v>
      </c>
      <c r="M13" s="1137" t="s">
        <v>5302</v>
      </c>
      <c r="N13" s="1134" t="s">
        <v>5303</v>
      </c>
      <c r="O13" s="1135" t="s">
        <v>5304</v>
      </c>
      <c r="P13" s="1136" t="s">
        <v>5305</v>
      </c>
      <c r="Q13" s="1137" t="s">
        <v>5306</v>
      </c>
      <c r="R13" s="1134" t="s">
        <v>5307</v>
      </c>
      <c r="S13" s="1135" t="s">
        <v>5308</v>
      </c>
      <c r="T13" s="1136" t="s">
        <v>5309</v>
      </c>
      <c r="U13" s="1137" t="s">
        <v>5310</v>
      </c>
      <c r="V13" s="1134" t="s">
        <v>5311</v>
      </c>
      <c r="W13" s="1135" t="s">
        <v>5312</v>
      </c>
      <c r="X13" s="1136" t="s">
        <v>5313</v>
      </c>
      <c r="Y13" s="1137" t="s">
        <v>5314</v>
      </c>
      <c r="Z13" s="1134" t="s">
        <v>5315</v>
      </c>
      <c r="AA13" s="1135" t="s">
        <v>5316</v>
      </c>
      <c r="AB13" s="1136" t="s">
        <v>5317</v>
      </c>
      <c r="AC13" s="1137" t="s">
        <v>5318</v>
      </c>
      <c r="AD13" s="1134" t="s">
        <v>5319</v>
      </c>
      <c r="AE13" s="1135" t="s">
        <v>5320</v>
      </c>
      <c r="AF13" s="1136" t="s">
        <v>5321</v>
      </c>
      <c r="AG13" s="1137" t="s">
        <v>5322</v>
      </c>
      <c r="AH13" s="1134" t="s">
        <v>5323</v>
      </c>
      <c r="AI13" s="1135" t="s">
        <v>5324</v>
      </c>
      <c r="AJ13" s="67" t="s">
        <v>5325</v>
      </c>
      <c r="AK13" s="1138" t="s">
        <v>5326</v>
      </c>
      <c r="AL13" s="62" t="s">
        <v>5327</v>
      </c>
      <c r="AM13" s="62" t="s">
        <v>5328</v>
      </c>
      <c r="AN13" s="62" t="s">
        <v>5329</v>
      </c>
      <c r="AO13" s="170" t="str">
        <f t="shared" ref="AO13:AO22" si="0">CC13&amp;CD13&amp;CE13&amp;CF13</f>
        <v xml:space="preserve"> * La variable Pueblos originarios no puede ser mayor al Total. * La variable Migrantes no puede ser mayor al Total. * La variable Por campaña de invierno no puede ser mayor al Total.</v>
      </c>
      <c r="CC13" s="2465" t="str">
        <f t="shared" ref="CC13:CC22" si="1">IF(AND(C13&gt;0,AL13="")," * No olvide digitar la variable Pueblos originarios. Digite Cero si no tiene.",IF(AL13&gt;C13," * La variable Pueblos originarios no puede ser mayor al Total.",""))</f>
        <v xml:space="preserve"> * La variable Pueblos originarios no puede ser mayor al Total.</v>
      </c>
      <c r="CD13" s="2465" t="str">
        <f t="shared" ref="CD13:CD22" si="2">IF(AND(C13&gt;0,AM13="")," * No olvide digitar la variable Migrantes. Digite Cero si no tiene.",IF(AM13&gt;C13," * La variable Migrantes no puede ser mayor al Total.",""))</f>
        <v xml:space="preserve"> * La variable Migrantes no puede ser mayor al Total.</v>
      </c>
      <c r="CE13" s="2465" t="str">
        <f t="shared" ref="CE13:CE22" si="3">IF(AND(C13&gt;0,AN13="")," * No olvide digitar la variable Por campaña de invierno. Digite Cero si no tiene.",IF(AN13&gt;C13," * La variable Por campaña de invierno no puede ser mayor al Total.",""))</f>
        <v xml:space="preserve"> * La variable Por campaña de invierno no puede ser mayor al Total.</v>
      </c>
      <c r="CF13" s="2465"/>
      <c r="CH13" s="2466">
        <f t="shared" ref="CH13:CH22" si="4">IF(AND(C13&gt;0,AL13=""),1,IF(AL13&gt;C13,1,0))</f>
        <v>1</v>
      </c>
      <c r="CI13" s="2466">
        <f t="shared" ref="CI13:CI22" si="5">IF(AND(C13&gt;0,AM13=""),1,IF(AM13&gt;C13,1,0))</f>
        <v>1</v>
      </c>
      <c r="CJ13" s="2466">
        <f t="shared" ref="CJ13:CJ22" si="6">IF(AND(C13&gt;0,AN13=""),1,IF(AN13&gt;C13,1,0))</f>
        <v>1</v>
      </c>
      <c r="CK13" s="2466"/>
    </row>
    <row r="14" spans="1:89" s="170" customFormat="1" ht="15" customHeight="1" x14ac:dyDescent="0.2">
      <c r="A14" s="6234">
        <v>23030400</v>
      </c>
      <c r="B14" s="1091" t="s">
        <v>1007</v>
      </c>
      <c r="C14" s="1131" t="s">
        <v>5292</v>
      </c>
      <c r="D14" s="1132" t="s">
        <v>5293</v>
      </c>
      <c r="E14" s="1133" t="s">
        <v>5294</v>
      </c>
      <c r="F14" s="1134" t="s">
        <v>5295</v>
      </c>
      <c r="G14" s="62" t="s">
        <v>5296</v>
      </c>
      <c r="H14" s="1134" t="s">
        <v>5297</v>
      </c>
      <c r="I14" s="1135" t="s">
        <v>5298</v>
      </c>
      <c r="J14" s="1134" t="s">
        <v>5299</v>
      </c>
      <c r="K14" s="1135" t="s">
        <v>5300</v>
      </c>
      <c r="L14" s="1136" t="s">
        <v>5301</v>
      </c>
      <c r="M14" s="1137" t="s">
        <v>5302</v>
      </c>
      <c r="N14" s="1134" t="s">
        <v>5303</v>
      </c>
      <c r="O14" s="1135" t="s">
        <v>5304</v>
      </c>
      <c r="P14" s="1136" t="s">
        <v>5305</v>
      </c>
      <c r="Q14" s="1137" t="s">
        <v>5306</v>
      </c>
      <c r="R14" s="1134" t="s">
        <v>5307</v>
      </c>
      <c r="S14" s="1135" t="s">
        <v>5308</v>
      </c>
      <c r="T14" s="1136" t="s">
        <v>5309</v>
      </c>
      <c r="U14" s="1137" t="s">
        <v>5310</v>
      </c>
      <c r="V14" s="1134" t="s">
        <v>5311</v>
      </c>
      <c r="W14" s="1135" t="s">
        <v>5312</v>
      </c>
      <c r="X14" s="1136" t="s">
        <v>5313</v>
      </c>
      <c r="Y14" s="1137" t="s">
        <v>5314</v>
      </c>
      <c r="Z14" s="1134" t="s">
        <v>5315</v>
      </c>
      <c r="AA14" s="1135" t="s">
        <v>5316</v>
      </c>
      <c r="AB14" s="1136" t="s">
        <v>5317</v>
      </c>
      <c r="AC14" s="1137" t="s">
        <v>5318</v>
      </c>
      <c r="AD14" s="1134" t="s">
        <v>5319</v>
      </c>
      <c r="AE14" s="1135" t="s">
        <v>5320</v>
      </c>
      <c r="AF14" s="1136" t="s">
        <v>5321</v>
      </c>
      <c r="AG14" s="1137" t="s">
        <v>5322</v>
      </c>
      <c r="AH14" s="1134" t="s">
        <v>5323</v>
      </c>
      <c r="AI14" s="1135" t="s">
        <v>5324</v>
      </c>
      <c r="AJ14" s="67" t="s">
        <v>5325</v>
      </c>
      <c r="AK14" s="1138" t="s">
        <v>5326</v>
      </c>
      <c r="AL14" s="62" t="s">
        <v>5327</v>
      </c>
      <c r="AM14" s="62" t="s">
        <v>5328</v>
      </c>
      <c r="AN14" s="62" t="s">
        <v>5329</v>
      </c>
      <c r="AO14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4" s="2465" t="str">
        <f t="shared" si="1"/>
        <v xml:space="preserve"> * La variable Pueblos originarios no puede ser mayor al Total.</v>
      </c>
      <c r="CD14" s="2465" t="str">
        <f t="shared" si="2"/>
        <v xml:space="preserve"> * La variable Migrantes no puede ser mayor al Total.</v>
      </c>
      <c r="CE14" s="2465" t="str">
        <f t="shared" si="3"/>
        <v xml:space="preserve"> * La variable Por campaña de invierno no puede ser mayor al Total.</v>
      </c>
      <c r="CF14" s="2465"/>
      <c r="CH14" s="2466">
        <f t="shared" si="4"/>
        <v>1</v>
      </c>
      <c r="CI14" s="2466">
        <f t="shared" si="5"/>
        <v>1</v>
      </c>
      <c r="CJ14" s="2466">
        <f t="shared" si="6"/>
        <v>1</v>
      </c>
      <c r="CK14" s="2466"/>
    </row>
    <row r="15" spans="1:89" s="170" customFormat="1" ht="15" customHeight="1" x14ac:dyDescent="0.2">
      <c r="A15" s="6234">
        <v>23030500</v>
      </c>
      <c r="B15" s="1091" t="s">
        <v>1008</v>
      </c>
      <c r="C15" s="1131" t="s">
        <v>5292</v>
      </c>
      <c r="D15" s="1132" t="s">
        <v>5293</v>
      </c>
      <c r="E15" s="1133" t="s">
        <v>5294</v>
      </c>
      <c r="F15" s="1134" t="s">
        <v>5295</v>
      </c>
      <c r="G15" s="62" t="s">
        <v>5296</v>
      </c>
      <c r="H15" s="1134" t="s">
        <v>5297</v>
      </c>
      <c r="I15" s="1135" t="s">
        <v>5298</v>
      </c>
      <c r="J15" s="1134" t="s">
        <v>5299</v>
      </c>
      <c r="K15" s="1135" t="s">
        <v>5300</v>
      </c>
      <c r="L15" s="1136" t="s">
        <v>5301</v>
      </c>
      <c r="M15" s="1137" t="s">
        <v>5302</v>
      </c>
      <c r="N15" s="1134" t="s">
        <v>5303</v>
      </c>
      <c r="O15" s="1135" t="s">
        <v>5304</v>
      </c>
      <c r="P15" s="1136" t="s">
        <v>5305</v>
      </c>
      <c r="Q15" s="1137" t="s">
        <v>5306</v>
      </c>
      <c r="R15" s="1134" t="s">
        <v>5307</v>
      </c>
      <c r="S15" s="1135" t="s">
        <v>5308</v>
      </c>
      <c r="T15" s="1136" t="s">
        <v>5309</v>
      </c>
      <c r="U15" s="1137" t="s">
        <v>5310</v>
      </c>
      <c r="V15" s="1134" t="s">
        <v>5311</v>
      </c>
      <c r="W15" s="1135" t="s">
        <v>5312</v>
      </c>
      <c r="X15" s="1136" t="s">
        <v>5313</v>
      </c>
      <c r="Y15" s="1137" t="s">
        <v>5314</v>
      </c>
      <c r="Z15" s="1134" t="s">
        <v>5315</v>
      </c>
      <c r="AA15" s="1135" t="s">
        <v>5316</v>
      </c>
      <c r="AB15" s="1136" t="s">
        <v>5317</v>
      </c>
      <c r="AC15" s="1137" t="s">
        <v>5318</v>
      </c>
      <c r="AD15" s="1134" t="s">
        <v>5319</v>
      </c>
      <c r="AE15" s="1135" t="s">
        <v>5320</v>
      </c>
      <c r="AF15" s="1136" t="s">
        <v>5321</v>
      </c>
      <c r="AG15" s="1137" t="s">
        <v>5322</v>
      </c>
      <c r="AH15" s="1134" t="s">
        <v>5323</v>
      </c>
      <c r="AI15" s="1135" t="s">
        <v>5324</v>
      </c>
      <c r="AJ15" s="67" t="s">
        <v>5325</v>
      </c>
      <c r="AK15" s="1138" t="s">
        <v>5326</v>
      </c>
      <c r="AL15" s="62" t="s">
        <v>5327</v>
      </c>
      <c r="AM15" s="62" t="s">
        <v>5328</v>
      </c>
      <c r="AN15" s="62" t="s">
        <v>5329</v>
      </c>
      <c r="AO15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5" s="2465" t="str">
        <f t="shared" si="1"/>
        <v xml:space="preserve"> * La variable Pueblos originarios no puede ser mayor al Total.</v>
      </c>
      <c r="CD15" s="2465" t="str">
        <f t="shared" si="2"/>
        <v xml:space="preserve"> * La variable Migrantes no puede ser mayor al Total.</v>
      </c>
      <c r="CE15" s="2465" t="str">
        <f t="shared" si="3"/>
        <v xml:space="preserve"> * La variable Por campaña de invierno no puede ser mayor al Total.</v>
      </c>
      <c r="CF15" s="2465"/>
      <c r="CH15" s="2466">
        <f t="shared" si="4"/>
        <v>1</v>
      </c>
      <c r="CI15" s="2466">
        <f t="shared" si="5"/>
        <v>1</v>
      </c>
      <c r="CJ15" s="2466">
        <f t="shared" si="6"/>
        <v>1</v>
      </c>
      <c r="CK15" s="2466"/>
    </row>
    <row r="16" spans="1:89" s="170" customFormat="1" ht="15" customHeight="1" x14ac:dyDescent="0.2">
      <c r="A16" s="6234">
        <v>23042000</v>
      </c>
      <c r="B16" s="1139" t="s">
        <v>1009</v>
      </c>
      <c r="C16" s="1140" t="s">
        <v>5292</v>
      </c>
      <c r="D16" s="1141" t="s">
        <v>5293</v>
      </c>
      <c r="E16" s="1133" t="s">
        <v>5294</v>
      </c>
      <c r="F16" s="1134" t="s">
        <v>5295</v>
      </c>
      <c r="G16" s="62" t="s">
        <v>5296</v>
      </c>
      <c r="H16" s="1134" t="s">
        <v>5297</v>
      </c>
      <c r="I16" s="1135" t="s">
        <v>5298</v>
      </c>
      <c r="J16" s="1134" t="s">
        <v>5299</v>
      </c>
      <c r="K16" s="1135" t="s">
        <v>5300</v>
      </c>
      <c r="L16" s="1136" t="s">
        <v>5301</v>
      </c>
      <c r="M16" s="1137" t="s">
        <v>5302</v>
      </c>
      <c r="N16" s="1134" t="s">
        <v>5303</v>
      </c>
      <c r="O16" s="1135" t="s">
        <v>5304</v>
      </c>
      <c r="P16" s="1136" t="s">
        <v>5305</v>
      </c>
      <c r="Q16" s="1137" t="s">
        <v>5306</v>
      </c>
      <c r="R16" s="1134" t="s">
        <v>5307</v>
      </c>
      <c r="S16" s="1135" t="s">
        <v>5308</v>
      </c>
      <c r="T16" s="1136" t="s">
        <v>5309</v>
      </c>
      <c r="U16" s="1137" t="s">
        <v>5310</v>
      </c>
      <c r="V16" s="1134" t="s">
        <v>5311</v>
      </c>
      <c r="W16" s="1135" t="s">
        <v>5312</v>
      </c>
      <c r="X16" s="1136" t="s">
        <v>5313</v>
      </c>
      <c r="Y16" s="1137" t="s">
        <v>5314</v>
      </c>
      <c r="Z16" s="1134" t="s">
        <v>5315</v>
      </c>
      <c r="AA16" s="1135" t="s">
        <v>5316</v>
      </c>
      <c r="AB16" s="1136" t="s">
        <v>5317</v>
      </c>
      <c r="AC16" s="1137" t="s">
        <v>5318</v>
      </c>
      <c r="AD16" s="1134" t="s">
        <v>5319</v>
      </c>
      <c r="AE16" s="1135" t="s">
        <v>5320</v>
      </c>
      <c r="AF16" s="1136" t="s">
        <v>5321</v>
      </c>
      <c r="AG16" s="1137" t="s">
        <v>5322</v>
      </c>
      <c r="AH16" s="1134" t="s">
        <v>5323</v>
      </c>
      <c r="AI16" s="1135" t="s">
        <v>5324</v>
      </c>
      <c r="AJ16" s="67" t="s">
        <v>5325</v>
      </c>
      <c r="AK16" s="1138" t="s">
        <v>5326</v>
      </c>
      <c r="AL16" s="62" t="s">
        <v>5327</v>
      </c>
      <c r="AM16" s="62" t="s">
        <v>5328</v>
      </c>
      <c r="AN16" s="62" t="s">
        <v>5329</v>
      </c>
      <c r="AO16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6" s="2465" t="str">
        <f t="shared" si="1"/>
        <v xml:space="preserve"> * La variable Pueblos originarios no puede ser mayor al Total.</v>
      </c>
      <c r="CD16" s="2465" t="str">
        <f t="shared" si="2"/>
        <v xml:space="preserve"> * La variable Migrantes no puede ser mayor al Total.</v>
      </c>
      <c r="CE16" s="2465" t="str">
        <f t="shared" si="3"/>
        <v xml:space="preserve"> * La variable Por campaña de invierno no puede ser mayor al Total.</v>
      </c>
      <c r="CF16" s="2465"/>
      <c r="CH16" s="2466">
        <f t="shared" si="4"/>
        <v>1</v>
      </c>
      <c r="CI16" s="2466">
        <f t="shared" si="5"/>
        <v>1</v>
      </c>
      <c r="CJ16" s="2466">
        <f t="shared" si="6"/>
        <v>1</v>
      </c>
      <c r="CK16" s="2466"/>
    </row>
    <row r="17" spans="1:89" s="170" customFormat="1" ht="15" customHeight="1" x14ac:dyDescent="0.2">
      <c r="A17" s="6234">
        <v>23090410</v>
      </c>
      <c r="B17" s="1142" t="s">
        <v>1010</v>
      </c>
      <c r="C17" s="1131" t="s">
        <v>5292</v>
      </c>
      <c r="D17" s="1132" t="s">
        <v>5293</v>
      </c>
      <c r="E17" s="1133" t="s">
        <v>5294</v>
      </c>
      <c r="F17" s="1134" t="s">
        <v>5295</v>
      </c>
      <c r="G17" s="62" t="s">
        <v>5296</v>
      </c>
      <c r="H17" s="1134" t="s">
        <v>5297</v>
      </c>
      <c r="I17" s="1135" t="s">
        <v>5298</v>
      </c>
      <c r="J17" s="1134" t="s">
        <v>5299</v>
      </c>
      <c r="K17" s="1135" t="s">
        <v>5300</v>
      </c>
      <c r="L17" s="1136" t="s">
        <v>5301</v>
      </c>
      <c r="M17" s="1137" t="s">
        <v>5302</v>
      </c>
      <c r="N17" s="1134" t="s">
        <v>5303</v>
      </c>
      <c r="O17" s="1135" t="s">
        <v>5304</v>
      </c>
      <c r="P17" s="1136" t="s">
        <v>5305</v>
      </c>
      <c r="Q17" s="1137" t="s">
        <v>5306</v>
      </c>
      <c r="R17" s="1134" t="s">
        <v>5307</v>
      </c>
      <c r="S17" s="1135" t="s">
        <v>5308</v>
      </c>
      <c r="T17" s="1136" t="s">
        <v>5309</v>
      </c>
      <c r="U17" s="1137" t="s">
        <v>5310</v>
      </c>
      <c r="V17" s="1134" t="s">
        <v>5311</v>
      </c>
      <c r="W17" s="1135" t="s">
        <v>5312</v>
      </c>
      <c r="X17" s="1136" t="s">
        <v>5313</v>
      </c>
      <c r="Y17" s="1137" t="s">
        <v>5314</v>
      </c>
      <c r="Z17" s="1134" t="s">
        <v>5315</v>
      </c>
      <c r="AA17" s="1135" t="s">
        <v>5316</v>
      </c>
      <c r="AB17" s="1136" t="s">
        <v>5317</v>
      </c>
      <c r="AC17" s="1137" t="s">
        <v>5318</v>
      </c>
      <c r="AD17" s="1134" t="s">
        <v>5319</v>
      </c>
      <c r="AE17" s="1135" t="s">
        <v>5320</v>
      </c>
      <c r="AF17" s="1136" t="s">
        <v>5321</v>
      </c>
      <c r="AG17" s="1137" t="s">
        <v>5322</v>
      </c>
      <c r="AH17" s="1134" t="s">
        <v>5323</v>
      </c>
      <c r="AI17" s="1135" t="s">
        <v>5324</v>
      </c>
      <c r="AJ17" s="67" t="s">
        <v>5325</v>
      </c>
      <c r="AK17" s="1138" t="s">
        <v>5326</v>
      </c>
      <c r="AL17" s="62" t="s">
        <v>5327</v>
      </c>
      <c r="AM17" s="62" t="s">
        <v>5328</v>
      </c>
      <c r="AN17" s="62" t="s">
        <v>5329</v>
      </c>
      <c r="AO17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7" s="2465" t="str">
        <f t="shared" si="1"/>
        <v xml:space="preserve"> * La variable Pueblos originarios no puede ser mayor al Total.</v>
      </c>
      <c r="CD17" s="2465" t="str">
        <f t="shared" si="2"/>
        <v xml:space="preserve"> * La variable Migrantes no puede ser mayor al Total.</v>
      </c>
      <c r="CE17" s="2465" t="str">
        <f t="shared" si="3"/>
        <v xml:space="preserve"> * La variable Por campaña de invierno no puede ser mayor al Total.</v>
      </c>
      <c r="CF17" s="2465"/>
      <c r="CH17" s="2466">
        <f t="shared" si="4"/>
        <v>1</v>
      </c>
      <c r="CI17" s="2466">
        <f t="shared" si="5"/>
        <v>1</v>
      </c>
      <c r="CJ17" s="2466">
        <f t="shared" si="6"/>
        <v>1</v>
      </c>
      <c r="CK17" s="2466"/>
    </row>
    <row r="18" spans="1:89" s="170" customFormat="1" ht="15" customHeight="1" x14ac:dyDescent="0.2">
      <c r="A18" s="6234" t="s">
        <v>5209</v>
      </c>
      <c r="B18" s="1143" t="s">
        <v>1011</v>
      </c>
      <c r="C18" s="1140" t="s">
        <v>5292</v>
      </c>
      <c r="D18" s="1141" t="s">
        <v>5293</v>
      </c>
      <c r="E18" s="1133" t="s">
        <v>5294</v>
      </c>
      <c r="F18" s="1134" t="s">
        <v>5295</v>
      </c>
      <c r="G18" s="62" t="s">
        <v>5296</v>
      </c>
      <c r="H18" s="1134" t="s">
        <v>5297</v>
      </c>
      <c r="I18" s="1135" t="s">
        <v>5298</v>
      </c>
      <c r="J18" s="1144" t="s">
        <v>5299</v>
      </c>
      <c r="K18" s="1145" t="s">
        <v>5300</v>
      </c>
      <c r="L18" s="1146" t="s">
        <v>5301</v>
      </c>
      <c r="M18" s="1147" t="s">
        <v>5302</v>
      </c>
      <c r="N18" s="1144" t="s">
        <v>5303</v>
      </c>
      <c r="O18" s="1145" t="s">
        <v>5304</v>
      </c>
      <c r="P18" s="1146" t="s">
        <v>5305</v>
      </c>
      <c r="Q18" s="1147" t="s">
        <v>5306</v>
      </c>
      <c r="R18" s="1144" t="s">
        <v>5307</v>
      </c>
      <c r="S18" s="1145" t="s">
        <v>5308</v>
      </c>
      <c r="T18" s="1146" t="s">
        <v>5309</v>
      </c>
      <c r="U18" s="1147" t="s">
        <v>5310</v>
      </c>
      <c r="V18" s="1144" t="s">
        <v>5311</v>
      </c>
      <c r="W18" s="1145" t="s">
        <v>5312</v>
      </c>
      <c r="X18" s="1146" t="s">
        <v>5313</v>
      </c>
      <c r="Y18" s="1147" t="s">
        <v>5314</v>
      </c>
      <c r="Z18" s="1144" t="s">
        <v>5315</v>
      </c>
      <c r="AA18" s="1145" t="s">
        <v>5316</v>
      </c>
      <c r="AB18" s="1146" t="s">
        <v>5317</v>
      </c>
      <c r="AC18" s="1147" t="s">
        <v>5318</v>
      </c>
      <c r="AD18" s="1144" t="s">
        <v>5319</v>
      </c>
      <c r="AE18" s="1145" t="s">
        <v>5320</v>
      </c>
      <c r="AF18" s="1146" t="s">
        <v>5321</v>
      </c>
      <c r="AG18" s="1147" t="s">
        <v>5322</v>
      </c>
      <c r="AH18" s="1144" t="s">
        <v>5323</v>
      </c>
      <c r="AI18" s="1145" t="s">
        <v>5324</v>
      </c>
      <c r="AJ18" s="1148" t="s">
        <v>5325</v>
      </c>
      <c r="AK18" s="1149" t="s">
        <v>5326</v>
      </c>
      <c r="AL18" s="62" t="s">
        <v>5327</v>
      </c>
      <c r="AM18" s="62" t="s">
        <v>5328</v>
      </c>
      <c r="AN18" s="62" t="s">
        <v>5329</v>
      </c>
      <c r="AO18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8" s="2465" t="str">
        <f t="shared" si="1"/>
        <v xml:space="preserve"> * La variable Pueblos originarios no puede ser mayor al Total.</v>
      </c>
      <c r="CD18" s="2465" t="str">
        <f t="shared" si="2"/>
        <v xml:space="preserve"> * La variable Migrantes no puede ser mayor al Total.</v>
      </c>
      <c r="CE18" s="2465" t="str">
        <f t="shared" si="3"/>
        <v xml:space="preserve"> * La variable Por campaña de invierno no puede ser mayor al Total.</v>
      </c>
      <c r="CF18" s="2465"/>
      <c r="CH18" s="2466">
        <f t="shared" si="4"/>
        <v>1</v>
      </c>
      <c r="CI18" s="2466">
        <f t="shared" si="5"/>
        <v>1</v>
      </c>
      <c r="CJ18" s="2466">
        <f t="shared" si="6"/>
        <v>1</v>
      </c>
      <c r="CK18" s="2466"/>
    </row>
    <row r="19" spans="1:89" s="170" customFormat="1" ht="15" customHeight="1" x14ac:dyDescent="0.2">
      <c r="A19" s="6234">
        <v>23042100</v>
      </c>
      <c r="B19" s="1142" t="s">
        <v>1012</v>
      </c>
      <c r="C19" s="1131" t="s">
        <v>5292</v>
      </c>
      <c r="D19" s="1132" t="s">
        <v>5293</v>
      </c>
      <c r="E19" s="1133" t="s">
        <v>5294</v>
      </c>
      <c r="F19" s="1144" t="s">
        <v>5295</v>
      </c>
      <c r="G19" s="1150" t="s">
        <v>5296</v>
      </c>
      <c r="H19" s="1134" t="s">
        <v>5297</v>
      </c>
      <c r="I19" s="1135" t="s">
        <v>5298</v>
      </c>
      <c r="J19" s="1134" t="s">
        <v>5299</v>
      </c>
      <c r="K19" s="1135" t="s">
        <v>5300</v>
      </c>
      <c r="L19" s="1136" t="s">
        <v>5301</v>
      </c>
      <c r="M19" s="1137" t="s">
        <v>5302</v>
      </c>
      <c r="N19" s="1134" t="s">
        <v>5303</v>
      </c>
      <c r="O19" s="1135" t="s">
        <v>5304</v>
      </c>
      <c r="P19" s="1136" t="s">
        <v>5305</v>
      </c>
      <c r="Q19" s="1137" t="s">
        <v>5306</v>
      </c>
      <c r="R19" s="1134" t="s">
        <v>5307</v>
      </c>
      <c r="S19" s="1135" t="s">
        <v>5308</v>
      </c>
      <c r="T19" s="1136" t="s">
        <v>5309</v>
      </c>
      <c r="U19" s="1137" t="s">
        <v>5310</v>
      </c>
      <c r="V19" s="1134" t="s">
        <v>5311</v>
      </c>
      <c r="W19" s="1135" t="s">
        <v>5312</v>
      </c>
      <c r="X19" s="1136" t="s">
        <v>5313</v>
      </c>
      <c r="Y19" s="1137" t="s">
        <v>5314</v>
      </c>
      <c r="Z19" s="1134" t="s">
        <v>5315</v>
      </c>
      <c r="AA19" s="1135" t="s">
        <v>5316</v>
      </c>
      <c r="AB19" s="1136" t="s">
        <v>5317</v>
      </c>
      <c r="AC19" s="1137" t="s">
        <v>5318</v>
      </c>
      <c r="AD19" s="1134" t="s">
        <v>5319</v>
      </c>
      <c r="AE19" s="1135" t="s">
        <v>5320</v>
      </c>
      <c r="AF19" s="1136" t="s">
        <v>5321</v>
      </c>
      <c r="AG19" s="1137" t="s">
        <v>5322</v>
      </c>
      <c r="AH19" s="1134" t="s">
        <v>5323</v>
      </c>
      <c r="AI19" s="1135" t="s">
        <v>5324</v>
      </c>
      <c r="AJ19" s="67" t="s">
        <v>5325</v>
      </c>
      <c r="AK19" s="1138" t="s">
        <v>5326</v>
      </c>
      <c r="AL19" s="62" t="s">
        <v>5327</v>
      </c>
      <c r="AM19" s="62" t="s">
        <v>5328</v>
      </c>
      <c r="AN19" s="62" t="s">
        <v>5329</v>
      </c>
      <c r="AO19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19" s="2465" t="str">
        <f t="shared" si="1"/>
        <v xml:space="preserve"> * La variable Pueblos originarios no puede ser mayor al Total.</v>
      </c>
      <c r="CD19" s="2465" t="str">
        <f t="shared" si="2"/>
        <v xml:space="preserve"> * La variable Migrantes no puede ser mayor al Total.</v>
      </c>
      <c r="CE19" s="2465" t="str">
        <f t="shared" si="3"/>
        <v xml:space="preserve"> * La variable Por campaña de invierno no puede ser mayor al Total.</v>
      </c>
      <c r="CF19" s="2465"/>
      <c r="CH19" s="2466">
        <f t="shared" si="4"/>
        <v>1</v>
      </c>
      <c r="CI19" s="2466">
        <f t="shared" si="5"/>
        <v>1</v>
      </c>
      <c r="CJ19" s="2466">
        <f t="shared" si="6"/>
        <v>1</v>
      </c>
      <c r="CK19" s="2466"/>
    </row>
    <row r="20" spans="1:89" s="170" customFormat="1" ht="15" customHeight="1" x14ac:dyDescent="0.2">
      <c r="A20" s="6234">
        <v>23042200</v>
      </c>
      <c r="B20" s="1143" t="s">
        <v>1013</v>
      </c>
      <c r="C20" s="1140" t="s">
        <v>5292</v>
      </c>
      <c r="D20" s="1141" t="s">
        <v>5293</v>
      </c>
      <c r="E20" s="1133" t="s">
        <v>5294</v>
      </c>
      <c r="F20" s="1144" t="s">
        <v>5295</v>
      </c>
      <c r="G20" s="1150" t="s">
        <v>5296</v>
      </c>
      <c r="H20" s="1144" t="s">
        <v>5297</v>
      </c>
      <c r="I20" s="1145" t="s">
        <v>5298</v>
      </c>
      <c r="J20" s="1144" t="s">
        <v>5299</v>
      </c>
      <c r="K20" s="1145" t="s">
        <v>5300</v>
      </c>
      <c r="L20" s="1146" t="s">
        <v>5301</v>
      </c>
      <c r="M20" s="1147" t="s">
        <v>5302</v>
      </c>
      <c r="N20" s="1144" t="s">
        <v>5303</v>
      </c>
      <c r="O20" s="1145" t="s">
        <v>5304</v>
      </c>
      <c r="P20" s="1146" t="s">
        <v>5305</v>
      </c>
      <c r="Q20" s="1147" t="s">
        <v>5306</v>
      </c>
      <c r="R20" s="1144" t="s">
        <v>5307</v>
      </c>
      <c r="S20" s="1145" t="s">
        <v>5308</v>
      </c>
      <c r="T20" s="1136" t="s">
        <v>5309</v>
      </c>
      <c r="U20" s="1137" t="s">
        <v>5310</v>
      </c>
      <c r="V20" s="1134" t="s">
        <v>5311</v>
      </c>
      <c r="W20" s="1135" t="s">
        <v>5312</v>
      </c>
      <c r="X20" s="1136" t="s">
        <v>5313</v>
      </c>
      <c r="Y20" s="1137" t="s">
        <v>5314</v>
      </c>
      <c r="Z20" s="1134" t="s">
        <v>5315</v>
      </c>
      <c r="AA20" s="1135" t="s">
        <v>5316</v>
      </c>
      <c r="AB20" s="1136" t="s">
        <v>5317</v>
      </c>
      <c r="AC20" s="1137" t="s">
        <v>5318</v>
      </c>
      <c r="AD20" s="1134" t="s">
        <v>5319</v>
      </c>
      <c r="AE20" s="1135" t="s">
        <v>5320</v>
      </c>
      <c r="AF20" s="1136" t="s">
        <v>5321</v>
      </c>
      <c r="AG20" s="1137" t="s">
        <v>5322</v>
      </c>
      <c r="AH20" s="1134" t="s">
        <v>5323</v>
      </c>
      <c r="AI20" s="1135" t="s">
        <v>5324</v>
      </c>
      <c r="AJ20" s="67" t="s">
        <v>5325</v>
      </c>
      <c r="AK20" s="1138" t="s">
        <v>5326</v>
      </c>
      <c r="AL20" s="62" t="s">
        <v>5327</v>
      </c>
      <c r="AM20" s="62" t="s">
        <v>5328</v>
      </c>
      <c r="AN20" s="62" t="s">
        <v>5329</v>
      </c>
      <c r="AO20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20" s="2465" t="str">
        <f t="shared" si="1"/>
        <v xml:space="preserve"> * La variable Pueblos originarios no puede ser mayor al Total.</v>
      </c>
      <c r="CD20" s="2465" t="str">
        <f t="shared" si="2"/>
        <v xml:space="preserve"> * La variable Migrantes no puede ser mayor al Total.</v>
      </c>
      <c r="CE20" s="2465" t="str">
        <f t="shared" si="3"/>
        <v xml:space="preserve"> * La variable Por campaña de invierno no puede ser mayor al Total.</v>
      </c>
      <c r="CF20" s="2465"/>
      <c r="CH20" s="2466">
        <f t="shared" si="4"/>
        <v>1</v>
      </c>
      <c r="CI20" s="2466">
        <f t="shared" si="5"/>
        <v>1</v>
      </c>
      <c r="CJ20" s="2466">
        <f t="shared" si="6"/>
        <v>1</v>
      </c>
      <c r="CK20" s="2466"/>
    </row>
    <row r="21" spans="1:89" s="170" customFormat="1" ht="15" customHeight="1" x14ac:dyDescent="0.2">
      <c r="A21" s="6234">
        <v>23042300</v>
      </c>
      <c r="B21" s="1142" t="s">
        <v>1014</v>
      </c>
      <c r="C21" s="1131" t="s">
        <v>5292</v>
      </c>
      <c r="D21" s="1132" t="s">
        <v>5293</v>
      </c>
      <c r="E21" s="1133" t="s">
        <v>5294</v>
      </c>
      <c r="F21" s="1134" t="s">
        <v>5295</v>
      </c>
      <c r="G21" s="62" t="s">
        <v>5296</v>
      </c>
      <c r="H21" s="1134" t="s">
        <v>5297</v>
      </c>
      <c r="I21" s="1135" t="s">
        <v>5298</v>
      </c>
      <c r="J21" s="1134" t="s">
        <v>5299</v>
      </c>
      <c r="K21" s="1135" t="s">
        <v>5300</v>
      </c>
      <c r="L21" s="1136" t="s">
        <v>5301</v>
      </c>
      <c r="M21" s="1137" t="s">
        <v>5302</v>
      </c>
      <c r="N21" s="1134" t="s">
        <v>5303</v>
      </c>
      <c r="O21" s="1135" t="s">
        <v>5304</v>
      </c>
      <c r="P21" s="1136" t="s">
        <v>5305</v>
      </c>
      <c r="Q21" s="1137" t="s">
        <v>5306</v>
      </c>
      <c r="R21" s="1134" t="s">
        <v>5307</v>
      </c>
      <c r="S21" s="1135" t="s">
        <v>5308</v>
      </c>
      <c r="T21" s="1136" t="s">
        <v>5309</v>
      </c>
      <c r="U21" s="1137" t="s">
        <v>5310</v>
      </c>
      <c r="V21" s="1134" t="s">
        <v>5311</v>
      </c>
      <c r="W21" s="1135" t="s">
        <v>5312</v>
      </c>
      <c r="X21" s="1136" t="s">
        <v>5313</v>
      </c>
      <c r="Y21" s="1137" t="s">
        <v>5314</v>
      </c>
      <c r="Z21" s="1134" t="s">
        <v>5315</v>
      </c>
      <c r="AA21" s="1135" t="s">
        <v>5316</v>
      </c>
      <c r="AB21" s="1136" t="s">
        <v>5317</v>
      </c>
      <c r="AC21" s="1137" t="s">
        <v>5318</v>
      </c>
      <c r="AD21" s="1134" t="s">
        <v>5319</v>
      </c>
      <c r="AE21" s="1135" t="s">
        <v>5320</v>
      </c>
      <c r="AF21" s="1136" t="s">
        <v>5321</v>
      </c>
      <c r="AG21" s="1137" t="s">
        <v>5322</v>
      </c>
      <c r="AH21" s="1134" t="s">
        <v>5323</v>
      </c>
      <c r="AI21" s="1135" t="s">
        <v>5324</v>
      </c>
      <c r="AJ21" s="67" t="s">
        <v>5325</v>
      </c>
      <c r="AK21" s="1138" t="s">
        <v>5326</v>
      </c>
      <c r="AL21" s="62" t="s">
        <v>5327</v>
      </c>
      <c r="AM21" s="62" t="s">
        <v>5328</v>
      </c>
      <c r="AN21" s="62" t="s">
        <v>5329</v>
      </c>
      <c r="AO21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21" s="2465" t="str">
        <f t="shared" si="1"/>
        <v xml:space="preserve"> * La variable Pueblos originarios no puede ser mayor al Total.</v>
      </c>
      <c r="CD21" s="2465" t="str">
        <f t="shared" si="2"/>
        <v xml:space="preserve"> * La variable Migrantes no puede ser mayor al Total.</v>
      </c>
      <c r="CE21" s="2465" t="str">
        <f t="shared" si="3"/>
        <v xml:space="preserve"> * La variable Por campaña de invierno no puede ser mayor al Total.</v>
      </c>
      <c r="CF21" s="2465"/>
      <c r="CH21" s="2466">
        <f t="shared" si="4"/>
        <v>1</v>
      </c>
      <c r="CI21" s="2466">
        <f t="shared" si="5"/>
        <v>1</v>
      </c>
      <c r="CJ21" s="2466">
        <f t="shared" si="6"/>
        <v>1</v>
      </c>
      <c r="CK21" s="2466"/>
    </row>
    <row r="22" spans="1:89" s="170" customFormat="1" ht="15" customHeight="1" x14ac:dyDescent="0.2">
      <c r="A22" s="6234">
        <v>23042400</v>
      </c>
      <c r="B22" s="1151" t="s">
        <v>1015</v>
      </c>
      <c r="C22" s="51" t="s">
        <v>5292</v>
      </c>
      <c r="D22" s="1152" t="s">
        <v>5293</v>
      </c>
      <c r="E22" s="1153" t="s">
        <v>5294</v>
      </c>
      <c r="F22" s="64" t="s">
        <v>5295</v>
      </c>
      <c r="G22" s="65" t="s">
        <v>5296</v>
      </c>
      <c r="H22" s="64" t="s">
        <v>5297</v>
      </c>
      <c r="I22" s="1154" t="s">
        <v>5298</v>
      </c>
      <c r="J22" s="64" t="s">
        <v>5299</v>
      </c>
      <c r="K22" s="1154" t="s">
        <v>5300</v>
      </c>
      <c r="L22" s="654" t="s">
        <v>5301</v>
      </c>
      <c r="M22" s="652" t="s">
        <v>5302</v>
      </c>
      <c r="N22" s="64" t="s">
        <v>5303</v>
      </c>
      <c r="O22" s="1154" t="s">
        <v>5304</v>
      </c>
      <c r="P22" s="654" t="s">
        <v>5305</v>
      </c>
      <c r="Q22" s="652" t="s">
        <v>5306</v>
      </c>
      <c r="R22" s="64" t="s">
        <v>5307</v>
      </c>
      <c r="S22" s="1154" t="s">
        <v>5308</v>
      </c>
      <c r="T22" s="654" t="s">
        <v>5309</v>
      </c>
      <c r="U22" s="652" t="s">
        <v>5310</v>
      </c>
      <c r="V22" s="64" t="s">
        <v>5311</v>
      </c>
      <c r="W22" s="1154" t="s">
        <v>5312</v>
      </c>
      <c r="X22" s="654" t="s">
        <v>5313</v>
      </c>
      <c r="Y22" s="652" t="s">
        <v>5314</v>
      </c>
      <c r="Z22" s="64" t="s">
        <v>5315</v>
      </c>
      <c r="AA22" s="1154" t="s">
        <v>5316</v>
      </c>
      <c r="AB22" s="654" t="s">
        <v>5317</v>
      </c>
      <c r="AC22" s="652" t="s">
        <v>5318</v>
      </c>
      <c r="AD22" s="64" t="s">
        <v>5319</v>
      </c>
      <c r="AE22" s="1154" t="s">
        <v>5320</v>
      </c>
      <c r="AF22" s="654" t="s">
        <v>5321</v>
      </c>
      <c r="AG22" s="652" t="s">
        <v>5322</v>
      </c>
      <c r="AH22" s="64" t="s">
        <v>5323</v>
      </c>
      <c r="AI22" s="1154" t="s">
        <v>5324</v>
      </c>
      <c r="AJ22" s="1155" t="s">
        <v>5325</v>
      </c>
      <c r="AK22" s="653" t="s">
        <v>5326</v>
      </c>
      <c r="AL22" s="62" t="s">
        <v>5327</v>
      </c>
      <c r="AM22" s="62" t="s">
        <v>5328</v>
      </c>
      <c r="AN22" s="62" t="s">
        <v>5329</v>
      </c>
      <c r="AO22" s="170" t="str">
        <f t="shared" si="0"/>
        <v xml:space="preserve"> * La variable Pueblos originarios no puede ser mayor al Total. * La variable Migrantes no puede ser mayor al Total. * La variable Por campaña de invierno no puede ser mayor al Total.</v>
      </c>
      <c r="CC22" s="2465" t="str">
        <f t="shared" si="1"/>
        <v xml:space="preserve"> * La variable Pueblos originarios no puede ser mayor al Total.</v>
      </c>
      <c r="CD22" s="2465" t="str">
        <f t="shared" si="2"/>
        <v xml:space="preserve"> * La variable Migrantes no puede ser mayor al Total.</v>
      </c>
      <c r="CE22" s="2465" t="str">
        <f t="shared" si="3"/>
        <v xml:space="preserve"> * La variable Por campaña de invierno no puede ser mayor al Total.</v>
      </c>
      <c r="CF22" s="2465"/>
      <c r="CH22" s="2466">
        <f t="shared" si="4"/>
        <v>1</v>
      </c>
      <c r="CI22" s="2466">
        <f t="shared" si="5"/>
        <v>1</v>
      </c>
      <c r="CJ22" s="2466">
        <f t="shared" si="6"/>
        <v>1</v>
      </c>
      <c r="CK22" s="2466"/>
    </row>
    <row r="23" spans="1:89" ht="15" customHeight="1" x14ac:dyDescent="0.3">
      <c r="A23" s="6267"/>
      <c r="B23" s="1115" t="s">
        <v>24</v>
      </c>
      <c r="C23" s="1156">
        <f t="shared" ref="C23:AN23" si="7">SUM(C12:C22)</f>
        <v>0</v>
      </c>
      <c r="D23" s="1157">
        <f t="shared" si="7"/>
        <v>0</v>
      </c>
      <c r="E23" s="1158">
        <f t="shared" si="7"/>
        <v>0</v>
      </c>
      <c r="F23" s="1159">
        <f t="shared" si="7"/>
        <v>0</v>
      </c>
      <c r="G23" s="1160">
        <f t="shared" si="7"/>
        <v>0</v>
      </c>
      <c r="H23" s="1159">
        <f t="shared" si="7"/>
        <v>0</v>
      </c>
      <c r="I23" s="1161">
        <f t="shared" si="7"/>
        <v>0</v>
      </c>
      <c r="J23" s="1159">
        <f t="shared" si="7"/>
        <v>0</v>
      </c>
      <c r="K23" s="1161">
        <f t="shared" si="7"/>
        <v>0</v>
      </c>
      <c r="L23" s="1162">
        <f t="shared" si="7"/>
        <v>0</v>
      </c>
      <c r="M23" s="1163">
        <f t="shared" si="7"/>
        <v>0</v>
      </c>
      <c r="N23" s="1159">
        <f t="shared" si="7"/>
        <v>0</v>
      </c>
      <c r="O23" s="1161">
        <f t="shared" si="7"/>
        <v>0</v>
      </c>
      <c r="P23" s="1162">
        <f t="shared" si="7"/>
        <v>0</v>
      </c>
      <c r="Q23" s="1163">
        <f t="shared" si="7"/>
        <v>0</v>
      </c>
      <c r="R23" s="1159">
        <f t="shared" si="7"/>
        <v>0</v>
      </c>
      <c r="S23" s="1161">
        <f t="shared" si="7"/>
        <v>0</v>
      </c>
      <c r="T23" s="1162">
        <f t="shared" si="7"/>
        <v>0</v>
      </c>
      <c r="U23" s="1163">
        <f t="shared" si="7"/>
        <v>0</v>
      </c>
      <c r="V23" s="1159">
        <f t="shared" si="7"/>
        <v>0</v>
      </c>
      <c r="W23" s="1161">
        <f t="shared" si="7"/>
        <v>0</v>
      </c>
      <c r="X23" s="1162">
        <f t="shared" si="7"/>
        <v>0</v>
      </c>
      <c r="Y23" s="1163">
        <f t="shared" si="7"/>
        <v>0</v>
      </c>
      <c r="Z23" s="1159">
        <f t="shared" si="7"/>
        <v>0</v>
      </c>
      <c r="AA23" s="1161">
        <f t="shared" si="7"/>
        <v>0</v>
      </c>
      <c r="AB23" s="1162">
        <f t="shared" si="7"/>
        <v>0</v>
      </c>
      <c r="AC23" s="1163">
        <f t="shared" si="7"/>
        <v>0</v>
      </c>
      <c r="AD23" s="1159">
        <f t="shared" si="7"/>
        <v>0</v>
      </c>
      <c r="AE23" s="1161">
        <f t="shared" si="7"/>
        <v>0</v>
      </c>
      <c r="AF23" s="1162">
        <f t="shared" si="7"/>
        <v>0</v>
      </c>
      <c r="AG23" s="1163">
        <f t="shared" si="7"/>
        <v>0</v>
      </c>
      <c r="AH23" s="1159">
        <f t="shared" si="7"/>
        <v>0</v>
      </c>
      <c r="AI23" s="1161">
        <f t="shared" si="7"/>
        <v>0</v>
      </c>
      <c r="AJ23" s="1162">
        <f t="shared" si="7"/>
        <v>0</v>
      </c>
      <c r="AK23" s="1164">
        <f t="shared" si="7"/>
        <v>0</v>
      </c>
      <c r="AL23" s="1160">
        <f t="shared" si="7"/>
        <v>0</v>
      </c>
      <c r="AM23" s="1160">
        <f t="shared" si="7"/>
        <v>0</v>
      </c>
      <c r="AN23" s="1160">
        <f t="shared" si="7"/>
        <v>0</v>
      </c>
      <c r="CC23"/>
      <c r="CD23"/>
      <c r="CE23"/>
      <c r="CF23"/>
      <c r="CH23"/>
      <c r="CI23"/>
      <c r="CJ23"/>
      <c r="CK23"/>
    </row>
    <row r="24" spans="1:89" s="1116" customFormat="1" ht="18" customHeight="1" x14ac:dyDescent="0.2">
      <c r="B24" s="7" t="s">
        <v>1016</v>
      </c>
    </row>
    <row r="25" spans="1:89" s="170" customFormat="1" ht="15" customHeight="1" x14ac:dyDescent="0.2">
      <c r="A25" s="6282"/>
      <c r="B25" s="6983" t="s">
        <v>1017</v>
      </c>
      <c r="C25" s="7755"/>
      <c r="D25" s="7779" t="s">
        <v>24</v>
      </c>
      <c r="E25" s="7764"/>
      <c r="F25" s="7765"/>
      <c r="G25" s="7789" t="s">
        <v>30</v>
      </c>
      <c r="H25" s="7768"/>
      <c r="I25" s="7768"/>
      <c r="J25" s="7768"/>
      <c r="K25" s="7768"/>
      <c r="L25" s="7768"/>
      <c r="M25" s="7768"/>
      <c r="N25" s="7768"/>
      <c r="O25" s="7768"/>
      <c r="P25" s="7768"/>
      <c r="Q25" s="7768"/>
      <c r="R25" s="7768"/>
      <c r="S25" s="7768"/>
      <c r="T25" s="7768"/>
      <c r="U25" s="7768"/>
      <c r="V25" s="7768"/>
      <c r="W25" s="7768"/>
      <c r="X25" s="7768"/>
      <c r="Y25" s="7768"/>
      <c r="Z25" s="7768"/>
      <c r="AA25" s="7768"/>
      <c r="AB25" s="7768"/>
      <c r="AC25" s="7768"/>
      <c r="AD25" s="7768"/>
      <c r="AE25" s="7768"/>
      <c r="AF25" s="7768"/>
      <c r="AG25" s="7768"/>
      <c r="AH25" s="7768"/>
      <c r="AI25" s="7768"/>
      <c r="AJ25" s="7768"/>
      <c r="AK25" s="7768"/>
      <c r="AL25" s="7856"/>
      <c r="AM25" s="7820" t="s">
        <v>1018</v>
      </c>
      <c r="AN25" s="7820" t="s">
        <v>2</v>
      </c>
      <c r="AO25" s="7820" t="s">
        <v>3</v>
      </c>
    </row>
    <row r="26" spans="1:89" s="170" customFormat="1" ht="15" customHeight="1" x14ac:dyDescent="0.2">
      <c r="A26" s="6282"/>
      <c r="B26" s="7823"/>
      <c r="C26" s="6762"/>
      <c r="D26" s="7854"/>
      <c r="E26" s="7777"/>
      <c r="F26" s="7778"/>
      <c r="G26" s="7770" t="s">
        <v>682</v>
      </c>
      <c r="H26" s="7755"/>
      <c r="I26" s="7754" t="s">
        <v>1002</v>
      </c>
      <c r="J26" s="7755"/>
      <c r="K26" s="7754" t="s">
        <v>1003</v>
      </c>
      <c r="L26" s="7755"/>
      <c r="M26" s="7770" t="s">
        <v>38</v>
      </c>
      <c r="N26" s="7755"/>
      <c r="O26" s="7770" t="s">
        <v>4</v>
      </c>
      <c r="P26" s="7755"/>
      <c r="Q26" s="7770" t="s">
        <v>5</v>
      </c>
      <c r="R26" s="7755"/>
      <c r="S26" s="7754" t="s">
        <v>1004</v>
      </c>
      <c r="T26" s="7755"/>
      <c r="U26" s="7754" t="s">
        <v>9</v>
      </c>
      <c r="V26" s="7755"/>
      <c r="W26" s="7754" t="s">
        <v>10</v>
      </c>
      <c r="X26" s="7755"/>
      <c r="Y26" s="7754" t="s">
        <v>11</v>
      </c>
      <c r="Z26" s="7755"/>
      <c r="AA26" s="7754" t="s">
        <v>18</v>
      </c>
      <c r="AB26" s="7755"/>
      <c r="AC26" s="7754" t="s">
        <v>19</v>
      </c>
      <c r="AD26" s="7755"/>
      <c r="AE26" s="7754" t="s">
        <v>20</v>
      </c>
      <c r="AF26" s="7755"/>
      <c r="AG26" s="7754" t="s">
        <v>70</v>
      </c>
      <c r="AH26" s="7755"/>
      <c r="AI26" s="7754" t="s">
        <v>71</v>
      </c>
      <c r="AJ26" s="7755"/>
      <c r="AK26" s="6983" t="s">
        <v>32</v>
      </c>
      <c r="AL26" s="7827"/>
      <c r="AM26" s="6831"/>
      <c r="AN26" s="6831"/>
      <c r="AO26" s="6831"/>
    </row>
    <row r="27" spans="1:89" s="170" customFormat="1" ht="15" customHeight="1" x14ac:dyDescent="0.2">
      <c r="A27" s="6282"/>
      <c r="B27" s="7852"/>
      <c r="C27" s="7853"/>
      <c r="D27" s="1165" t="s">
        <v>26</v>
      </c>
      <c r="E27" s="1166" t="s">
        <v>22</v>
      </c>
      <c r="F27" s="1167" t="s">
        <v>27</v>
      </c>
      <c r="G27" s="1165" t="s">
        <v>22</v>
      </c>
      <c r="H27" s="1167" t="s">
        <v>27</v>
      </c>
      <c r="I27" s="1165" t="s">
        <v>22</v>
      </c>
      <c r="J27" s="1167" t="s">
        <v>27</v>
      </c>
      <c r="K27" s="1165" t="s">
        <v>22</v>
      </c>
      <c r="L27" s="1167" t="s">
        <v>27</v>
      </c>
      <c r="M27" s="1165" t="s">
        <v>22</v>
      </c>
      <c r="N27" s="1167" t="s">
        <v>27</v>
      </c>
      <c r="O27" s="1165" t="s">
        <v>22</v>
      </c>
      <c r="P27" s="1167" t="s">
        <v>27</v>
      </c>
      <c r="Q27" s="1165" t="s">
        <v>22</v>
      </c>
      <c r="R27" s="1167" t="s">
        <v>27</v>
      </c>
      <c r="S27" s="1165" t="s">
        <v>22</v>
      </c>
      <c r="T27" s="1167" t="s">
        <v>27</v>
      </c>
      <c r="U27" s="1165" t="s">
        <v>22</v>
      </c>
      <c r="V27" s="1167" t="s">
        <v>27</v>
      </c>
      <c r="W27" s="1165" t="s">
        <v>22</v>
      </c>
      <c r="X27" s="1167" t="s">
        <v>27</v>
      </c>
      <c r="Y27" s="1165" t="s">
        <v>22</v>
      </c>
      <c r="Z27" s="1167" t="s">
        <v>27</v>
      </c>
      <c r="AA27" s="1165" t="s">
        <v>22</v>
      </c>
      <c r="AB27" s="1167" t="s">
        <v>27</v>
      </c>
      <c r="AC27" s="1165" t="s">
        <v>22</v>
      </c>
      <c r="AD27" s="1167" t="s">
        <v>27</v>
      </c>
      <c r="AE27" s="1165" t="s">
        <v>22</v>
      </c>
      <c r="AF27" s="1167" t="s">
        <v>27</v>
      </c>
      <c r="AG27" s="1165" t="s">
        <v>22</v>
      </c>
      <c r="AH27" s="1167" t="s">
        <v>27</v>
      </c>
      <c r="AI27" s="1165" t="s">
        <v>22</v>
      </c>
      <c r="AJ27" s="1167" t="s">
        <v>27</v>
      </c>
      <c r="AK27" s="1165" t="s">
        <v>22</v>
      </c>
      <c r="AL27" s="1168" t="s">
        <v>27</v>
      </c>
      <c r="AM27" s="7855"/>
      <c r="AN27" s="7855"/>
      <c r="AO27" s="7855"/>
    </row>
    <row r="28" spans="1:89" s="170" customFormat="1" ht="15" customHeight="1" x14ac:dyDescent="0.2">
      <c r="A28" s="6234">
        <v>23030805</v>
      </c>
      <c r="B28" s="7669" t="s">
        <v>1019</v>
      </c>
      <c r="C28" s="1169" t="s">
        <v>1020</v>
      </c>
      <c r="D28" s="1170" t="s">
        <v>5292</v>
      </c>
      <c r="E28" s="1171" t="s">
        <v>5293</v>
      </c>
      <c r="F28" s="1172" t="s">
        <v>5294</v>
      </c>
      <c r="G28" s="657" t="s">
        <v>5295</v>
      </c>
      <c r="H28" s="69" t="s">
        <v>5296</v>
      </c>
      <c r="I28" s="657" t="s">
        <v>5297</v>
      </c>
      <c r="J28" s="1173" t="s">
        <v>5298</v>
      </c>
      <c r="K28" s="1174" t="s">
        <v>5299</v>
      </c>
      <c r="L28" s="1175" t="s">
        <v>5300</v>
      </c>
      <c r="M28" s="1174" t="s">
        <v>5301</v>
      </c>
      <c r="N28" s="1175" t="s">
        <v>5302</v>
      </c>
      <c r="O28" s="1174" t="s">
        <v>5303</v>
      </c>
      <c r="P28" s="1175" t="s">
        <v>5304</v>
      </c>
      <c r="Q28" s="1174" t="s">
        <v>5305</v>
      </c>
      <c r="R28" s="1175" t="s">
        <v>5306</v>
      </c>
      <c r="S28" s="1174" t="s">
        <v>5307</v>
      </c>
      <c r="T28" s="1175" t="s">
        <v>5308</v>
      </c>
      <c r="U28" s="1174" t="s">
        <v>5309</v>
      </c>
      <c r="V28" s="1175" t="s">
        <v>5310</v>
      </c>
      <c r="W28" s="1174" t="s">
        <v>5311</v>
      </c>
      <c r="X28" s="1175" t="s">
        <v>5312</v>
      </c>
      <c r="Y28" s="1174" t="s">
        <v>5313</v>
      </c>
      <c r="Z28" s="1175" t="s">
        <v>5314</v>
      </c>
      <c r="AA28" s="1174" t="s">
        <v>5315</v>
      </c>
      <c r="AB28" s="1175" t="s">
        <v>5316</v>
      </c>
      <c r="AC28" s="1174" t="s">
        <v>5317</v>
      </c>
      <c r="AD28" s="1175" t="s">
        <v>5318</v>
      </c>
      <c r="AE28" s="1174" t="s">
        <v>5319</v>
      </c>
      <c r="AF28" s="1175" t="s">
        <v>5320</v>
      </c>
      <c r="AG28" s="1174" t="s">
        <v>5321</v>
      </c>
      <c r="AH28" s="1175" t="s">
        <v>5322</v>
      </c>
      <c r="AI28" s="1176" t="s">
        <v>5323</v>
      </c>
      <c r="AJ28" s="1175" t="s">
        <v>5324</v>
      </c>
      <c r="AK28" s="1177" t="s">
        <v>5325</v>
      </c>
      <c r="AL28" s="1178" t="s">
        <v>5326</v>
      </c>
      <c r="AM28" s="1126" t="s">
        <v>5327</v>
      </c>
      <c r="AN28" s="1126" t="s">
        <v>5328</v>
      </c>
      <c r="AO28" s="1126" t="s">
        <v>5329</v>
      </c>
      <c r="AP28" s="170" t="str">
        <f>CC28&amp;CD28&amp;CE28&amp;CF28</f>
        <v xml:space="preserve"> * La variable Reingresos no puede ser mayor al Total. * La variable Pueblos originarios no puede ser mayor al Total. * La variable Migrantes no puede ser mayor al Total.</v>
      </c>
      <c r="CC28" s="2465" t="str">
        <f>IF(AND(D28&gt;0,AM28="")," * No olvide digitar la variable Reingresos. Digite Cero si no tiene.",IF(AM28&gt;D28," * La variable Reingresos no puede ser mayor al Total.",""))</f>
        <v xml:space="preserve"> * La variable Reingresos no puede ser mayor al Total.</v>
      </c>
      <c r="CD28" s="2465" t="str">
        <f>IF(AND(D28&gt;0,AN28="")," * No olvide digitar la variable Pueblos originarios.  Digite Cero si no tiene.",IF(AN28&gt;D28," * La variable Pueblos originarios no puede ser mayor al Total.",""))</f>
        <v xml:space="preserve"> * La variable Pueblos originarios no puede ser mayor al Total.</v>
      </c>
      <c r="CE28" s="2465" t="str">
        <f t="shared" ref="CE28:CE31" si="8">IF(AND(D28&gt;0,AO28="")," * No olvide digitar la variable Migrantes. Digite Cero si no tiene.",IF(AO28&gt;D28," * La variable Migrantes no puede ser mayor al Total.",""))</f>
        <v xml:space="preserve"> * La variable Migrantes no puede ser mayor al Total.</v>
      </c>
      <c r="CF28" s="5831"/>
      <c r="CH28" s="2466">
        <f>IF(AND(D28&gt;0,AM28=""),1,IF(AM28&gt;D28,1,0))</f>
        <v>1</v>
      </c>
      <c r="CI28" s="2466">
        <f>IF(AND(D28&gt;0,AN28=""),1,IF(AN28&gt;D28,1,0))</f>
        <v>1</v>
      </c>
      <c r="CJ28" s="2466">
        <f>IF(AND(D28&gt;0,AO28=""),1,IF(AO28&gt;D28,1,0))</f>
        <v>1</v>
      </c>
      <c r="CK28" s="5831"/>
    </row>
    <row r="29" spans="1:89" s="170" customFormat="1" ht="15" customHeight="1" x14ac:dyDescent="0.2">
      <c r="A29" s="6234">
        <v>23030815</v>
      </c>
      <c r="B29" s="7781"/>
      <c r="C29" s="1108" t="s">
        <v>1021</v>
      </c>
      <c r="D29" s="1170" t="s">
        <v>5292</v>
      </c>
      <c r="E29" s="1171" t="s">
        <v>5293</v>
      </c>
      <c r="F29" s="1172" t="s">
        <v>5294</v>
      </c>
      <c r="G29" s="657" t="s">
        <v>5295</v>
      </c>
      <c r="H29" s="69" t="s">
        <v>5296</v>
      </c>
      <c r="I29" s="657" t="s">
        <v>5297</v>
      </c>
      <c r="J29" s="1173" t="s">
        <v>5298</v>
      </c>
      <c r="K29" s="1174" t="s">
        <v>5299</v>
      </c>
      <c r="L29" s="1175" t="s">
        <v>5300</v>
      </c>
      <c r="M29" s="1174" t="s">
        <v>5301</v>
      </c>
      <c r="N29" s="1175" t="s">
        <v>5302</v>
      </c>
      <c r="O29" s="1174" t="s">
        <v>5303</v>
      </c>
      <c r="P29" s="1175" t="s">
        <v>5304</v>
      </c>
      <c r="Q29" s="1174" t="s">
        <v>5305</v>
      </c>
      <c r="R29" s="1175" t="s">
        <v>5306</v>
      </c>
      <c r="S29" s="1174" t="s">
        <v>5307</v>
      </c>
      <c r="T29" s="1175" t="s">
        <v>5308</v>
      </c>
      <c r="U29" s="1174" t="s">
        <v>5309</v>
      </c>
      <c r="V29" s="1175" t="s">
        <v>5310</v>
      </c>
      <c r="W29" s="1174" t="s">
        <v>5311</v>
      </c>
      <c r="X29" s="1175" t="s">
        <v>5312</v>
      </c>
      <c r="Y29" s="1174" t="s">
        <v>5313</v>
      </c>
      <c r="Z29" s="1175" t="s">
        <v>5314</v>
      </c>
      <c r="AA29" s="1174" t="s">
        <v>5315</v>
      </c>
      <c r="AB29" s="1175" t="s">
        <v>5316</v>
      </c>
      <c r="AC29" s="1174" t="s">
        <v>5317</v>
      </c>
      <c r="AD29" s="1175" t="s">
        <v>5318</v>
      </c>
      <c r="AE29" s="1174" t="s">
        <v>5319</v>
      </c>
      <c r="AF29" s="1175" t="s">
        <v>5320</v>
      </c>
      <c r="AG29" s="1174" t="s">
        <v>5321</v>
      </c>
      <c r="AH29" s="1175" t="s">
        <v>5322</v>
      </c>
      <c r="AI29" s="1144" t="s">
        <v>5323</v>
      </c>
      <c r="AJ29" s="1175" t="s">
        <v>5324</v>
      </c>
      <c r="AK29" s="1177" t="s">
        <v>5325</v>
      </c>
      <c r="AL29" s="1179" t="s">
        <v>5326</v>
      </c>
      <c r="AM29" s="62" t="s">
        <v>5327</v>
      </c>
      <c r="AN29" s="62" t="s">
        <v>5328</v>
      </c>
      <c r="AO29" s="62" t="s">
        <v>5329</v>
      </c>
      <c r="AP29" s="170" t="str">
        <f t="shared" ref="AP29:AP40" si="9">CC29&amp;CD29&amp;CE29&amp;CF29</f>
        <v xml:space="preserve"> * La variable Reingresos no puede ser mayor al Total. * La variable Pueblos originarios no puede ser mayor al Total. * La variable Migrantes no puede ser mayor al Total.</v>
      </c>
      <c r="CC29" s="2465" t="str">
        <f t="shared" ref="CC29:CC40" si="10">IF(AND(D29&gt;0,AM29="")," * No olvide digitar la variable Reingresos. Digite Cero si no tiene.",IF(AM29&gt;D29," * La variable Reingresos no puede ser mayor al Total.",""))</f>
        <v xml:space="preserve"> * La variable Reingresos no puede ser mayor al Total.</v>
      </c>
      <c r="CD29" s="2465" t="str">
        <f t="shared" ref="CD29:CD40" si="11">IF(AND(D29&gt;0,AN29="")," * No olvide digitar la variable Pueblos originarios.  Digite Cero si no tiene.",IF(AN29&gt;D29," * La variable Pueblos originarios no puede ser mayor al Total.",""))</f>
        <v xml:space="preserve"> * La variable Pueblos originarios no puede ser mayor al Total.</v>
      </c>
      <c r="CE29" s="2465" t="str">
        <f t="shared" si="8"/>
        <v xml:space="preserve"> * La variable Migrantes no puede ser mayor al Total.</v>
      </c>
      <c r="CF29" s="5831"/>
      <c r="CH29" s="2466">
        <f t="shared" ref="CH29:CH40" si="12">IF(AND(D29&gt;0,AM29=""),1,IF(AM29&gt;D29,1,0))</f>
        <v>1</v>
      </c>
      <c r="CI29" s="2466">
        <f t="shared" ref="CI29:CI40" si="13">IF(AND(D29&gt;0,AN29=""),1,IF(AN29&gt;D29,1,0))</f>
        <v>1</v>
      </c>
      <c r="CJ29" s="2466">
        <f t="shared" ref="CJ29:CJ40" si="14">IF(AND(D29&gt;0,AO29=""),1,IF(AO29&gt;D29,1,0))</f>
        <v>1</v>
      </c>
      <c r="CK29" s="5831"/>
    </row>
    <row r="30" spans="1:89" s="170" customFormat="1" ht="15" customHeight="1" x14ac:dyDescent="0.2">
      <c r="A30" s="6234">
        <v>23030825</v>
      </c>
      <c r="B30" s="7781"/>
      <c r="C30" s="1180" t="s">
        <v>1022</v>
      </c>
      <c r="D30" s="1181" t="s">
        <v>5292</v>
      </c>
      <c r="E30" s="1182" t="s">
        <v>5293</v>
      </c>
      <c r="F30" s="1183" t="s">
        <v>5294</v>
      </c>
      <c r="G30" s="649" t="s">
        <v>5295</v>
      </c>
      <c r="H30" s="1184" t="s">
        <v>5296</v>
      </c>
      <c r="I30" s="649" t="s">
        <v>5297</v>
      </c>
      <c r="J30" s="1185" t="s">
        <v>5298</v>
      </c>
      <c r="K30" s="1186" t="s">
        <v>5299</v>
      </c>
      <c r="L30" s="1187" t="s">
        <v>5300</v>
      </c>
      <c r="M30" s="1186" t="s">
        <v>5301</v>
      </c>
      <c r="N30" s="1187" t="s">
        <v>5302</v>
      </c>
      <c r="O30" s="1186" t="s">
        <v>5303</v>
      </c>
      <c r="P30" s="1187" t="s">
        <v>5304</v>
      </c>
      <c r="Q30" s="1186" t="s">
        <v>5305</v>
      </c>
      <c r="R30" s="1187" t="s">
        <v>5306</v>
      </c>
      <c r="S30" s="1186" t="s">
        <v>5307</v>
      </c>
      <c r="T30" s="1187" t="s">
        <v>5308</v>
      </c>
      <c r="U30" s="1186" t="s">
        <v>5309</v>
      </c>
      <c r="V30" s="1187" t="s">
        <v>5310</v>
      </c>
      <c r="W30" s="1186" t="s">
        <v>5311</v>
      </c>
      <c r="X30" s="1187" t="s">
        <v>5312</v>
      </c>
      <c r="Y30" s="1186" t="s">
        <v>5313</v>
      </c>
      <c r="Z30" s="1187" t="s">
        <v>5314</v>
      </c>
      <c r="AA30" s="1186" t="s">
        <v>5315</v>
      </c>
      <c r="AB30" s="1187" t="s">
        <v>5316</v>
      </c>
      <c r="AC30" s="1186" t="s">
        <v>5317</v>
      </c>
      <c r="AD30" s="1187" t="s">
        <v>5318</v>
      </c>
      <c r="AE30" s="1186" t="s">
        <v>5319</v>
      </c>
      <c r="AF30" s="1187" t="s">
        <v>5320</v>
      </c>
      <c r="AG30" s="1186" t="s">
        <v>5321</v>
      </c>
      <c r="AH30" s="1187" t="s">
        <v>5322</v>
      </c>
      <c r="AI30" s="1186" t="s">
        <v>5323</v>
      </c>
      <c r="AJ30" s="1187" t="s">
        <v>5324</v>
      </c>
      <c r="AK30" s="1188" t="s">
        <v>5325</v>
      </c>
      <c r="AL30" s="1189" t="s">
        <v>5326</v>
      </c>
      <c r="AM30" s="1190" t="s">
        <v>5327</v>
      </c>
      <c r="AN30" s="1190" t="s">
        <v>5328</v>
      </c>
      <c r="AO30" s="1190" t="s">
        <v>5329</v>
      </c>
      <c r="AP30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0" s="2465" t="str">
        <f t="shared" si="10"/>
        <v xml:space="preserve"> * La variable Reingresos no puede ser mayor al Total.</v>
      </c>
      <c r="CD30" s="2465" t="str">
        <f t="shared" si="11"/>
        <v xml:space="preserve"> * La variable Pueblos originarios no puede ser mayor al Total.</v>
      </c>
      <c r="CE30" s="2465" t="str">
        <f t="shared" si="8"/>
        <v xml:space="preserve"> * La variable Migrantes no puede ser mayor al Total.</v>
      </c>
      <c r="CF30" s="5831"/>
      <c r="CH30" s="2466">
        <f t="shared" si="12"/>
        <v>1</v>
      </c>
      <c r="CI30" s="2466">
        <f t="shared" si="13"/>
        <v>1</v>
      </c>
      <c r="CJ30" s="2466">
        <f t="shared" si="14"/>
        <v>1</v>
      </c>
      <c r="CK30" s="5831"/>
    </row>
    <row r="31" spans="1:89" s="170" customFormat="1" ht="15" customHeight="1" x14ac:dyDescent="0.2">
      <c r="A31" s="6234">
        <v>23030605</v>
      </c>
      <c r="B31" s="7842" t="s">
        <v>1023</v>
      </c>
      <c r="C31" s="1169" t="s">
        <v>1020</v>
      </c>
      <c r="D31" s="1191" t="s">
        <v>5292</v>
      </c>
      <c r="E31" s="1192" t="s">
        <v>5293</v>
      </c>
      <c r="F31" s="1124" t="s">
        <v>5294</v>
      </c>
      <c r="G31" s="1193" t="s">
        <v>5295</v>
      </c>
      <c r="H31" s="1194" t="s">
        <v>5296</v>
      </c>
      <c r="I31" s="1125" t="s">
        <v>5297</v>
      </c>
      <c r="J31" s="1127" t="s">
        <v>5298</v>
      </c>
      <c r="K31" s="1125" t="s">
        <v>5299</v>
      </c>
      <c r="L31" s="1126" t="s">
        <v>5300</v>
      </c>
      <c r="M31" s="1125" t="s">
        <v>5301</v>
      </c>
      <c r="N31" s="1126" t="s">
        <v>5302</v>
      </c>
      <c r="O31" s="1125" t="s">
        <v>5303</v>
      </c>
      <c r="P31" s="1127" t="s">
        <v>5304</v>
      </c>
      <c r="Q31" s="1125" t="s">
        <v>5305</v>
      </c>
      <c r="R31" s="1126" t="s">
        <v>5306</v>
      </c>
      <c r="S31" s="1125" t="s">
        <v>5307</v>
      </c>
      <c r="T31" s="1126" t="s">
        <v>5308</v>
      </c>
      <c r="U31" s="1125" t="s">
        <v>5309</v>
      </c>
      <c r="V31" s="1126" t="s">
        <v>5310</v>
      </c>
      <c r="W31" s="1125" t="s">
        <v>5311</v>
      </c>
      <c r="X31" s="1127" t="s">
        <v>5312</v>
      </c>
      <c r="Y31" s="1125" t="s">
        <v>5313</v>
      </c>
      <c r="Z31" s="1126" t="s">
        <v>5314</v>
      </c>
      <c r="AA31" s="1125" t="s">
        <v>5315</v>
      </c>
      <c r="AB31" s="1126" t="s">
        <v>5316</v>
      </c>
      <c r="AC31" s="1125" t="s">
        <v>5317</v>
      </c>
      <c r="AD31" s="1127" t="s">
        <v>5318</v>
      </c>
      <c r="AE31" s="1125" t="s">
        <v>5319</v>
      </c>
      <c r="AF31" s="1126" t="s">
        <v>5320</v>
      </c>
      <c r="AG31" s="1125" t="s">
        <v>5321</v>
      </c>
      <c r="AH31" s="1126" t="s">
        <v>5322</v>
      </c>
      <c r="AI31" s="1125" t="s">
        <v>5323</v>
      </c>
      <c r="AJ31" s="1127" t="s">
        <v>5324</v>
      </c>
      <c r="AK31" s="1195" t="s">
        <v>5325</v>
      </c>
      <c r="AL31" s="647" t="s">
        <v>5326</v>
      </c>
      <c r="AM31" s="1126" t="s">
        <v>5327</v>
      </c>
      <c r="AN31" s="1126" t="s">
        <v>5328</v>
      </c>
      <c r="AO31" s="1126" t="s">
        <v>5329</v>
      </c>
      <c r="AP31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1" s="2465" t="str">
        <f t="shared" si="10"/>
        <v xml:space="preserve"> * La variable Reingresos no puede ser mayor al Total.</v>
      </c>
      <c r="CD31" s="2465" t="str">
        <f t="shared" si="11"/>
        <v xml:space="preserve"> * La variable Pueblos originarios no puede ser mayor al Total.</v>
      </c>
      <c r="CE31" s="2465" t="str">
        <f t="shared" si="8"/>
        <v xml:space="preserve"> * La variable Migrantes no puede ser mayor al Total.</v>
      </c>
      <c r="CF31" s="5831"/>
      <c r="CH31" s="2466">
        <f t="shared" si="12"/>
        <v>1</v>
      </c>
      <c r="CI31" s="2466">
        <f t="shared" si="13"/>
        <v>1</v>
      </c>
      <c r="CJ31" s="2466">
        <f t="shared" si="14"/>
        <v>1</v>
      </c>
      <c r="CK31" s="5831"/>
    </row>
    <row r="32" spans="1:89" s="170" customFormat="1" ht="15" customHeight="1" x14ac:dyDescent="0.2">
      <c r="A32" s="6234">
        <v>23030615</v>
      </c>
      <c r="B32" s="7843"/>
      <c r="C32" s="1108" t="s">
        <v>1021</v>
      </c>
      <c r="D32" s="1170" t="s">
        <v>5292</v>
      </c>
      <c r="E32" s="1171" t="s">
        <v>5293</v>
      </c>
      <c r="F32" s="1172" t="s">
        <v>5294</v>
      </c>
      <c r="G32" s="1196" t="s">
        <v>5295</v>
      </c>
      <c r="H32" s="1197" t="s">
        <v>5296</v>
      </c>
      <c r="I32" s="1134" t="s">
        <v>5297</v>
      </c>
      <c r="J32" s="1173" t="s">
        <v>5298</v>
      </c>
      <c r="K32" s="657" t="s">
        <v>5299</v>
      </c>
      <c r="L32" s="69" t="s">
        <v>5300</v>
      </c>
      <c r="M32" s="657" t="s">
        <v>5301</v>
      </c>
      <c r="N32" s="69" t="s">
        <v>5302</v>
      </c>
      <c r="O32" s="657" t="s">
        <v>5303</v>
      </c>
      <c r="P32" s="1173" t="s">
        <v>5304</v>
      </c>
      <c r="Q32" s="657" t="s">
        <v>5305</v>
      </c>
      <c r="R32" s="69" t="s">
        <v>5306</v>
      </c>
      <c r="S32" s="657" t="s">
        <v>5307</v>
      </c>
      <c r="T32" s="69" t="s">
        <v>5308</v>
      </c>
      <c r="U32" s="657" t="s">
        <v>5309</v>
      </c>
      <c r="V32" s="69" t="s">
        <v>5310</v>
      </c>
      <c r="W32" s="657" t="s">
        <v>5311</v>
      </c>
      <c r="X32" s="1173" t="s">
        <v>5312</v>
      </c>
      <c r="Y32" s="657" t="s">
        <v>5313</v>
      </c>
      <c r="Z32" s="69" t="s">
        <v>5314</v>
      </c>
      <c r="AA32" s="657" t="s">
        <v>5315</v>
      </c>
      <c r="AB32" s="69" t="s">
        <v>5316</v>
      </c>
      <c r="AC32" s="657" t="s">
        <v>5317</v>
      </c>
      <c r="AD32" s="1173" t="s">
        <v>5318</v>
      </c>
      <c r="AE32" s="657" t="s">
        <v>5319</v>
      </c>
      <c r="AF32" s="69" t="s">
        <v>5320</v>
      </c>
      <c r="AG32" s="657" t="s">
        <v>5321</v>
      </c>
      <c r="AH32" s="69" t="s">
        <v>5322</v>
      </c>
      <c r="AI32" s="657" t="s">
        <v>5323</v>
      </c>
      <c r="AJ32" s="1173" t="s">
        <v>5324</v>
      </c>
      <c r="AK32" s="1198" t="s">
        <v>5325</v>
      </c>
      <c r="AL32" s="1199" t="s">
        <v>5326</v>
      </c>
      <c r="AM32" s="62" t="s">
        <v>5327</v>
      </c>
      <c r="AN32" s="62" t="s">
        <v>5328</v>
      </c>
      <c r="AO32" s="62" t="s">
        <v>5329</v>
      </c>
      <c r="AP32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2" s="2465" t="str">
        <f t="shared" si="10"/>
        <v xml:space="preserve"> * La variable Reingresos no puede ser mayor al Total.</v>
      </c>
      <c r="CD32" s="2465" t="str">
        <f t="shared" si="11"/>
        <v xml:space="preserve"> * La variable Pueblos originarios no puede ser mayor al Total.</v>
      </c>
      <c r="CE32" s="2465" t="str">
        <f>IF(AND(D32&gt;0,AO32="")," * No olvide digitar la variable Migrantes. Digite Cero si no tiene.",IF(AO32&gt;D32," * La variable Migrantes no puede ser mayor al Total.",""))</f>
        <v xml:space="preserve"> * La variable Migrantes no puede ser mayor al Total.</v>
      </c>
      <c r="CF32" s="5831"/>
      <c r="CH32" s="2466">
        <f t="shared" si="12"/>
        <v>1</v>
      </c>
      <c r="CI32" s="2466">
        <f t="shared" si="13"/>
        <v>1</v>
      </c>
      <c r="CJ32" s="2466">
        <f t="shared" si="14"/>
        <v>1</v>
      </c>
      <c r="CK32" s="5831"/>
    </row>
    <row r="33" spans="1:89" s="170" customFormat="1" ht="15" customHeight="1" x14ac:dyDescent="0.2">
      <c r="A33" s="6234">
        <v>23030625</v>
      </c>
      <c r="B33" s="7844"/>
      <c r="C33" s="1200" t="s">
        <v>1022</v>
      </c>
      <c r="D33" s="1181" t="s">
        <v>5292</v>
      </c>
      <c r="E33" s="1182" t="s">
        <v>5293</v>
      </c>
      <c r="F33" s="1172" t="s">
        <v>5294</v>
      </c>
      <c r="G33" s="1196" t="s">
        <v>5295</v>
      </c>
      <c r="H33" s="1201" t="s">
        <v>5296</v>
      </c>
      <c r="I33" s="64" t="s">
        <v>5297</v>
      </c>
      <c r="J33" s="1154" t="s">
        <v>5298</v>
      </c>
      <c r="K33" s="64" t="s">
        <v>5299</v>
      </c>
      <c r="L33" s="1154" t="s">
        <v>5300</v>
      </c>
      <c r="M33" s="64" t="s">
        <v>5301</v>
      </c>
      <c r="N33" s="1154" t="s">
        <v>5302</v>
      </c>
      <c r="O33" s="64" t="s">
        <v>5303</v>
      </c>
      <c r="P33" s="1154" t="s">
        <v>5304</v>
      </c>
      <c r="Q33" s="64" t="s">
        <v>5305</v>
      </c>
      <c r="R33" s="1154" t="s">
        <v>5306</v>
      </c>
      <c r="S33" s="64" t="s">
        <v>5307</v>
      </c>
      <c r="T33" s="1154" t="s">
        <v>5308</v>
      </c>
      <c r="U33" s="64" t="s">
        <v>5309</v>
      </c>
      <c r="V33" s="1154" t="s">
        <v>5310</v>
      </c>
      <c r="W33" s="64" t="s">
        <v>5311</v>
      </c>
      <c r="X33" s="1154" t="s">
        <v>5312</v>
      </c>
      <c r="Y33" s="64" t="s">
        <v>5313</v>
      </c>
      <c r="Z33" s="1154" t="s">
        <v>5314</v>
      </c>
      <c r="AA33" s="64" t="s">
        <v>5315</v>
      </c>
      <c r="AB33" s="1154" t="s">
        <v>5316</v>
      </c>
      <c r="AC33" s="64" t="s">
        <v>5317</v>
      </c>
      <c r="AD33" s="1154" t="s">
        <v>5318</v>
      </c>
      <c r="AE33" s="64" t="s">
        <v>5319</v>
      </c>
      <c r="AF33" s="1154" t="s">
        <v>5320</v>
      </c>
      <c r="AG33" s="64" t="s">
        <v>5321</v>
      </c>
      <c r="AH33" s="1154" t="s">
        <v>5322</v>
      </c>
      <c r="AI33" s="64" t="s">
        <v>5323</v>
      </c>
      <c r="AJ33" s="1154" t="s">
        <v>5324</v>
      </c>
      <c r="AK33" s="1202" t="s">
        <v>5325</v>
      </c>
      <c r="AL33" s="653" t="s">
        <v>5326</v>
      </c>
      <c r="AM33" s="65" t="s">
        <v>5327</v>
      </c>
      <c r="AN33" s="65" t="s">
        <v>5328</v>
      </c>
      <c r="AO33" s="65" t="s">
        <v>5329</v>
      </c>
      <c r="AP33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3" s="2465" t="str">
        <f t="shared" si="10"/>
        <v xml:space="preserve"> * La variable Reingresos no puede ser mayor al Total.</v>
      </c>
      <c r="CD33" s="2465" t="str">
        <f t="shared" si="11"/>
        <v xml:space="preserve"> * La variable Pueblos originarios no puede ser mayor al Total.</v>
      </c>
      <c r="CE33" s="2465" t="str">
        <f t="shared" ref="CE33:CE40" si="15">IF(AND(D33&gt;0,AO33="")," * No olvide digitar la variable Migrantes. Digite Cero si no tiene.",IF(AO33&gt;D33," * La variable Migrantes no puede ser mayor al Total.",""))</f>
        <v xml:space="preserve"> * La variable Migrantes no puede ser mayor al Total.</v>
      </c>
      <c r="CF33" s="5831"/>
      <c r="CH33" s="2466">
        <f t="shared" si="12"/>
        <v>1</v>
      </c>
      <c r="CI33" s="2466">
        <f t="shared" si="13"/>
        <v>1</v>
      </c>
      <c r="CJ33" s="2466">
        <f t="shared" si="14"/>
        <v>1</v>
      </c>
      <c r="CK33" s="5831"/>
    </row>
    <row r="34" spans="1:89" s="170" customFormat="1" ht="15" customHeight="1" x14ac:dyDescent="0.2">
      <c r="A34" s="6234">
        <v>23060105</v>
      </c>
      <c r="B34" s="7845" t="s">
        <v>1024</v>
      </c>
      <c r="C34" s="1169" t="s">
        <v>1025</v>
      </c>
      <c r="D34" s="1191" t="s">
        <v>5292</v>
      </c>
      <c r="E34" s="1192" t="s">
        <v>5293</v>
      </c>
      <c r="F34" s="1124" t="s">
        <v>5294</v>
      </c>
      <c r="G34" s="1203" t="s">
        <v>5295</v>
      </c>
      <c r="H34" s="1204" t="s">
        <v>5296</v>
      </c>
      <c r="I34" s="1203" t="s">
        <v>5297</v>
      </c>
      <c r="J34" s="1204" t="s">
        <v>5298</v>
      </c>
      <c r="K34" s="1203" t="s">
        <v>5299</v>
      </c>
      <c r="L34" s="1204" t="s">
        <v>5300</v>
      </c>
      <c r="M34" s="1203" t="s">
        <v>5301</v>
      </c>
      <c r="N34" s="1204" t="s">
        <v>5302</v>
      </c>
      <c r="O34" s="1203" t="s">
        <v>5303</v>
      </c>
      <c r="P34" s="1204" t="s">
        <v>5304</v>
      </c>
      <c r="Q34" s="1203" t="s">
        <v>5305</v>
      </c>
      <c r="R34" s="1204" t="s">
        <v>5306</v>
      </c>
      <c r="S34" s="1203" t="s">
        <v>5307</v>
      </c>
      <c r="T34" s="1204" t="s">
        <v>5308</v>
      </c>
      <c r="U34" s="1125" t="s">
        <v>5309</v>
      </c>
      <c r="V34" s="1127" t="s">
        <v>5310</v>
      </c>
      <c r="W34" s="1125" t="s">
        <v>5311</v>
      </c>
      <c r="X34" s="1127" t="s">
        <v>5312</v>
      </c>
      <c r="Y34" s="1125" t="s">
        <v>5313</v>
      </c>
      <c r="Z34" s="1127" t="s">
        <v>5314</v>
      </c>
      <c r="AA34" s="1125" t="s">
        <v>5315</v>
      </c>
      <c r="AB34" s="1127" t="s">
        <v>5316</v>
      </c>
      <c r="AC34" s="1125" t="s">
        <v>5317</v>
      </c>
      <c r="AD34" s="1127" t="s">
        <v>5318</v>
      </c>
      <c r="AE34" s="1125" t="s">
        <v>5319</v>
      </c>
      <c r="AF34" s="1127" t="s">
        <v>5320</v>
      </c>
      <c r="AG34" s="1125" t="s">
        <v>5321</v>
      </c>
      <c r="AH34" s="1127" t="s">
        <v>5322</v>
      </c>
      <c r="AI34" s="1125" t="s">
        <v>5323</v>
      </c>
      <c r="AJ34" s="1127" t="s">
        <v>5324</v>
      </c>
      <c r="AK34" s="1195" t="s">
        <v>5325</v>
      </c>
      <c r="AL34" s="647" t="s">
        <v>5326</v>
      </c>
      <c r="AM34" s="1126" t="s">
        <v>5327</v>
      </c>
      <c r="AN34" s="1126" t="s">
        <v>5328</v>
      </c>
      <c r="AO34" s="1126" t="s">
        <v>5329</v>
      </c>
      <c r="AP34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4" s="2465" t="str">
        <f t="shared" si="10"/>
        <v xml:space="preserve"> * La variable Reingresos no puede ser mayor al Total.</v>
      </c>
      <c r="CD34" s="2465" t="str">
        <f t="shared" si="11"/>
        <v xml:space="preserve"> * La variable Pueblos originarios no puede ser mayor al Total.</v>
      </c>
      <c r="CE34" s="2465" t="str">
        <f t="shared" si="15"/>
        <v xml:space="preserve"> * La variable Migrantes no puede ser mayor al Total.</v>
      </c>
      <c r="CF34" s="5831"/>
      <c r="CH34" s="2466">
        <f t="shared" si="12"/>
        <v>1</v>
      </c>
      <c r="CI34" s="2466">
        <f t="shared" si="13"/>
        <v>1</v>
      </c>
      <c r="CJ34" s="2466">
        <f t="shared" si="14"/>
        <v>1</v>
      </c>
      <c r="CK34" s="5831"/>
    </row>
    <row r="35" spans="1:89" s="170" customFormat="1" ht="15" customHeight="1" x14ac:dyDescent="0.2">
      <c r="A35" s="6234">
        <v>23060115</v>
      </c>
      <c r="B35" s="7846"/>
      <c r="C35" s="1200" t="s">
        <v>1026</v>
      </c>
      <c r="D35" s="1205" t="s">
        <v>5292</v>
      </c>
      <c r="E35" s="1206" t="s">
        <v>5293</v>
      </c>
      <c r="F35" s="1153" t="s">
        <v>5294</v>
      </c>
      <c r="G35" s="1207" t="s">
        <v>5295</v>
      </c>
      <c r="H35" s="1208" t="s">
        <v>5296</v>
      </c>
      <c r="I35" s="1207" t="s">
        <v>5297</v>
      </c>
      <c r="J35" s="1208" t="s">
        <v>5298</v>
      </c>
      <c r="K35" s="1207" t="s">
        <v>5299</v>
      </c>
      <c r="L35" s="1208" t="s">
        <v>5300</v>
      </c>
      <c r="M35" s="1207" t="s">
        <v>5301</v>
      </c>
      <c r="N35" s="1208" t="s">
        <v>5302</v>
      </c>
      <c r="O35" s="1207" t="s">
        <v>5303</v>
      </c>
      <c r="P35" s="1208" t="s">
        <v>5304</v>
      </c>
      <c r="Q35" s="1207" t="s">
        <v>5305</v>
      </c>
      <c r="R35" s="1208" t="s">
        <v>5306</v>
      </c>
      <c r="S35" s="1207" t="s">
        <v>5307</v>
      </c>
      <c r="T35" s="1208" t="s">
        <v>5308</v>
      </c>
      <c r="U35" s="64" t="s">
        <v>5309</v>
      </c>
      <c r="V35" s="1154" t="s">
        <v>5310</v>
      </c>
      <c r="W35" s="64" t="s">
        <v>5311</v>
      </c>
      <c r="X35" s="1154" t="s">
        <v>5312</v>
      </c>
      <c r="Y35" s="64" t="s">
        <v>5313</v>
      </c>
      <c r="Z35" s="1154" t="s">
        <v>5314</v>
      </c>
      <c r="AA35" s="64" t="s">
        <v>5315</v>
      </c>
      <c r="AB35" s="1154" t="s">
        <v>5316</v>
      </c>
      <c r="AC35" s="64" t="s">
        <v>5317</v>
      </c>
      <c r="AD35" s="1154" t="s">
        <v>5318</v>
      </c>
      <c r="AE35" s="64" t="s">
        <v>5319</v>
      </c>
      <c r="AF35" s="1154" t="s">
        <v>5320</v>
      </c>
      <c r="AG35" s="64" t="s">
        <v>5321</v>
      </c>
      <c r="AH35" s="1154" t="s">
        <v>5322</v>
      </c>
      <c r="AI35" s="64" t="s">
        <v>5323</v>
      </c>
      <c r="AJ35" s="1154" t="s">
        <v>5324</v>
      </c>
      <c r="AK35" s="1202" t="s">
        <v>5325</v>
      </c>
      <c r="AL35" s="653" t="s">
        <v>5326</v>
      </c>
      <c r="AM35" s="65" t="s">
        <v>5327</v>
      </c>
      <c r="AN35" s="65" t="s">
        <v>5328</v>
      </c>
      <c r="AO35" s="65" t="s">
        <v>5329</v>
      </c>
      <c r="AP35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5" s="2465" t="str">
        <f t="shared" si="10"/>
        <v xml:space="preserve"> * La variable Reingresos no puede ser mayor al Total.</v>
      </c>
      <c r="CD35" s="2465" t="str">
        <f t="shared" si="11"/>
        <v xml:space="preserve"> * La variable Pueblos originarios no puede ser mayor al Total.</v>
      </c>
      <c r="CE35" s="2465" t="str">
        <f t="shared" si="15"/>
        <v xml:space="preserve"> * La variable Migrantes no puede ser mayor al Total.</v>
      </c>
      <c r="CF35" s="5831"/>
      <c r="CH35" s="2466">
        <f t="shared" si="12"/>
        <v>1</v>
      </c>
      <c r="CI35" s="2466">
        <f t="shared" si="13"/>
        <v>1</v>
      </c>
      <c r="CJ35" s="2466">
        <f t="shared" si="14"/>
        <v>1</v>
      </c>
      <c r="CK35" s="5831"/>
    </row>
    <row r="36" spans="1:89" s="170" customFormat="1" ht="15" customHeight="1" x14ac:dyDescent="0.2">
      <c r="A36" s="6234">
        <v>23030900</v>
      </c>
      <c r="B36" s="7847" t="s">
        <v>1027</v>
      </c>
      <c r="C36" s="7848"/>
      <c r="D36" s="1209" t="s">
        <v>5292</v>
      </c>
      <c r="E36" s="1210" t="s">
        <v>5293</v>
      </c>
      <c r="F36" s="1172" t="s">
        <v>5294</v>
      </c>
      <c r="G36" s="657" t="s">
        <v>5295</v>
      </c>
      <c r="H36" s="69" t="s">
        <v>5296</v>
      </c>
      <c r="I36" s="657" t="s">
        <v>5297</v>
      </c>
      <c r="J36" s="1173" t="s">
        <v>5298</v>
      </c>
      <c r="K36" s="657" t="s">
        <v>5299</v>
      </c>
      <c r="L36" s="1173" t="s">
        <v>5300</v>
      </c>
      <c r="M36" s="657" t="s">
        <v>5301</v>
      </c>
      <c r="N36" s="1173" t="s">
        <v>5302</v>
      </c>
      <c r="O36" s="657" t="s">
        <v>5303</v>
      </c>
      <c r="P36" s="1173" t="s">
        <v>5304</v>
      </c>
      <c r="Q36" s="657" t="s">
        <v>5305</v>
      </c>
      <c r="R36" s="1173" t="s">
        <v>5306</v>
      </c>
      <c r="S36" s="657" t="s">
        <v>5307</v>
      </c>
      <c r="T36" s="1173" t="s">
        <v>5308</v>
      </c>
      <c r="U36" s="657" t="s">
        <v>5309</v>
      </c>
      <c r="V36" s="1173" t="s">
        <v>5310</v>
      </c>
      <c r="W36" s="657" t="s">
        <v>5311</v>
      </c>
      <c r="X36" s="1173" t="s">
        <v>5312</v>
      </c>
      <c r="Y36" s="657" t="s">
        <v>5313</v>
      </c>
      <c r="Z36" s="1173" t="s">
        <v>5314</v>
      </c>
      <c r="AA36" s="657" t="s">
        <v>5315</v>
      </c>
      <c r="AB36" s="1173" t="s">
        <v>5316</v>
      </c>
      <c r="AC36" s="657" t="s">
        <v>5317</v>
      </c>
      <c r="AD36" s="1173" t="s">
        <v>5318</v>
      </c>
      <c r="AE36" s="657" t="s">
        <v>5319</v>
      </c>
      <c r="AF36" s="1173" t="s">
        <v>5320</v>
      </c>
      <c r="AG36" s="657" t="s">
        <v>5321</v>
      </c>
      <c r="AH36" s="1173" t="s">
        <v>5322</v>
      </c>
      <c r="AI36" s="657" t="s">
        <v>5323</v>
      </c>
      <c r="AJ36" s="1173" t="s">
        <v>5324</v>
      </c>
      <c r="AK36" s="1198" t="s">
        <v>5325</v>
      </c>
      <c r="AL36" s="1199" t="s">
        <v>5326</v>
      </c>
      <c r="AM36" s="69" t="s">
        <v>5327</v>
      </c>
      <c r="AN36" s="69" t="s">
        <v>5328</v>
      </c>
      <c r="AO36" s="69" t="s">
        <v>5329</v>
      </c>
      <c r="AP36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6" s="2465" t="str">
        <f t="shared" si="10"/>
        <v xml:space="preserve"> * La variable Reingresos no puede ser mayor al Total.</v>
      </c>
      <c r="CD36" s="2465" t="str">
        <f t="shared" si="11"/>
        <v xml:space="preserve"> * La variable Pueblos originarios no puede ser mayor al Total.</v>
      </c>
      <c r="CE36" s="2465" t="str">
        <f t="shared" si="15"/>
        <v xml:space="preserve"> * La variable Migrantes no puede ser mayor al Total.</v>
      </c>
      <c r="CF36" s="5831"/>
      <c r="CH36" s="2466">
        <f t="shared" si="12"/>
        <v>1</v>
      </c>
      <c r="CI36" s="2466">
        <f t="shared" si="13"/>
        <v>1</v>
      </c>
      <c r="CJ36" s="2466">
        <f t="shared" si="14"/>
        <v>1</v>
      </c>
      <c r="CK36" s="5831"/>
    </row>
    <row r="37" spans="1:89" s="170" customFormat="1" ht="15" customHeight="1" x14ac:dyDescent="0.2">
      <c r="A37" s="6234">
        <v>23031000</v>
      </c>
      <c r="B37" s="7849" t="s">
        <v>1028</v>
      </c>
      <c r="C37" s="7850"/>
      <c r="D37" s="1211" t="s">
        <v>5292</v>
      </c>
      <c r="E37" s="1212" t="s">
        <v>5293</v>
      </c>
      <c r="F37" s="1133" t="s">
        <v>5294</v>
      </c>
      <c r="G37" s="1134" t="s">
        <v>5295</v>
      </c>
      <c r="H37" s="62" t="s">
        <v>5296</v>
      </c>
      <c r="I37" s="1134" t="s">
        <v>5297</v>
      </c>
      <c r="J37" s="1135" t="s">
        <v>5298</v>
      </c>
      <c r="K37" s="1134" t="s">
        <v>5299</v>
      </c>
      <c r="L37" s="1135" t="s">
        <v>5300</v>
      </c>
      <c r="M37" s="1134" t="s">
        <v>5301</v>
      </c>
      <c r="N37" s="1135" t="s">
        <v>5302</v>
      </c>
      <c r="O37" s="1134" t="s">
        <v>5303</v>
      </c>
      <c r="P37" s="1135" t="s">
        <v>5304</v>
      </c>
      <c r="Q37" s="1134" t="s">
        <v>5305</v>
      </c>
      <c r="R37" s="1135" t="s">
        <v>5306</v>
      </c>
      <c r="S37" s="1134" t="s">
        <v>5307</v>
      </c>
      <c r="T37" s="1135" t="s">
        <v>5308</v>
      </c>
      <c r="U37" s="1134" t="s">
        <v>5309</v>
      </c>
      <c r="V37" s="1135" t="s">
        <v>5310</v>
      </c>
      <c r="W37" s="1134" t="s">
        <v>5311</v>
      </c>
      <c r="X37" s="1135" t="s">
        <v>5312</v>
      </c>
      <c r="Y37" s="1134" t="s">
        <v>5313</v>
      </c>
      <c r="Z37" s="1135" t="s">
        <v>5314</v>
      </c>
      <c r="AA37" s="1134" t="s">
        <v>5315</v>
      </c>
      <c r="AB37" s="1135" t="s">
        <v>5316</v>
      </c>
      <c r="AC37" s="1134" t="s">
        <v>5317</v>
      </c>
      <c r="AD37" s="1135" t="s">
        <v>5318</v>
      </c>
      <c r="AE37" s="1134" t="s">
        <v>5319</v>
      </c>
      <c r="AF37" s="1135" t="s">
        <v>5320</v>
      </c>
      <c r="AG37" s="1134" t="s">
        <v>5321</v>
      </c>
      <c r="AH37" s="1135" t="s">
        <v>5322</v>
      </c>
      <c r="AI37" s="1134" t="s">
        <v>5323</v>
      </c>
      <c r="AJ37" s="1135" t="s">
        <v>5324</v>
      </c>
      <c r="AK37" s="1213" t="s">
        <v>5325</v>
      </c>
      <c r="AL37" s="1138" t="s">
        <v>5326</v>
      </c>
      <c r="AM37" s="62" t="s">
        <v>5327</v>
      </c>
      <c r="AN37" s="62" t="s">
        <v>5328</v>
      </c>
      <c r="AO37" s="62" t="s">
        <v>5329</v>
      </c>
      <c r="AP37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7" s="2465" t="str">
        <f t="shared" si="10"/>
        <v xml:space="preserve"> * La variable Reingresos no puede ser mayor al Total.</v>
      </c>
      <c r="CD37" s="2465" t="str">
        <f t="shared" si="11"/>
        <v xml:space="preserve"> * La variable Pueblos originarios no puede ser mayor al Total.</v>
      </c>
      <c r="CE37" s="2465" t="str">
        <f t="shared" si="15"/>
        <v xml:space="preserve"> * La variable Migrantes no puede ser mayor al Total.</v>
      </c>
      <c r="CF37" s="5831"/>
      <c r="CH37" s="2466">
        <f t="shared" si="12"/>
        <v>1</v>
      </c>
      <c r="CI37" s="2466">
        <f t="shared" si="13"/>
        <v>1</v>
      </c>
      <c r="CJ37" s="2466">
        <f t="shared" si="14"/>
        <v>1</v>
      </c>
      <c r="CK37" s="5831"/>
    </row>
    <row r="38" spans="1:89" s="170" customFormat="1" ht="15" customHeight="1" x14ac:dyDescent="0.2">
      <c r="A38" s="6240">
        <v>23090780</v>
      </c>
      <c r="B38" s="7814" t="s">
        <v>1029</v>
      </c>
      <c r="C38" s="6946"/>
      <c r="D38" s="1214" t="s">
        <v>5292</v>
      </c>
      <c r="E38" s="1215" t="s">
        <v>5293</v>
      </c>
      <c r="F38" s="1133" t="s">
        <v>5294</v>
      </c>
      <c r="G38" s="1134" t="s">
        <v>5295</v>
      </c>
      <c r="H38" s="62" t="s">
        <v>5296</v>
      </c>
      <c r="I38" s="1134" t="s">
        <v>5297</v>
      </c>
      <c r="J38" s="1135" t="s">
        <v>5298</v>
      </c>
      <c r="K38" s="1134" t="s">
        <v>5299</v>
      </c>
      <c r="L38" s="1135" t="s">
        <v>5300</v>
      </c>
      <c r="M38" s="1134" t="s">
        <v>5301</v>
      </c>
      <c r="N38" s="1135" t="s">
        <v>5302</v>
      </c>
      <c r="O38" s="1134" t="s">
        <v>5303</v>
      </c>
      <c r="P38" s="1135" t="s">
        <v>5304</v>
      </c>
      <c r="Q38" s="1134" t="s">
        <v>5305</v>
      </c>
      <c r="R38" s="1135" t="s">
        <v>5306</v>
      </c>
      <c r="S38" s="1134" t="s">
        <v>5307</v>
      </c>
      <c r="T38" s="1135" t="s">
        <v>5308</v>
      </c>
      <c r="U38" s="1134" t="s">
        <v>5309</v>
      </c>
      <c r="V38" s="1135" t="s">
        <v>5310</v>
      </c>
      <c r="W38" s="1134" t="s">
        <v>5311</v>
      </c>
      <c r="X38" s="1135" t="s">
        <v>5312</v>
      </c>
      <c r="Y38" s="1134" t="s">
        <v>5313</v>
      </c>
      <c r="Z38" s="1135" t="s">
        <v>5314</v>
      </c>
      <c r="AA38" s="1134" t="s">
        <v>5315</v>
      </c>
      <c r="AB38" s="1135" t="s">
        <v>5316</v>
      </c>
      <c r="AC38" s="1134" t="s">
        <v>5317</v>
      </c>
      <c r="AD38" s="1135" t="s">
        <v>5318</v>
      </c>
      <c r="AE38" s="1134" t="s">
        <v>5319</v>
      </c>
      <c r="AF38" s="1135" t="s">
        <v>5320</v>
      </c>
      <c r="AG38" s="1134" t="s">
        <v>5321</v>
      </c>
      <c r="AH38" s="1135" t="s">
        <v>5322</v>
      </c>
      <c r="AI38" s="1134" t="s">
        <v>5323</v>
      </c>
      <c r="AJ38" s="1135" t="s">
        <v>5324</v>
      </c>
      <c r="AK38" s="1213" t="s">
        <v>5325</v>
      </c>
      <c r="AL38" s="1138" t="s">
        <v>5326</v>
      </c>
      <c r="AM38" s="62" t="s">
        <v>5327</v>
      </c>
      <c r="AN38" s="62" t="s">
        <v>5328</v>
      </c>
      <c r="AO38" s="62" t="s">
        <v>5329</v>
      </c>
      <c r="AP38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8" s="2465" t="str">
        <f t="shared" si="10"/>
        <v xml:space="preserve"> * La variable Reingresos no puede ser mayor al Total.</v>
      </c>
      <c r="CD38" s="2465" t="str">
        <f t="shared" si="11"/>
        <v xml:space="preserve"> * La variable Pueblos originarios no puede ser mayor al Total.</v>
      </c>
      <c r="CE38" s="2465" t="str">
        <f t="shared" si="15"/>
        <v xml:space="preserve"> * La variable Migrantes no puede ser mayor al Total.</v>
      </c>
      <c r="CF38" s="5831"/>
      <c r="CH38" s="2466">
        <f t="shared" si="12"/>
        <v>1</v>
      </c>
      <c r="CI38" s="2466">
        <f t="shared" si="13"/>
        <v>1</v>
      </c>
      <c r="CJ38" s="2466">
        <f t="shared" si="14"/>
        <v>1</v>
      </c>
      <c r="CK38" s="5831"/>
    </row>
    <row r="39" spans="1:89" s="170" customFormat="1" ht="15" customHeight="1" x14ac:dyDescent="0.2">
      <c r="A39" s="6240">
        <v>23090790</v>
      </c>
      <c r="B39" s="7851" t="s">
        <v>1030</v>
      </c>
      <c r="C39" s="7850"/>
      <c r="D39" s="1211" t="s">
        <v>5292</v>
      </c>
      <c r="E39" s="1212" t="s">
        <v>5293</v>
      </c>
      <c r="F39" s="1133" t="s">
        <v>5294</v>
      </c>
      <c r="G39" s="1134" t="s">
        <v>5295</v>
      </c>
      <c r="H39" s="62" t="s">
        <v>5296</v>
      </c>
      <c r="I39" s="1134" t="s">
        <v>5297</v>
      </c>
      <c r="J39" s="1135" t="s">
        <v>5298</v>
      </c>
      <c r="K39" s="1134" t="s">
        <v>5299</v>
      </c>
      <c r="L39" s="1135" t="s">
        <v>5300</v>
      </c>
      <c r="M39" s="1134" t="s">
        <v>5301</v>
      </c>
      <c r="N39" s="1135" t="s">
        <v>5302</v>
      </c>
      <c r="O39" s="1134" t="s">
        <v>5303</v>
      </c>
      <c r="P39" s="1135" t="s">
        <v>5304</v>
      </c>
      <c r="Q39" s="1134" t="s">
        <v>5305</v>
      </c>
      <c r="R39" s="1135" t="s">
        <v>5306</v>
      </c>
      <c r="S39" s="1134" t="s">
        <v>5307</v>
      </c>
      <c r="T39" s="1135" t="s">
        <v>5308</v>
      </c>
      <c r="U39" s="1134" t="s">
        <v>5309</v>
      </c>
      <c r="V39" s="1135" t="s">
        <v>5310</v>
      </c>
      <c r="W39" s="1134" t="s">
        <v>5311</v>
      </c>
      <c r="X39" s="1135" t="s">
        <v>5312</v>
      </c>
      <c r="Y39" s="1134" t="s">
        <v>5313</v>
      </c>
      <c r="Z39" s="1135" t="s">
        <v>5314</v>
      </c>
      <c r="AA39" s="1134" t="s">
        <v>5315</v>
      </c>
      <c r="AB39" s="1135" t="s">
        <v>5316</v>
      </c>
      <c r="AC39" s="1134" t="s">
        <v>5317</v>
      </c>
      <c r="AD39" s="1135" t="s">
        <v>5318</v>
      </c>
      <c r="AE39" s="1134" t="s">
        <v>5319</v>
      </c>
      <c r="AF39" s="1135" t="s">
        <v>5320</v>
      </c>
      <c r="AG39" s="1134" t="s">
        <v>5321</v>
      </c>
      <c r="AH39" s="1135" t="s">
        <v>5322</v>
      </c>
      <c r="AI39" s="1134" t="s">
        <v>5323</v>
      </c>
      <c r="AJ39" s="1135" t="s">
        <v>5324</v>
      </c>
      <c r="AK39" s="1213" t="s">
        <v>5325</v>
      </c>
      <c r="AL39" s="1138" t="s">
        <v>5326</v>
      </c>
      <c r="AM39" s="62" t="s">
        <v>5327</v>
      </c>
      <c r="AN39" s="62" t="s">
        <v>5328</v>
      </c>
      <c r="AO39" s="62" t="s">
        <v>5329</v>
      </c>
      <c r="AP39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39" s="2465" t="str">
        <f t="shared" si="10"/>
        <v xml:space="preserve"> * La variable Reingresos no puede ser mayor al Total.</v>
      </c>
      <c r="CD39" s="2465" t="str">
        <f t="shared" si="11"/>
        <v xml:space="preserve"> * La variable Pueblos originarios no puede ser mayor al Total.</v>
      </c>
      <c r="CE39" s="2465" t="str">
        <f t="shared" si="15"/>
        <v xml:space="preserve"> * La variable Migrantes no puede ser mayor al Total.</v>
      </c>
      <c r="CF39" s="5831"/>
      <c r="CH39" s="2466">
        <f t="shared" si="12"/>
        <v>1</v>
      </c>
      <c r="CI39" s="2466">
        <f t="shared" si="13"/>
        <v>1</v>
      </c>
      <c r="CJ39" s="2466">
        <f t="shared" si="14"/>
        <v>1</v>
      </c>
      <c r="CK39" s="5831"/>
    </row>
    <row r="40" spans="1:89" s="170" customFormat="1" ht="15" customHeight="1" x14ac:dyDescent="0.2">
      <c r="A40" s="6240">
        <v>23090770</v>
      </c>
      <c r="B40" s="7815" t="s">
        <v>1031</v>
      </c>
      <c r="C40" s="7816"/>
      <c r="D40" s="1216" t="s">
        <v>5292</v>
      </c>
      <c r="E40" s="1217" t="s">
        <v>5293</v>
      </c>
      <c r="F40" s="1133" t="s">
        <v>5294</v>
      </c>
      <c r="G40" s="64" t="s">
        <v>5295</v>
      </c>
      <c r="H40" s="65" t="s">
        <v>5296</v>
      </c>
      <c r="I40" s="64" t="s">
        <v>5297</v>
      </c>
      <c r="J40" s="1154" t="s">
        <v>5298</v>
      </c>
      <c r="K40" s="64" t="s">
        <v>5299</v>
      </c>
      <c r="L40" s="1154" t="s">
        <v>5300</v>
      </c>
      <c r="M40" s="64" t="s">
        <v>5301</v>
      </c>
      <c r="N40" s="1154" t="s">
        <v>5302</v>
      </c>
      <c r="O40" s="64" t="s">
        <v>5303</v>
      </c>
      <c r="P40" s="1154" t="s">
        <v>5304</v>
      </c>
      <c r="Q40" s="64" t="s">
        <v>5305</v>
      </c>
      <c r="R40" s="1154" t="s">
        <v>5306</v>
      </c>
      <c r="S40" s="64" t="s">
        <v>5307</v>
      </c>
      <c r="T40" s="1154" t="s">
        <v>5308</v>
      </c>
      <c r="U40" s="64" t="s">
        <v>5309</v>
      </c>
      <c r="V40" s="1154" t="s">
        <v>5310</v>
      </c>
      <c r="W40" s="64" t="s">
        <v>5311</v>
      </c>
      <c r="X40" s="1154" t="s">
        <v>5312</v>
      </c>
      <c r="Y40" s="64" t="s">
        <v>5313</v>
      </c>
      <c r="Z40" s="1154" t="s">
        <v>5314</v>
      </c>
      <c r="AA40" s="64" t="s">
        <v>5315</v>
      </c>
      <c r="AB40" s="1154" t="s">
        <v>5316</v>
      </c>
      <c r="AC40" s="64" t="s">
        <v>5317</v>
      </c>
      <c r="AD40" s="1154" t="s">
        <v>5318</v>
      </c>
      <c r="AE40" s="64" t="s">
        <v>5319</v>
      </c>
      <c r="AF40" s="1154" t="s">
        <v>5320</v>
      </c>
      <c r="AG40" s="64" t="s">
        <v>5321</v>
      </c>
      <c r="AH40" s="1154" t="s">
        <v>5322</v>
      </c>
      <c r="AI40" s="64" t="s">
        <v>5323</v>
      </c>
      <c r="AJ40" s="1154" t="s">
        <v>5324</v>
      </c>
      <c r="AK40" s="1202" t="s">
        <v>5325</v>
      </c>
      <c r="AL40" s="653" t="s">
        <v>5326</v>
      </c>
      <c r="AM40" s="65" t="s">
        <v>5327</v>
      </c>
      <c r="AN40" s="65" t="s">
        <v>5328</v>
      </c>
      <c r="AO40" s="65" t="s">
        <v>5329</v>
      </c>
      <c r="AP40" s="170" t="str">
        <f t="shared" si="9"/>
        <v xml:space="preserve"> * La variable Reingresos no puede ser mayor al Total. * La variable Pueblos originarios no puede ser mayor al Total. * La variable Migrantes no puede ser mayor al Total.</v>
      </c>
      <c r="CC40" s="2465" t="str">
        <f t="shared" si="10"/>
        <v xml:space="preserve"> * La variable Reingresos no puede ser mayor al Total.</v>
      </c>
      <c r="CD40" s="2465" t="str">
        <f t="shared" si="11"/>
        <v xml:space="preserve"> * La variable Pueblos originarios no puede ser mayor al Total.</v>
      </c>
      <c r="CE40" s="2465" t="str">
        <f t="shared" si="15"/>
        <v xml:space="preserve"> * La variable Migrantes no puede ser mayor al Total.</v>
      </c>
      <c r="CF40" s="5831"/>
      <c r="CH40" s="2466">
        <f t="shared" si="12"/>
        <v>1</v>
      </c>
      <c r="CI40" s="2466">
        <f t="shared" si="13"/>
        <v>1</v>
      </c>
      <c r="CJ40" s="2466">
        <f t="shared" si="14"/>
        <v>1</v>
      </c>
      <c r="CK40" s="5831"/>
    </row>
    <row r="41" spans="1:89" s="170" customFormat="1" ht="15" customHeight="1" x14ac:dyDescent="0.25">
      <c r="A41" s="6278"/>
      <c r="B41" s="7807" t="s">
        <v>24</v>
      </c>
      <c r="C41" s="7807"/>
      <c r="D41" s="1159">
        <f t="shared" ref="D41:AM41" si="16">SUM(D28:D40)</f>
        <v>0</v>
      </c>
      <c r="E41" s="2467">
        <f t="shared" si="16"/>
        <v>0</v>
      </c>
      <c r="F41" s="1160">
        <f t="shared" si="16"/>
        <v>0</v>
      </c>
      <c r="G41" s="1159">
        <f t="shared" si="16"/>
        <v>0</v>
      </c>
      <c r="H41" s="1160">
        <f t="shared" si="16"/>
        <v>0</v>
      </c>
      <c r="I41" s="1159">
        <f t="shared" si="16"/>
        <v>0</v>
      </c>
      <c r="J41" s="1160">
        <f t="shared" si="16"/>
        <v>0</v>
      </c>
      <c r="K41" s="1159">
        <f t="shared" si="16"/>
        <v>0</v>
      </c>
      <c r="L41" s="1160">
        <f t="shared" si="16"/>
        <v>0</v>
      </c>
      <c r="M41" s="2468">
        <f t="shared" si="16"/>
        <v>0</v>
      </c>
      <c r="N41" s="1161">
        <f t="shared" si="16"/>
        <v>0</v>
      </c>
      <c r="O41" s="2468">
        <f t="shared" si="16"/>
        <v>0</v>
      </c>
      <c r="P41" s="1161">
        <f t="shared" si="16"/>
        <v>0</v>
      </c>
      <c r="Q41" s="2469">
        <f t="shared" si="16"/>
        <v>0</v>
      </c>
      <c r="R41" s="1161">
        <f t="shared" si="16"/>
        <v>0</v>
      </c>
      <c r="S41" s="2468">
        <f t="shared" si="16"/>
        <v>0</v>
      </c>
      <c r="T41" s="1161">
        <f t="shared" si="16"/>
        <v>0</v>
      </c>
      <c r="U41" s="1159">
        <f t="shared" si="16"/>
        <v>0</v>
      </c>
      <c r="V41" s="1218">
        <f t="shared" si="16"/>
        <v>0</v>
      </c>
      <c r="W41" s="1159">
        <f t="shared" si="16"/>
        <v>0</v>
      </c>
      <c r="X41" s="1218">
        <f t="shared" si="16"/>
        <v>0</v>
      </c>
      <c r="Y41" s="1159">
        <f t="shared" si="16"/>
        <v>0</v>
      </c>
      <c r="Z41" s="1218">
        <f t="shared" si="16"/>
        <v>0</v>
      </c>
      <c r="AA41" s="2468">
        <f t="shared" si="16"/>
        <v>0</v>
      </c>
      <c r="AB41" s="1161">
        <f t="shared" si="16"/>
        <v>0</v>
      </c>
      <c r="AC41" s="2468">
        <f t="shared" si="16"/>
        <v>0</v>
      </c>
      <c r="AD41" s="1161">
        <f t="shared" si="16"/>
        <v>0</v>
      </c>
      <c r="AE41" s="2469">
        <f t="shared" si="16"/>
        <v>0</v>
      </c>
      <c r="AF41" s="1161">
        <f t="shared" si="16"/>
        <v>0</v>
      </c>
      <c r="AG41" s="2468">
        <f t="shared" si="16"/>
        <v>0</v>
      </c>
      <c r="AH41" s="1161">
        <f t="shared" si="16"/>
        <v>0</v>
      </c>
      <c r="AI41" s="2468">
        <f t="shared" si="16"/>
        <v>0</v>
      </c>
      <c r="AJ41" s="1161">
        <f t="shared" si="16"/>
        <v>0</v>
      </c>
      <c r="AK41" s="2468">
        <f t="shared" si="16"/>
        <v>0</v>
      </c>
      <c r="AL41" s="1164">
        <f t="shared" si="16"/>
        <v>0</v>
      </c>
      <c r="AM41" s="1162">
        <f t="shared" si="16"/>
        <v>0</v>
      </c>
      <c r="AN41" s="2467">
        <f>SUM(AN28:AN40)</f>
        <v>0</v>
      </c>
      <c r="AO41" s="1161">
        <f>SUM(AO28:AO40)</f>
        <v>0</v>
      </c>
    </row>
    <row r="42" spans="1:89" s="1116" customFormat="1" ht="18" customHeight="1" x14ac:dyDescent="0.2">
      <c r="B42" s="14" t="s">
        <v>1032</v>
      </c>
    </row>
    <row r="43" spans="1:89" s="170" customFormat="1" ht="15" customHeight="1" x14ac:dyDescent="0.2">
      <c r="A43" s="6282"/>
      <c r="B43" s="7828" t="s">
        <v>1017</v>
      </c>
      <c r="C43" s="7831" t="s">
        <v>24</v>
      </c>
      <c r="D43" s="7832"/>
      <c r="E43" s="7833"/>
      <c r="F43" s="7809" t="s">
        <v>30</v>
      </c>
      <c r="G43" s="7810"/>
      <c r="H43" s="7810"/>
      <c r="I43" s="7810"/>
      <c r="J43" s="7810"/>
      <c r="K43" s="7810"/>
      <c r="L43" s="7810"/>
      <c r="M43" s="7810"/>
      <c r="N43" s="7810"/>
      <c r="O43" s="7810"/>
      <c r="P43" s="7810"/>
      <c r="Q43" s="7810"/>
      <c r="R43" s="7810"/>
      <c r="S43" s="7810"/>
      <c r="T43" s="7810"/>
      <c r="U43" s="7810"/>
      <c r="V43" s="7810"/>
      <c r="W43" s="7810"/>
      <c r="X43" s="7810"/>
      <c r="Y43" s="7810"/>
      <c r="Z43" s="7810"/>
      <c r="AA43" s="7810"/>
      <c r="AB43" s="7810"/>
      <c r="AC43" s="7810"/>
      <c r="AD43" s="7810"/>
      <c r="AE43" s="7810"/>
      <c r="AF43" s="7810"/>
      <c r="AG43" s="7810"/>
      <c r="AH43" s="7810"/>
      <c r="AI43" s="7810"/>
      <c r="AJ43" s="7810"/>
      <c r="AK43" s="7837"/>
      <c r="AL43" s="7838" t="s">
        <v>1033</v>
      </c>
      <c r="AM43" s="7839"/>
    </row>
    <row r="44" spans="1:89" s="170" customFormat="1" ht="15" customHeight="1" x14ac:dyDescent="0.2">
      <c r="A44" s="6282"/>
      <c r="B44" s="7829"/>
      <c r="C44" s="7834"/>
      <c r="D44" s="7835"/>
      <c r="E44" s="7836"/>
      <c r="F44" s="7770" t="s">
        <v>682</v>
      </c>
      <c r="G44" s="7755"/>
      <c r="H44" s="7754" t="s">
        <v>1002</v>
      </c>
      <c r="I44" s="7755"/>
      <c r="J44" s="7754" t="s">
        <v>1003</v>
      </c>
      <c r="K44" s="7755"/>
      <c r="L44" s="7754" t="s">
        <v>38</v>
      </c>
      <c r="M44" s="7755"/>
      <c r="N44" s="7754" t="s">
        <v>4</v>
      </c>
      <c r="O44" s="7755"/>
      <c r="P44" s="7754" t="s">
        <v>5</v>
      </c>
      <c r="Q44" s="7755"/>
      <c r="R44" s="7754" t="s">
        <v>1004</v>
      </c>
      <c r="S44" s="7755"/>
      <c r="T44" s="7754" t="s">
        <v>9</v>
      </c>
      <c r="U44" s="7755"/>
      <c r="V44" s="7754" t="s">
        <v>10</v>
      </c>
      <c r="W44" s="7755"/>
      <c r="X44" s="7754" t="s">
        <v>11</v>
      </c>
      <c r="Y44" s="7755"/>
      <c r="Z44" s="7754" t="s">
        <v>18</v>
      </c>
      <c r="AA44" s="7755"/>
      <c r="AB44" s="7754" t="s">
        <v>19</v>
      </c>
      <c r="AC44" s="7755"/>
      <c r="AD44" s="7754" t="s">
        <v>20</v>
      </c>
      <c r="AE44" s="7755"/>
      <c r="AF44" s="7754" t="s">
        <v>70</v>
      </c>
      <c r="AG44" s="7755"/>
      <c r="AH44" s="7754" t="s">
        <v>71</v>
      </c>
      <c r="AI44" s="7755"/>
      <c r="AJ44" s="6983" t="s">
        <v>32</v>
      </c>
      <c r="AK44" s="7826"/>
      <c r="AL44" s="7840"/>
      <c r="AM44" s="7841"/>
    </row>
    <row r="45" spans="1:89" s="170" customFormat="1" ht="15" customHeight="1" x14ac:dyDescent="0.2">
      <c r="A45" s="6282"/>
      <c r="B45" s="7830"/>
      <c r="C45" s="4776" t="s">
        <v>26</v>
      </c>
      <c r="D45" s="4777" t="s">
        <v>22</v>
      </c>
      <c r="E45" s="2470" t="s">
        <v>27</v>
      </c>
      <c r="F45" s="1165" t="s">
        <v>22</v>
      </c>
      <c r="G45" s="1167" t="s">
        <v>27</v>
      </c>
      <c r="H45" s="1165" t="s">
        <v>22</v>
      </c>
      <c r="I45" s="1167" t="s">
        <v>27</v>
      </c>
      <c r="J45" s="1165" t="s">
        <v>22</v>
      </c>
      <c r="K45" s="1167" t="s">
        <v>27</v>
      </c>
      <c r="L45" s="1165" t="s">
        <v>22</v>
      </c>
      <c r="M45" s="1167" t="s">
        <v>27</v>
      </c>
      <c r="N45" s="1165" t="s">
        <v>22</v>
      </c>
      <c r="O45" s="1167" t="s">
        <v>27</v>
      </c>
      <c r="P45" s="1165" t="s">
        <v>22</v>
      </c>
      <c r="Q45" s="1167" t="s">
        <v>27</v>
      </c>
      <c r="R45" s="1165" t="s">
        <v>22</v>
      </c>
      <c r="S45" s="1167" t="s">
        <v>27</v>
      </c>
      <c r="T45" s="1165" t="s">
        <v>22</v>
      </c>
      <c r="U45" s="1167" t="s">
        <v>27</v>
      </c>
      <c r="V45" s="1165" t="s">
        <v>22</v>
      </c>
      <c r="W45" s="1167" t="s">
        <v>27</v>
      </c>
      <c r="X45" s="1165" t="s">
        <v>22</v>
      </c>
      <c r="Y45" s="1167" t="s">
        <v>27</v>
      </c>
      <c r="Z45" s="1165" t="s">
        <v>22</v>
      </c>
      <c r="AA45" s="1167" t="s">
        <v>27</v>
      </c>
      <c r="AB45" s="1165" t="s">
        <v>22</v>
      </c>
      <c r="AC45" s="1167" t="s">
        <v>27</v>
      </c>
      <c r="AD45" s="1165" t="s">
        <v>22</v>
      </c>
      <c r="AE45" s="1167" t="s">
        <v>27</v>
      </c>
      <c r="AF45" s="1165" t="s">
        <v>22</v>
      </c>
      <c r="AG45" s="1167" t="s">
        <v>27</v>
      </c>
      <c r="AH45" s="1165" t="s">
        <v>22</v>
      </c>
      <c r="AI45" s="1167" t="s">
        <v>27</v>
      </c>
      <c r="AJ45" s="1165" t="s">
        <v>22</v>
      </c>
      <c r="AK45" s="4774" t="s">
        <v>27</v>
      </c>
      <c r="AL45" s="4778" t="s">
        <v>1034</v>
      </c>
      <c r="AM45" s="4779" t="s">
        <v>1035</v>
      </c>
    </row>
    <row r="46" spans="1:89" s="170" customFormat="1" ht="15" customHeight="1" x14ac:dyDescent="0.2">
      <c r="A46" s="6240">
        <v>23042500</v>
      </c>
      <c r="B46" s="1219" t="s">
        <v>1036</v>
      </c>
      <c r="C46" s="8960" t="s">
        <v>5292</v>
      </c>
      <c r="D46" s="8961" t="s">
        <v>5293</v>
      </c>
      <c r="E46" s="8962" t="s">
        <v>5294</v>
      </c>
      <c r="F46" s="8963" t="s">
        <v>5295</v>
      </c>
      <c r="G46" s="8964" t="s">
        <v>5296</v>
      </c>
      <c r="H46" s="8963" t="s">
        <v>5297</v>
      </c>
      <c r="I46" s="8964" t="s">
        <v>5298</v>
      </c>
      <c r="J46" s="8965" t="s">
        <v>5299</v>
      </c>
      <c r="K46" s="8966" t="s">
        <v>5300</v>
      </c>
      <c r="L46" s="8965" t="s">
        <v>5301</v>
      </c>
      <c r="M46" s="8967" t="s">
        <v>5302</v>
      </c>
      <c r="N46" s="8965" t="s">
        <v>5303</v>
      </c>
      <c r="O46" s="8967" t="s">
        <v>5304</v>
      </c>
      <c r="P46" s="8965" t="s">
        <v>5305</v>
      </c>
      <c r="Q46" s="8967" t="s">
        <v>5306</v>
      </c>
      <c r="R46" s="8965" t="s">
        <v>5307</v>
      </c>
      <c r="S46" s="8967" t="s">
        <v>5308</v>
      </c>
      <c r="T46" s="8965" t="s">
        <v>5309</v>
      </c>
      <c r="U46" s="8967" t="s">
        <v>5310</v>
      </c>
      <c r="V46" s="8965" t="s">
        <v>5311</v>
      </c>
      <c r="W46" s="8967" t="s">
        <v>5312</v>
      </c>
      <c r="X46" s="8965" t="s">
        <v>5313</v>
      </c>
      <c r="Y46" s="8967" t="s">
        <v>5314</v>
      </c>
      <c r="Z46" s="8965" t="s">
        <v>5315</v>
      </c>
      <c r="AA46" s="8967" t="s">
        <v>5316</v>
      </c>
      <c r="AB46" s="8965" t="s">
        <v>5317</v>
      </c>
      <c r="AC46" s="8967" t="s">
        <v>5318</v>
      </c>
      <c r="AD46" s="8965" t="s">
        <v>5319</v>
      </c>
      <c r="AE46" s="8967" t="s">
        <v>5320</v>
      </c>
      <c r="AF46" s="8965" t="s">
        <v>5321</v>
      </c>
      <c r="AG46" s="8967" t="s">
        <v>5322</v>
      </c>
      <c r="AH46" s="8965" t="s">
        <v>5323</v>
      </c>
      <c r="AI46" s="8967" t="s">
        <v>5324</v>
      </c>
      <c r="AJ46" s="8965" t="s">
        <v>5325</v>
      </c>
      <c r="AK46" s="8968" t="s">
        <v>5326</v>
      </c>
      <c r="AL46" s="8969" t="s">
        <v>5327</v>
      </c>
      <c r="AM46" s="8970" t="s">
        <v>5328</v>
      </c>
      <c r="AN46" s="170" t="e">
        <f>CC46&amp;CD46&amp;CE46&amp;CF46</f>
        <v>#VALUE!</v>
      </c>
      <c r="CC46" s="2465" t="e">
        <f>IF((AL46+AM46)&gt;C46," * Egresos según causal no debe ser mayor que el Total de Egresos","")</f>
        <v>#VALUE!</v>
      </c>
      <c r="CD46" s="2465" t="str">
        <f>IF(AND(C46&gt;0,AL46="",AM46="")," * No olvide registrar Causal de egresos (Abandono/Fallecimiento).","")</f>
        <v/>
      </c>
      <c r="CH46" s="2466" t="e">
        <f>IF((AL46+AM46)&gt;C46,1,0)</f>
        <v>#VALUE!</v>
      </c>
      <c r="CI46" s="2466">
        <f>IF(AND(C46&gt;0,AL46="",AM46=""),1,0)</f>
        <v>0</v>
      </c>
    </row>
    <row r="47" spans="1:89" s="170" customFormat="1" ht="15" customHeight="1" x14ac:dyDescent="0.2">
      <c r="A47" s="6240">
        <v>23042600</v>
      </c>
      <c r="B47" s="1220" t="s">
        <v>1023</v>
      </c>
      <c r="C47" s="8971" t="s">
        <v>5292</v>
      </c>
      <c r="D47" s="8972" t="s">
        <v>5293</v>
      </c>
      <c r="E47" s="8973" t="s">
        <v>5294</v>
      </c>
      <c r="F47" s="8974" t="s">
        <v>5295</v>
      </c>
      <c r="G47" s="8975" t="s">
        <v>5296</v>
      </c>
      <c r="H47" s="8976" t="s">
        <v>5297</v>
      </c>
      <c r="I47" s="8977" t="s">
        <v>5298</v>
      </c>
      <c r="J47" s="8978" t="s">
        <v>5299</v>
      </c>
      <c r="K47" s="8979" t="s">
        <v>5300</v>
      </c>
      <c r="L47" s="8978" t="s">
        <v>5301</v>
      </c>
      <c r="M47" s="8979" t="s">
        <v>5302</v>
      </c>
      <c r="N47" s="8978" t="s">
        <v>5303</v>
      </c>
      <c r="O47" s="8979" t="s">
        <v>5304</v>
      </c>
      <c r="P47" s="8978" t="s">
        <v>5305</v>
      </c>
      <c r="Q47" s="8979" t="s">
        <v>5306</v>
      </c>
      <c r="R47" s="8978" t="s">
        <v>5307</v>
      </c>
      <c r="S47" s="8979" t="s">
        <v>5308</v>
      </c>
      <c r="T47" s="8980" t="s">
        <v>5309</v>
      </c>
      <c r="U47" s="8981" t="s">
        <v>5310</v>
      </c>
      <c r="V47" s="8980" t="s">
        <v>5311</v>
      </c>
      <c r="W47" s="8981" t="s">
        <v>5312</v>
      </c>
      <c r="X47" s="8980" t="s">
        <v>5313</v>
      </c>
      <c r="Y47" s="8981" t="s">
        <v>5314</v>
      </c>
      <c r="Z47" s="8980" t="s">
        <v>5315</v>
      </c>
      <c r="AA47" s="8981" t="s">
        <v>5316</v>
      </c>
      <c r="AB47" s="8980" t="s">
        <v>5317</v>
      </c>
      <c r="AC47" s="8981" t="s">
        <v>5318</v>
      </c>
      <c r="AD47" s="8980" t="s">
        <v>5319</v>
      </c>
      <c r="AE47" s="8981" t="s">
        <v>5320</v>
      </c>
      <c r="AF47" s="8980" t="s">
        <v>5321</v>
      </c>
      <c r="AG47" s="8981" t="s">
        <v>5322</v>
      </c>
      <c r="AH47" s="8980" t="s">
        <v>5323</v>
      </c>
      <c r="AI47" s="8981" t="s">
        <v>5324</v>
      </c>
      <c r="AJ47" s="8980" t="s">
        <v>5325</v>
      </c>
      <c r="AK47" s="8982" t="s">
        <v>5326</v>
      </c>
      <c r="AL47" s="8983" t="s">
        <v>5327</v>
      </c>
      <c r="AM47" s="8984" t="s">
        <v>5328</v>
      </c>
      <c r="AN47" s="170" t="e">
        <f t="shared" ref="AN47:AN53" si="17">CC47&amp;CD47&amp;CE47&amp;CF47</f>
        <v>#VALUE!</v>
      </c>
      <c r="CC47" s="2465" t="e">
        <f t="shared" ref="CC47:CC53" si="18">IF((AL47+AM47)&gt;C47," * Egresos según causal no debe ser mayor que el Total de Egresos","")</f>
        <v>#VALUE!</v>
      </c>
      <c r="CD47" s="2465" t="str">
        <f t="shared" ref="CD47:CD53" si="19">IF(AND(C47&gt;0,AL47="",AM47="")," * No olvide registrar Causal de egresos (Abandono/Fallecimiento).","")</f>
        <v/>
      </c>
      <c r="CH47" s="2466" t="e">
        <f t="shared" ref="CH47:CH53" si="20">IF((AL47+AM47)&gt;C47,1,0)</f>
        <v>#VALUE!</v>
      </c>
      <c r="CI47" s="2466">
        <f t="shared" ref="CI47:CI53" si="21">IF(AND(C47&gt;0,AL47="",AM47=""),1,0)</f>
        <v>0</v>
      </c>
    </row>
    <row r="48" spans="1:89" s="170" customFormat="1" ht="15" customHeight="1" x14ac:dyDescent="0.2">
      <c r="A48" s="6240">
        <v>23042700</v>
      </c>
      <c r="B48" s="1220" t="s">
        <v>1024</v>
      </c>
      <c r="C48" s="8985" t="s">
        <v>5292</v>
      </c>
      <c r="D48" s="8986" t="s">
        <v>5293</v>
      </c>
      <c r="E48" s="8987" t="s">
        <v>5294</v>
      </c>
      <c r="F48" s="8974" t="s">
        <v>5295</v>
      </c>
      <c r="G48" s="8988" t="s">
        <v>5296</v>
      </c>
      <c r="H48" s="8974" t="s">
        <v>5297</v>
      </c>
      <c r="I48" s="8988" t="s">
        <v>5298</v>
      </c>
      <c r="J48" s="8974" t="s">
        <v>5299</v>
      </c>
      <c r="K48" s="8988" t="s">
        <v>5300</v>
      </c>
      <c r="L48" s="8974" t="s">
        <v>5301</v>
      </c>
      <c r="M48" s="8988" t="s">
        <v>5302</v>
      </c>
      <c r="N48" s="8974" t="s">
        <v>5303</v>
      </c>
      <c r="O48" s="8988" t="s">
        <v>5304</v>
      </c>
      <c r="P48" s="8974" t="s">
        <v>5305</v>
      </c>
      <c r="Q48" s="8966" t="s">
        <v>5306</v>
      </c>
      <c r="R48" s="8989" t="s">
        <v>5307</v>
      </c>
      <c r="S48" s="8966" t="s">
        <v>5308</v>
      </c>
      <c r="T48" s="8990" t="s">
        <v>5309</v>
      </c>
      <c r="U48" s="8991" t="s">
        <v>5310</v>
      </c>
      <c r="V48" s="8990" t="s">
        <v>5311</v>
      </c>
      <c r="W48" s="8991" t="s">
        <v>5312</v>
      </c>
      <c r="X48" s="8990" t="s">
        <v>5313</v>
      </c>
      <c r="Y48" s="8991" t="s">
        <v>5314</v>
      </c>
      <c r="Z48" s="8990" t="s">
        <v>5315</v>
      </c>
      <c r="AA48" s="8991" t="s">
        <v>5316</v>
      </c>
      <c r="AB48" s="8990" t="s">
        <v>5317</v>
      </c>
      <c r="AC48" s="8991" t="s">
        <v>5318</v>
      </c>
      <c r="AD48" s="8990" t="s">
        <v>5319</v>
      </c>
      <c r="AE48" s="8991" t="s">
        <v>5320</v>
      </c>
      <c r="AF48" s="8990" t="s">
        <v>5321</v>
      </c>
      <c r="AG48" s="8991" t="s">
        <v>5322</v>
      </c>
      <c r="AH48" s="8990" t="s">
        <v>5323</v>
      </c>
      <c r="AI48" s="8991" t="s">
        <v>5324</v>
      </c>
      <c r="AJ48" s="8990" t="s">
        <v>5325</v>
      </c>
      <c r="AK48" s="8992" t="s">
        <v>5326</v>
      </c>
      <c r="AL48" s="8983" t="s">
        <v>5327</v>
      </c>
      <c r="AM48" s="8984" t="s">
        <v>5328</v>
      </c>
      <c r="AN48" s="170" t="e">
        <f t="shared" si="17"/>
        <v>#VALUE!</v>
      </c>
      <c r="CC48" s="2465" t="e">
        <f t="shared" si="18"/>
        <v>#VALUE!</v>
      </c>
      <c r="CD48" s="2465" t="str">
        <f t="shared" si="19"/>
        <v/>
      </c>
      <c r="CH48" s="2466" t="e">
        <f t="shared" si="20"/>
        <v>#VALUE!</v>
      </c>
      <c r="CI48" s="2466">
        <f t="shared" si="21"/>
        <v>0</v>
      </c>
    </row>
    <row r="49" spans="1:87" s="170" customFormat="1" ht="15" customHeight="1" x14ac:dyDescent="0.2">
      <c r="A49" s="6240">
        <v>23042800</v>
      </c>
      <c r="B49" s="1221" t="s">
        <v>1027</v>
      </c>
      <c r="C49" s="8993" t="s">
        <v>5292</v>
      </c>
      <c r="D49" s="8994" t="s">
        <v>5293</v>
      </c>
      <c r="E49" s="8995" t="s">
        <v>5294</v>
      </c>
      <c r="F49" s="8996" t="s">
        <v>5295</v>
      </c>
      <c r="G49" s="8997" t="s">
        <v>5296</v>
      </c>
      <c r="H49" s="8996" t="s">
        <v>5297</v>
      </c>
      <c r="I49" s="8997" t="s">
        <v>5298</v>
      </c>
      <c r="J49" s="8996" t="s">
        <v>5299</v>
      </c>
      <c r="K49" s="8997" t="s">
        <v>5300</v>
      </c>
      <c r="L49" s="8996" t="s">
        <v>5301</v>
      </c>
      <c r="M49" s="8997" t="s">
        <v>5302</v>
      </c>
      <c r="N49" s="8996" t="s">
        <v>5303</v>
      </c>
      <c r="O49" s="8997" t="s">
        <v>5304</v>
      </c>
      <c r="P49" s="8996" t="s">
        <v>5305</v>
      </c>
      <c r="Q49" s="8997" t="s">
        <v>5306</v>
      </c>
      <c r="R49" s="8996" t="s">
        <v>5307</v>
      </c>
      <c r="S49" s="8997" t="s">
        <v>5308</v>
      </c>
      <c r="T49" s="8996" t="s">
        <v>5309</v>
      </c>
      <c r="U49" s="8997" t="s">
        <v>5310</v>
      </c>
      <c r="V49" s="8996" t="s">
        <v>5311</v>
      </c>
      <c r="W49" s="8997" t="s">
        <v>5312</v>
      </c>
      <c r="X49" s="8996" t="s">
        <v>5313</v>
      </c>
      <c r="Y49" s="8997" t="s">
        <v>5314</v>
      </c>
      <c r="Z49" s="8996" t="s">
        <v>5315</v>
      </c>
      <c r="AA49" s="8997" t="s">
        <v>5316</v>
      </c>
      <c r="AB49" s="8996" t="s">
        <v>5317</v>
      </c>
      <c r="AC49" s="8997" t="s">
        <v>5318</v>
      </c>
      <c r="AD49" s="8996" t="s">
        <v>5319</v>
      </c>
      <c r="AE49" s="8997" t="s">
        <v>5320</v>
      </c>
      <c r="AF49" s="8996" t="s">
        <v>5321</v>
      </c>
      <c r="AG49" s="8997" t="s">
        <v>5322</v>
      </c>
      <c r="AH49" s="8996" t="s">
        <v>5323</v>
      </c>
      <c r="AI49" s="8997" t="s">
        <v>5324</v>
      </c>
      <c r="AJ49" s="8996" t="s">
        <v>5325</v>
      </c>
      <c r="AK49" s="8998" t="s">
        <v>5326</v>
      </c>
      <c r="AL49" s="8983" t="s">
        <v>5327</v>
      </c>
      <c r="AM49" s="8984" t="s">
        <v>5328</v>
      </c>
      <c r="AN49" s="170" t="e">
        <f t="shared" si="17"/>
        <v>#VALUE!</v>
      </c>
      <c r="CC49" s="2465" t="e">
        <f t="shared" si="18"/>
        <v>#VALUE!</v>
      </c>
      <c r="CD49" s="2465" t="str">
        <f t="shared" si="19"/>
        <v/>
      </c>
      <c r="CH49" s="2466" t="e">
        <f t="shared" si="20"/>
        <v>#VALUE!</v>
      </c>
      <c r="CI49" s="2466">
        <f t="shared" si="21"/>
        <v>0</v>
      </c>
    </row>
    <row r="50" spans="1:87" s="170" customFormat="1" ht="15" customHeight="1" x14ac:dyDescent="0.2">
      <c r="A50" s="6240">
        <v>23042900</v>
      </c>
      <c r="B50" s="1223" t="s">
        <v>1028</v>
      </c>
      <c r="C50" s="1609" t="s">
        <v>5292</v>
      </c>
      <c r="D50" s="8999" t="s">
        <v>5293</v>
      </c>
      <c r="E50" s="8973" t="s">
        <v>5294</v>
      </c>
      <c r="F50" s="8980" t="s">
        <v>5295</v>
      </c>
      <c r="G50" s="8981" t="s">
        <v>5296</v>
      </c>
      <c r="H50" s="8980" t="s">
        <v>5297</v>
      </c>
      <c r="I50" s="8981" t="s">
        <v>5298</v>
      </c>
      <c r="J50" s="8980" t="s">
        <v>5299</v>
      </c>
      <c r="K50" s="8981" t="s">
        <v>5300</v>
      </c>
      <c r="L50" s="8980" t="s">
        <v>5301</v>
      </c>
      <c r="M50" s="8991" t="s">
        <v>5302</v>
      </c>
      <c r="N50" s="8990" t="s">
        <v>5303</v>
      </c>
      <c r="O50" s="8991" t="s">
        <v>5304</v>
      </c>
      <c r="P50" s="8990" t="s">
        <v>5305</v>
      </c>
      <c r="Q50" s="8991" t="s">
        <v>5306</v>
      </c>
      <c r="R50" s="8990" t="s">
        <v>5307</v>
      </c>
      <c r="S50" s="8991" t="s">
        <v>5308</v>
      </c>
      <c r="T50" s="8990" t="s">
        <v>5309</v>
      </c>
      <c r="U50" s="8991" t="s">
        <v>5310</v>
      </c>
      <c r="V50" s="8990" t="s">
        <v>5311</v>
      </c>
      <c r="W50" s="8991" t="s">
        <v>5312</v>
      </c>
      <c r="X50" s="8990" t="s">
        <v>5313</v>
      </c>
      <c r="Y50" s="8991" t="s">
        <v>5314</v>
      </c>
      <c r="Z50" s="8990" t="s">
        <v>5315</v>
      </c>
      <c r="AA50" s="8991" t="s">
        <v>5316</v>
      </c>
      <c r="AB50" s="8990" t="s">
        <v>5317</v>
      </c>
      <c r="AC50" s="8991" t="s">
        <v>5318</v>
      </c>
      <c r="AD50" s="8990" t="s">
        <v>5319</v>
      </c>
      <c r="AE50" s="8991" t="s">
        <v>5320</v>
      </c>
      <c r="AF50" s="8990" t="s">
        <v>5321</v>
      </c>
      <c r="AG50" s="8991" t="s">
        <v>5322</v>
      </c>
      <c r="AH50" s="8990" t="s">
        <v>5323</v>
      </c>
      <c r="AI50" s="8991" t="s">
        <v>5324</v>
      </c>
      <c r="AJ50" s="8990" t="s">
        <v>5325</v>
      </c>
      <c r="AK50" s="8992" t="s">
        <v>5326</v>
      </c>
      <c r="AL50" s="8983" t="s">
        <v>5327</v>
      </c>
      <c r="AM50" s="8984" t="s">
        <v>5328</v>
      </c>
      <c r="AN50" s="170" t="e">
        <f t="shared" si="17"/>
        <v>#VALUE!</v>
      </c>
      <c r="CC50" s="2465" t="e">
        <f t="shared" si="18"/>
        <v>#VALUE!</v>
      </c>
      <c r="CD50" s="2465" t="str">
        <f t="shared" si="19"/>
        <v/>
      </c>
      <c r="CH50" s="2466" t="e">
        <f t="shared" si="20"/>
        <v>#VALUE!</v>
      </c>
      <c r="CI50" s="2466">
        <f t="shared" si="21"/>
        <v>0</v>
      </c>
    </row>
    <row r="51" spans="1:87" s="170" customFormat="1" ht="15" customHeight="1" x14ac:dyDescent="0.2">
      <c r="A51" s="6240">
        <v>23090800</v>
      </c>
      <c r="B51" s="1226" t="s">
        <v>1029</v>
      </c>
      <c r="C51" s="9000" t="s">
        <v>5292</v>
      </c>
      <c r="D51" s="9001" t="s">
        <v>5293</v>
      </c>
      <c r="E51" s="8987" t="s">
        <v>5294</v>
      </c>
      <c r="F51" s="8980" t="s">
        <v>5295</v>
      </c>
      <c r="G51" s="8981" t="s">
        <v>5296</v>
      </c>
      <c r="H51" s="8980" t="s">
        <v>5297</v>
      </c>
      <c r="I51" s="8981" t="s">
        <v>5298</v>
      </c>
      <c r="J51" s="8980" t="s">
        <v>5299</v>
      </c>
      <c r="K51" s="8981" t="s">
        <v>5300</v>
      </c>
      <c r="L51" s="8980" t="s">
        <v>5301</v>
      </c>
      <c r="M51" s="8981" t="s">
        <v>5302</v>
      </c>
      <c r="N51" s="8980" t="s">
        <v>5303</v>
      </c>
      <c r="O51" s="8981" t="s">
        <v>5304</v>
      </c>
      <c r="P51" s="8980" t="s">
        <v>5305</v>
      </c>
      <c r="Q51" s="8981" t="s">
        <v>5306</v>
      </c>
      <c r="R51" s="8980" t="s">
        <v>5307</v>
      </c>
      <c r="S51" s="8981" t="s">
        <v>5308</v>
      </c>
      <c r="T51" s="8980" t="s">
        <v>5309</v>
      </c>
      <c r="U51" s="8981" t="s">
        <v>5310</v>
      </c>
      <c r="V51" s="8980" t="s">
        <v>5311</v>
      </c>
      <c r="W51" s="8981" t="s">
        <v>5312</v>
      </c>
      <c r="X51" s="8980" t="s">
        <v>5313</v>
      </c>
      <c r="Y51" s="8981" t="s">
        <v>5314</v>
      </c>
      <c r="Z51" s="8980" t="s">
        <v>5315</v>
      </c>
      <c r="AA51" s="8981" t="s">
        <v>5316</v>
      </c>
      <c r="AB51" s="8980" t="s">
        <v>5317</v>
      </c>
      <c r="AC51" s="8981" t="s">
        <v>5318</v>
      </c>
      <c r="AD51" s="8980" t="s">
        <v>5319</v>
      </c>
      <c r="AE51" s="8981" t="s">
        <v>5320</v>
      </c>
      <c r="AF51" s="8980" t="s">
        <v>5321</v>
      </c>
      <c r="AG51" s="8981" t="s">
        <v>5322</v>
      </c>
      <c r="AH51" s="8980" t="s">
        <v>5323</v>
      </c>
      <c r="AI51" s="8981" t="s">
        <v>5324</v>
      </c>
      <c r="AJ51" s="8980" t="s">
        <v>5325</v>
      </c>
      <c r="AK51" s="8982" t="s">
        <v>5326</v>
      </c>
      <c r="AL51" s="9002" t="s">
        <v>5327</v>
      </c>
      <c r="AM51" s="9003" t="s">
        <v>5328</v>
      </c>
      <c r="AN51" s="170" t="e">
        <f t="shared" si="17"/>
        <v>#VALUE!</v>
      </c>
      <c r="CC51" s="2465" t="e">
        <f t="shared" si="18"/>
        <v>#VALUE!</v>
      </c>
      <c r="CD51" s="2465" t="str">
        <f t="shared" si="19"/>
        <v/>
      </c>
      <c r="CH51" s="2466" t="e">
        <f t="shared" si="20"/>
        <v>#VALUE!</v>
      </c>
      <c r="CI51" s="2466">
        <f t="shared" si="21"/>
        <v>0</v>
      </c>
    </row>
    <row r="52" spans="1:87" s="170" customFormat="1" ht="15" customHeight="1" x14ac:dyDescent="0.2">
      <c r="A52" s="6240">
        <v>23090810</v>
      </c>
      <c r="B52" s="1229" t="s">
        <v>1030</v>
      </c>
      <c r="C52" s="1609" t="s">
        <v>5292</v>
      </c>
      <c r="D52" s="8999" t="s">
        <v>5293</v>
      </c>
      <c r="E52" s="8973" t="s">
        <v>5294</v>
      </c>
      <c r="F52" s="8980" t="s">
        <v>5295</v>
      </c>
      <c r="G52" s="8981" t="s">
        <v>5296</v>
      </c>
      <c r="H52" s="8980" t="s">
        <v>5297</v>
      </c>
      <c r="I52" s="8981" t="s">
        <v>5298</v>
      </c>
      <c r="J52" s="8980" t="s">
        <v>5299</v>
      </c>
      <c r="K52" s="8981" t="s">
        <v>5300</v>
      </c>
      <c r="L52" s="8980" t="s">
        <v>5301</v>
      </c>
      <c r="M52" s="8981" t="s">
        <v>5302</v>
      </c>
      <c r="N52" s="8980" t="s">
        <v>5303</v>
      </c>
      <c r="O52" s="8981" t="s">
        <v>5304</v>
      </c>
      <c r="P52" s="8980" t="s">
        <v>5305</v>
      </c>
      <c r="Q52" s="8981" t="s">
        <v>5306</v>
      </c>
      <c r="R52" s="8980" t="s">
        <v>5307</v>
      </c>
      <c r="S52" s="8981" t="s">
        <v>5308</v>
      </c>
      <c r="T52" s="8980" t="s">
        <v>5309</v>
      </c>
      <c r="U52" s="8981" t="s">
        <v>5310</v>
      </c>
      <c r="V52" s="8980" t="s">
        <v>5311</v>
      </c>
      <c r="W52" s="8981" t="s">
        <v>5312</v>
      </c>
      <c r="X52" s="8980" t="s">
        <v>5313</v>
      </c>
      <c r="Y52" s="8981" t="s">
        <v>5314</v>
      </c>
      <c r="Z52" s="8980" t="s">
        <v>5315</v>
      </c>
      <c r="AA52" s="8981" t="s">
        <v>5316</v>
      </c>
      <c r="AB52" s="8980" t="s">
        <v>5317</v>
      </c>
      <c r="AC52" s="8981" t="s">
        <v>5318</v>
      </c>
      <c r="AD52" s="8980" t="s">
        <v>5319</v>
      </c>
      <c r="AE52" s="8981" t="s">
        <v>5320</v>
      </c>
      <c r="AF52" s="8980" t="s">
        <v>5321</v>
      </c>
      <c r="AG52" s="8981" t="s">
        <v>5322</v>
      </c>
      <c r="AH52" s="8980" t="s">
        <v>5323</v>
      </c>
      <c r="AI52" s="8981" t="s">
        <v>5324</v>
      </c>
      <c r="AJ52" s="8980" t="s">
        <v>5325</v>
      </c>
      <c r="AK52" s="8982" t="s">
        <v>5326</v>
      </c>
      <c r="AL52" s="9002" t="s">
        <v>5327</v>
      </c>
      <c r="AM52" s="9003" t="s">
        <v>5328</v>
      </c>
      <c r="AN52" s="170" t="e">
        <f t="shared" si="17"/>
        <v>#VALUE!</v>
      </c>
      <c r="CC52" s="2465" t="e">
        <f t="shared" si="18"/>
        <v>#VALUE!</v>
      </c>
      <c r="CD52" s="2465" t="str">
        <f t="shared" si="19"/>
        <v/>
      </c>
      <c r="CH52" s="2466" t="e">
        <f t="shared" si="20"/>
        <v>#VALUE!</v>
      </c>
      <c r="CI52" s="2466">
        <f t="shared" si="21"/>
        <v>0</v>
      </c>
    </row>
    <row r="53" spans="1:87" s="170" customFormat="1" ht="15" customHeight="1" x14ac:dyDescent="0.2">
      <c r="A53" s="6240">
        <v>23043000</v>
      </c>
      <c r="B53" s="1230" t="s">
        <v>1031</v>
      </c>
      <c r="C53" s="9004" t="s">
        <v>5292</v>
      </c>
      <c r="D53" s="9005" t="s">
        <v>5293</v>
      </c>
      <c r="E53" s="9006" t="s">
        <v>5294</v>
      </c>
      <c r="F53" s="9007" t="s">
        <v>5295</v>
      </c>
      <c r="G53" s="9008" t="s">
        <v>5296</v>
      </c>
      <c r="H53" s="9007" t="s">
        <v>5297</v>
      </c>
      <c r="I53" s="9008" t="s">
        <v>5298</v>
      </c>
      <c r="J53" s="9007" t="s">
        <v>5299</v>
      </c>
      <c r="K53" s="9008" t="s">
        <v>5300</v>
      </c>
      <c r="L53" s="9007" t="s">
        <v>5301</v>
      </c>
      <c r="M53" s="9008" t="s">
        <v>5302</v>
      </c>
      <c r="N53" s="9007" t="s">
        <v>5303</v>
      </c>
      <c r="O53" s="9008" t="s">
        <v>5304</v>
      </c>
      <c r="P53" s="9007" t="s">
        <v>5305</v>
      </c>
      <c r="Q53" s="9008" t="s">
        <v>5306</v>
      </c>
      <c r="R53" s="9007" t="s">
        <v>5307</v>
      </c>
      <c r="S53" s="9008" t="s">
        <v>5308</v>
      </c>
      <c r="T53" s="9007" t="s">
        <v>5309</v>
      </c>
      <c r="U53" s="9008" t="s">
        <v>5310</v>
      </c>
      <c r="V53" s="9007" t="s">
        <v>5311</v>
      </c>
      <c r="W53" s="9008" t="s">
        <v>5312</v>
      </c>
      <c r="X53" s="9007" t="s">
        <v>5313</v>
      </c>
      <c r="Y53" s="9008" t="s">
        <v>5314</v>
      </c>
      <c r="Z53" s="9007" t="s">
        <v>5315</v>
      </c>
      <c r="AA53" s="9008" t="s">
        <v>5316</v>
      </c>
      <c r="AB53" s="9007" t="s">
        <v>5317</v>
      </c>
      <c r="AC53" s="9008" t="s">
        <v>5318</v>
      </c>
      <c r="AD53" s="9007" t="s">
        <v>5319</v>
      </c>
      <c r="AE53" s="9008" t="s">
        <v>5320</v>
      </c>
      <c r="AF53" s="9007" t="s">
        <v>5321</v>
      </c>
      <c r="AG53" s="9008" t="s">
        <v>5322</v>
      </c>
      <c r="AH53" s="9007" t="s">
        <v>5323</v>
      </c>
      <c r="AI53" s="9008" t="s">
        <v>5324</v>
      </c>
      <c r="AJ53" s="9007" t="s">
        <v>5325</v>
      </c>
      <c r="AK53" s="9009" t="s">
        <v>5326</v>
      </c>
      <c r="AL53" s="9010" t="s">
        <v>5327</v>
      </c>
      <c r="AM53" s="9011" t="s">
        <v>5328</v>
      </c>
      <c r="AN53" s="170" t="e">
        <f t="shared" si="17"/>
        <v>#VALUE!</v>
      </c>
      <c r="CC53" s="2465" t="e">
        <f t="shared" si="18"/>
        <v>#VALUE!</v>
      </c>
      <c r="CD53" s="2465" t="str">
        <f t="shared" si="19"/>
        <v/>
      </c>
      <c r="CH53" s="2466" t="e">
        <f t="shared" si="20"/>
        <v>#VALUE!</v>
      </c>
      <c r="CI53" s="2466">
        <f t="shared" si="21"/>
        <v>0</v>
      </c>
    </row>
    <row r="54" spans="1:87" s="1116" customFormat="1" ht="18" customHeight="1" x14ac:dyDescent="0.2">
      <c r="B54" s="14" t="s">
        <v>1037</v>
      </c>
    </row>
    <row r="55" spans="1:87" s="170" customFormat="1" ht="15" customHeight="1" x14ac:dyDescent="0.2">
      <c r="A55" s="6282"/>
      <c r="B55" s="7755" t="s">
        <v>61</v>
      </c>
      <c r="C55" s="7754" t="s">
        <v>24</v>
      </c>
      <c r="D55" s="6983"/>
      <c r="E55" s="6983"/>
      <c r="F55" s="7809" t="s">
        <v>30</v>
      </c>
      <c r="G55" s="7810"/>
      <c r="H55" s="7810"/>
      <c r="I55" s="7810"/>
      <c r="J55" s="7810"/>
      <c r="K55" s="7810"/>
      <c r="L55" s="7810"/>
      <c r="M55" s="7810"/>
      <c r="N55" s="7810"/>
      <c r="O55" s="7810"/>
      <c r="P55" s="7810"/>
      <c r="Q55" s="7810"/>
      <c r="R55" s="7810"/>
      <c r="S55" s="7810"/>
      <c r="T55" s="7810"/>
      <c r="U55" s="7810"/>
      <c r="V55" s="7810"/>
      <c r="W55" s="7810"/>
      <c r="X55" s="7810"/>
      <c r="Y55" s="7810"/>
      <c r="Z55" s="7810"/>
      <c r="AA55" s="7810"/>
      <c r="AB55" s="7810"/>
      <c r="AC55" s="7810"/>
      <c r="AD55" s="7810"/>
      <c r="AE55" s="7810"/>
      <c r="AF55" s="7810"/>
      <c r="AG55" s="7810"/>
      <c r="AH55" s="7810"/>
      <c r="AI55" s="7810"/>
      <c r="AJ55" s="7810"/>
      <c r="AK55" s="7824"/>
      <c r="AL55" s="7825" t="s">
        <v>67</v>
      </c>
    </row>
    <row r="56" spans="1:87" s="170" customFormat="1" ht="15" customHeight="1" x14ac:dyDescent="0.2">
      <c r="A56" s="6282"/>
      <c r="B56" s="6762"/>
      <c r="C56" s="7822"/>
      <c r="D56" s="7823"/>
      <c r="E56" s="6762"/>
      <c r="F56" s="7770" t="s">
        <v>682</v>
      </c>
      <c r="G56" s="7755"/>
      <c r="H56" s="6983" t="s">
        <v>1002</v>
      </c>
      <c r="I56" s="6983"/>
      <c r="J56" s="7754" t="s">
        <v>1003</v>
      </c>
      <c r="K56" s="7755"/>
      <c r="L56" s="6983" t="s">
        <v>38</v>
      </c>
      <c r="M56" s="6983"/>
      <c r="N56" s="7754" t="s">
        <v>4</v>
      </c>
      <c r="O56" s="7755"/>
      <c r="P56" s="7754" t="s">
        <v>5</v>
      </c>
      <c r="Q56" s="7755"/>
      <c r="R56" s="6983" t="s">
        <v>1004</v>
      </c>
      <c r="S56" s="6983"/>
      <c r="T56" s="7754" t="s">
        <v>9</v>
      </c>
      <c r="U56" s="7755"/>
      <c r="V56" s="6983" t="s">
        <v>10</v>
      </c>
      <c r="W56" s="6983"/>
      <c r="X56" s="7754" t="s">
        <v>11</v>
      </c>
      <c r="Y56" s="7755"/>
      <c r="Z56" s="6983" t="s">
        <v>18</v>
      </c>
      <c r="AA56" s="6983"/>
      <c r="AB56" s="7754" t="s">
        <v>19</v>
      </c>
      <c r="AC56" s="7755"/>
      <c r="AD56" s="6983" t="s">
        <v>20</v>
      </c>
      <c r="AE56" s="6983"/>
      <c r="AF56" s="7754" t="s">
        <v>70</v>
      </c>
      <c r="AG56" s="7755"/>
      <c r="AH56" s="6983" t="s">
        <v>71</v>
      </c>
      <c r="AI56" s="6983"/>
      <c r="AJ56" s="7754" t="s">
        <v>32</v>
      </c>
      <c r="AK56" s="7827"/>
      <c r="AL56" s="7825"/>
    </row>
    <row r="57" spans="1:87" s="170" customFormat="1" ht="15" customHeight="1" x14ac:dyDescent="0.2">
      <c r="A57" s="6282"/>
      <c r="B57" s="7795"/>
      <c r="C57" s="1231" t="s">
        <v>26</v>
      </c>
      <c r="D57" s="1232" t="s">
        <v>22</v>
      </c>
      <c r="E57" s="1167" t="s">
        <v>27</v>
      </c>
      <c r="F57" s="1165" t="s">
        <v>22</v>
      </c>
      <c r="G57" s="1167" t="s">
        <v>27</v>
      </c>
      <c r="H57" s="1232" t="s">
        <v>22</v>
      </c>
      <c r="I57" s="1233" t="s">
        <v>27</v>
      </c>
      <c r="J57" s="1165" t="s">
        <v>22</v>
      </c>
      <c r="K57" s="1167" t="s">
        <v>27</v>
      </c>
      <c r="L57" s="1232" t="s">
        <v>22</v>
      </c>
      <c r="M57" s="1233" t="s">
        <v>27</v>
      </c>
      <c r="N57" s="1165" t="s">
        <v>22</v>
      </c>
      <c r="O57" s="1167" t="s">
        <v>27</v>
      </c>
      <c r="P57" s="1165" t="s">
        <v>22</v>
      </c>
      <c r="Q57" s="1167" t="s">
        <v>27</v>
      </c>
      <c r="R57" s="1232" t="s">
        <v>22</v>
      </c>
      <c r="S57" s="1233" t="s">
        <v>27</v>
      </c>
      <c r="T57" s="1165" t="s">
        <v>22</v>
      </c>
      <c r="U57" s="1167" t="s">
        <v>27</v>
      </c>
      <c r="V57" s="1232" t="s">
        <v>22</v>
      </c>
      <c r="W57" s="1233" t="s">
        <v>27</v>
      </c>
      <c r="X57" s="1165" t="s">
        <v>22</v>
      </c>
      <c r="Y57" s="1167" t="s">
        <v>27</v>
      </c>
      <c r="Z57" s="1232" t="s">
        <v>22</v>
      </c>
      <c r="AA57" s="1233" t="s">
        <v>27</v>
      </c>
      <c r="AB57" s="1165" t="s">
        <v>22</v>
      </c>
      <c r="AC57" s="1167" t="s">
        <v>27</v>
      </c>
      <c r="AD57" s="1232" t="s">
        <v>22</v>
      </c>
      <c r="AE57" s="1233" t="s">
        <v>27</v>
      </c>
      <c r="AF57" s="1165" t="s">
        <v>22</v>
      </c>
      <c r="AG57" s="1167" t="s">
        <v>27</v>
      </c>
      <c r="AH57" s="1232" t="s">
        <v>22</v>
      </c>
      <c r="AI57" s="1233" t="s">
        <v>27</v>
      </c>
      <c r="AJ57" s="1165" t="s">
        <v>22</v>
      </c>
      <c r="AK57" s="1168" t="s">
        <v>27</v>
      </c>
      <c r="AL57" s="7825"/>
    </row>
    <row r="58" spans="1:87" s="170" customFormat="1" ht="15" customHeight="1" x14ac:dyDescent="0.2">
      <c r="A58" s="6234">
        <v>23080200</v>
      </c>
      <c r="B58" s="1234" t="s">
        <v>74</v>
      </c>
      <c r="C58" s="1218" t="s">
        <v>5292</v>
      </c>
      <c r="D58" s="1162" t="s">
        <v>5293</v>
      </c>
      <c r="E58" s="1160" t="s">
        <v>5294</v>
      </c>
      <c r="F58" s="1235" t="s">
        <v>5295</v>
      </c>
      <c r="G58" s="1236" t="s">
        <v>5296</v>
      </c>
      <c r="H58" s="1237" t="s">
        <v>5297</v>
      </c>
      <c r="I58" s="1238" t="s">
        <v>5298</v>
      </c>
      <c r="J58" s="1235" t="s">
        <v>5299</v>
      </c>
      <c r="K58" s="1239" t="s">
        <v>5300</v>
      </c>
      <c r="L58" s="1237" t="s">
        <v>5301</v>
      </c>
      <c r="M58" s="1238" t="s">
        <v>5302</v>
      </c>
      <c r="N58" s="1235" t="s">
        <v>5303</v>
      </c>
      <c r="O58" s="1239" t="s">
        <v>5304</v>
      </c>
      <c r="P58" s="1235" t="s">
        <v>5305</v>
      </c>
      <c r="Q58" s="1239" t="s">
        <v>5306</v>
      </c>
      <c r="R58" s="1237" t="s">
        <v>5307</v>
      </c>
      <c r="S58" s="1238" t="s">
        <v>5308</v>
      </c>
      <c r="T58" s="1235" t="s">
        <v>5309</v>
      </c>
      <c r="U58" s="1239" t="s">
        <v>5310</v>
      </c>
      <c r="V58" s="1237" t="s">
        <v>5311</v>
      </c>
      <c r="W58" s="1238" t="s">
        <v>5312</v>
      </c>
      <c r="X58" s="1235" t="s">
        <v>5313</v>
      </c>
      <c r="Y58" s="1239" t="s">
        <v>5314</v>
      </c>
      <c r="Z58" s="1237" t="s">
        <v>5315</v>
      </c>
      <c r="AA58" s="1238" t="s">
        <v>5316</v>
      </c>
      <c r="AB58" s="1235" t="s">
        <v>5317</v>
      </c>
      <c r="AC58" s="1239" t="s">
        <v>5318</v>
      </c>
      <c r="AD58" s="1237" t="s">
        <v>5319</v>
      </c>
      <c r="AE58" s="1238" t="s">
        <v>5320</v>
      </c>
      <c r="AF58" s="1235" t="s">
        <v>5321</v>
      </c>
      <c r="AG58" s="1239" t="s">
        <v>5322</v>
      </c>
      <c r="AH58" s="1237" t="s">
        <v>5323</v>
      </c>
      <c r="AI58" s="1238" t="s">
        <v>5324</v>
      </c>
      <c r="AJ58" s="1235" t="s">
        <v>5325</v>
      </c>
      <c r="AK58" s="1240" t="s">
        <v>5326</v>
      </c>
      <c r="AL58" s="1236" t="s">
        <v>5327</v>
      </c>
      <c r="AM58" s="170" t="str">
        <f>CC58&amp;CD58&amp;CE58&amp;CF58</f>
        <v xml:space="preserve"> * El campo Beneficiario No puede ser mayor al Total de consultas</v>
      </c>
      <c r="CC58" s="2465" t="str">
        <f>IF(AND(AL58="",C58&gt;0)," * No olvide digitar la variable Beneficiarios. Si no tiene digite CERO.","")</f>
        <v/>
      </c>
      <c r="CD58" s="2465" t="str">
        <f>IF(AL58&gt;C58," * El campo Beneficiario No puede ser mayor al Total de consultas","")</f>
        <v xml:space="preserve"> * El campo Beneficiario No puede ser mayor al Total de consultas</v>
      </c>
      <c r="CH58" s="2466">
        <f>IF(AND(AL58="",C58&gt;0),1,0)</f>
        <v>0</v>
      </c>
      <c r="CI58" s="2466">
        <f>IF(AL58&gt;C58,1,0)</f>
        <v>1</v>
      </c>
    </row>
    <row r="59" spans="1:87" s="1116" customFormat="1" ht="18" customHeight="1" x14ac:dyDescent="0.25">
      <c r="A59" s="20"/>
      <c r="B59" s="14" t="s">
        <v>1038</v>
      </c>
    </row>
    <row r="60" spans="1:87" s="170" customFormat="1" ht="15" customHeight="1" x14ac:dyDescent="0.25">
      <c r="A60" s="6283"/>
      <c r="B60" s="7755" t="s">
        <v>61</v>
      </c>
      <c r="C60" s="7754" t="s">
        <v>24</v>
      </c>
      <c r="D60" s="6983"/>
      <c r="E60" s="7755"/>
      <c r="F60" s="7809" t="s">
        <v>30</v>
      </c>
      <c r="G60" s="7810"/>
      <c r="H60" s="7810"/>
      <c r="I60" s="7810"/>
      <c r="J60" s="7810"/>
      <c r="K60" s="7810"/>
      <c r="L60" s="7810"/>
      <c r="M60" s="7810"/>
      <c r="N60" s="7810"/>
      <c r="O60" s="7810"/>
      <c r="P60" s="7810"/>
      <c r="Q60" s="7810"/>
      <c r="R60" s="7810"/>
      <c r="S60" s="7810"/>
      <c r="T60" s="7810"/>
      <c r="U60" s="7810"/>
      <c r="V60" s="7810"/>
      <c r="W60" s="7810"/>
      <c r="X60" s="7810"/>
      <c r="Y60" s="7810"/>
      <c r="Z60" s="7810"/>
      <c r="AA60" s="7810"/>
      <c r="AB60" s="7810"/>
      <c r="AC60" s="7810"/>
      <c r="AD60" s="7810"/>
      <c r="AE60" s="7810"/>
      <c r="AF60" s="7810"/>
      <c r="AG60" s="7810"/>
      <c r="AH60" s="7810"/>
      <c r="AI60" s="7810"/>
      <c r="AJ60" s="7810"/>
      <c r="AK60" s="7824"/>
      <c r="AL60" s="7820" t="s">
        <v>67</v>
      </c>
    </row>
    <row r="61" spans="1:87" s="170" customFormat="1" ht="15" customHeight="1" x14ac:dyDescent="0.25">
      <c r="A61" s="6283"/>
      <c r="B61" s="6762"/>
      <c r="C61" s="7822"/>
      <c r="D61" s="7823"/>
      <c r="E61" s="6762"/>
      <c r="F61" s="7770" t="s">
        <v>682</v>
      </c>
      <c r="G61" s="7755"/>
      <c r="H61" s="7771" t="s">
        <v>1002</v>
      </c>
      <c r="I61" s="7771"/>
      <c r="J61" s="7756" t="s">
        <v>1003</v>
      </c>
      <c r="K61" s="7757"/>
      <c r="L61" s="7771" t="s">
        <v>38</v>
      </c>
      <c r="M61" s="7771"/>
      <c r="N61" s="7756" t="s">
        <v>4</v>
      </c>
      <c r="O61" s="7757"/>
      <c r="P61" s="7802" t="s">
        <v>5</v>
      </c>
      <c r="Q61" s="7771"/>
      <c r="R61" s="7756" t="s">
        <v>1004</v>
      </c>
      <c r="S61" s="7757"/>
      <c r="T61" s="7771" t="s">
        <v>9</v>
      </c>
      <c r="U61" s="7771"/>
      <c r="V61" s="7756" t="s">
        <v>10</v>
      </c>
      <c r="W61" s="7757"/>
      <c r="X61" s="7771" t="s">
        <v>11</v>
      </c>
      <c r="Y61" s="7771"/>
      <c r="Z61" s="7756" t="s">
        <v>18</v>
      </c>
      <c r="AA61" s="7757"/>
      <c r="AB61" s="7771" t="s">
        <v>19</v>
      </c>
      <c r="AC61" s="7771"/>
      <c r="AD61" s="7756" t="s">
        <v>20</v>
      </c>
      <c r="AE61" s="7757"/>
      <c r="AF61" s="7771" t="s">
        <v>70</v>
      </c>
      <c r="AG61" s="7771"/>
      <c r="AH61" s="7756" t="s">
        <v>71</v>
      </c>
      <c r="AI61" s="7757"/>
      <c r="AJ61" s="7756" t="s">
        <v>32</v>
      </c>
      <c r="AK61" s="7796"/>
      <c r="AL61" s="6831"/>
    </row>
    <row r="62" spans="1:87" s="170" customFormat="1" ht="15" customHeight="1" x14ac:dyDescent="0.25">
      <c r="A62" s="6283"/>
      <c r="B62" s="7795"/>
      <c r="C62" s="1231" t="s">
        <v>26</v>
      </c>
      <c r="D62" s="1232" t="s">
        <v>22</v>
      </c>
      <c r="E62" s="1167" t="s">
        <v>27</v>
      </c>
      <c r="F62" s="1118" t="s">
        <v>22</v>
      </c>
      <c r="G62" s="1119" t="s">
        <v>27</v>
      </c>
      <c r="H62" s="1117" t="s">
        <v>22</v>
      </c>
      <c r="I62" s="1068" t="s">
        <v>27</v>
      </c>
      <c r="J62" s="1118" t="s">
        <v>22</v>
      </c>
      <c r="K62" s="1119" t="s">
        <v>27</v>
      </c>
      <c r="L62" s="1117" t="s">
        <v>22</v>
      </c>
      <c r="M62" s="1068" t="s">
        <v>27</v>
      </c>
      <c r="N62" s="1118" t="s">
        <v>22</v>
      </c>
      <c r="O62" s="1119" t="s">
        <v>27</v>
      </c>
      <c r="P62" s="1117" t="s">
        <v>22</v>
      </c>
      <c r="Q62" s="1068" t="s">
        <v>27</v>
      </c>
      <c r="R62" s="1118" t="s">
        <v>22</v>
      </c>
      <c r="S62" s="1119" t="s">
        <v>27</v>
      </c>
      <c r="T62" s="1117" t="s">
        <v>22</v>
      </c>
      <c r="U62" s="1068" t="s">
        <v>27</v>
      </c>
      <c r="V62" s="1118" t="s">
        <v>22</v>
      </c>
      <c r="W62" s="1119" t="s">
        <v>27</v>
      </c>
      <c r="X62" s="1117" t="s">
        <v>22</v>
      </c>
      <c r="Y62" s="1068" t="s">
        <v>27</v>
      </c>
      <c r="Z62" s="1118" t="s">
        <v>22</v>
      </c>
      <c r="AA62" s="1119" t="s">
        <v>27</v>
      </c>
      <c r="AB62" s="1117" t="s">
        <v>22</v>
      </c>
      <c r="AC62" s="1068" t="s">
        <v>27</v>
      </c>
      <c r="AD62" s="1118" t="s">
        <v>22</v>
      </c>
      <c r="AE62" s="1119" t="s">
        <v>27</v>
      </c>
      <c r="AF62" s="1117" t="s">
        <v>22</v>
      </c>
      <c r="AG62" s="1068" t="s">
        <v>27</v>
      </c>
      <c r="AH62" s="1118" t="s">
        <v>22</v>
      </c>
      <c r="AI62" s="1119" t="s">
        <v>27</v>
      </c>
      <c r="AJ62" s="1118" t="s">
        <v>22</v>
      </c>
      <c r="AK62" s="2456" t="s">
        <v>27</v>
      </c>
      <c r="AL62" s="7821"/>
    </row>
    <row r="63" spans="1:87" s="170" customFormat="1" ht="15" customHeight="1" x14ac:dyDescent="0.2">
      <c r="A63" s="6234">
        <v>23080300</v>
      </c>
      <c r="B63" s="1241" t="s">
        <v>74</v>
      </c>
      <c r="C63" s="1242" t="s">
        <v>5292</v>
      </c>
      <c r="D63" s="1243" t="s">
        <v>5293</v>
      </c>
      <c r="E63" s="1244" t="s">
        <v>5294</v>
      </c>
      <c r="F63" s="1245" t="s">
        <v>5295</v>
      </c>
      <c r="G63" s="1246" t="s">
        <v>5296</v>
      </c>
      <c r="H63" s="1247" t="s">
        <v>5297</v>
      </c>
      <c r="I63" s="1248" t="s">
        <v>5298</v>
      </c>
      <c r="J63" s="1245" t="s">
        <v>5299</v>
      </c>
      <c r="K63" s="1249" t="s">
        <v>5300</v>
      </c>
      <c r="L63" s="1247" t="s">
        <v>5301</v>
      </c>
      <c r="M63" s="1248" t="s">
        <v>5302</v>
      </c>
      <c r="N63" s="1245" t="s">
        <v>5303</v>
      </c>
      <c r="O63" s="1249" t="s">
        <v>5304</v>
      </c>
      <c r="P63" s="1247" t="s">
        <v>5305</v>
      </c>
      <c r="Q63" s="1248" t="s">
        <v>5306</v>
      </c>
      <c r="R63" s="1245" t="s">
        <v>5307</v>
      </c>
      <c r="S63" s="1249" t="s">
        <v>5308</v>
      </c>
      <c r="T63" s="1247" t="s">
        <v>5309</v>
      </c>
      <c r="U63" s="1248" t="s">
        <v>5310</v>
      </c>
      <c r="V63" s="1245" t="s">
        <v>5311</v>
      </c>
      <c r="W63" s="1249" t="s">
        <v>5312</v>
      </c>
      <c r="X63" s="1247" t="s">
        <v>5313</v>
      </c>
      <c r="Y63" s="1248" t="s">
        <v>5314</v>
      </c>
      <c r="Z63" s="1245" t="s">
        <v>5315</v>
      </c>
      <c r="AA63" s="1249" t="s">
        <v>5316</v>
      </c>
      <c r="AB63" s="1247" t="s">
        <v>5317</v>
      </c>
      <c r="AC63" s="1248" t="s">
        <v>5318</v>
      </c>
      <c r="AD63" s="1245" t="s">
        <v>5319</v>
      </c>
      <c r="AE63" s="1249" t="s">
        <v>5320</v>
      </c>
      <c r="AF63" s="1247" t="s">
        <v>5321</v>
      </c>
      <c r="AG63" s="1248" t="s">
        <v>5322</v>
      </c>
      <c r="AH63" s="1245" t="s">
        <v>5323</v>
      </c>
      <c r="AI63" s="1249" t="s">
        <v>5324</v>
      </c>
      <c r="AJ63" s="1250" t="s">
        <v>5325</v>
      </c>
      <c r="AK63" s="1251" t="s">
        <v>5326</v>
      </c>
      <c r="AL63" s="1252" t="s">
        <v>5327</v>
      </c>
      <c r="AM63" s="170" t="str">
        <f t="shared" ref="AM63:AM65" si="22">CC63&amp;CD63&amp;CE63&amp;CF63</f>
        <v xml:space="preserve"> * El campo Beneficiario No puede ser mayor al Total de consultas</v>
      </c>
      <c r="CC63" s="2465" t="str">
        <f>IF(AND(AL63="",C63&gt;0)," * No olvide digitar la columna Beneficiarios. Si no tiene digite CERO.","")</f>
        <v/>
      </c>
      <c r="CD63" s="2465" t="str">
        <f>IF(AL63&gt;C63," * El campo Beneficiario No puede ser mayor al Total de consultas","")</f>
        <v xml:space="preserve"> * El campo Beneficiario No puede ser mayor al Total de consultas</v>
      </c>
      <c r="CH63" s="2466">
        <f>IF(AND(AL63="",C63&gt;0),1,0)</f>
        <v>0</v>
      </c>
      <c r="CI63" s="2466">
        <f>IF(AL63&gt;C63,1,0)</f>
        <v>1</v>
      </c>
    </row>
    <row r="64" spans="1:87" s="170" customFormat="1" ht="15" customHeight="1" x14ac:dyDescent="0.2">
      <c r="A64" s="6234">
        <v>23080400</v>
      </c>
      <c r="B64" s="1253" t="s">
        <v>76</v>
      </c>
      <c r="C64" s="1224" t="s">
        <v>5292</v>
      </c>
      <c r="D64" s="1225" t="s">
        <v>5293</v>
      </c>
      <c r="E64" s="31" t="s">
        <v>5294</v>
      </c>
      <c r="F64" s="1095" t="s">
        <v>5295</v>
      </c>
      <c r="G64" s="8" t="s">
        <v>5296</v>
      </c>
      <c r="H64" s="1097" t="s">
        <v>5297</v>
      </c>
      <c r="I64" s="1254" t="s">
        <v>5298</v>
      </c>
      <c r="J64" s="1095" t="s">
        <v>5299</v>
      </c>
      <c r="K64" s="1099" t="s">
        <v>5300</v>
      </c>
      <c r="L64" s="1097" t="s">
        <v>5301</v>
      </c>
      <c r="M64" s="1254" t="s">
        <v>5302</v>
      </c>
      <c r="N64" s="1095" t="s">
        <v>5303</v>
      </c>
      <c r="O64" s="1099" t="s">
        <v>5304</v>
      </c>
      <c r="P64" s="1097" t="s">
        <v>5305</v>
      </c>
      <c r="Q64" s="1254" t="s">
        <v>5306</v>
      </c>
      <c r="R64" s="1095" t="s">
        <v>5307</v>
      </c>
      <c r="S64" s="1099" t="s">
        <v>5308</v>
      </c>
      <c r="T64" s="1097" t="s">
        <v>5309</v>
      </c>
      <c r="U64" s="1254" t="s">
        <v>5310</v>
      </c>
      <c r="V64" s="1095" t="s">
        <v>5311</v>
      </c>
      <c r="W64" s="1099" t="s">
        <v>5312</v>
      </c>
      <c r="X64" s="1097" t="s">
        <v>5313</v>
      </c>
      <c r="Y64" s="1254" t="s">
        <v>5314</v>
      </c>
      <c r="Z64" s="1095" t="s">
        <v>5315</v>
      </c>
      <c r="AA64" s="1099" t="s">
        <v>5316</v>
      </c>
      <c r="AB64" s="1097" t="s">
        <v>5317</v>
      </c>
      <c r="AC64" s="1254" t="s">
        <v>5318</v>
      </c>
      <c r="AD64" s="1095" t="s">
        <v>5319</v>
      </c>
      <c r="AE64" s="1099" t="s">
        <v>5320</v>
      </c>
      <c r="AF64" s="1097" t="s">
        <v>5321</v>
      </c>
      <c r="AG64" s="1254" t="s">
        <v>5322</v>
      </c>
      <c r="AH64" s="1095" t="s">
        <v>5323</v>
      </c>
      <c r="AI64" s="1099" t="s">
        <v>5324</v>
      </c>
      <c r="AJ64" s="1255" t="s">
        <v>5325</v>
      </c>
      <c r="AK64" s="1100" t="s">
        <v>5326</v>
      </c>
      <c r="AL64" s="8" t="s">
        <v>5327</v>
      </c>
      <c r="AM64" s="170" t="str">
        <f t="shared" si="22"/>
        <v xml:space="preserve"> * El campo Beneficiario No puede ser mayor al Total de consultas</v>
      </c>
      <c r="CC64" s="2465" t="str">
        <f t="shared" ref="CC64:CC65" si="23">IF(AND(AL64="",C64&gt;0)," * No olvide digitar la columna Beneficiarios. Si no tiene digite CERO.","")</f>
        <v/>
      </c>
      <c r="CD64" s="2465" t="str">
        <f t="shared" ref="CD64:CD65" si="24">IF(AL64&gt;C64," * El campo Beneficiario No puede ser mayor al Total de consultas","")</f>
        <v xml:space="preserve"> * El campo Beneficiario No puede ser mayor al Total de consultas</v>
      </c>
      <c r="CH64" s="2466">
        <f t="shared" ref="CH64:CH65" si="25">IF(AND(AL64="",C64&gt;0),1,0)</f>
        <v>0</v>
      </c>
      <c r="CI64" s="2466">
        <f t="shared" ref="CI64:CI65" si="26">IF(AL64&gt;C64,1,0)</f>
        <v>1</v>
      </c>
    </row>
    <row r="65" spans="1:91" s="170" customFormat="1" ht="15" customHeight="1" x14ac:dyDescent="0.2">
      <c r="A65" s="6234">
        <v>23080500</v>
      </c>
      <c r="B65" s="1109" t="s">
        <v>277</v>
      </c>
      <c r="C65" s="645" t="s">
        <v>5292</v>
      </c>
      <c r="D65" s="1256" t="s">
        <v>5293</v>
      </c>
      <c r="E65" s="37" t="s">
        <v>5294</v>
      </c>
      <c r="F65" s="9" t="s">
        <v>5295</v>
      </c>
      <c r="G65" s="11" t="s">
        <v>5296</v>
      </c>
      <c r="H65" s="24" t="s">
        <v>5297</v>
      </c>
      <c r="I65" s="1257" t="s">
        <v>5298</v>
      </c>
      <c r="J65" s="9" t="s">
        <v>5299</v>
      </c>
      <c r="K65" s="25" t="s">
        <v>5300</v>
      </c>
      <c r="L65" s="24" t="s">
        <v>5301</v>
      </c>
      <c r="M65" s="1257" t="s">
        <v>5302</v>
      </c>
      <c r="N65" s="9" t="s">
        <v>5303</v>
      </c>
      <c r="O65" s="25" t="s">
        <v>5304</v>
      </c>
      <c r="P65" s="24" t="s">
        <v>5305</v>
      </c>
      <c r="Q65" s="1257" t="s">
        <v>5306</v>
      </c>
      <c r="R65" s="9" t="s">
        <v>5307</v>
      </c>
      <c r="S65" s="25" t="s">
        <v>5308</v>
      </c>
      <c r="T65" s="24" t="s">
        <v>5309</v>
      </c>
      <c r="U65" s="1257" t="s">
        <v>5310</v>
      </c>
      <c r="V65" s="9" t="s">
        <v>5311</v>
      </c>
      <c r="W65" s="25" t="s">
        <v>5312</v>
      </c>
      <c r="X65" s="24" t="s">
        <v>5313</v>
      </c>
      <c r="Y65" s="1257" t="s">
        <v>5314</v>
      </c>
      <c r="Z65" s="9" t="s">
        <v>5315</v>
      </c>
      <c r="AA65" s="25" t="s">
        <v>5316</v>
      </c>
      <c r="AB65" s="24" t="s">
        <v>5317</v>
      </c>
      <c r="AC65" s="1257" t="s">
        <v>5318</v>
      </c>
      <c r="AD65" s="9" t="s">
        <v>5319</v>
      </c>
      <c r="AE65" s="25" t="s">
        <v>5320</v>
      </c>
      <c r="AF65" s="24" t="s">
        <v>5321</v>
      </c>
      <c r="AG65" s="1257" t="s">
        <v>5322</v>
      </c>
      <c r="AH65" s="9" t="s">
        <v>5323</v>
      </c>
      <c r="AI65" s="25" t="s">
        <v>5324</v>
      </c>
      <c r="AJ65" s="48" t="s">
        <v>5325</v>
      </c>
      <c r="AK65" s="23" t="s">
        <v>5326</v>
      </c>
      <c r="AL65" s="1258" t="s">
        <v>5327</v>
      </c>
      <c r="AM65" s="170" t="str">
        <f t="shared" si="22"/>
        <v xml:space="preserve"> * El campo Beneficiario No puede ser mayor al Total de consultas</v>
      </c>
      <c r="CC65" s="2465" t="str">
        <f t="shared" si="23"/>
        <v/>
      </c>
      <c r="CD65" s="2465" t="str">
        <f t="shared" si="24"/>
        <v xml:space="preserve"> * El campo Beneficiario No puede ser mayor al Total de consultas</v>
      </c>
      <c r="CH65" s="2466">
        <f t="shared" si="25"/>
        <v>0</v>
      </c>
      <c r="CI65" s="2466">
        <f t="shared" si="26"/>
        <v>1</v>
      </c>
    </row>
    <row r="66" spans="1:91" s="170" customFormat="1" ht="15" customHeight="1" x14ac:dyDescent="0.25">
      <c r="A66" s="6278"/>
      <c r="B66" s="1259" t="s">
        <v>24</v>
      </c>
      <c r="C66" s="1218">
        <f t="shared" ref="C66:L66" si="27">SUM(C63:C65)</f>
        <v>0</v>
      </c>
      <c r="D66" s="1162">
        <f t="shared" si="27"/>
        <v>0</v>
      </c>
      <c r="E66" s="1160">
        <f t="shared" si="27"/>
        <v>0</v>
      </c>
      <c r="F66" s="1260">
        <f t="shared" si="27"/>
        <v>0</v>
      </c>
      <c r="G66" s="1261">
        <f t="shared" si="27"/>
        <v>0</v>
      </c>
      <c r="H66" s="1262">
        <f t="shared" si="27"/>
        <v>0</v>
      </c>
      <c r="I66" s="1263">
        <f t="shared" si="27"/>
        <v>0</v>
      </c>
      <c r="J66" s="1260">
        <f t="shared" si="27"/>
        <v>0</v>
      </c>
      <c r="K66" s="1264">
        <f t="shared" si="27"/>
        <v>0</v>
      </c>
      <c r="L66" s="1262">
        <f t="shared" si="27"/>
        <v>0</v>
      </c>
      <c r="M66" s="1263">
        <f t="shared" ref="M66:AL66" si="28">SUM(M63:M65)</f>
        <v>0</v>
      </c>
      <c r="N66" s="1260">
        <f t="shared" si="28"/>
        <v>0</v>
      </c>
      <c r="O66" s="1264">
        <f t="shared" si="28"/>
        <v>0</v>
      </c>
      <c r="P66" s="1262">
        <f t="shared" si="28"/>
        <v>0</v>
      </c>
      <c r="Q66" s="1263">
        <f t="shared" si="28"/>
        <v>0</v>
      </c>
      <c r="R66" s="1260">
        <f t="shared" si="28"/>
        <v>0</v>
      </c>
      <c r="S66" s="1264">
        <f t="shared" si="28"/>
        <v>0</v>
      </c>
      <c r="T66" s="1262">
        <f t="shared" si="28"/>
        <v>0</v>
      </c>
      <c r="U66" s="1263">
        <f t="shared" si="28"/>
        <v>0</v>
      </c>
      <c r="V66" s="1260">
        <f t="shared" si="28"/>
        <v>0</v>
      </c>
      <c r="W66" s="1264">
        <f t="shared" si="28"/>
        <v>0</v>
      </c>
      <c r="X66" s="1262">
        <f t="shared" si="28"/>
        <v>0</v>
      </c>
      <c r="Y66" s="1263">
        <f t="shared" si="28"/>
        <v>0</v>
      </c>
      <c r="Z66" s="1260">
        <f t="shared" si="28"/>
        <v>0</v>
      </c>
      <c r="AA66" s="1264">
        <f t="shared" si="28"/>
        <v>0</v>
      </c>
      <c r="AB66" s="1262">
        <f t="shared" si="28"/>
        <v>0</v>
      </c>
      <c r="AC66" s="1263">
        <f t="shared" si="28"/>
        <v>0</v>
      </c>
      <c r="AD66" s="1260">
        <f t="shared" si="28"/>
        <v>0</v>
      </c>
      <c r="AE66" s="1264">
        <f t="shared" si="28"/>
        <v>0</v>
      </c>
      <c r="AF66" s="1262">
        <f t="shared" si="28"/>
        <v>0</v>
      </c>
      <c r="AG66" s="1263">
        <f t="shared" si="28"/>
        <v>0</v>
      </c>
      <c r="AH66" s="1260">
        <f t="shared" si="28"/>
        <v>0</v>
      </c>
      <c r="AI66" s="1264">
        <f t="shared" si="28"/>
        <v>0</v>
      </c>
      <c r="AJ66" s="1265">
        <f t="shared" si="28"/>
        <v>0</v>
      </c>
      <c r="AK66" s="2471">
        <f t="shared" si="28"/>
        <v>0</v>
      </c>
      <c r="AL66" s="1261">
        <f t="shared" si="28"/>
        <v>0</v>
      </c>
    </row>
    <row r="67" spans="1:91" s="1116" customFormat="1" ht="18" customHeight="1" x14ac:dyDescent="0.2">
      <c r="B67" s="14" t="s">
        <v>1039</v>
      </c>
    </row>
    <row r="68" spans="1:91" s="170" customFormat="1" ht="15" customHeight="1" x14ac:dyDescent="0.2">
      <c r="A68" s="6282"/>
      <c r="B68" s="7755" t="s">
        <v>61</v>
      </c>
      <c r="C68" s="7754" t="s">
        <v>24</v>
      </c>
      <c r="D68" s="6983"/>
      <c r="E68" s="7755"/>
      <c r="F68" s="7756" t="s">
        <v>30</v>
      </c>
      <c r="G68" s="7771"/>
      <c r="H68" s="7771"/>
      <c r="I68" s="7771"/>
      <c r="J68" s="7771"/>
      <c r="K68" s="7771"/>
      <c r="L68" s="7771"/>
      <c r="M68" s="7771"/>
      <c r="N68" s="7771"/>
      <c r="O68" s="7771"/>
      <c r="P68" s="7771"/>
      <c r="Q68" s="7771"/>
      <c r="R68" s="7771"/>
      <c r="S68" s="7771"/>
      <c r="T68" s="7771"/>
      <c r="U68" s="7771"/>
      <c r="V68" s="7771"/>
      <c r="W68" s="7771"/>
      <c r="X68" s="7771"/>
      <c r="Y68" s="7771"/>
      <c r="Z68" s="7771"/>
      <c r="AA68" s="7771"/>
      <c r="AB68" s="7771"/>
      <c r="AC68" s="7771"/>
      <c r="AD68" s="7771"/>
      <c r="AE68" s="7771"/>
      <c r="AF68" s="7771"/>
      <c r="AG68" s="7771"/>
      <c r="AH68" s="7771"/>
      <c r="AI68" s="7771"/>
      <c r="AJ68" s="7771"/>
      <c r="AK68" s="7796"/>
      <c r="AL68" s="7803" t="s">
        <v>67</v>
      </c>
      <c r="AM68" s="7671" t="s">
        <v>267</v>
      </c>
    </row>
    <row r="69" spans="1:91" s="170" customFormat="1" ht="15" customHeight="1" x14ac:dyDescent="0.2">
      <c r="A69" s="6282"/>
      <c r="B69" s="6762"/>
      <c r="C69" s="7808"/>
      <c r="D69" s="7801"/>
      <c r="E69" s="7795"/>
      <c r="F69" s="7770" t="s">
        <v>682</v>
      </c>
      <c r="G69" s="7755"/>
      <c r="H69" s="7756" t="s">
        <v>1002</v>
      </c>
      <c r="I69" s="7757"/>
      <c r="J69" s="7756" t="s">
        <v>1003</v>
      </c>
      <c r="K69" s="7757"/>
      <c r="L69" s="7819" t="s">
        <v>38</v>
      </c>
      <c r="M69" s="7757"/>
      <c r="N69" s="7756" t="s">
        <v>4</v>
      </c>
      <c r="O69" s="7757"/>
      <c r="P69" s="7756" t="s">
        <v>5</v>
      </c>
      <c r="Q69" s="7757"/>
      <c r="R69" s="7756" t="s">
        <v>1004</v>
      </c>
      <c r="S69" s="7757"/>
      <c r="T69" s="7756" t="s">
        <v>9</v>
      </c>
      <c r="U69" s="7757"/>
      <c r="V69" s="7756" t="s">
        <v>10</v>
      </c>
      <c r="W69" s="7757"/>
      <c r="X69" s="7756" t="s">
        <v>11</v>
      </c>
      <c r="Y69" s="7757"/>
      <c r="Z69" s="7756" t="s">
        <v>18</v>
      </c>
      <c r="AA69" s="7757"/>
      <c r="AB69" s="7756" t="s">
        <v>19</v>
      </c>
      <c r="AC69" s="7757"/>
      <c r="AD69" s="7756" t="s">
        <v>20</v>
      </c>
      <c r="AE69" s="7757"/>
      <c r="AF69" s="7756" t="s">
        <v>70</v>
      </c>
      <c r="AG69" s="7757"/>
      <c r="AH69" s="7756" t="s">
        <v>71</v>
      </c>
      <c r="AI69" s="7757"/>
      <c r="AJ69" s="7756" t="s">
        <v>32</v>
      </c>
      <c r="AK69" s="7796"/>
      <c r="AL69" s="6904"/>
      <c r="AM69" s="7817"/>
    </row>
    <row r="70" spans="1:91" s="170" customFormat="1" ht="15" customHeight="1" x14ac:dyDescent="0.2">
      <c r="A70" s="6282"/>
      <c r="B70" s="7795"/>
      <c r="C70" s="1231" t="s">
        <v>26</v>
      </c>
      <c r="D70" s="1232" t="s">
        <v>22</v>
      </c>
      <c r="E70" s="1167" t="s">
        <v>27</v>
      </c>
      <c r="F70" s="1266" t="s">
        <v>22</v>
      </c>
      <c r="G70" s="1267" t="s">
        <v>27</v>
      </c>
      <c r="H70" s="1268" t="s">
        <v>22</v>
      </c>
      <c r="I70" s="2459" t="s">
        <v>27</v>
      </c>
      <c r="J70" s="1266" t="s">
        <v>22</v>
      </c>
      <c r="K70" s="1267" t="s">
        <v>27</v>
      </c>
      <c r="L70" s="1266" t="s">
        <v>22</v>
      </c>
      <c r="M70" s="1267" t="s">
        <v>27</v>
      </c>
      <c r="N70" s="1268" t="s">
        <v>22</v>
      </c>
      <c r="O70" s="2459" t="s">
        <v>27</v>
      </c>
      <c r="P70" s="1266" t="s">
        <v>22</v>
      </c>
      <c r="Q70" s="1267" t="s">
        <v>27</v>
      </c>
      <c r="R70" s="1268" t="s">
        <v>22</v>
      </c>
      <c r="S70" s="2459" t="s">
        <v>27</v>
      </c>
      <c r="T70" s="1266" t="s">
        <v>22</v>
      </c>
      <c r="U70" s="1267" t="s">
        <v>27</v>
      </c>
      <c r="V70" s="1268" t="s">
        <v>22</v>
      </c>
      <c r="W70" s="2459" t="s">
        <v>27</v>
      </c>
      <c r="X70" s="1266" t="s">
        <v>22</v>
      </c>
      <c r="Y70" s="1267" t="s">
        <v>27</v>
      </c>
      <c r="Z70" s="1268" t="s">
        <v>22</v>
      </c>
      <c r="AA70" s="2459" t="s">
        <v>27</v>
      </c>
      <c r="AB70" s="1266" t="s">
        <v>22</v>
      </c>
      <c r="AC70" s="1267" t="s">
        <v>27</v>
      </c>
      <c r="AD70" s="1268" t="s">
        <v>22</v>
      </c>
      <c r="AE70" s="2459" t="s">
        <v>27</v>
      </c>
      <c r="AF70" s="1266" t="s">
        <v>22</v>
      </c>
      <c r="AG70" s="1267" t="s">
        <v>27</v>
      </c>
      <c r="AH70" s="1268" t="s">
        <v>22</v>
      </c>
      <c r="AI70" s="2459" t="s">
        <v>27</v>
      </c>
      <c r="AJ70" s="1266" t="s">
        <v>22</v>
      </c>
      <c r="AK70" s="1269" t="s">
        <v>27</v>
      </c>
      <c r="AL70" s="7804"/>
      <c r="AM70" s="7818"/>
    </row>
    <row r="71" spans="1:91" s="170" customFormat="1" ht="15" customHeight="1" x14ac:dyDescent="0.2">
      <c r="A71" s="6234">
        <v>23090450</v>
      </c>
      <c r="B71" s="1270" t="s">
        <v>76</v>
      </c>
      <c r="C71" s="648" t="s">
        <v>5292</v>
      </c>
      <c r="D71" s="1222" t="s">
        <v>5293</v>
      </c>
      <c r="E71" s="33" t="s">
        <v>5294</v>
      </c>
      <c r="F71" s="1271" t="s">
        <v>5295</v>
      </c>
      <c r="G71" s="1089" t="s">
        <v>5296</v>
      </c>
      <c r="H71" s="1102" t="s">
        <v>5297</v>
      </c>
      <c r="I71" s="1272" t="s">
        <v>5298</v>
      </c>
      <c r="J71" s="1271" t="s">
        <v>5299</v>
      </c>
      <c r="K71" s="1273" t="s">
        <v>5300</v>
      </c>
      <c r="L71" s="1271" t="s">
        <v>5301</v>
      </c>
      <c r="M71" s="1273" t="s">
        <v>5302</v>
      </c>
      <c r="N71" s="1102" t="s">
        <v>5303</v>
      </c>
      <c r="O71" s="1272" t="s">
        <v>5304</v>
      </c>
      <c r="P71" s="1271" t="s">
        <v>5305</v>
      </c>
      <c r="Q71" s="1273" t="s">
        <v>5306</v>
      </c>
      <c r="R71" s="1102" t="s">
        <v>5307</v>
      </c>
      <c r="S71" s="1272" t="s">
        <v>5308</v>
      </c>
      <c r="T71" s="1271" t="s">
        <v>5309</v>
      </c>
      <c r="U71" s="1273" t="s">
        <v>5310</v>
      </c>
      <c r="V71" s="1102" t="s">
        <v>5311</v>
      </c>
      <c r="W71" s="1272" t="s">
        <v>5312</v>
      </c>
      <c r="X71" s="1271" t="s">
        <v>5313</v>
      </c>
      <c r="Y71" s="1273" t="s">
        <v>5314</v>
      </c>
      <c r="Z71" s="1102" t="s">
        <v>5315</v>
      </c>
      <c r="AA71" s="1272" t="s">
        <v>5316</v>
      </c>
      <c r="AB71" s="1271" t="s">
        <v>5317</v>
      </c>
      <c r="AC71" s="1273" t="s">
        <v>5318</v>
      </c>
      <c r="AD71" s="1102" t="s">
        <v>5319</v>
      </c>
      <c r="AE71" s="1272" t="s">
        <v>5320</v>
      </c>
      <c r="AF71" s="1271" t="s">
        <v>5321</v>
      </c>
      <c r="AG71" s="1273" t="s">
        <v>5322</v>
      </c>
      <c r="AH71" s="1102" t="s">
        <v>5323</v>
      </c>
      <c r="AI71" s="1272" t="s">
        <v>5324</v>
      </c>
      <c r="AJ71" s="1274" t="s">
        <v>5325</v>
      </c>
      <c r="AK71" s="1275" t="s">
        <v>5326</v>
      </c>
      <c r="AL71" s="1089" t="s">
        <v>5327</v>
      </c>
      <c r="AM71" s="1101" t="s">
        <v>5328</v>
      </c>
      <c r="AN71" s="170" t="str">
        <f>CC71&amp;CD71&amp;CE71</f>
        <v xml:space="preserve"> * La variable Beneficiarios no puede ser mayor que el Total.</v>
      </c>
      <c r="CC71" s="2465" t="str">
        <f>IF(AND(AL71="",C71&gt;0)," * No olvide digitar la variable Beneficiarios. Si no tiene digite CERO.","")</f>
        <v/>
      </c>
      <c r="CE71" s="2465" t="str">
        <f>IF(AL71&gt;C71," * La variable Beneficiarios no puede ser mayor que el Total.","")</f>
        <v xml:space="preserve"> * La variable Beneficiarios no puede ser mayor que el Total.</v>
      </c>
      <c r="CH71" s="2466">
        <f>IF(AND(AL71="",C71&gt;0),1,0)</f>
        <v>0</v>
      </c>
      <c r="CJ71" s="2466">
        <f>IF(AL71&gt;C71,1,0)</f>
        <v>1</v>
      </c>
    </row>
    <row r="72" spans="1:91" s="170" customFormat="1" ht="15" customHeight="1" x14ac:dyDescent="0.2">
      <c r="A72" s="6234">
        <v>23090460</v>
      </c>
      <c r="B72" s="1276" t="s">
        <v>277</v>
      </c>
      <c r="C72" s="1227" t="s">
        <v>5292</v>
      </c>
      <c r="D72" s="1228" t="s">
        <v>5293</v>
      </c>
      <c r="E72" s="1277" t="s">
        <v>5294</v>
      </c>
      <c r="F72" s="9" t="s">
        <v>5295</v>
      </c>
      <c r="G72" s="11" t="s">
        <v>5296</v>
      </c>
      <c r="H72" s="24" t="s">
        <v>5297</v>
      </c>
      <c r="I72" s="1257" t="s">
        <v>5298</v>
      </c>
      <c r="J72" s="9" t="s">
        <v>5299</v>
      </c>
      <c r="K72" s="25" t="s">
        <v>5300</v>
      </c>
      <c r="L72" s="9" t="s">
        <v>5301</v>
      </c>
      <c r="M72" s="25" t="s">
        <v>5302</v>
      </c>
      <c r="N72" s="24" t="s">
        <v>5303</v>
      </c>
      <c r="O72" s="1257" t="s">
        <v>5304</v>
      </c>
      <c r="P72" s="9" t="s">
        <v>5305</v>
      </c>
      <c r="Q72" s="25" t="s">
        <v>5306</v>
      </c>
      <c r="R72" s="24" t="s">
        <v>5307</v>
      </c>
      <c r="S72" s="1257" t="s">
        <v>5308</v>
      </c>
      <c r="T72" s="9" t="s">
        <v>5309</v>
      </c>
      <c r="U72" s="25" t="s">
        <v>5310</v>
      </c>
      <c r="V72" s="24" t="s">
        <v>5311</v>
      </c>
      <c r="W72" s="1257" t="s">
        <v>5312</v>
      </c>
      <c r="X72" s="9" t="s">
        <v>5313</v>
      </c>
      <c r="Y72" s="25" t="s">
        <v>5314</v>
      </c>
      <c r="Z72" s="24" t="s">
        <v>5315</v>
      </c>
      <c r="AA72" s="1257" t="s">
        <v>5316</v>
      </c>
      <c r="AB72" s="9" t="s">
        <v>5317</v>
      </c>
      <c r="AC72" s="25" t="s">
        <v>5318</v>
      </c>
      <c r="AD72" s="24" t="s">
        <v>5319</v>
      </c>
      <c r="AE72" s="1257" t="s">
        <v>5320</v>
      </c>
      <c r="AF72" s="3" t="s">
        <v>5321</v>
      </c>
      <c r="AG72" s="6" t="s">
        <v>5322</v>
      </c>
      <c r="AH72" s="24" t="s">
        <v>5323</v>
      </c>
      <c r="AI72" s="1257" t="s">
        <v>5324</v>
      </c>
      <c r="AJ72" s="48" t="s">
        <v>5325</v>
      </c>
      <c r="AK72" s="23" t="s">
        <v>5326</v>
      </c>
      <c r="AL72" s="1258" t="s">
        <v>5327</v>
      </c>
      <c r="AM72" s="1278" t="s">
        <v>5328</v>
      </c>
      <c r="AN72" s="170" t="str">
        <f>CC72&amp;CD72&amp;CE72&amp;CF72</f>
        <v xml:space="preserve"> * La variable 'Por campaña de invierno' no puede ser mayor al Total. * La variable Beneficiarios no puede ser mayor que el Total.</v>
      </c>
      <c r="CC72" s="2465" t="str">
        <f>IF(AND(AL72="",C72&gt;0)," * No olvide digitar la variable Beneficiarios. Si no tiene digite CERO.","")</f>
        <v/>
      </c>
      <c r="CD72" s="2465" t="str">
        <f>IF(AND(AM72="",C72&gt;0)," * No olvide digitar la variable Por campaña de Invierno. Si no tiene digite CERO.","")</f>
        <v/>
      </c>
      <c r="CE72" s="2465" t="str">
        <f>IF(AM72&gt;C72," * La variable 'Por campaña de invierno' no puede ser mayor al Total.","")</f>
        <v xml:space="preserve"> * La variable 'Por campaña de invierno' no puede ser mayor al Total.</v>
      </c>
      <c r="CF72" s="2465" t="str">
        <f>IF(AL72&gt;C72," * La variable Beneficiarios no puede ser mayor que el Total.","")</f>
        <v xml:space="preserve"> * La variable Beneficiarios no puede ser mayor que el Total.</v>
      </c>
      <c r="CG72" s="5831"/>
      <c r="CH72" s="2466">
        <f>IF(AND(AL72="",C72&gt;0),1,0)</f>
        <v>0</v>
      </c>
      <c r="CI72" s="2466">
        <f>IF(AND(AM72="",C72&gt;0),1,0)</f>
        <v>0</v>
      </c>
      <c r="CJ72" s="2466">
        <f>IF(AL72&gt;C72,1,0)</f>
        <v>1</v>
      </c>
      <c r="CK72" s="2466">
        <f>IF(AM72&gt;C72,1,0)</f>
        <v>1</v>
      </c>
      <c r="CM72" s="5831"/>
    </row>
    <row r="73" spans="1:91" s="170" customFormat="1" ht="15" customHeight="1" x14ac:dyDescent="0.25">
      <c r="A73" s="6278"/>
      <c r="B73" s="1279" t="s">
        <v>24</v>
      </c>
      <c r="C73" s="1218">
        <f t="shared" ref="C73:AL73" si="29">SUM(C71:C72)</f>
        <v>0</v>
      </c>
      <c r="D73" s="1162">
        <f>SUM(D71:D72)</f>
        <v>0</v>
      </c>
      <c r="E73" s="1160">
        <f t="shared" si="29"/>
        <v>0</v>
      </c>
      <c r="F73" s="1260">
        <f>SUM(F71:F72)</f>
        <v>0</v>
      </c>
      <c r="G73" s="1261">
        <f t="shared" si="29"/>
        <v>0</v>
      </c>
      <c r="H73" s="1262">
        <f t="shared" si="29"/>
        <v>0</v>
      </c>
      <c r="I73" s="1263">
        <f t="shared" si="29"/>
        <v>0</v>
      </c>
      <c r="J73" s="1260">
        <f t="shared" si="29"/>
        <v>0</v>
      </c>
      <c r="K73" s="1264">
        <f t="shared" si="29"/>
        <v>0</v>
      </c>
      <c r="L73" s="1260">
        <f t="shared" si="29"/>
        <v>0</v>
      </c>
      <c r="M73" s="1264">
        <f t="shared" si="29"/>
        <v>0</v>
      </c>
      <c r="N73" s="1262">
        <f t="shared" si="29"/>
        <v>0</v>
      </c>
      <c r="O73" s="1263">
        <f t="shared" si="29"/>
        <v>0</v>
      </c>
      <c r="P73" s="1260">
        <f t="shared" si="29"/>
        <v>0</v>
      </c>
      <c r="Q73" s="1264">
        <f t="shared" si="29"/>
        <v>0</v>
      </c>
      <c r="R73" s="1262">
        <f t="shared" si="29"/>
        <v>0</v>
      </c>
      <c r="S73" s="1263">
        <f t="shared" si="29"/>
        <v>0</v>
      </c>
      <c r="T73" s="1260">
        <f t="shared" si="29"/>
        <v>0</v>
      </c>
      <c r="U73" s="1264">
        <f t="shared" si="29"/>
        <v>0</v>
      </c>
      <c r="V73" s="1262">
        <f t="shared" si="29"/>
        <v>0</v>
      </c>
      <c r="W73" s="1263">
        <f t="shared" si="29"/>
        <v>0</v>
      </c>
      <c r="X73" s="1260">
        <f t="shared" si="29"/>
        <v>0</v>
      </c>
      <c r="Y73" s="1264">
        <f t="shared" si="29"/>
        <v>0</v>
      </c>
      <c r="Z73" s="1262">
        <f t="shared" si="29"/>
        <v>0</v>
      </c>
      <c r="AA73" s="1263">
        <f t="shared" si="29"/>
        <v>0</v>
      </c>
      <c r="AB73" s="1260">
        <f t="shared" si="29"/>
        <v>0</v>
      </c>
      <c r="AC73" s="1264">
        <f t="shared" si="29"/>
        <v>0</v>
      </c>
      <c r="AD73" s="1262">
        <f t="shared" si="29"/>
        <v>0</v>
      </c>
      <c r="AE73" s="2472">
        <f t="shared" si="29"/>
        <v>0</v>
      </c>
      <c r="AF73" s="2472">
        <f t="shared" si="29"/>
        <v>0</v>
      </c>
      <c r="AG73" s="2472">
        <f t="shared" si="29"/>
        <v>0</v>
      </c>
      <c r="AH73" s="2472">
        <f t="shared" si="29"/>
        <v>0</v>
      </c>
      <c r="AI73" s="1263">
        <f t="shared" si="29"/>
        <v>0</v>
      </c>
      <c r="AJ73" s="1265">
        <f t="shared" si="29"/>
        <v>0</v>
      </c>
      <c r="AK73" s="2471">
        <f t="shared" si="29"/>
        <v>0</v>
      </c>
      <c r="AL73" s="1261">
        <f t="shared" si="29"/>
        <v>0</v>
      </c>
      <c r="AM73" s="1234">
        <f>SUM(AM71:AM72)</f>
        <v>0</v>
      </c>
    </row>
    <row r="74" spans="1:91" s="1116" customFormat="1" ht="18" customHeight="1" x14ac:dyDescent="0.25">
      <c r="A74" s="20"/>
      <c r="B74" s="14" t="s">
        <v>1040</v>
      </c>
    </row>
    <row r="75" spans="1:91" s="170" customFormat="1" ht="15" customHeight="1" x14ac:dyDescent="0.25">
      <c r="A75" s="6283"/>
      <c r="B75" s="7755" t="s">
        <v>1000</v>
      </c>
      <c r="C75" s="7754" t="s">
        <v>24</v>
      </c>
      <c r="D75" s="6983"/>
      <c r="E75" s="7755"/>
      <c r="F75" s="7809" t="s">
        <v>30</v>
      </c>
      <c r="G75" s="7810"/>
      <c r="H75" s="7810"/>
      <c r="I75" s="7810"/>
      <c r="J75" s="7810"/>
      <c r="K75" s="7810"/>
      <c r="L75" s="7810"/>
      <c r="M75" s="7810"/>
      <c r="N75" s="7810"/>
      <c r="O75" s="7810"/>
      <c r="P75" s="7810"/>
      <c r="Q75" s="7810"/>
      <c r="R75" s="7810"/>
      <c r="S75" s="7810"/>
      <c r="T75" s="7810"/>
      <c r="U75" s="7810"/>
      <c r="V75" s="7810"/>
      <c r="W75" s="7810"/>
      <c r="X75" s="7810"/>
      <c r="Y75" s="7810"/>
      <c r="Z75" s="7810"/>
      <c r="AA75" s="7810"/>
      <c r="AB75" s="7810"/>
      <c r="AC75" s="7810"/>
      <c r="AD75" s="7810"/>
      <c r="AE75" s="7810"/>
      <c r="AF75" s="7810"/>
      <c r="AG75" s="7810"/>
      <c r="AH75" s="7810"/>
      <c r="AI75" s="7810"/>
      <c r="AJ75" s="7810"/>
      <c r="AK75" s="7811"/>
    </row>
    <row r="76" spans="1:91" s="170" customFormat="1" ht="15" customHeight="1" x14ac:dyDescent="0.25">
      <c r="A76" s="6283"/>
      <c r="B76" s="6762"/>
      <c r="C76" s="7808"/>
      <c r="D76" s="7801"/>
      <c r="E76" s="7795"/>
      <c r="F76" s="7770" t="s">
        <v>682</v>
      </c>
      <c r="G76" s="7755"/>
      <c r="H76" s="7771" t="s">
        <v>1002</v>
      </c>
      <c r="I76" s="7771"/>
      <c r="J76" s="7756" t="s">
        <v>1003</v>
      </c>
      <c r="K76" s="7757"/>
      <c r="L76" s="7771" t="s">
        <v>38</v>
      </c>
      <c r="M76" s="7771"/>
      <c r="N76" s="7756" t="s">
        <v>4</v>
      </c>
      <c r="O76" s="7757"/>
      <c r="P76" s="6983" t="s">
        <v>5</v>
      </c>
      <c r="Q76" s="6983"/>
      <c r="R76" s="7754" t="s">
        <v>1004</v>
      </c>
      <c r="S76" s="7755"/>
      <c r="T76" s="7754" t="s">
        <v>9</v>
      </c>
      <c r="U76" s="7755"/>
      <c r="V76" s="6983" t="s">
        <v>10</v>
      </c>
      <c r="W76" s="6983"/>
      <c r="X76" s="7754" t="s">
        <v>11</v>
      </c>
      <c r="Y76" s="7755"/>
      <c r="Z76" s="6983" t="s">
        <v>18</v>
      </c>
      <c r="AA76" s="6983"/>
      <c r="AB76" s="7754" t="s">
        <v>19</v>
      </c>
      <c r="AC76" s="7755"/>
      <c r="AD76" s="6983" t="s">
        <v>20</v>
      </c>
      <c r="AE76" s="6983"/>
      <c r="AF76" s="7754" t="s">
        <v>70</v>
      </c>
      <c r="AG76" s="7755"/>
      <c r="AH76" s="6983" t="s">
        <v>71</v>
      </c>
      <c r="AI76" s="6983"/>
      <c r="AJ76" s="7756" t="s">
        <v>32</v>
      </c>
      <c r="AK76" s="7757"/>
    </row>
    <row r="77" spans="1:91" s="170" customFormat="1" ht="15" customHeight="1" x14ac:dyDescent="0.25">
      <c r="A77" s="6283"/>
      <c r="B77" s="7795"/>
      <c r="C77" s="1231" t="s">
        <v>26</v>
      </c>
      <c r="D77" s="1232" t="s">
        <v>22</v>
      </c>
      <c r="E77" s="2457" t="s">
        <v>27</v>
      </c>
      <c r="F77" s="1165" t="s">
        <v>22</v>
      </c>
      <c r="G77" s="1167" t="s">
        <v>27</v>
      </c>
      <c r="H77" s="1232" t="s">
        <v>22</v>
      </c>
      <c r="I77" s="1233" t="s">
        <v>27</v>
      </c>
      <c r="J77" s="1165" t="s">
        <v>22</v>
      </c>
      <c r="K77" s="1167" t="s">
        <v>27</v>
      </c>
      <c r="L77" s="1232" t="s">
        <v>22</v>
      </c>
      <c r="M77" s="1233" t="s">
        <v>27</v>
      </c>
      <c r="N77" s="1165" t="s">
        <v>22</v>
      </c>
      <c r="O77" s="1167" t="s">
        <v>27</v>
      </c>
      <c r="P77" s="1232" t="s">
        <v>22</v>
      </c>
      <c r="Q77" s="1233" t="s">
        <v>27</v>
      </c>
      <c r="R77" s="1165" t="s">
        <v>22</v>
      </c>
      <c r="S77" s="1167" t="s">
        <v>27</v>
      </c>
      <c r="T77" s="1165" t="s">
        <v>22</v>
      </c>
      <c r="U77" s="1167" t="s">
        <v>27</v>
      </c>
      <c r="V77" s="1232" t="s">
        <v>22</v>
      </c>
      <c r="W77" s="1233" t="s">
        <v>27</v>
      </c>
      <c r="X77" s="1165" t="s">
        <v>22</v>
      </c>
      <c r="Y77" s="1167" t="s">
        <v>27</v>
      </c>
      <c r="Z77" s="1232" t="s">
        <v>22</v>
      </c>
      <c r="AA77" s="1233" t="s">
        <v>27</v>
      </c>
      <c r="AB77" s="1165" t="s">
        <v>22</v>
      </c>
      <c r="AC77" s="1167" t="s">
        <v>27</v>
      </c>
      <c r="AD77" s="1232" t="s">
        <v>22</v>
      </c>
      <c r="AE77" s="1233" t="s">
        <v>27</v>
      </c>
      <c r="AF77" s="1165" t="s">
        <v>22</v>
      </c>
      <c r="AG77" s="1167" t="s">
        <v>27</v>
      </c>
      <c r="AH77" s="1232" t="s">
        <v>22</v>
      </c>
      <c r="AI77" s="1233" t="s">
        <v>27</v>
      </c>
      <c r="AJ77" s="1165" t="s">
        <v>22</v>
      </c>
      <c r="AK77" s="1167" t="s">
        <v>27</v>
      </c>
    </row>
    <row r="78" spans="1:91" s="170" customFormat="1" ht="15" customHeight="1" x14ac:dyDescent="0.2">
      <c r="A78" s="6240">
        <v>23043100</v>
      </c>
      <c r="B78" s="1280" t="s">
        <v>1041</v>
      </c>
      <c r="C78" s="648" t="s">
        <v>5292</v>
      </c>
      <c r="D78" s="1222" t="s">
        <v>5293</v>
      </c>
      <c r="E78" s="31" t="s">
        <v>5294</v>
      </c>
      <c r="F78" s="1245" t="s">
        <v>5295</v>
      </c>
      <c r="G78" s="1246" t="s">
        <v>5296</v>
      </c>
      <c r="H78" s="1247" t="s">
        <v>5297</v>
      </c>
      <c r="I78" s="1248" t="s">
        <v>5298</v>
      </c>
      <c r="J78" s="1193" t="s">
        <v>5299</v>
      </c>
      <c r="K78" s="1281" t="s">
        <v>5300</v>
      </c>
      <c r="L78" s="1282" t="s">
        <v>5301</v>
      </c>
      <c r="M78" s="1283" t="s">
        <v>5302</v>
      </c>
      <c r="N78" s="1193" t="s">
        <v>5303</v>
      </c>
      <c r="O78" s="1281" t="s">
        <v>5304</v>
      </c>
      <c r="P78" s="1282" t="s">
        <v>5305</v>
      </c>
      <c r="Q78" s="1283" t="s">
        <v>5306</v>
      </c>
      <c r="R78" s="1193" t="s">
        <v>5307</v>
      </c>
      <c r="S78" s="1281" t="s">
        <v>5308</v>
      </c>
      <c r="T78" s="1193" t="s">
        <v>5309</v>
      </c>
      <c r="U78" s="1281" t="s">
        <v>5310</v>
      </c>
      <c r="V78" s="1282" t="s">
        <v>5311</v>
      </c>
      <c r="W78" s="1283" t="s">
        <v>5312</v>
      </c>
      <c r="X78" s="1193" t="s">
        <v>5313</v>
      </c>
      <c r="Y78" s="1281" t="s">
        <v>5314</v>
      </c>
      <c r="Z78" s="1282" t="s">
        <v>5315</v>
      </c>
      <c r="AA78" s="1283" t="s">
        <v>5316</v>
      </c>
      <c r="AB78" s="1193" t="s">
        <v>5317</v>
      </c>
      <c r="AC78" s="1281" t="s">
        <v>5318</v>
      </c>
      <c r="AD78" s="1282" t="s">
        <v>5319</v>
      </c>
      <c r="AE78" s="1283" t="s">
        <v>5320</v>
      </c>
      <c r="AF78" s="1193" t="s">
        <v>5321</v>
      </c>
      <c r="AG78" s="1281" t="s">
        <v>5322</v>
      </c>
      <c r="AH78" s="1282" t="s">
        <v>5323</v>
      </c>
      <c r="AI78" s="1283" t="s">
        <v>5324</v>
      </c>
      <c r="AJ78" s="1284" t="s">
        <v>5325</v>
      </c>
      <c r="AK78" s="1281" t="s">
        <v>5326</v>
      </c>
    </row>
    <row r="79" spans="1:91" s="170" customFormat="1" ht="15" customHeight="1" x14ac:dyDescent="0.2">
      <c r="A79" s="6234">
        <v>23043200</v>
      </c>
      <c r="B79" s="1091" t="s">
        <v>1027</v>
      </c>
      <c r="C79" s="1224" t="s">
        <v>5292</v>
      </c>
      <c r="D79" s="1225" t="s">
        <v>5293</v>
      </c>
      <c r="E79" s="31" t="s">
        <v>5294</v>
      </c>
      <c r="F79" s="1095" t="s">
        <v>5295</v>
      </c>
      <c r="G79" s="8" t="s">
        <v>5296</v>
      </c>
      <c r="H79" s="1097" t="s">
        <v>5297</v>
      </c>
      <c r="I79" s="1254" t="s">
        <v>5298</v>
      </c>
      <c r="J79" s="1095" t="s">
        <v>5299</v>
      </c>
      <c r="K79" s="1099" t="s">
        <v>5300</v>
      </c>
      <c r="L79" s="1097" t="s">
        <v>5301</v>
      </c>
      <c r="M79" s="1254" t="s">
        <v>5302</v>
      </c>
      <c r="N79" s="1095" t="s">
        <v>5303</v>
      </c>
      <c r="O79" s="1099" t="s">
        <v>5304</v>
      </c>
      <c r="P79" s="1097" t="s">
        <v>5305</v>
      </c>
      <c r="Q79" s="1254" t="s">
        <v>5306</v>
      </c>
      <c r="R79" s="1095" t="s">
        <v>5307</v>
      </c>
      <c r="S79" s="1099" t="s">
        <v>5308</v>
      </c>
      <c r="T79" s="1095" t="s">
        <v>5309</v>
      </c>
      <c r="U79" s="1099" t="s">
        <v>5310</v>
      </c>
      <c r="V79" s="1097" t="s">
        <v>5311</v>
      </c>
      <c r="W79" s="1254" t="s">
        <v>5312</v>
      </c>
      <c r="X79" s="1095" t="s">
        <v>5313</v>
      </c>
      <c r="Y79" s="1099" t="s">
        <v>5314</v>
      </c>
      <c r="Z79" s="1097" t="s">
        <v>5315</v>
      </c>
      <c r="AA79" s="1254" t="s">
        <v>5316</v>
      </c>
      <c r="AB79" s="1095" t="s">
        <v>5317</v>
      </c>
      <c r="AC79" s="1099" t="s">
        <v>5318</v>
      </c>
      <c r="AD79" s="1097" t="s">
        <v>5319</v>
      </c>
      <c r="AE79" s="1254" t="s">
        <v>5320</v>
      </c>
      <c r="AF79" s="1095" t="s">
        <v>5321</v>
      </c>
      <c r="AG79" s="1099" t="s">
        <v>5322</v>
      </c>
      <c r="AH79" s="1097" t="s">
        <v>5323</v>
      </c>
      <c r="AI79" s="1254" t="s">
        <v>5324</v>
      </c>
      <c r="AJ79" s="1255" t="s">
        <v>5325</v>
      </c>
      <c r="AK79" s="1099" t="s">
        <v>5326</v>
      </c>
    </row>
    <row r="80" spans="1:91" s="170" customFormat="1" ht="15" customHeight="1" x14ac:dyDescent="0.2">
      <c r="A80" s="6234">
        <v>23043300</v>
      </c>
      <c r="B80" s="1091" t="s">
        <v>1028</v>
      </c>
      <c r="C80" s="1224" t="s">
        <v>5292</v>
      </c>
      <c r="D80" s="1225" t="s">
        <v>5293</v>
      </c>
      <c r="E80" s="31" t="s">
        <v>5294</v>
      </c>
      <c r="F80" s="1095" t="s">
        <v>5295</v>
      </c>
      <c r="G80" s="8" t="s">
        <v>5296</v>
      </c>
      <c r="H80" s="1097" t="s">
        <v>5297</v>
      </c>
      <c r="I80" s="1254" t="s">
        <v>5298</v>
      </c>
      <c r="J80" s="1095" t="s">
        <v>5299</v>
      </c>
      <c r="K80" s="1099" t="s">
        <v>5300</v>
      </c>
      <c r="L80" s="1097" t="s">
        <v>5301</v>
      </c>
      <c r="M80" s="1254" t="s">
        <v>5302</v>
      </c>
      <c r="N80" s="1095" t="s">
        <v>5303</v>
      </c>
      <c r="O80" s="1099" t="s">
        <v>5304</v>
      </c>
      <c r="P80" s="1097" t="s">
        <v>5305</v>
      </c>
      <c r="Q80" s="1254" t="s">
        <v>5306</v>
      </c>
      <c r="R80" s="1095" t="s">
        <v>5307</v>
      </c>
      <c r="S80" s="1099" t="s">
        <v>5308</v>
      </c>
      <c r="T80" s="1095" t="s">
        <v>5309</v>
      </c>
      <c r="U80" s="1099" t="s">
        <v>5310</v>
      </c>
      <c r="V80" s="1097" t="s">
        <v>5311</v>
      </c>
      <c r="W80" s="1254" t="s">
        <v>5312</v>
      </c>
      <c r="X80" s="1095" t="s">
        <v>5313</v>
      </c>
      <c r="Y80" s="1099" t="s">
        <v>5314</v>
      </c>
      <c r="Z80" s="1097" t="s">
        <v>5315</v>
      </c>
      <c r="AA80" s="1254" t="s">
        <v>5316</v>
      </c>
      <c r="AB80" s="1095" t="s">
        <v>5317</v>
      </c>
      <c r="AC80" s="1099" t="s">
        <v>5318</v>
      </c>
      <c r="AD80" s="1097" t="s">
        <v>5319</v>
      </c>
      <c r="AE80" s="1254" t="s">
        <v>5320</v>
      </c>
      <c r="AF80" s="1095" t="s">
        <v>5321</v>
      </c>
      <c r="AG80" s="1099" t="s">
        <v>5322</v>
      </c>
      <c r="AH80" s="1097" t="s">
        <v>5323</v>
      </c>
      <c r="AI80" s="1254" t="s">
        <v>5324</v>
      </c>
      <c r="AJ80" s="1255" t="s">
        <v>5325</v>
      </c>
      <c r="AK80" s="1099" t="s">
        <v>5326</v>
      </c>
    </row>
    <row r="81" spans="1:37" s="170" customFormat="1" ht="15" customHeight="1" x14ac:dyDescent="0.2">
      <c r="A81" s="6234">
        <v>23043400</v>
      </c>
      <c r="B81" s="1091" t="s">
        <v>1042</v>
      </c>
      <c r="C81" s="1224" t="s">
        <v>5292</v>
      </c>
      <c r="D81" s="1225" t="s">
        <v>5293</v>
      </c>
      <c r="E81" s="31" t="s">
        <v>5294</v>
      </c>
      <c r="F81" s="1196" t="s">
        <v>5295</v>
      </c>
      <c r="G81" s="1197" t="s">
        <v>5296</v>
      </c>
      <c r="H81" s="1097" t="s">
        <v>5297</v>
      </c>
      <c r="I81" s="1254" t="s">
        <v>5298</v>
      </c>
      <c r="J81" s="1095" t="s">
        <v>5299</v>
      </c>
      <c r="K81" s="1099" t="s">
        <v>5300</v>
      </c>
      <c r="L81" s="1097" t="s">
        <v>5301</v>
      </c>
      <c r="M81" s="1254" t="s">
        <v>5302</v>
      </c>
      <c r="N81" s="1095" t="s">
        <v>5303</v>
      </c>
      <c r="O81" s="1099" t="s">
        <v>5304</v>
      </c>
      <c r="P81" s="1097" t="s">
        <v>5305</v>
      </c>
      <c r="Q81" s="1254" t="s">
        <v>5306</v>
      </c>
      <c r="R81" s="1095" t="s">
        <v>5307</v>
      </c>
      <c r="S81" s="1099" t="s">
        <v>5308</v>
      </c>
      <c r="T81" s="1095" t="s">
        <v>5309</v>
      </c>
      <c r="U81" s="1099" t="s">
        <v>5310</v>
      </c>
      <c r="V81" s="1097" t="s">
        <v>5311</v>
      </c>
      <c r="W81" s="1254" t="s">
        <v>5312</v>
      </c>
      <c r="X81" s="1095" t="s">
        <v>5313</v>
      </c>
      <c r="Y81" s="1099" t="s">
        <v>5314</v>
      </c>
      <c r="Z81" s="1097" t="s">
        <v>5315</v>
      </c>
      <c r="AA81" s="1254" t="s">
        <v>5316</v>
      </c>
      <c r="AB81" s="1095" t="s">
        <v>5317</v>
      </c>
      <c r="AC81" s="1099" t="s">
        <v>5318</v>
      </c>
      <c r="AD81" s="1097" t="s">
        <v>5319</v>
      </c>
      <c r="AE81" s="1254" t="s">
        <v>5320</v>
      </c>
      <c r="AF81" s="1095" t="s">
        <v>5321</v>
      </c>
      <c r="AG81" s="1099" t="s">
        <v>5322</v>
      </c>
      <c r="AH81" s="1097" t="s">
        <v>5323</v>
      </c>
      <c r="AI81" s="1254" t="s">
        <v>5324</v>
      </c>
      <c r="AJ81" s="1255" t="s">
        <v>5325</v>
      </c>
      <c r="AK81" s="1099" t="s">
        <v>5326</v>
      </c>
    </row>
    <row r="82" spans="1:37" s="170" customFormat="1" ht="15" customHeight="1" x14ac:dyDescent="0.2">
      <c r="A82" s="6234">
        <v>23043500</v>
      </c>
      <c r="B82" s="1091" t="s">
        <v>1043</v>
      </c>
      <c r="C82" s="1224" t="s">
        <v>5292</v>
      </c>
      <c r="D82" s="1225" t="s">
        <v>5293</v>
      </c>
      <c r="E82" s="31" t="s">
        <v>5294</v>
      </c>
      <c r="F82" s="1196" t="s">
        <v>5295</v>
      </c>
      <c r="G82" s="1197" t="s">
        <v>5296</v>
      </c>
      <c r="H82" s="1285" t="s">
        <v>5297</v>
      </c>
      <c r="I82" s="1286" t="s">
        <v>5298</v>
      </c>
      <c r="J82" s="1196" t="s">
        <v>5299</v>
      </c>
      <c r="K82" s="1287" t="s">
        <v>5300</v>
      </c>
      <c r="L82" s="1285" t="s">
        <v>5301</v>
      </c>
      <c r="M82" s="1286" t="s">
        <v>5302</v>
      </c>
      <c r="N82" s="1196" t="s">
        <v>5303</v>
      </c>
      <c r="O82" s="1287" t="s">
        <v>5304</v>
      </c>
      <c r="P82" s="1285" t="s">
        <v>5305</v>
      </c>
      <c r="Q82" s="1286" t="s">
        <v>5306</v>
      </c>
      <c r="R82" s="1196" t="s">
        <v>5307</v>
      </c>
      <c r="S82" s="1287" t="s">
        <v>5308</v>
      </c>
      <c r="T82" s="1095" t="s">
        <v>5309</v>
      </c>
      <c r="U82" s="1099" t="s">
        <v>5310</v>
      </c>
      <c r="V82" s="1097" t="s">
        <v>5311</v>
      </c>
      <c r="W82" s="1254" t="s">
        <v>5312</v>
      </c>
      <c r="X82" s="1095" t="s">
        <v>5313</v>
      </c>
      <c r="Y82" s="1099" t="s">
        <v>5314</v>
      </c>
      <c r="Z82" s="1097" t="s">
        <v>5315</v>
      </c>
      <c r="AA82" s="1254" t="s">
        <v>5316</v>
      </c>
      <c r="AB82" s="1095" t="s">
        <v>5317</v>
      </c>
      <c r="AC82" s="1099" t="s">
        <v>5318</v>
      </c>
      <c r="AD82" s="1097" t="s">
        <v>5319</v>
      </c>
      <c r="AE82" s="1254" t="s">
        <v>5320</v>
      </c>
      <c r="AF82" s="1095" t="s">
        <v>5321</v>
      </c>
      <c r="AG82" s="1099" t="s">
        <v>5322</v>
      </c>
      <c r="AH82" s="1097" t="s">
        <v>5323</v>
      </c>
      <c r="AI82" s="1254" t="s">
        <v>5324</v>
      </c>
      <c r="AJ82" s="1255" t="s">
        <v>5325</v>
      </c>
      <c r="AK82" s="1099" t="s">
        <v>5326</v>
      </c>
    </row>
    <row r="83" spans="1:37" s="170" customFormat="1" ht="15" customHeight="1" x14ac:dyDescent="0.2">
      <c r="A83" s="6234">
        <v>23043600</v>
      </c>
      <c r="B83" s="1288" t="s">
        <v>1031</v>
      </c>
      <c r="C83" s="1289" t="s">
        <v>5292</v>
      </c>
      <c r="D83" s="1290" t="s">
        <v>5293</v>
      </c>
      <c r="E83" s="31" t="s">
        <v>5294</v>
      </c>
      <c r="F83" s="3" t="s">
        <v>5295</v>
      </c>
      <c r="G83" s="12" t="s">
        <v>5296</v>
      </c>
      <c r="H83" s="21" t="s">
        <v>5297</v>
      </c>
      <c r="I83" s="1291" t="s">
        <v>5298</v>
      </c>
      <c r="J83" s="3" t="s">
        <v>5299</v>
      </c>
      <c r="K83" s="6" t="s">
        <v>5300</v>
      </c>
      <c r="L83" s="21" t="s">
        <v>5301</v>
      </c>
      <c r="M83" s="1291" t="s">
        <v>5302</v>
      </c>
      <c r="N83" s="3" t="s">
        <v>5303</v>
      </c>
      <c r="O83" s="6" t="s">
        <v>5304</v>
      </c>
      <c r="P83" s="21" t="s">
        <v>5305</v>
      </c>
      <c r="Q83" s="1291" t="s">
        <v>5306</v>
      </c>
      <c r="R83" s="3" t="s">
        <v>5307</v>
      </c>
      <c r="S83" s="6" t="s">
        <v>5308</v>
      </c>
      <c r="T83" s="3" t="s">
        <v>5309</v>
      </c>
      <c r="U83" s="6" t="s">
        <v>5310</v>
      </c>
      <c r="V83" s="21" t="s">
        <v>5311</v>
      </c>
      <c r="W83" s="1291" t="s">
        <v>5312</v>
      </c>
      <c r="X83" s="3" t="s">
        <v>5313</v>
      </c>
      <c r="Y83" s="6" t="s">
        <v>5314</v>
      </c>
      <c r="Z83" s="21" t="s">
        <v>5315</v>
      </c>
      <c r="AA83" s="1291" t="s">
        <v>5316</v>
      </c>
      <c r="AB83" s="3" t="s">
        <v>5317</v>
      </c>
      <c r="AC83" s="6" t="s">
        <v>5318</v>
      </c>
      <c r="AD83" s="21" t="s">
        <v>5319</v>
      </c>
      <c r="AE83" s="1291" t="s">
        <v>5320</v>
      </c>
      <c r="AF83" s="3" t="s">
        <v>5321</v>
      </c>
      <c r="AG83" s="6" t="s">
        <v>5322</v>
      </c>
      <c r="AH83" s="21" t="s">
        <v>5323</v>
      </c>
      <c r="AI83" s="1291" t="s">
        <v>5324</v>
      </c>
      <c r="AJ83" s="22" t="s">
        <v>5325</v>
      </c>
      <c r="AK83" s="6" t="s">
        <v>5326</v>
      </c>
    </row>
    <row r="84" spans="1:37" s="170" customFormat="1" ht="15" customHeight="1" x14ac:dyDescent="0.25">
      <c r="A84" s="6278"/>
      <c r="B84" s="1279" t="s">
        <v>24</v>
      </c>
      <c r="C84" s="1218">
        <f t="shared" ref="C84:AK84" si="30">SUM(C78:C83)</f>
        <v>0</v>
      </c>
      <c r="D84" s="1162">
        <f t="shared" si="30"/>
        <v>0</v>
      </c>
      <c r="E84" s="1160">
        <f t="shared" si="30"/>
        <v>0</v>
      </c>
      <c r="F84" s="1260">
        <f>SUM(F78:F83)</f>
        <v>0</v>
      </c>
      <c r="G84" s="1261">
        <f t="shared" si="30"/>
        <v>0</v>
      </c>
      <c r="H84" s="1262">
        <f t="shared" si="30"/>
        <v>0</v>
      </c>
      <c r="I84" s="1263">
        <f t="shared" si="30"/>
        <v>0</v>
      </c>
      <c r="J84" s="1260">
        <f t="shared" si="30"/>
        <v>0</v>
      </c>
      <c r="K84" s="1264">
        <f t="shared" si="30"/>
        <v>0</v>
      </c>
      <c r="L84" s="1262">
        <f t="shared" si="30"/>
        <v>0</v>
      </c>
      <c r="M84" s="1263">
        <f t="shared" si="30"/>
        <v>0</v>
      </c>
      <c r="N84" s="1260">
        <f t="shared" si="30"/>
        <v>0</v>
      </c>
      <c r="O84" s="1264">
        <f t="shared" si="30"/>
        <v>0</v>
      </c>
      <c r="P84" s="1262">
        <f t="shared" si="30"/>
        <v>0</v>
      </c>
      <c r="Q84" s="1263">
        <f t="shared" si="30"/>
        <v>0</v>
      </c>
      <c r="R84" s="1260">
        <f t="shared" si="30"/>
        <v>0</v>
      </c>
      <c r="S84" s="1264">
        <f t="shared" si="30"/>
        <v>0</v>
      </c>
      <c r="T84" s="1260">
        <f t="shared" si="30"/>
        <v>0</v>
      </c>
      <c r="U84" s="1264">
        <f t="shared" si="30"/>
        <v>0</v>
      </c>
      <c r="V84" s="1262">
        <f t="shared" si="30"/>
        <v>0</v>
      </c>
      <c r="W84" s="1263">
        <f t="shared" si="30"/>
        <v>0</v>
      </c>
      <c r="X84" s="1260">
        <f t="shared" si="30"/>
        <v>0</v>
      </c>
      <c r="Y84" s="1264">
        <f t="shared" si="30"/>
        <v>0</v>
      </c>
      <c r="Z84" s="1262">
        <f t="shared" si="30"/>
        <v>0</v>
      </c>
      <c r="AA84" s="1263">
        <f t="shared" si="30"/>
        <v>0</v>
      </c>
      <c r="AB84" s="1260">
        <f t="shared" si="30"/>
        <v>0</v>
      </c>
      <c r="AC84" s="1264">
        <f t="shared" si="30"/>
        <v>0</v>
      </c>
      <c r="AD84" s="1262">
        <f t="shared" si="30"/>
        <v>0</v>
      </c>
      <c r="AE84" s="1263">
        <f t="shared" si="30"/>
        <v>0</v>
      </c>
      <c r="AF84" s="1260">
        <f t="shared" si="30"/>
        <v>0</v>
      </c>
      <c r="AG84" s="1264">
        <f t="shared" si="30"/>
        <v>0</v>
      </c>
      <c r="AH84" s="1262">
        <f t="shared" si="30"/>
        <v>0</v>
      </c>
      <c r="AI84" s="1263">
        <f t="shared" si="30"/>
        <v>0</v>
      </c>
      <c r="AJ84" s="1265">
        <f t="shared" si="30"/>
        <v>0</v>
      </c>
      <c r="AK84" s="1264">
        <f t="shared" si="30"/>
        <v>0</v>
      </c>
    </row>
    <row r="85" spans="1:37" s="1116" customFormat="1" ht="18" customHeight="1" x14ac:dyDescent="0.2">
      <c r="B85" s="7" t="s">
        <v>1044</v>
      </c>
    </row>
    <row r="86" spans="1:37" s="170" customFormat="1" ht="20.399999999999999" x14ac:dyDescent="0.2">
      <c r="B86" s="7807" t="s">
        <v>61</v>
      </c>
      <c r="C86" s="7807"/>
      <c r="D86" s="1231" t="s">
        <v>24</v>
      </c>
      <c r="E86" s="4781" t="s">
        <v>130</v>
      </c>
      <c r="F86" s="4782" t="s">
        <v>1045</v>
      </c>
    </row>
    <row r="87" spans="1:37" s="170" customFormat="1" ht="15" customHeight="1" x14ac:dyDescent="0.2">
      <c r="A87" s="6234">
        <v>23043700</v>
      </c>
      <c r="B87" s="7812" t="s">
        <v>74</v>
      </c>
      <c r="C87" s="7813"/>
      <c r="D87" s="1131" t="s">
        <v>5292</v>
      </c>
      <c r="E87" s="657" t="s">
        <v>5293</v>
      </c>
      <c r="F87" s="4780" t="s">
        <v>5294</v>
      </c>
    </row>
    <row r="88" spans="1:37" s="170" customFormat="1" ht="15" customHeight="1" x14ac:dyDescent="0.2">
      <c r="A88" s="6234">
        <v>23043800</v>
      </c>
      <c r="B88" s="7814" t="s">
        <v>277</v>
      </c>
      <c r="C88" s="6946"/>
      <c r="D88" s="1131" t="s">
        <v>5292</v>
      </c>
      <c r="E88" s="1134" t="s">
        <v>5293</v>
      </c>
      <c r="F88" s="1135" t="s">
        <v>5294</v>
      </c>
    </row>
    <row r="89" spans="1:37" s="170" customFormat="1" ht="15" customHeight="1" x14ac:dyDescent="0.2">
      <c r="A89" s="6234">
        <v>23043900</v>
      </c>
      <c r="B89" s="7815" t="s">
        <v>76</v>
      </c>
      <c r="C89" s="7816"/>
      <c r="D89" s="1131" t="s">
        <v>5292</v>
      </c>
      <c r="E89" s="1134" t="s">
        <v>5293</v>
      </c>
      <c r="F89" s="1135" t="s">
        <v>5294</v>
      </c>
    </row>
    <row r="90" spans="1:37" s="170" customFormat="1" ht="15" customHeight="1" x14ac:dyDescent="0.25">
      <c r="A90" s="6278"/>
      <c r="B90" s="7809" t="s">
        <v>24</v>
      </c>
      <c r="C90" s="7811"/>
      <c r="D90" s="1292">
        <f>SUM(D87:D89)</f>
        <v>0</v>
      </c>
      <c r="E90" s="1159">
        <f>SUM(E87:E89)</f>
        <v>0</v>
      </c>
      <c r="F90" s="1161">
        <f>SUM(F87:F89)</f>
        <v>0</v>
      </c>
    </row>
    <row r="91" spans="1:37" s="1116" customFormat="1" ht="18" customHeight="1" x14ac:dyDescent="0.2">
      <c r="B91" s="1293" t="s">
        <v>1046</v>
      </c>
    </row>
    <row r="92" spans="1:37" s="170" customFormat="1" ht="15" customHeight="1" x14ac:dyDescent="0.2">
      <c r="A92" s="6282"/>
      <c r="B92" s="7755" t="s">
        <v>1047</v>
      </c>
      <c r="C92" s="7779" t="s">
        <v>24</v>
      </c>
      <c r="D92" s="7764"/>
      <c r="E92" s="7765"/>
      <c r="F92" s="7789" t="s">
        <v>30</v>
      </c>
      <c r="G92" s="7768"/>
      <c r="H92" s="7768"/>
      <c r="I92" s="7768"/>
      <c r="J92" s="7768"/>
      <c r="K92" s="7768"/>
      <c r="L92" s="7768"/>
      <c r="M92" s="7768"/>
      <c r="N92" s="7768"/>
      <c r="O92" s="7768"/>
      <c r="P92" s="7768"/>
      <c r="Q92" s="7768"/>
      <c r="R92" s="7768"/>
      <c r="S92" s="7768"/>
      <c r="T92" s="7768"/>
      <c r="U92" s="7768"/>
      <c r="V92" s="7768"/>
      <c r="W92" s="7768"/>
      <c r="X92" s="7768"/>
      <c r="Y92" s="7768"/>
      <c r="Z92" s="7768"/>
      <c r="AA92" s="7768"/>
      <c r="AB92" s="7768"/>
      <c r="AC92" s="7768"/>
      <c r="AD92" s="7768"/>
      <c r="AE92" s="7768"/>
      <c r="AF92" s="7768"/>
      <c r="AG92" s="7768"/>
      <c r="AH92" s="7768"/>
      <c r="AI92" s="7768"/>
      <c r="AJ92" s="7768"/>
      <c r="AK92" s="7769"/>
    </row>
    <row r="93" spans="1:37" s="170" customFormat="1" ht="15" customHeight="1" x14ac:dyDescent="0.2">
      <c r="A93" s="6282"/>
      <c r="B93" s="6762"/>
      <c r="C93" s="7780"/>
      <c r="D93" s="7766"/>
      <c r="E93" s="7767"/>
      <c r="F93" s="7770" t="s">
        <v>682</v>
      </c>
      <c r="G93" s="7755"/>
      <c r="H93" s="7756" t="s">
        <v>1002</v>
      </c>
      <c r="I93" s="7757"/>
      <c r="J93" s="7756" t="s">
        <v>1003</v>
      </c>
      <c r="K93" s="7757"/>
      <c r="L93" s="7771" t="s">
        <v>38</v>
      </c>
      <c r="M93" s="7771"/>
      <c r="N93" s="7756" t="s">
        <v>4</v>
      </c>
      <c r="O93" s="7757"/>
      <c r="P93" s="7771" t="s">
        <v>5</v>
      </c>
      <c r="Q93" s="7771"/>
      <c r="R93" s="7756" t="s">
        <v>1004</v>
      </c>
      <c r="S93" s="7757"/>
      <c r="T93" s="7771" t="s">
        <v>9</v>
      </c>
      <c r="U93" s="7771"/>
      <c r="V93" s="7756" t="s">
        <v>10</v>
      </c>
      <c r="W93" s="7757"/>
      <c r="X93" s="7771" t="s">
        <v>11</v>
      </c>
      <c r="Y93" s="7771"/>
      <c r="Z93" s="7756" t="s">
        <v>18</v>
      </c>
      <c r="AA93" s="7757"/>
      <c r="AB93" s="7771" t="s">
        <v>19</v>
      </c>
      <c r="AC93" s="7771"/>
      <c r="AD93" s="7756" t="s">
        <v>20</v>
      </c>
      <c r="AE93" s="7757"/>
      <c r="AF93" s="7771" t="s">
        <v>70</v>
      </c>
      <c r="AG93" s="7771"/>
      <c r="AH93" s="7756" t="s">
        <v>71</v>
      </c>
      <c r="AI93" s="7757"/>
      <c r="AJ93" s="7756" t="s">
        <v>32</v>
      </c>
      <c r="AK93" s="7757"/>
    </row>
    <row r="94" spans="1:37" s="170" customFormat="1" ht="15" customHeight="1" x14ac:dyDescent="0.2">
      <c r="A94" s="6282"/>
      <c r="B94" s="7795"/>
      <c r="C94" s="1231" t="s">
        <v>26</v>
      </c>
      <c r="D94" s="1232" t="s">
        <v>22</v>
      </c>
      <c r="E94" s="1167" t="s">
        <v>27</v>
      </c>
      <c r="F94" s="1165" t="s">
        <v>22</v>
      </c>
      <c r="G94" s="1167" t="s">
        <v>27</v>
      </c>
      <c r="H94" s="1165" t="s">
        <v>22</v>
      </c>
      <c r="I94" s="1167" t="s">
        <v>27</v>
      </c>
      <c r="J94" s="1165" t="s">
        <v>22</v>
      </c>
      <c r="K94" s="1167" t="s">
        <v>27</v>
      </c>
      <c r="L94" s="1232" t="s">
        <v>22</v>
      </c>
      <c r="M94" s="1233" t="s">
        <v>27</v>
      </c>
      <c r="N94" s="1165" t="s">
        <v>22</v>
      </c>
      <c r="O94" s="1167" t="s">
        <v>27</v>
      </c>
      <c r="P94" s="1232" t="s">
        <v>22</v>
      </c>
      <c r="Q94" s="1233" t="s">
        <v>27</v>
      </c>
      <c r="R94" s="1165" t="s">
        <v>22</v>
      </c>
      <c r="S94" s="1167" t="s">
        <v>27</v>
      </c>
      <c r="T94" s="1232" t="s">
        <v>22</v>
      </c>
      <c r="U94" s="1233" t="s">
        <v>27</v>
      </c>
      <c r="V94" s="1165" t="s">
        <v>22</v>
      </c>
      <c r="W94" s="1167" t="s">
        <v>27</v>
      </c>
      <c r="X94" s="1232" t="s">
        <v>22</v>
      </c>
      <c r="Y94" s="1233" t="s">
        <v>27</v>
      </c>
      <c r="Z94" s="1165" t="s">
        <v>22</v>
      </c>
      <c r="AA94" s="1167" t="s">
        <v>27</v>
      </c>
      <c r="AB94" s="1232" t="s">
        <v>22</v>
      </c>
      <c r="AC94" s="1233" t="s">
        <v>27</v>
      </c>
      <c r="AD94" s="1165" t="s">
        <v>22</v>
      </c>
      <c r="AE94" s="1167" t="s">
        <v>27</v>
      </c>
      <c r="AF94" s="1232" t="s">
        <v>22</v>
      </c>
      <c r="AG94" s="1233" t="s">
        <v>27</v>
      </c>
      <c r="AH94" s="1165" t="s">
        <v>22</v>
      </c>
      <c r="AI94" s="1167" t="s">
        <v>27</v>
      </c>
      <c r="AJ94" s="1165" t="s">
        <v>22</v>
      </c>
      <c r="AK94" s="1167" t="s">
        <v>27</v>
      </c>
    </row>
    <row r="95" spans="1:37" s="170" customFormat="1" ht="15" customHeight="1" x14ac:dyDescent="0.2">
      <c r="A95" s="6234">
        <v>23044000</v>
      </c>
      <c r="B95" s="1280" t="s">
        <v>1048</v>
      </c>
      <c r="C95" s="1242" t="s">
        <v>5292</v>
      </c>
      <c r="D95" s="1243" t="s">
        <v>5293</v>
      </c>
      <c r="E95" s="1244" t="s">
        <v>5294</v>
      </c>
      <c r="F95" s="1203" t="s">
        <v>5295</v>
      </c>
      <c r="G95" s="1294" t="s">
        <v>5296</v>
      </c>
      <c r="H95" s="1203" t="s">
        <v>5297</v>
      </c>
      <c r="I95" s="1294" t="s">
        <v>5298</v>
      </c>
      <c r="J95" s="1125" t="s">
        <v>5299</v>
      </c>
      <c r="K95" s="1127" t="s">
        <v>5300</v>
      </c>
      <c r="L95" s="1128" t="s">
        <v>5301</v>
      </c>
      <c r="M95" s="1129" t="s">
        <v>5302</v>
      </c>
      <c r="N95" s="1125" t="s">
        <v>5303</v>
      </c>
      <c r="O95" s="1127" t="s">
        <v>5304</v>
      </c>
      <c r="P95" s="1128" t="s">
        <v>5305</v>
      </c>
      <c r="Q95" s="1129" t="s">
        <v>5306</v>
      </c>
      <c r="R95" s="1125" t="s">
        <v>5307</v>
      </c>
      <c r="S95" s="1127" t="s">
        <v>5308</v>
      </c>
      <c r="T95" s="1128" t="s">
        <v>5309</v>
      </c>
      <c r="U95" s="1129" t="s">
        <v>5310</v>
      </c>
      <c r="V95" s="1125" t="s">
        <v>5311</v>
      </c>
      <c r="W95" s="1127" t="s">
        <v>5312</v>
      </c>
      <c r="X95" s="1128" t="s">
        <v>5313</v>
      </c>
      <c r="Y95" s="1129" t="s">
        <v>5314</v>
      </c>
      <c r="Z95" s="1125" t="s">
        <v>5315</v>
      </c>
      <c r="AA95" s="1127" t="s">
        <v>5316</v>
      </c>
      <c r="AB95" s="1128" t="s">
        <v>5317</v>
      </c>
      <c r="AC95" s="1129" t="s">
        <v>5318</v>
      </c>
      <c r="AD95" s="1125" t="s">
        <v>5319</v>
      </c>
      <c r="AE95" s="1127" t="s">
        <v>5320</v>
      </c>
      <c r="AF95" s="1128" t="s">
        <v>5321</v>
      </c>
      <c r="AG95" s="1129" t="s">
        <v>5322</v>
      </c>
      <c r="AH95" s="1125" t="s">
        <v>5323</v>
      </c>
      <c r="AI95" s="1127" t="s">
        <v>5324</v>
      </c>
      <c r="AJ95" s="1130" t="s">
        <v>5325</v>
      </c>
      <c r="AK95" s="1127" t="s">
        <v>5326</v>
      </c>
    </row>
    <row r="96" spans="1:37" s="170" customFormat="1" ht="15" customHeight="1" x14ac:dyDescent="0.2">
      <c r="A96" s="6234">
        <v>23044100</v>
      </c>
      <c r="B96" s="1091" t="s">
        <v>1049</v>
      </c>
      <c r="C96" s="648" t="s">
        <v>5292</v>
      </c>
      <c r="D96" s="1222" t="s">
        <v>5293</v>
      </c>
      <c r="E96" s="33" t="s">
        <v>5294</v>
      </c>
      <c r="F96" s="1174" t="s">
        <v>5295</v>
      </c>
      <c r="G96" s="1295" t="s">
        <v>5296</v>
      </c>
      <c r="H96" s="1174" t="s">
        <v>5297</v>
      </c>
      <c r="I96" s="1295" t="s">
        <v>5298</v>
      </c>
      <c r="J96" s="657" t="s">
        <v>5299</v>
      </c>
      <c r="K96" s="1173" t="s">
        <v>5300</v>
      </c>
      <c r="L96" s="1296" t="s">
        <v>5301</v>
      </c>
      <c r="M96" s="1297" t="s">
        <v>5302</v>
      </c>
      <c r="N96" s="657" t="s">
        <v>5303</v>
      </c>
      <c r="O96" s="1173" t="s">
        <v>5304</v>
      </c>
      <c r="P96" s="1296" t="s">
        <v>5305</v>
      </c>
      <c r="Q96" s="1297" t="s">
        <v>5306</v>
      </c>
      <c r="R96" s="657" t="s">
        <v>5307</v>
      </c>
      <c r="S96" s="1173" t="s">
        <v>5308</v>
      </c>
      <c r="T96" s="1296" t="s">
        <v>5309</v>
      </c>
      <c r="U96" s="1297" t="s">
        <v>5310</v>
      </c>
      <c r="V96" s="657" t="s">
        <v>5311</v>
      </c>
      <c r="W96" s="1173" t="s">
        <v>5312</v>
      </c>
      <c r="X96" s="1296" t="s">
        <v>5313</v>
      </c>
      <c r="Y96" s="1297" t="s">
        <v>5314</v>
      </c>
      <c r="Z96" s="657" t="s">
        <v>5315</v>
      </c>
      <c r="AA96" s="1173" t="s">
        <v>5316</v>
      </c>
      <c r="AB96" s="1296" t="s">
        <v>5317</v>
      </c>
      <c r="AC96" s="1297" t="s">
        <v>5318</v>
      </c>
      <c r="AD96" s="657" t="s">
        <v>5319</v>
      </c>
      <c r="AE96" s="1173" t="s">
        <v>5320</v>
      </c>
      <c r="AF96" s="1296" t="s">
        <v>5321</v>
      </c>
      <c r="AG96" s="1297" t="s">
        <v>5322</v>
      </c>
      <c r="AH96" s="657" t="s">
        <v>5323</v>
      </c>
      <c r="AI96" s="1173" t="s">
        <v>5324</v>
      </c>
      <c r="AJ96" s="1298" t="s">
        <v>5325</v>
      </c>
      <c r="AK96" s="1173" t="s">
        <v>5326</v>
      </c>
    </row>
    <row r="97" spans="1:37" s="170" customFormat="1" ht="15" customHeight="1" x14ac:dyDescent="0.2">
      <c r="A97" s="6234">
        <v>23044200</v>
      </c>
      <c r="B97" s="1091" t="s">
        <v>1050</v>
      </c>
      <c r="C97" s="1224" t="s">
        <v>5292</v>
      </c>
      <c r="D97" s="1225" t="s">
        <v>5293</v>
      </c>
      <c r="E97" s="31" t="s">
        <v>5294</v>
      </c>
      <c r="F97" s="1174" t="s">
        <v>5295</v>
      </c>
      <c r="G97" s="1295" t="s">
        <v>5296</v>
      </c>
      <c r="H97" s="1174" t="s">
        <v>5297</v>
      </c>
      <c r="I97" s="1295" t="s">
        <v>5298</v>
      </c>
      <c r="J97" s="657" t="s">
        <v>5299</v>
      </c>
      <c r="K97" s="1173" t="s">
        <v>5300</v>
      </c>
      <c r="L97" s="1296" t="s">
        <v>5301</v>
      </c>
      <c r="M97" s="1297" t="s">
        <v>5302</v>
      </c>
      <c r="N97" s="657" t="s">
        <v>5303</v>
      </c>
      <c r="O97" s="1173" t="s">
        <v>5304</v>
      </c>
      <c r="P97" s="1296" t="s">
        <v>5305</v>
      </c>
      <c r="Q97" s="1297" t="s">
        <v>5306</v>
      </c>
      <c r="R97" s="657" t="s">
        <v>5307</v>
      </c>
      <c r="S97" s="1173" t="s">
        <v>5308</v>
      </c>
      <c r="T97" s="1296" t="s">
        <v>5309</v>
      </c>
      <c r="U97" s="1297" t="s">
        <v>5310</v>
      </c>
      <c r="V97" s="657" t="s">
        <v>5311</v>
      </c>
      <c r="W97" s="1173" t="s">
        <v>5312</v>
      </c>
      <c r="X97" s="1296" t="s">
        <v>5313</v>
      </c>
      <c r="Y97" s="1297" t="s">
        <v>5314</v>
      </c>
      <c r="Z97" s="657" t="s">
        <v>5315</v>
      </c>
      <c r="AA97" s="1173" t="s">
        <v>5316</v>
      </c>
      <c r="AB97" s="1296" t="s">
        <v>5317</v>
      </c>
      <c r="AC97" s="1297" t="s">
        <v>5318</v>
      </c>
      <c r="AD97" s="657" t="s">
        <v>5319</v>
      </c>
      <c r="AE97" s="1173" t="s">
        <v>5320</v>
      </c>
      <c r="AF97" s="1296" t="s">
        <v>5321</v>
      </c>
      <c r="AG97" s="1297" t="s">
        <v>5322</v>
      </c>
      <c r="AH97" s="657" t="s">
        <v>5323</v>
      </c>
      <c r="AI97" s="1173" t="s">
        <v>5324</v>
      </c>
      <c r="AJ97" s="1298" t="s">
        <v>5325</v>
      </c>
      <c r="AK97" s="1173" t="s">
        <v>5326</v>
      </c>
    </row>
    <row r="98" spans="1:37" s="170" customFormat="1" ht="15" customHeight="1" x14ac:dyDescent="0.2">
      <c r="A98" s="6234">
        <v>23044300</v>
      </c>
      <c r="B98" s="1091" t="s">
        <v>1051</v>
      </c>
      <c r="C98" s="1224" t="s">
        <v>5292</v>
      </c>
      <c r="D98" s="1225" t="s">
        <v>5293</v>
      </c>
      <c r="E98" s="31" t="s">
        <v>5294</v>
      </c>
      <c r="F98" s="1174" t="s">
        <v>5295</v>
      </c>
      <c r="G98" s="1295" t="s">
        <v>5296</v>
      </c>
      <c r="H98" s="1174" t="s">
        <v>5297</v>
      </c>
      <c r="I98" s="1295" t="s">
        <v>5298</v>
      </c>
      <c r="J98" s="657" t="s">
        <v>5299</v>
      </c>
      <c r="K98" s="1173" t="s">
        <v>5300</v>
      </c>
      <c r="L98" s="1296" t="s">
        <v>5301</v>
      </c>
      <c r="M98" s="1297" t="s">
        <v>5302</v>
      </c>
      <c r="N98" s="657" t="s">
        <v>5303</v>
      </c>
      <c r="O98" s="1173" t="s">
        <v>5304</v>
      </c>
      <c r="P98" s="1296" t="s">
        <v>5305</v>
      </c>
      <c r="Q98" s="1297" t="s">
        <v>5306</v>
      </c>
      <c r="R98" s="657" t="s">
        <v>5307</v>
      </c>
      <c r="S98" s="1173" t="s">
        <v>5308</v>
      </c>
      <c r="T98" s="1296" t="s">
        <v>5309</v>
      </c>
      <c r="U98" s="1297" t="s">
        <v>5310</v>
      </c>
      <c r="V98" s="657" t="s">
        <v>5311</v>
      </c>
      <c r="W98" s="1173" t="s">
        <v>5312</v>
      </c>
      <c r="X98" s="1296" t="s">
        <v>5313</v>
      </c>
      <c r="Y98" s="1297" t="s">
        <v>5314</v>
      </c>
      <c r="Z98" s="657" t="s">
        <v>5315</v>
      </c>
      <c r="AA98" s="1173" t="s">
        <v>5316</v>
      </c>
      <c r="AB98" s="1296" t="s">
        <v>5317</v>
      </c>
      <c r="AC98" s="1297" t="s">
        <v>5318</v>
      </c>
      <c r="AD98" s="657" t="s">
        <v>5319</v>
      </c>
      <c r="AE98" s="1173" t="s">
        <v>5320</v>
      </c>
      <c r="AF98" s="1296" t="s">
        <v>5321</v>
      </c>
      <c r="AG98" s="1297" t="s">
        <v>5322</v>
      </c>
      <c r="AH98" s="657" t="s">
        <v>5323</v>
      </c>
      <c r="AI98" s="1173" t="s">
        <v>5324</v>
      </c>
      <c r="AJ98" s="1298" t="s">
        <v>5325</v>
      </c>
      <c r="AK98" s="1173" t="s">
        <v>5326</v>
      </c>
    </row>
    <row r="99" spans="1:37" s="170" customFormat="1" ht="15" customHeight="1" x14ac:dyDescent="0.2">
      <c r="A99" s="6234">
        <v>23080600</v>
      </c>
      <c r="B99" s="1091" t="s">
        <v>1052</v>
      </c>
      <c r="C99" s="1224" t="s">
        <v>5292</v>
      </c>
      <c r="D99" s="1225" t="s">
        <v>5293</v>
      </c>
      <c r="E99" s="31" t="s">
        <v>5294</v>
      </c>
      <c r="F99" s="1144" t="s">
        <v>5295</v>
      </c>
      <c r="G99" s="1150" t="s">
        <v>5296</v>
      </c>
      <c r="H99" s="1144" t="s">
        <v>5297</v>
      </c>
      <c r="I99" s="1150" t="s">
        <v>5298</v>
      </c>
      <c r="J99" s="1134" t="s">
        <v>5299</v>
      </c>
      <c r="K99" s="1135" t="s">
        <v>5300</v>
      </c>
      <c r="L99" s="1136" t="s">
        <v>5301</v>
      </c>
      <c r="M99" s="1137" t="s">
        <v>5302</v>
      </c>
      <c r="N99" s="1134" t="s">
        <v>5303</v>
      </c>
      <c r="O99" s="1135" t="s">
        <v>5304</v>
      </c>
      <c r="P99" s="1136" t="s">
        <v>5305</v>
      </c>
      <c r="Q99" s="1137" t="s">
        <v>5306</v>
      </c>
      <c r="R99" s="1134" t="s">
        <v>5307</v>
      </c>
      <c r="S99" s="1135" t="s">
        <v>5308</v>
      </c>
      <c r="T99" s="1136" t="s">
        <v>5309</v>
      </c>
      <c r="U99" s="1137" t="s">
        <v>5310</v>
      </c>
      <c r="V99" s="1134" t="s">
        <v>5311</v>
      </c>
      <c r="W99" s="1135" t="s">
        <v>5312</v>
      </c>
      <c r="X99" s="1136" t="s">
        <v>5313</v>
      </c>
      <c r="Y99" s="1137" t="s">
        <v>5314</v>
      </c>
      <c r="Z99" s="1134" t="s">
        <v>5315</v>
      </c>
      <c r="AA99" s="1135" t="s">
        <v>5316</v>
      </c>
      <c r="AB99" s="1136" t="s">
        <v>5317</v>
      </c>
      <c r="AC99" s="1137" t="s">
        <v>5318</v>
      </c>
      <c r="AD99" s="1134" t="s">
        <v>5319</v>
      </c>
      <c r="AE99" s="1135" t="s">
        <v>5320</v>
      </c>
      <c r="AF99" s="1136" t="s">
        <v>5321</v>
      </c>
      <c r="AG99" s="1137" t="s">
        <v>5322</v>
      </c>
      <c r="AH99" s="1134" t="s">
        <v>5323</v>
      </c>
      <c r="AI99" s="1135" t="s">
        <v>5324</v>
      </c>
      <c r="AJ99" s="67" t="s">
        <v>5325</v>
      </c>
      <c r="AK99" s="1135" t="s">
        <v>5326</v>
      </c>
    </row>
    <row r="100" spans="1:37" s="170" customFormat="1" ht="15" customHeight="1" x14ac:dyDescent="0.2">
      <c r="A100" s="6234">
        <v>23040901</v>
      </c>
      <c r="B100" s="1091" t="s">
        <v>1053</v>
      </c>
      <c r="C100" s="1224" t="s">
        <v>5292</v>
      </c>
      <c r="D100" s="1225" t="s">
        <v>5293</v>
      </c>
      <c r="E100" s="31" t="s">
        <v>5294</v>
      </c>
      <c r="F100" s="1144" t="s">
        <v>5295</v>
      </c>
      <c r="G100" s="1150" t="s">
        <v>5296</v>
      </c>
      <c r="H100" s="1144" t="s">
        <v>5297</v>
      </c>
      <c r="I100" s="1150" t="s">
        <v>5298</v>
      </c>
      <c r="J100" s="1134" t="s">
        <v>5299</v>
      </c>
      <c r="K100" s="1135" t="s">
        <v>5300</v>
      </c>
      <c r="L100" s="1136" t="s">
        <v>5301</v>
      </c>
      <c r="M100" s="1137" t="s">
        <v>5302</v>
      </c>
      <c r="N100" s="1134" t="s">
        <v>5303</v>
      </c>
      <c r="O100" s="1135" t="s">
        <v>5304</v>
      </c>
      <c r="P100" s="1136" t="s">
        <v>5305</v>
      </c>
      <c r="Q100" s="1137" t="s">
        <v>5306</v>
      </c>
      <c r="R100" s="1134" t="s">
        <v>5307</v>
      </c>
      <c r="S100" s="1135" t="s">
        <v>5308</v>
      </c>
      <c r="T100" s="1136" t="s">
        <v>5309</v>
      </c>
      <c r="U100" s="1137" t="s">
        <v>5310</v>
      </c>
      <c r="V100" s="1134" t="s">
        <v>5311</v>
      </c>
      <c r="W100" s="1135" t="s">
        <v>5312</v>
      </c>
      <c r="X100" s="1136" t="s">
        <v>5313</v>
      </c>
      <c r="Y100" s="1137" t="s">
        <v>5314</v>
      </c>
      <c r="Z100" s="1134" t="s">
        <v>5315</v>
      </c>
      <c r="AA100" s="1135" t="s">
        <v>5316</v>
      </c>
      <c r="AB100" s="1136" t="s">
        <v>5317</v>
      </c>
      <c r="AC100" s="1137" t="s">
        <v>5318</v>
      </c>
      <c r="AD100" s="1134" t="s">
        <v>5319</v>
      </c>
      <c r="AE100" s="1135" t="s">
        <v>5320</v>
      </c>
      <c r="AF100" s="1136" t="s">
        <v>5321</v>
      </c>
      <c r="AG100" s="1137" t="s">
        <v>5322</v>
      </c>
      <c r="AH100" s="1134" t="s">
        <v>5323</v>
      </c>
      <c r="AI100" s="1135" t="s">
        <v>5324</v>
      </c>
      <c r="AJ100" s="67" t="s">
        <v>5325</v>
      </c>
      <c r="AK100" s="1135" t="s">
        <v>5326</v>
      </c>
    </row>
    <row r="101" spans="1:37" s="170" customFormat="1" ht="15" customHeight="1" x14ac:dyDescent="0.2">
      <c r="A101" s="6234">
        <v>23080700</v>
      </c>
      <c r="B101" s="1091" t="s">
        <v>1054</v>
      </c>
      <c r="C101" s="1224" t="s">
        <v>5292</v>
      </c>
      <c r="D101" s="1225" t="s">
        <v>5293</v>
      </c>
      <c r="E101" s="31" t="s">
        <v>5294</v>
      </c>
      <c r="F101" s="1144" t="s">
        <v>5295</v>
      </c>
      <c r="G101" s="1150" t="s">
        <v>5296</v>
      </c>
      <c r="H101" s="1144" t="s">
        <v>5297</v>
      </c>
      <c r="I101" s="1150" t="s">
        <v>5298</v>
      </c>
      <c r="J101" s="1134" t="s">
        <v>5299</v>
      </c>
      <c r="K101" s="1135" t="s">
        <v>5300</v>
      </c>
      <c r="L101" s="1136" t="s">
        <v>5301</v>
      </c>
      <c r="M101" s="1137" t="s">
        <v>5302</v>
      </c>
      <c r="N101" s="1134" t="s">
        <v>5303</v>
      </c>
      <c r="O101" s="1135" t="s">
        <v>5304</v>
      </c>
      <c r="P101" s="1136" t="s">
        <v>5305</v>
      </c>
      <c r="Q101" s="1137" t="s">
        <v>5306</v>
      </c>
      <c r="R101" s="1134" t="s">
        <v>5307</v>
      </c>
      <c r="S101" s="1135" t="s">
        <v>5308</v>
      </c>
      <c r="T101" s="1136" t="s">
        <v>5309</v>
      </c>
      <c r="U101" s="1137" t="s">
        <v>5310</v>
      </c>
      <c r="V101" s="1134" t="s">
        <v>5311</v>
      </c>
      <c r="W101" s="1135" t="s">
        <v>5312</v>
      </c>
      <c r="X101" s="1136" t="s">
        <v>5313</v>
      </c>
      <c r="Y101" s="1137" t="s">
        <v>5314</v>
      </c>
      <c r="Z101" s="1134" t="s">
        <v>5315</v>
      </c>
      <c r="AA101" s="1135" t="s">
        <v>5316</v>
      </c>
      <c r="AB101" s="1136" t="s">
        <v>5317</v>
      </c>
      <c r="AC101" s="1137" t="s">
        <v>5318</v>
      </c>
      <c r="AD101" s="1134" t="s">
        <v>5319</v>
      </c>
      <c r="AE101" s="1135" t="s">
        <v>5320</v>
      </c>
      <c r="AF101" s="1136" t="s">
        <v>5321</v>
      </c>
      <c r="AG101" s="1137" t="s">
        <v>5322</v>
      </c>
      <c r="AH101" s="1134" t="s">
        <v>5323</v>
      </c>
      <c r="AI101" s="1135" t="s">
        <v>5324</v>
      </c>
      <c r="AJ101" s="67" t="s">
        <v>5325</v>
      </c>
      <c r="AK101" s="1135" t="s">
        <v>5326</v>
      </c>
    </row>
    <row r="102" spans="1:37" s="170" customFormat="1" ht="15" customHeight="1" x14ac:dyDescent="0.2">
      <c r="A102" s="6234">
        <v>23090530</v>
      </c>
      <c r="B102" s="1299" t="s">
        <v>1055</v>
      </c>
      <c r="C102" s="1224" t="s">
        <v>5292</v>
      </c>
      <c r="D102" s="1300" t="s">
        <v>5293</v>
      </c>
      <c r="E102" s="31" t="s">
        <v>5294</v>
      </c>
      <c r="F102" s="1301" t="s">
        <v>5295</v>
      </c>
      <c r="G102" s="1302" t="s">
        <v>5296</v>
      </c>
      <c r="H102" s="1301" t="s">
        <v>5297</v>
      </c>
      <c r="I102" s="1302" t="s">
        <v>5298</v>
      </c>
      <c r="J102" s="1301" t="s">
        <v>5299</v>
      </c>
      <c r="K102" s="1302" t="s">
        <v>5300</v>
      </c>
      <c r="L102" s="1303" t="s">
        <v>5301</v>
      </c>
      <c r="M102" s="1304" t="s">
        <v>5302</v>
      </c>
      <c r="N102" s="1301" t="s">
        <v>5303</v>
      </c>
      <c r="O102" s="1302" t="s">
        <v>5304</v>
      </c>
      <c r="P102" s="1303" t="s">
        <v>5305</v>
      </c>
      <c r="Q102" s="1304" t="s">
        <v>5306</v>
      </c>
      <c r="R102" s="1301" t="s">
        <v>5307</v>
      </c>
      <c r="S102" s="1302" t="s">
        <v>5308</v>
      </c>
      <c r="T102" s="1303" t="s">
        <v>5309</v>
      </c>
      <c r="U102" s="1304" t="s">
        <v>5310</v>
      </c>
      <c r="V102" s="1301" t="s">
        <v>5311</v>
      </c>
      <c r="W102" s="1302" t="s">
        <v>5312</v>
      </c>
      <c r="X102" s="1303" t="s">
        <v>5313</v>
      </c>
      <c r="Y102" s="1304" t="s">
        <v>5314</v>
      </c>
      <c r="Z102" s="1301" t="s">
        <v>5315</v>
      </c>
      <c r="AA102" s="1302" t="s">
        <v>5316</v>
      </c>
      <c r="AB102" s="1303" t="s">
        <v>5317</v>
      </c>
      <c r="AC102" s="1304" t="s">
        <v>5318</v>
      </c>
      <c r="AD102" s="1301" t="s">
        <v>5319</v>
      </c>
      <c r="AE102" s="1302" t="s">
        <v>5320</v>
      </c>
      <c r="AF102" s="1303" t="s">
        <v>5321</v>
      </c>
      <c r="AG102" s="1304" t="s">
        <v>5322</v>
      </c>
      <c r="AH102" s="1301" t="s">
        <v>5323</v>
      </c>
      <c r="AI102" s="1302" t="s">
        <v>5324</v>
      </c>
      <c r="AJ102" s="1305" t="s">
        <v>5325</v>
      </c>
      <c r="AK102" s="1302" t="s">
        <v>5326</v>
      </c>
    </row>
    <row r="103" spans="1:37" s="170" customFormat="1" ht="15" customHeight="1" x14ac:dyDescent="0.2">
      <c r="A103" s="6234">
        <v>23110100</v>
      </c>
      <c r="B103" s="1306" t="s">
        <v>1056</v>
      </c>
      <c r="C103" s="1307" t="s">
        <v>5292</v>
      </c>
      <c r="D103" s="1308" t="s">
        <v>5293</v>
      </c>
      <c r="E103" s="37" t="s">
        <v>5294</v>
      </c>
      <c r="F103" s="64" t="s">
        <v>5295</v>
      </c>
      <c r="G103" s="1154" t="s">
        <v>5296</v>
      </c>
      <c r="H103" s="64" t="s">
        <v>5297</v>
      </c>
      <c r="I103" s="1154" t="s">
        <v>5298</v>
      </c>
      <c r="J103" s="64" t="s">
        <v>5299</v>
      </c>
      <c r="K103" s="1154" t="s">
        <v>5300</v>
      </c>
      <c r="L103" s="654" t="s">
        <v>5301</v>
      </c>
      <c r="M103" s="652" t="s">
        <v>5302</v>
      </c>
      <c r="N103" s="64" t="s">
        <v>5303</v>
      </c>
      <c r="O103" s="1154" t="s">
        <v>5304</v>
      </c>
      <c r="P103" s="654" t="s">
        <v>5305</v>
      </c>
      <c r="Q103" s="652" t="s">
        <v>5306</v>
      </c>
      <c r="R103" s="64" t="s">
        <v>5307</v>
      </c>
      <c r="S103" s="1154" t="s">
        <v>5308</v>
      </c>
      <c r="T103" s="654" t="s">
        <v>5309</v>
      </c>
      <c r="U103" s="652" t="s">
        <v>5310</v>
      </c>
      <c r="V103" s="64" t="s">
        <v>5311</v>
      </c>
      <c r="W103" s="1154" t="s">
        <v>5312</v>
      </c>
      <c r="X103" s="654" t="s">
        <v>5313</v>
      </c>
      <c r="Y103" s="652" t="s">
        <v>5314</v>
      </c>
      <c r="Z103" s="64" t="s">
        <v>5315</v>
      </c>
      <c r="AA103" s="1154" t="s">
        <v>5316</v>
      </c>
      <c r="AB103" s="654" t="s">
        <v>5317</v>
      </c>
      <c r="AC103" s="652" t="s">
        <v>5318</v>
      </c>
      <c r="AD103" s="64" t="s">
        <v>5319</v>
      </c>
      <c r="AE103" s="1154" t="s">
        <v>5320</v>
      </c>
      <c r="AF103" s="654" t="s">
        <v>5321</v>
      </c>
      <c r="AG103" s="652" t="s">
        <v>5322</v>
      </c>
      <c r="AH103" s="64" t="s">
        <v>5323</v>
      </c>
      <c r="AI103" s="1154" t="s">
        <v>5324</v>
      </c>
      <c r="AJ103" s="1155" t="s">
        <v>5325</v>
      </c>
      <c r="AK103" s="1154" t="s">
        <v>5326</v>
      </c>
    </row>
    <row r="104" spans="1:37" s="1116" customFormat="1" ht="18" customHeight="1" x14ac:dyDescent="0.2">
      <c r="B104" s="42" t="s">
        <v>1057</v>
      </c>
    </row>
    <row r="105" spans="1:37" s="170" customFormat="1" ht="15" customHeight="1" x14ac:dyDescent="0.2">
      <c r="A105" s="6282"/>
      <c r="B105" s="7755" t="s">
        <v>1058</v>
      </c>
      <c r="C105" s="7779" t="s">
        <v>24</v>
      </c>
      <c r="D105" s="7764"/>
      <c r="E105" s="7765"/>
      <c r="F105" s="7789" t="s">
        <v>30</v>
      </c>
      <c r="G105" s="7768"/>
      <c r="H105" s="7768"/>
      <c r="I105" s="7768"/>
      <c r="J105" s="7768"/>
      <c r="K105" s="7768"/>
      <c r="L105" s="7768"/>
      <c r="M105" s="7768"/>
      <c r="N105" s="7768"/>
      <c r="O105" s="7768"/>
      <c r="P105" s="7768"/>
      <c r="Q105" s="7768"/>
      <c r="R105" s="7768"/>
      <c r="S105" s="7768"/>
      <c r="T105" s="7768"/>
      <c r="U105" s="7768"/>
      <c r="V105" s="7768"/>
      <c r="W105" s="7768"/>
      <c r="X105" s="7768"/>
      <c r="Y105" s="7768"/>
      <c r="Z105" s="7768"/>
      <c r="AA105" s="7768"/>
      <c r="AB105" s="7768"/>
      <c r="AC105" s="7768"/>
      <c r="AD105" s="7768"/>
      <c r="AE105" s="7768"/>
      <c r="AF105" s="7768"/>
      <c r="AG105" s="7768"/>
      <c r="AH105" s="7768"/>
      <c r="AI105" s="7768"/>
      <c r="AJ105" s="7768"/>
      <c r="AK105" s="7769"/>
    </row>
    <row r="106" spans="1:37" s="170" customFormat="1" ht="15" customHeight="1" x14ac:dyDescent="0.2">
      <c r="A106" s="6282"/>
      <c r="B106" s="6762"/>
      <c r="C106" s="7780"/>
      <c r="D106" s="7766"/>
      <c r="E106" s="7767"/>
      <c r="F106" s="7770" t="s">
        <v>682</v>
      </c>
      <c r="G106" s="7755"/>
      <c r="H106" s="7756" t="s">
        <v>1002</v>
      </c>
      <c r="I106" s="7757"/>
      <c r="J106" s="7756" t="s">
        <v>1003</v>
      </c>
      <c r="K106" s="7757"/>
      <c r="L106" s="7771" t="s">
        <v>38</v>
      </c>
      <c r="M106" s="7771"/>
      <c r="N106" s="7756" t="s">
        <v>4</v>
      </c>
      <c r="O106" s="7757"/>
      <c r="P106" s="7771" t="s">
        <v>5</v>
      </c>
      <c r="Q106" s="7771"/>
      <c r="R106" s="7756" t="s">
        <v>1004</v>
      </c>
      <c r="S106" s="7757"/>
      <c r="T106" s="7771" t="s">
        <v>9</v>
      </c>
      <c r="U106" s="7771"/>
      <c r="V106" s="7756" t="s">
        <v>10</v>
      </c>
      <c r="W106" s="7757"/>
      <c r="X106" s="7771" t="s">
        <v>11</v>
      </c>
      <c r="Y106" s="7771"/>
      <c r="Z106" s="7756" t="s">
        <v>18</v>
      </c>
      <c r="AA106" s="7757"/>
      <c r="AB106" s="7771" t="s">
        <v>19</v>
      </c>
      <c r="AC106" s="7771"/>
      <c r="AD106" s="7756" t="s">
        <v>20</v>
      </c>
      <c r="AE106" s="7757"/>
      <c r="AF106" s="7771" t="s">
        <v>70</v>
      </c>
      <c r="AG106" s="7771"/>
      <c r="AH106" s="7756" t="s">
        <v>71</v>
      </c>
      <c r="AI106" s="7757"/>
      <c r="AJ106" s="7756" t="s">
        <v>32</v>
      </c>
      <c r="AK106" s="7757"/>
    </row>
    <row r="107" spans="1:37" s="170" customFormat="1" ht="15" customHeight="1" x14ac:dyDescent="0.2">
      <c r="A107" s="6282"/>
      <c r="B107" s="7795"/>
      <c r="C107" s="1231" t="s">
        <v>26</v>
      </c>
      <c r="D107" s="1232" t="s">
        <v>22</v>
      </c>
      <c r="E107" s="1167" t="s">
        <v>27</v>
      </c>
      <c r="F107" s="1165" t="s">
        <v>22</v>
      </c>
      <c r="G107" s="1167" t="s">
        <v>27</v>
      </c>
      <c r="H107" s="1165" t="s">
        <v>22</v>
      </c>
      <c r="I107" s="1167" t="s">
        <v>27</v>
      </c>
      <c r="J107" s="1165" t="s">
        <v>22</v>
      </c>
      <c r="K107" s="1167" t="s">
        <v>27</v>
      </c>
      <c r="L107" s="1232" t="s">
        <v>22</v>
      </c>
      <c r="M107" s="1233" t="s">
        <v>27</v>
      </c>
      <c r="N107" s="1165" t="s">
        <v>22</v>
      </c>
      <c r="O107" s="1167" t="s">
        <v>27</v>
      </c>
      <c r="P107" s="1232" t="s">
        <v>22</v>
      </c>
      <c r="Q107" s="1233" t="s">
        <v>27</v>
      </c>
      <c r="R107" s="1165" t="s">
        <v>22</v>
      </c>
      <c r="S107" s="1167" t="s">
        <v>27</v>
      </c>
      <c r="T107" s="1232" t="s">
        <v>22</v>
      </c>
      <c r="U107" s="1233" t="s">
        <v>27</v>
      </c>
      <c r="V107" s="1165" t="s">
        <v>22</v>
      </c>
      <c r="W107" s="1167" t="s">
        <v>27</v>
      </c>
      <c r="X107" s="1232" t="s">
        <v>22</v>
      </c>
      <c r="Y107" s="1233" t="s">
        <v>27</v>
      </c>
      <c r="Z107" s="1165" t="s">
        <v>22</v>
      </c>
      <c r="AA107" s="1167" t="s">
        <v>27</v>
      </c>
      <c r="AB107" s="1232" t="s">
        <v>22</v>
      </c>
      <c r="AC107" s="1233" t="s">
        <v>27</v>
      </c>
      <c r="AD107" s="1165" t="s">
        <v>22</v>
      </c>
      <c r="AE107" s="1167" t="s">
        <v>27</v>
      </c>
      <c r="AF107" s="1232" t="s">
        <v>22</v>
      </c>
      <c r="AG107" s="1233" t="s">
        <v>27</v>
      </c>
      <c r="AH107" s="1165" t="s">
        <v>22</v>
      </c>
      <c r="AI107" s="1167" t="s">
        <v>27</v>
      </c>
      <c r="AJ107" s="1232" t="s">
        <v>22</v>
      </c>
      <c r="AK107" s="1167" t="s">
        <v>27</v>
      </c>
    </row>
    <row r="108" spans="1:37" s="170" customFormat="1" ht="15" customHeight="1" x14ac:dyDescent="0.2">
      <c r="A108" s="6240">
        <v>23080900</v>
      </c>
      <c r="B108" s="1309" t="s">
        <v>1059</v>
      </c>
      <c r="C108" s="1122" t="s">
        <v>5292</v>
      </c>
      <c r="D108" s="1123" t="s">
        <v>5293</v>
      </c>
      <c r="E108" s="1133" t="s">
        <v>5294</v>
      </c>
      <c r="F108" s="657" t="s">
        <v>5295</v>
      </c>
      <c r="G108" s="1173" t="s">
        <v>5296</v>
      </c>
      <c r="H108" s="657" t="s">
        <v>5297</v>
      </c>
      <c r="I108" s="1173" t="s">
        <v>5298</v>
      </c>
      <c r="J108" s="657" t="s">
        <v>5299</v>
      </c>
      <c r="K108" s="1173" t="s">
        <v>5300</v>
      </c>
      <c r="L108" s="657" t="s">
        <v>5301</v>
      </c>
      <c r="M108" s="1173" t="s">
        <v>5302</v>
      </c>
      <c r="N108" s="657" t="s">
        <v>5303</v>
      </c>
      <c r="O108" s="1173" t="s">
        <v>5304</v>
      </c>
      <c r="P108" s="657" t="s">
        <v>5305</v>
      </c>
      <c r="Q108" s="1173" t="s">
        <v>5306</v>
      </c>
      <c r="R108" s="657" t="s">
        <v>5307</v>
      </c>
      <c r="S108" s="1173" t="s">
        <v>5308</v>
      </c>
      <c r="T108" s="657" t="s">
        <v>5309</v>
      </c>
      <c r="U108" s="1173" t="s">
        <v>5310</v>
      </c>
      <c r="V108" s="657" t="s">
        <v>5311</v>
      </c>
      <c r="W108" s="1173" t="s">
        <v>5312</v>
      </c>
      <c r="X108" s="657" t="s">
        <v>5313</v>
      </c>
      <c r="Y108" s="1173" t="s">
        <v>5314</v>
      </c>
      <c r="Z108" s="657" t="s">
        <v>5315</v>
      </c>
      <c r="AA108" s="1173" t="s">
        <v>5316</v>
      </c>
      <c r="AB108" s="657" t="s">
        <v>5317</v>
      </c>
      <c r="AC108" s="1173" t="s">
        <v>5318</v>
      </c>
      <c r="AD108" s="657" t="s">
        <v>5319</v>
      </c>
      <c r="AE108" s="1173" t="s">
        <v>5320</v>
      </c>
      <c r="AF108" s="657" t="s">
        <v>5321</v>
      </c>
      <c r="AG108" s="1173" t="s">
        <v>5322</v>
      </c>
      <c r="AH108" s="657" t="s">
        <v>5323</v>
      </c>
      <c r="AI108" s="1173" t="s">
        <v>5324</v>
      </c>
      <c r="AJ108" s="657" t="s">
        <v>5325</v>
      </c>
      <c r="AK108" s="1173" t="s">
        <v>5326</v>
      </c>
    </row>
    <row r="109" spans="1:37" s="170" customFormat="1" ht="15" customHeight="1" x14ac:dyDescent="0.2">
      <c r="A109" s="6234">
        <v>23090100</v>
      </c>
      <c r="B109" s="1139" t="s">
        <v>1060</v>
      </c>
      <c r="C109" s="1131" t="s">
        <v>5292</v>
      </c>
      <c r="D109" s="1132" t="s">
        <v>5293</v>
      </c>
      <c r="E109" s="1133" t="s">
        <v>5294</v>
      </c>
      <c r="F109" s="657" t="s">
        <v>5295</v>
      </c>
      <c r="G109" s="1173" t="s">
        <v>5296</v>
      </c>
      <c r="H109" s="657" t="s">
        <v>5297</v>
      </c>
      <c r="I109" s="1173" t="s">
        <v>5298</v>
      </c>
      <c r="J109" s="657" t="s">
        <v>5299</v>
      </c>
      <c r="K109" s="1173" t="s">
        <v>5300</v>
      </c>
      <c r="L109" s="657" t="s">
        <v>5301</v>
      </c>
      <c r="M109" s="1173" t="s">
        <v>5302</v>
      </c>
      <c r="N109" s="657" t="s">
        <v>5303</v>
      </c>
      <c r="O109" s="1173" t="s">
        <v>5304</v>
      </c>
      <c r="P109" s="657" t="s">
        <v>5305</v>
      </c>
      <c r="Q109" s="1173" t="s">
        <v>5306</v>
      </c>
      <c r="R109" s="657" t="s">
        <v>5307</v>
      </c>
      <c r="S109" s="1173" t="s">
        <v>5308</v>
      </c>
      <c r="T109" s="657" t="s">
        <v>5309</v>
      </c>
      <c r="U109" s="1173" t="s">
        <v>5310</v>
      </c>
      <c r="V109" s="657" t="s">
        <v>5311</v>
      </c>
      <c r="W109" s="1173" t="s">
        <v>5312</v>
      </c>
      <c r="X109" s="657" t="s">
        <v>5313</v>
      </c>
      <c r="Y109" s="1173" t="s">
        <v>5314</v>
      </c>
      <c r="Z109" s="657" t="s">
        <v>5315</v>
      </c>
      <c r="AA109" s="1173" t="s">
        <v>5316</v>
      </c>
      <c r="AB109" s="657" t="s">
        <v>5317</v>
      </c>
      <c r="AC109" s="1173" t="s">
        <v>5318</v>
      </c>
      <c r="AD109" s="657" t="s">
        <v>5319</v>
      </c>
      <c r="AE109" s="1173" t="s">
        <v>5320</v>
      </c>
      <c r="AF109" s="657" t="s">
        <v>5321</v>
      </c>
      <c r="AG109" s="1173" t="s">
        <v>5322</v>
      </c>
      <c r="AH109" s="657" t="s">
        <v>5323</v>
      </c>
      <c r="AI109" s="1173" t="s">
        <v>5324</v>
      </c>
      <c r="AJ109" s="657" t="s">
        <v>5325</v>
      </c>
      <c r="AK109" s="1173" t="s">
        <v>5326</v>
      </c>
    </row>
    <row r="110" spans="1:37" s="170" customFormat="1" ht="15" customHeight="1" x14ac:dyDescent="0.2">
      <c r="A110" s="6234">
        <v>23060004</v>
      </c>
      <c r="B110" s="1276" t="s">
        <v>1061</v>
      </c>
      <c r="C110" s="1310" t="s">
        <v>5292</v>
      </c>
      <c r="D110" s="1311" t="s">
        <v>5293</v>
      </c>
      <c r="E110" s="1153" t="s">
        <v>5294</v>
      </c>
      <c r="F110" s="64" t="s">
        <v>5295</v>
      </c>
      <c r="G110" s="1154" t="s">
        <v>5296</v>
      </c>
      <c r="H110" s="64" t="s">
        <v>5297</v>
      </c>
      <c r="I110" s="1154" t="s">
        <v>5298</v>
      </c>
      <c r="J110" s="64" t="s">
        <v>5299</v>
      </c>
      <c r="K110" s="1154" t="s">
        <v>5300</v>
      </c>
      <c r="L110" s="64" t="s">
        <v>5301</v>
      </c>
      <c r="M110" s="1154" t="s">
        <v>5302</v>
      </c>
      <c r="N110" s="64" t="s">
        <v>5303</v>
      </c>
      <c r="O110" s="1154" t="s">
        <v>5304</v>
      </c>
      <c r="P110" s="64" t="s">
        <v>5305</v>
      </c>
      <c r="Q110" s="1154" t="s">
        <v>5306</v>
      </c>
      <c r="R110" s="64" t="s">
        <v>5307</v>
      </c>
      <c r="S110" s="1154" t="s">
        <v>5308</v>
      </c>
      <c r="T110" s="64" t="s">
        <v>5309</v>
      </c>
      <c r="U110" s="1154" t="s">
        <v>5310</v>
      </c>
      <c r="V110" s="64" t="s">
        <v>5311</v>
      </c>
      <c r="W110" s="1154" t="s">
        <v>5312</v>
      </c>
      <c r="X110" s="64" t="s">
        <v>5313</v>
      </c>
      <c r="Y110" s="1154" t="s">
        <v>5314</v>
      </c>
      <c r="Z110" s="64" t="s">
        <v>5315</v>
      </c>
      <c r="AA110" s="1154" t="s">
        <v>5316</v>
      </c>
      <c r="AB110" s="64" t="s">
        <v>5317</v>
      </c>
      <c r="AC110" s="1154" t="s">
        <v>5318</v>
      </c>
      <c r="AD110" s="64" t="s">
        <v>5319</v>
      </c>
      <c r="AE110" s="1154" t="s">
        <v>5320</v>
      </c>
      <c r="AF110" s="64" t="s">
        <v>5321</v>
      </c>
      <c r="AG110" s="1154" t="s">
        <v>5322</v>
      </c>
      <c r="AH110" s="64" t="s">
        <v>5323</v>
      </c>
      <c r="AI110" s="1154" t="s">
        <v>5324</v>
      </c>
      <c r="AJ110" s="64" t="s">
        <v>5325</v>
      </c>
      <c r="AK110" s="1154" t="s">
        <v>5326</v>
      </c>
    </row>
    <row r="111" spans="1:37" s="1116" customFormat="1" ht="18" customHeight="1" x14ac:dyDescent="0.2">
      <c r="B111" s="42" t="s">
        <v>1062</v>
      </c>
    </row>
    <row r="112" spans="1:37" s="170" customFormat="1" ht="15" customHeight="1" x14ac:dyDescent="0.2">
      <c r="A112" s="6282"/>
      <c r="B112" s="7755" t="s">
        <v>1058</v>
      </c>
      <c r="C112" s="7779" t="s">
        <v>24</v>
      </c>
      <c r="D112" s="7764"/>
      <c r="E112" s="7765"/>
      <c r="F112" s="7789" t="s">
        <v>30</v>
      </c>
      <c r="G112" s="7768"/>
      <c r="H112" s="7768"/>
      <c r="I112" s="7768"/>
      <c r="J112" s="7768"/>
      <c r="K112" s="7768"/>
      <c r="L112" s="7768"/>
      <c r="M112" s="7768"/>
      <c r="N112" s="7768"/>
      <c r="O112" s="7768"/>
      <c r="P112" s="7768"/>
      <c r="Q112" s="7768"/>
      <c r="R112" s="7768"/>
      <c r="S112" s="7768"/>
      <c r="T112" s="7768"/>
      <c r="U112" s="7768"/>
      <c r="V112" s="7768"/>
      <c r="W112" s="7768"/>
      <c r="X112" s="7768"/>
      <c r="Y112" s="7768"/>
      <c r="Z112" s="7768"/>
      <c r="AA112" s="7768"/>
      <c r="AB112" s="7768"/>
      <c r="AC112" s="7768"/>
      <c r="AD112" s="7768"/>
      <c r="AE112" s="7768"/>
      <c r="AF112" s="7768"/>
      <c r="AG112" s="7768"/>
      <c r="AH112" s="7768"/>
      <c r="AI112" s="7768"/>
      <c r="AJ112" s="7768"/>
      <c r="AK112" s="7769"/>
    </row>
    <row r="113" spans="1:89" s="170" customFormat="1" ht="15" customHeight="1" x14ac:dyDescent="0.2">
      <c r="A113" s="6282"/>
      <c r="B113" s="6762"/>
      <c r="C113" s="7780"/>
      <c r="D113" s="7766"/>
      <c r="E113" s="7767"/>
      <c r="F113" s="7756" t="s">
        <v>1001</v>
      </c>
      <c r="G113" s="7757"/>
      <c r="H113" s="7756" t="s">
        <v>1002</v>
      </c>
      <c r="I113" s="7757"/>
      <c r="J113" s="7756" t="s">
        <v>1003</v>
      </c>
      <c r="K113" s="7757"/>
      <c r="L113" s="7756" t="s">
        <v>38</v>
      </c>
      <c r="M113" s="7757"/>
      <c r="N113" s="7756" t="s">
        <v>4</v>
      </c>
      <c r="O113" s="7757"/>
      <c r="P113" s="7802" t="s">
        <v>5</v>
      </c>
      <c r="Q113" s="7771"/>
      <c r="R113" s="7756" t="s">
        <v>1004</v>
      </c>
      <c r="S113" s="7757"/>
      <c r="T113" s="7771" t="s">
        <v>9</v>
      </c>
      <c r="U113" s="7771"/>
      <c r="V113" s="7756" t="s">
        <v>10</v>
      </c>
      <c r="W113" s="7757"/>
      <c r="X113" s="7771" t="s">
        <v>11</v>
      </c>
      <c r="Y113" s="7771"/>
      <c r="Z113" s="7756" t="s">
        <v>18</v>
      </c>
      <c r="AA113" s="7757"/>
      <c r="AB113" s="7771" t="s">
        <v>19</v>
      </c>
      <c r="AC113" s="7771"/>
      <c r="AD113" s="7756" t="s">
        <v>20</v>
      </c>
      <c r="AE113" s="7757"/>
      <c r="AF113" s="7771" t="s">
        <v>70</v>
      </c>
      <c r="AG113" s="7771"/>
      <c r="AH113" s="7756" t="s">
        <v>71</v>
      </c>
      <c r="AI113" s="7757"/>
      <c r="AJ113" s="7805" t="s">
        <v>32</v>
      </c>
      <c r="AK113" s="7806"/>
    </row>
    <row r="114" spans="1:89" s="170" customFormat="1" ht="15" customHeight="1" x14ac:dyDescent="0.2">
      <c r="A114" s="6282"/>
      <c r="B114" s="7795"/>
      <c r="C114" s="1231" t="s">
        <v>26</v>
      </c>
      <c r="D114" s="1232" t="s">
        <v>22</v>
      </c>
      <c r="E114" s="1167" t="s">
        <v>27</v>
      </c>
      <c r="F114" s="1165" t="s">
        <v>22</v>
      </c>
      <c r="G114" s="1167" t="s">
        <v>27</v>
      </c>
      <c r="H114" s="1165" t="s">
        <v>22</v>
      </c>
      <c r="I114" s="1167" t="s">
        <v>27</v>
      </c>
      <c r="J114" s="1165" t="s">
        <v>22</v>
      </c>
      <c r="K114" s="1167" t="s">
        <v>27</v>
      </c>
      <c r="L114" s="1232" t="s">
        <v>22</v>
      </c>
      <c r="M114" s="1233" t="s">
        <v>27</v>
      </c>
      <c r="N114" s="1165" t="s">
        <v>22</v>
      </c>
      <c r="O114" s="1167" t="s">
        <v>27</v>
      </c>
      <c r="P114" s="1232" t="s">
        <v>22</v>
      </c>
      <c r="Q114" s="1233" t="s">
        <v>27</v>
      </c>
      <c r="R114" s="1165" t="s">
        <v>22</v>
      </c>
      <c r="S114" s="1167" t="s">
        <v>27</v>
      </c>
      <c r="T114" s="1232" t="s">
        <v>22</v>
      </c>
      <c r="U114" s="1233" t="s">
        <v>27</v>
      </c>
      <c r="V114" s="1165" t="s">
        <v>22</v>
      </c>
      <c r="W114" s="1167" t="s">
        <v>27</v>
      </c>
      <c r="X114" s="1232" t="s">
        <v>22</v>
      </c>
      <c r="Y114" s="1233" t="s">
        <v>27</v>
      </c>
      <c r="Z114" s="1165" t="s">
        <v>22</v>
      </c>
      <c r="AA114" s="1167" t="s">
        <v>27</v>
      </c>
      <c r="AB114" s="1232" t="s">
        <v>22</v>
      </c>
      <c r="AC114" s="1233" t="s">
        <v>27</v>
      </c>
      <c r="AD114" s="1165" t="s">
        <v>22</v>
      </c>
      <c r="AE114" s="1167" t="s">
        <v>27</v>
      </c>
      <c r="AF114" s="1232" t="s">
        <v>22</v>
      </c>
      <c r="AG114" s="1233" t="s">
        <v>27</v>
      </c>
      <c r="AH114" s="1165" t="s">
        <v>22</v>
      </c>
      <c r="AI114" s="1167" t="s">
        <v>27</v>
      </c>
      <c r="AJ114" s="1232" t="s">
        <v>22</v>
      </c>
      <c r="AK114" s="1167" t="s">
        <v>27</v>
      </c>
    </row>
    <row r="115" spans="1:89" s="170" customFormat="1" ht="15" customHeight="1" x14ac:dyDescent="0.2">
      <c r="A115" s="6234">
        <v>23090550</v>
      </c>
      <c r="B115" s="1309" t="s">
        <v>1059</v>
      </c>
      <c r="C115" s="1312" t="s">
        <v>5292</v>
      </c>
      <c r="D115" s="1132" t="s">
        <v>5293</v>
      </c>
      <c r="E115" s="1133" t="s">
        <v>5294</v>
      </c>
      <c r="F115" s="1125" t="s">
        <v>5295</v>
      </c>
      <c r="G115" s="1126" t="s">
        <v>5296</v>
      </c>
      <c r="H115" s="1125" t="s">
        <v>5297</v>
      </c>
      <c r="I115" s="1126" t="s">
        <v>5298</v>
      </c>
      <c r="J115" s="1125" t="s">
        <v>5299</v>
      </c>
      <c r="K115" s="1126" t="s">
        <v>5300</v>
      </c>
      <c r="L115" s="1125" t="s">
        <v>5301</v>
      </c>
      <c r="M115" s="1126" t="s">
        <v>5302</v>
      </c>
      <c r="N115" s="1125" t="s">
        <v>5303</v>
      </c>
      <c r="O115" s="1126" t="s">
        <v>5304</v>
      </c>
      <c r="P115" s="1125" t="s">
        <v>5305</v>
      </c>
      <c r="Q115" s="1126" t="s">
        <v>5306</v>
      </c>
      <c r="R115" s="1125" t="s">
        <v>5307</v>
      </c>
      <c r="S115" s="1126" t="s">
        <v>5308</v>
      </c>
      <c r="T115" s="1125" t="s">
        <v>5309</v>
      </c>
      <c r="U115" s="1126" t="s">
        <v>5310</v>
      </c>
      <c r="V115" s="1125" t="s">
        <v>5311</v>
      </c>
      <c r="W115" s="1126" t="s">
        <v>5312</v>
      </c>
      <c r="X115" s="1125" t="s">
        <v>5313</v>
      </c>
      <c r="Y115" s="1126" t="s">
        <v>5314</v>
      </c>
      <c r="Z115" s="1125" t="s">
        <v>5315</v>
      </c>
      <c r="AA115" s="1126" t="s">
        <v>5316</v>
      </c>
      <c r="AB115" s="1125" t="s">
        <v>5317</v>
      </c>
      <c r="AC115" s="1126" t="s">
        <v>5318</v>
      </c>
      <c r="AD115" s="1125" t="s">
        <v>5319</v>
      </c>
      <c r="AE115" s="1126" t="s">
        <v>5320</v>
      </c>
      <c r="AF115" s="1125" t="s">
        <v>5321</v>
      </c>
      <c r="AG115" s="1126" t="s">
        <v>5322</v>
      </c>
      <c r="AH115" s="1125" t="s">
        <v>5323</v>
      </c>
      <c r="AI115" s="1126" t="s">
        <v>5324</v>
      </c>
      <c r="AJ115" s="1125" t="s">
        <v>5325</v>
      </c>
      <c r="AK115" s="1126" t="s">
        <v>5326</v>
      </c>
    </row>
    <row r="116" spans="1:89" s="170" customFormat="1" ht="15" customHeight="1" x14ac:dyDescent="0.2">
      <c r="A116" s="6234">
        <v>23090560</v>
      </c>
      <c r="B116" s="1139" t="s">
        <v>1063</v>
      </c>
      <c r="C116" s="1131" t="s">
        <v>5292</v>
      </c>
      <c r="D116" s="1132" t="s">
        <v>5293</v>
      </c>
      <c r="E116" s="1133" t="s">
        <v>5294</v>
      </c>
      <c r="F116" s="1134" t="s">
        <v>5295</v>
      </c>
      <c r="G116" s="62" t="s">
        <v>5296</v>
      </c>
      <c r="H116" s="1134" t="s">
        <v>5297</v>
      </c>
      <c r="I116" s="62" t="s">
        <v>5298</v>
      </c>
      <c r="J116" s="1134" t="s">
        <v>5299</v>
      </c>
      <c r="K116" s="62" t="s">
        <v>5300</v>
      </c>
      <c r="L116" s="1134" t="s">
        <v>5301</v>
      </c>
      <c r="M116" s="62" t="s">
        <v>5302</v>
      </c>
      <c r="N116" s="1134" t="s">
        <v>5303</v>
      </c>
      <c r="O116" s="62" t="s">
        <v>5304</v>
      </c>
      <c r="P116" s="1134" t="s">
        <v>5305</v>
      </c>
      <c r="Q116" s="62" t="s">
        <v>5306</v>
      </c>
      <c r="R116" s="1134" t="s">
        <v>5307</v>
      </c>
      <c r="S116" s="62" t="s">
        <v>5308</v>
      </c>
      <c r="T116" s="1134" t="s">
        <v>5309</v>
      </c>
      <c r="U116" s="62" t="s">
        <v>5310</v>
      </c>
      <c r="V116" s="1134" t="s">
        <v>5311</v>
      </c>
      <c r="W116" s="62" t="s">
        <v>5312</v>
      </c>
      <c r="X116" s="1134" t="s">
        <v>5313</v>
      </c>
      <c r="Y116" s="62" t="s">
        <v>5314</v>
      </c>
      <c r="Z116" s="1134" t="s">
        <v>5315</v>
      </c>
      <c r="AA116" s="62" t="s">
        <v>5316</v>
      </c>
      <c r="AB116" s="1134" t="s">
        <v>5317</v>
      </c>
      <c r="AC116" s="62" t="s">
        <v>5318</v>
      </c>
      <c r="AD116" s="1134" t="s">
        <v>5319</v>
      </c>
      <c r="AE116" s="62" t="s">
        <v>5320</v>
      </c>
      <c r="AF116" s="1134" t="s">
        <v>5321</v>
      </c>
      <c r="AG116" s="62" t="s">
        <v>5322</v>
      </c>
      <c r="AH116" s="1134" t="s">
        <v>5323</v>
      </c>
      <c r="AI116" s="62" t="s">
        <v>5324</v>
      </c>
      <c r="AJ116" s="1134" t="s">
        <v>5325</v>
      </c>
      <c r="AK116" s="62" t="s">
        <v>5326</v>
      </c>
    </row>
    <row r="117" spans="1:89" s="170" customFormat="1" ht="15" customHeight="1" x14ac:dyDescent="0.2">
      <c r="A117" s="6234">
        <v>23090570</v>
      </c>
      <c r="B117" s="1139" t="s">
        <v>1064</v>
      </c>
      <c r="C117" s="1131" t="s">
        <v>5292</v>
      </c>
      <c r="D117" s="1132" t="s">
        <v>5293</v>
      </c>
      <c r="E117" s="1133" t="s">
        <v>5294</v>
      </c>
      <c r="F117" s="1301" t="s">
        <v>5295</v>
      </c>
      <c r="G117" s="1190" t="s">
        <v>5296</v>
      </c>
      <c r="H117" s="1301" t="s">
        <v>5297</v>
      </c>
      <c r="I117" s="1190" t="s">
        <v>5298</v>
      </c>
      <c r="J117" s="1301" t="s">
        <v>5299</v>
      </c>
      <c r="K117" s="1190" t="s">
        <v>5300</v>
      </c>
      <c r="L117" s="1301" t="s">
        <v>5301</v>
      </c>
      <c r="M117" s="1190" t="s">
        <v>5302</v>
      </c>
      <c r="N117" s="1301" t="s">
        <v>5303</v>
      </c>
      <c r="O117" s="1190" t="s">
        <v>5304</v>
      </c>
      <c r="P117" s="1301" t="s">
        <v>5305</v>
      </c>
      <c r="Q117" s="1190" t="s">
        <v>5306</v>
      </c>
      <c r="R117" s="1301" t="s">
        <v>5307</v>
      </c>
      <c r="S117" s="1190" t="s">
        <v>5308</v>
      </c>
      <c r="T117" s="1301" t="s">
        <v>5309</v>
      </c>
      <c r="U117" s="1190" t="s">
        <v>5310</v>
      </c>
      <c r="V117" s="1301" t="s">
        <v>5311</v>
      </c>
      <c r="W117" s="1190" t="s">
        <v>5312</v>
      </c>
      <c r="X117" s="1301" t="s">
        <v>5313</v>
      </c>
      <c r="Y117" s="1190" t="s">
        <v>5314</v>
      </c>
      <c r="Z117" s="1301" t="s">
        <v>5315</v>
      </c>
      <c r="AA117" s="1190" t="s">
        <v>5316</v>
      </c>
      <c r="AB117" s="1301" t="s">
        <v>5317</v>
      </c>
      <c r="AC117" s="1190" t="s">
        <v>5318</v>
      </c>
      <c r="AD117" s="1301" t="s">
        <v>5319</v>
      </c>
      <c r="AE117" s="1190" t="s">
        <v>5320</v>
      </c>
      <c r="AF117" s="1301" t="s">
        <v>5321</v>
      </c>
      <c r="AG117" s="1190" t="s">
        <v>5322</v>
      </c>
      <c r="AH117" s="1301" t="s">
        <v>5323</v>
      </c>
      <c r="AI117" s="1190" t="s">
        <v>5324</v>
      </c>
      <c r="AJ117" s="1301" t="s">
        <v>5325</v>
      </c>
      <c r="AK117" s="1190" t="s">
        <v>5326</v>
      </c>
    </row>
    <row r="118" spans="1:89" s="170" customFormat="1" ht="15" customHeight="1" x14ac:dyDescent="0.2">
      <c r="A118" s="6234">
        <v>23090580</v>
      </c>
      <c r="B118" s="1313" t="s">
        <v>1061</v>
      </c>
      <c r="C118" s="1131" t="s">
        <v>5292</v>
      </c>
      <c r="D118" s="1132" t="s">
        <v>5293</v>
      </c>
      <c r="E118" s="1133" t="s">
        <v>5294</v>
      </c>
      <c r="F118" s="1301" t="s">
        <v>5295</v>
      </c>
      <c r="G118" s="1190" t="s">
        <v>5296</v>
      </c>
      <c r="H118" s="1301" t="s">
        <v>5297</v>
      </c>
      <c r="I118" s="1190" t="s">
        <v>5298</v>
      </c>
      <c r="J118" s="1301" t="s">
        <v>5299</v>
      </c>
      <c r="K118" s="1190" t="s">
        <v>5300</v>
      </c>
      <c r="L118" s="1301" t="s">
        <v>5301</v>
      </c>
      <c r="M118" s="1190" t="s">
        <v>5302</v>
      </c>
      <c r="N118" s="1301" t="s">
        <v>5303</v>
      </c>
      <c r="O118" s="1190" t="s">
        <v>5304</v>
      </c>
      <c r="P118" s="1301" t="s">
        <v>5305</v>
      </c>
      <c r="Q118" s="1190" t="s">
        <v>5306</v>
      </c>
      <c r="R118" s="1301" t="s">
        <v>5307</v>
      </c>
      <c r="S118" s="1190" t="s">
        <v>5308</v>
      </c>
      <c r="T118" s="1301" t="s">
        <v>5309</v>
      </c>
      <c r="U118" s="1190" t="s">
        <v>5310</v>
      </c>
      <c r="V118" s="1301" t="s">
        <v>5311</v>
      </c>
      <c r="W118" s="1190" t="s">
        <v>5312</v>
      </c>
      <c r="X118" s="1301" t="s">
        <v>5313</v>
      </c>
      <c r="Y118" s="1190" t="s">
        <v>5314</v>
      </c>
      <c r="Z118" s="1301" t="s">
        <v>5315</v>
      </c>
      <c r="AA118" s="1190" t="s">
        <v>5316</v>
      </c>
      <c r="AB118" s="1301" t="s">
        <v>5317</v>
      </c>
      <c r="AC118" s="1190" t="s">
        <v>5318</v>
      </c>
      <c r="AD118" s="1301" t="s">
        <v>5319</v>
      </c>
      <c r="AE118" s="1190" t="s">
        <v>5320</v>
      </c>
      <c r="AF118" s="1301" t="s">
        <v>5321</v>
      </c>
      <c r="AG118" s="1190" t="s">
        <v>5322</v>
      </c>
      <c r="AH118" s="1301" t="s">
        <v>5323</v>
      </c>
      <c r="AI118" s="1190" t="s">
        <v>5324</v>
      </c>
      <c r="AJ118" s="1301" t="s">
        <v>5325</v>
      </c>
      <c r="AK118" s="1190" t="s">
        <v>5326</v>
      </c>
    </row>
    <row r="119" spans="1:89" s="170" customFormat="1" ht="15" customHeight="1" x14ac:dyDescent="0.2">
      <c r="A119" s="6234">
        <v>23044400</v>
      </c>
      <c r="B119" s="1314" t="s">
        <v>951</v>
      </c>
      <c r="C119" s="1315" t="s">
        <v>5292</v>
      </c>
      <c r="D119" s="1216" t="s">
        <v>5293</v>
      </c>
      <c r="E119" s="1153" t="s">
        <v>5294</v>
      </c>
      <c r="F119" s="64" t="s">
        <v>5295</v>
      </c>
      <c r="G119" s="65" t="s">
        <v>5296</v>
      </c>
      <c r="H119" s="64" t="s">
        <v>5297</v>
      </c>
      <c r="I119" s="65" t="s">
        <v>5298</v>
      </c>
      <c r="J119" s="64" t="s">
        <v>5299</v>
      </c>
      <c r="K119" s="65" t="s">
        <v>5300</v>
      </c>
      <c r="L119" s="64" t="s">
        <v>5301</v>
      </c>
      <c r="M119" s="65" t="s">
        <v>5302</v>
      </c>
      <c r="N119" s="64" t="s">
        <v>5303</v>
      </c>
      <c r="O119" s="65" t="s">
        <v>5304</v>
      </c>
      <c r="P119" s="64" t="s">
        <v>5305</v>
      </c>
      <c r="Q119" s="65" t="s">
        <v>5306</v>
      </c>
      <c r="R119" s="64" t="s">
        <v>5307</v>
      </c>
      <c r="S119" s="65" t="s">
        <v>5308</v>
      </c>
      <c r="T119" s="64" t="s">
        <v>5309</v>
      </c>
      <c r="U119" s="65" t="s">
        <v>5310</v>
      </c>
      <c r="V119" s="64" t="s">
        <v>5311</v>
      </c>
      <c r="W119" s="65" t="s">
        <v>5312</v>
      </c>
      <c r="X119" s="64" t="s">
        <v>5313</v>
      </c>
      <c r="Y119" s="65" t="s">
        <v>5314</v>
      </c>
      <c r="Z119" s="64" t="s">
        <v>5315</v>
      </c>
      <c r="AA119" s="65" t="s">
        <v>5316</v>
      </c>
      <c r="AB119" s="64" t="s">
        <v>5317</v>
      </c>
      <c r="AC119" s="65" t="s">
        <v>5318</v>
      </c>
      <c r="AD119" s="64" t="s">
        <v>5319</v>
      </c>
      <c r="AE119" s="65" t="s">
        <v>5320</v>
      </c>
      <c r="AF119" s="64" t="s">
        <v>5321</v>
      </c>
      <c r="AG119" s="65" t="s">
        <v>5322</v>
      </c>
      <c r="AH119" s="64" t="s">
        <v>5323</v>
      </c>
      <c r="AI119" s="65" t="s">
        <v>5324</v>
      </c>
      <c r="AJ119" s="64" t="s">
        <v>5325</v>
      </c>
      <c r="AK119" s="65" t="s">
        <v>5326</v>
      </c>
    </row>
    <row r="120" spans="1:89" s="1116" customFormat="1" ht="18" customHeight="1" x14ac:dyDescent="0.25">
      <c r="A120" s="20"/>
      <c r="B120" s="7" t="s">
        <v>1065</v>
      </c>
    </row>
    <row r="121" spans="1:89" s="170" customFormat="1" ht="15" customHeight="1" x14ac:dyDescent="0.25">
      <c r="A121" s="20"/>
      <c r="B121" s="7798" t="s">
        <v>1000</v>
      </c>
      <c r="C121" s="6983" t="s">
        <v>24</v>
      </c>
      <c r="D121" s="6983"/>
      <c r="E121" s="7755"/>
      <c r="F121" s="7756" t="s">
        <v>30</v>
      </c>
      <c r="G121" s="7771"/>
      <c r="H121" s="7771"/>
      <c r="I121" s="7771"/>
      <c r="J121" s="7771"/>
      <c r="K121" s="7771"/>
      <c r="L121" s="7771"/>
      <c r="M121" s="7771"/>
      <c r="N121" s="7771"/>
      <c r="O121" s="7771"/>
      <c r="P121" s="7771"/>
      <c r="Q121" s="7771"/>
      <c r="R121" s="7771"/>
      <c r="S121" s="7771"/>
      <c r="T121" s="7771"/>
      <c r="U121" s="7771"/>
      <c r="V121" s="7771"/>
      <c r="W121" s="7771"/>
      <c r="X121" s="7771"/>
      <c r="Y121" s="7771"/>
      <c r="Z121" s="7771"/>
      <c r="AA121" s="7771"/>
      <c r="AB121" s="7771"/>
      <c r="AC121" s="7771"/>
      <c r="AD121" s="7771"/>
      <c r="AE121" s="7771"/>
      <c r="AF121" s="7771"/>
      <c r="AG121" s="7771"/>
      <c r="AH121" s="7771"/>
      <c r="AI121" s="7771"/>
      <c r="AJ121" s="7771"/>
      <c r="AK121" s="7771"/>
      <c r="AL121" s="7803" t="s">
        <v>267</v>
      </c>
    </row>
    <row r="122" spans="1:89" s="170" customFormat="1" ht="15" customHeight="1" x14ac:dyDescent="0.25">
      <c r="A122" s="20"/>
      <c r="B122" s="7799"/>
      <c r="C122" s="7801"/>
      <c r="D122" s="7801"/>
      <c r="E122" s="7795"/>
      <c r="F122" s="7770" t="s">
        <v>682</v>
      </c>
      <c r="G122" s="7755"/>
      <c r="H122" s="7756" t="s">
        <v>1002</v>
      </c>
      <c r="I122" s="7757"/>
      <c r="J122" s="7771" t="s">
        <v>1003</v>
      </c>
      <c r="K122" s="7771"/>
      <c r="L122" s="7756" t="s">
        <v>38</v>
      </c>
      <c r="M122" s="7757"/>
      <c r="N122" s="7756" t="s">
        <v>4</v>
      </c>
      <c r="O122" s="7757"/>
      <c r="P122" s="7754" t="s">
        <v>5</v>
      </c>
      <c r="Q122" s="7755"/>
      <c r="R122" s="6983" t="s">
        <v>1004</v>
      </c>
      <c r="S122" s="6983"/>
      <c r="T122" s="7754" t="s">
        <v>9</v>
      </c>
      <c r="U122" s="7755"/>
      <c r="V122" s="6983" t="s">
        <v>10</v>
      </c>
      <c r="W122" s="6983"/>
      <c r="X122" s="7754" t="s">
        <v>11</v>
      </c>
      <c r="Y122" s="7755"/>
      <c r="Z122" s="6983" t="s">
        <v>18</v>
      </c>
      <c r="AA122" s="6983"/>
      <c r="AB122" s="7754" t="s">
        <v>19</v>
      </c>
      <c r="AC122" s="7755"/>
      <c r="AD122" s="6983" t="s">
        <v>20</v>
      </c>
      <c r="AE122" s="6983"/>
      <c r="AF122" s="7754" t="s">
        <v>70</v>
      </c>
      <c r="AG122" s="7755"/>
      <c r="AH122" s="6983" t="s">
        <v>71</v>
      </c>
      <c r="AI122" s="6983"/>
      <c r="AJ122" s="7756" t="s">
        <v>32</v>
      </c>
      <c r="AK122" s="7796"/>
      <c r="AL122" s="6904"/>
    </row>
    <row r="123" spans="1:89" s="170" customFormat="1" ht="15" customHeight="1" x14ac:dyDescent="0.25">
      <c r="A123" s="20"/>
      <c r="B123" s="7800"/>
      <c r="C123" s="1231" t="s">
        <v>26</v>
      </c>
      <c r="D123" s="1232" t="s">
        <v>22</v>
      </c>
      <c r="E123" s="1167" t="s">
        <v>27</v>
      </c>
      <c r="F123" s="1165" t="s">
        <v>22</v>
      </c>
      <c r="G123" s="1167" t="s">
        <v>27</v>
      </c>
      <c r="H123" s="1165" t="s">
        <v>22</v>
      </c>
      <c r="I123" s="1167" t="s">
        <v>27</v>
      </c>
      <c r="J123" s="1232" t="s">
        <v>22</v>
      </c>
      <c r="K123" s="1233" t="s">
        <v>27</v>
      </c>
      <c r="L123" s="1165" t="s">
        <v>22</v>
      </c>
      <c r="M123" s="1167" t="s">
        <v>27</v>
      </c>
      <c r="N123" s="1232" t="s">
        <v>22</v>
      </c>
      <c r="O123" s="1233" t="s">
        <v>27</v>
      </c>
      <c r="P123" s="1165" t="s">
        <v>22</v>
      </c>
      <c r="Q123" s="1167" t="s">
        <v>27</v>
      </c>
      <c r="R123" s="1232" t="s">
        <v>22</v>
      </c>
      <c r="S123" s="1233" t="s">
        <v>27</v>
      </c>
      <c r="T123" s="1165" t="s">
        <v>22</v>
      </c>
      <c r="U123" s="1167" t="s">
        <v>27</v>
      </c>
      <c r="V123" s="1232" t="s">
        <v>22</v>
      </c>
      <c r="W123" s="1233" t="s">
        <v>27</v>
      </c>
      <c r="X123" s="1165" t="s">
        <v>22</v>
      </c>
      <c r="Y123" s="1167" t="s">
        <v>27</v>
      </c>
      <c r="Z123" s="1232" t="s">
        <v>22</v>
      </c>
      <c r="AA123" s="1233" t="s">
        <v>27</v>
      </c>
      <c r="AB123" s="1165" t="s">
        <v>22</v>
      </c>
      <c r="AC123" s="1167" t="s">
        <v>27</v>
      </c>
      <c r="AD123" s="1232" t="s">
        <v>22</v>
      </c>
      <c r="AE123" s="1233" t="s">
        <v>27</v>
      </c>
      <c r="AF123" s="1165" t="s">
        <v>22</v>
      </c>
      <c r="AG123" s="1167" t="s">
        <v>27</v>
      </c>
      <c r="AH123" s="1232" t="s">
        <v>22</v>
      </c>
      <c r="AI123" s="1233" t="s">
        <v>27</v>
      </c>
      <c r="AJ123" s="1165" t="s">
        <v>22</v>
      </c>
      <c r="AK123" s="1233" t="s">
        <v>27</v>
      </c>
      <c r="AL123" s="7804"/>
    </row>
    <row r="124" spans="1:89" s="170" customFormat="1" ht="15" customHeight="1" x14ac:dyDescent="0.2">
      <c r="A124" s="6234" t="s">
        <v>5210</v>
      </c>
      <c r="B124" s="1319" t="s">
        <v>1066</v>
      </c>
      <c r="C124" s="1320" t="s">
        <v>5292</v>
      </c>
      <c r="D124" s="1300" t="s">
        <v>5293</v>
      </c>
      <c r="E124" s="1321" t="s">
        <v>5294</v>
      </c>
      <c r="F124" s="1125" t="s">
        <v>5295</v>
      </c>
      <c r="G124" s="1126" t="s">
        <v>5296</v>
      </c>
      <c r="H124" s="1125" t="s">
        <v>5297</v>
      </c>
      <c r="I124" s="1127" t="s">
        <v>5298</v>
      </c>
      <c r="J124" s="1128" t="s">
        <v>5299</v>
      </c>
      <c r="K124" s="1129" t="s">
        <v>5300</v>
      </c>
      <c r="L124" s="1125" t="s">
        <v>5301</v>
      </c>
      <c r="M124" s="1127" t="s">
        <v>5302</v>
      </c>
      <c r="N124" s="1128" t="s">
        <v>5303</v>
      </c>
      <c r="O124" s="1129" t="s">
        <v>5304</v>
      </c>
      <c r="P124" s="1125" t="s">
        <v>5305</v>
      </c>
      <c r="Q124" s="1127" t="s">
        <v>5306</v>
      </c>
      <c r="R124" s="1128" t="s">
        <v>5307</v>
      </c>
      <c r="S124" s="1129" t="s">
        <v>5308</v>
      </c>
      <c r="T124" s="1125" t="s">
        <v>5309</v>
      </c>
      <c r="U124" s="1127" t="s">
        <v>5310</v>
      </c>
      <c r="V124" s="1128" t="s">
        <v>5311</v>
      </c>
      <c r="W124" s="1129" t="s">
        <v>5312</v>
      </c>
      <c r="X124" s="1125" t="s">
        <v>5313</v>
      </c>
      <c r="Y124" s="1127" t="s">
        <v>5314</v>
      </c>
      <c r="Z124" s="1128" t="s">
        <v>5315</v>
      </c>
      <c r="AA124" s="1129" t="s">
        <v>5316</v>
      </c>
      <c r="AB124" s="1125" t="s">
        <v>5317</v>
      </c>
      <c r="AC124" s="1127" t="s">
        <v>5318</v>
      </c>
      <c r="AD124" s="1128" t="s">
        <v>5319</v>
      </c>
      <c r="AE124" s="1129" t="s">
        <v>5320</v>
      </c>
      <c r="AF124" s="1195" t="s">
        <v>5321</v>
      </c>
      <c r="AG124" s="1127" t="s">
        <v>5322</v>
      </c>
      <c r="AH124" s="1128" t="s">
        <v>5323</v>
      </c>
      <c r="AI124" s="1129" t="s">
        <v>5324</v>
      </c>
      <c r="AJ124" s="1195" t="s">
        <v>5325</v>
      </c>
      <c r="AK124" s="1129" t="s">
        <v>5326</v>
      </c>
      <c r="AL124" s="1322" t="s">
        <v>5327</v>
      </c>
      <c r="AM124" s="170" t="str">
        <f>CC124&amp;CD124</f>
        <v xml:space="preserve"> * La variable 'Por campaña de invierno' No puede ser mayor al Total</v>
      </c>
      <c r="CC124" s="2465" t="str">
        <f>IF(AL124&gt;C124," * La variable 'Por campaña de invierno' No puede ser mayor al Total","")</f>
        <v xml:space="preserve"> * La variable 'Por campaña de invierno' No puede ser mayor al Total</v>
      </c>
      <c r="CD124" s="2465" t="str">
        <f>IF(AND(AL124="",C124&gt;0)," * No olvide digitar la variable Por campaña de Invierno. Si no tiene digite CERO.","")</f>
        <v/>
      </c>
      <c r="CH124" s="2466">
        <f>IF(AL124&gt;C124,1,0)</f>
        <v>1</v>
      </c>
      <c r="CI124" s="2466">
        <f>IF(AND(AL124="",C124&gt;0),1,0)</f>
        <v>0</v>
      </c>
      <c r="CJ124" s="2466"/>
      <c r="CK124" s="2466"/>
    </row>
    <row r="125" spans="1:89" s="170" customFormat="1" ht="15" customHeight="1" x14ac:dyDescent="0.2">
      <c r="A125" s="6234">
        <v>23044500</v>
      </c>
      <c r="B125" s="1323" t="s">
        <v>1067</v>
      </c>
      <c r="C125" s="1324" t="s">
        <v>5292</v>
      </c>
      <c r="D125" s="1325" t="s">
        <v>5293</v>
      </c>
      <c r="E125" s="1321" t="s">
        <v>5294</v>
      </c>
      <c r="F125" s="1134" t="s">
        <v>5295</v>
      </c>
      <c r="G125" s="62" t="s">
        <v>5296</v>
      </c>
      <c r="H125" s="1134" t="s">
        <v>5297</v>
      </c>
      <c r="I125" s="1135" t="s">
        <v>5298</v>
      </c>
      <c r="J125" s="1146" t="s">
        <v>5299</v>
      </c>
      <c r="K125" s="1147" t="s">
        <v>5300</v>
      </c>
      <c r="L125" s="1144" t="s">
        <v>5301</v>
      </c>
      <c r="M125" s="1145" t="s">
        <v>5302</v>
      </c>
      <c r="N125" s="1146" t="s">
        <v>5303</v>
      </c>
      <c r="O125" s="1147" t="s">
        <v>5304</v>
      </c>
      <c r="P125" s="1144" t="s">
        <v>5305</v>
      </c>
      <c r="Q125" s="1145" t="s">
        <v>5306</v>
      </c>
      <c r="R125" s="1146" t="s">
        <v>5307</v>
      </c>
      <c r="S125" s="1147" t="s">
        <v>5308</v>
      </c>
      <c r="T125" s="1144" t="s">
        <v>5309</v>
      </c>
      <c r="U125" s="1145" t="s">
        <v>5310</v>
      </c>
      <c r="V125" s="1146" t="s">
        <v>5311</v>
      </c>
      <c r="W125" s="1147" t="s">
        <v>5312</v>
      </c>
      <c r="X125" s="1144" t="s">
        <v>5313</v>
      </c>
      <c r="Y125" s="1145" t="s">
        <v>5314</v>
      </c>
      <c r="Z125" s="1146" t="s">
        <v>5315</v>
      </c>
      <c r="AA125" s="1147" t="s">
        <v>5316</v>
      </c>
      <c r="AB125" s="1144" t="s">
        <v>5317</v>
      </c>
      <c r="AC125" s="1145" t="s">
        <v>5318</v>
      </c>
      <c r="AD125" s="1146" t="s">
        <v>5319</v>
      </c>
      <c r="AE125" s="1147" t="s">
        <v>5320</v>
      </c>
      <c r="AF125" s="1326" t="s">
        <v>5321</v>
      </c>
      <c r="AG125" s="1145" t="s">
        <v>5322</v>
      </c>
      <c r="AH125" s="1146" t="s">
        <v>5323</v>
      </c>
      <c r="AI125" s="1147" t="s">
        <v>5324</v>
      </c>
      <c r="AJ125" s="1326" t="s">
        <v>5325</v>
      </c>
      <c r="AK125" s="1147" t="s">
        <v>5326</v>
      </c>
      <c r="AL125" s="1327" t="s">
        <v>5327</v>
      </c>
      <c r="AM125" s="170" t="str">
        <f t="shared" ref="AM125:AM129" si="31">CC125&amp;CD125</f>
        <v xml:space="preserve"> * La variable 'Por campaña de invierno' No puede ser mayor al Total</v>
      </c>
      <c r="CC125" s="2465" t="str">
        <f t="shared" ref="CC125:CC129" si="32">IF(AL125&gt;C125," * La variable 'Por campaña de invierno' No puede ser mayor al Total","")</f>
        <v xml:space="preserve"> * La variable 'Por campaña de invierno' No puede ser mayor al Total</v>
      </c>
      <c r="CD125" s="2465" t="str">
        <f t="shared" ref="CD125:CD129" si="33">IF(AND(AL125="",C125&gt;0)," * No olvide digitar la variable Por campaña de Invierno. Si no tiene digite CERO.","")</f>
        <v/>
      </c>
      <c r="CH125" s="2466">
        <f t="shared" ref="CH125:CH127" si="34">IF(AL125&gt;C125,1,0)</f>
        <v>1</v>
      </c>
      <c r="CI125" s="2466">
        <f t="shared" ref="CI125:CI129" si="35">IF(AND(AL125="",C125&gt;0),1,0)</f>
        <v>0</v>
      </c>
      <c r="CJ125" s="2466"/>
      <c r="CK125" s="2466"/>
    </row>
    <row r="126" spans="1:89" s="170" customFormat="1" ht="15" customHeight="1" x14ac:dyDescent="0.2">
      <c r="A126" s="6234">
        <v>23044600</v>
      </c>
      <c r="B126" s="1323" t="s">
        <v>1068</v>
      </c>
      <c r="C126" s="1324" t="s">
        <v>5292</v>
      </c>
      <c r="D126" s="1325" t="s">
        <v>5293</v>
      </c>
      <c r="E126" s="1321" t="s">
        <v>5294</v>
      </c>
      <c r="F126" s="1196" t="s">
        <v>5295</v>
      </c>
      <c r="G126" s="1197" t="s">
        <v>5296</v>
      </c>
      <c r="H126" s="1134" t="s">
        <v>5297</v>
      </c>
      <c r="I126" s="1135" t="s">
        <v>5298</v>
      </c>
      <c r="J126" s="1136" t="s">
        <v>5299</v>
      </c>
      <c r="K126" s="1137" t="s">
        <v>5300</v>
      </c>
      <c r="L126" s="1134" t="s">
        <v>5301</v>
      </c>
      <c r="M126" s="1135" t="s">
        <v>5302</v>
      </c>
      <c r="N126" s="1136" t="s">
        <v>5303</v>
      </c>
      <c r="O126" s="1137" t="s">
        <v>5304</v>
      </c>
      <c r="P126" s="1134" t="s">
        <v>5305</v>
      </c>
      <c r="Q126" s="1135" t="s">
        <v>5306</v>
      </c>
      <c r="R126" s="1136" t="s">
        <v>5307</v>
      </c>
      <c r="S126" s="1137" t="s">
        <v>5308</v>
      </c>
      <c r="T126" s="1134" t="s">
        <v>5309</v>
      </c>
      <c r="U126" s="1135" t="s">
        <v>5310</v>
      </c>
      <c r="V126" s="1136" t="s">
        <v>5311</v>
      </c>
      <c r="W126" s="1137" t="s">
        <v>5312</v>
      </c>
      <c r="X126" s="1134" t="s">
        <v>5313</v>
      </c>
      <c r="Y126" s="1135" t="s">
        <v>5314</v>
      </c>
      <c r="Z126" s="1136" t="s">
        <v>5315</v>
      </c>
      <c r="AA126" s="1137" t="s">
        <v>5316</v>
      </c>
      <c r="AB126" s="1134" t="s">
        <v>5317</v>
      </c>
      <c r="AC126" s="1135" t="s">
        <v>5318</v>
      </c>
      <c r="AD126" s="1136" t="s">
        <v>5319</v>
      </c>
      <c r="AE126" s="1137" t="s">
        <v>5320</v>
      </c>
      <c r="AF126" s="1213" t="s">
        <v>5321</v>
      </c>
      <c r="AG126" s="1135" t="s">
        <v>5322</v>
      </c>
      <c r="AH126" s="1136" t="s">
        <v>5323</v>
      </c>
      <c r="AI126" s="1137" t="s">
        <v>5324</v>
      </c>
      <c r="AJ126" s="1213" t="s">
        <v>5325</v>
      </c>
      <c r="AK126" s="1137" t="s">
        <v>5326</v>
      </c>
      <c r="AL126" s="1327" t="s">
        <v>5327</v>
      </c>
      <c r="AM126" s="170" t="str">
        <f t="shared" si="31"/>
        <v xml:space="preserve"> * La variable 'Por campaña de invierno' No puede ser mayor al Total</v>
      </c>
      <c r="CC126" s="2465" t="str">
        <f t="shared" si="32"/>
        <v xml:space="preserve"> * La variable 'Por campaña de invierno' No puede ser mayor al Total</v>
      </c>
      <c r="CD126" s="2465" t="str">
        <f t="shared" si="33"/>
        <v/>
      </c>
      <c r="CH126" s="2466">
        <f t="shared" si="34"/>
        <v>1</v>
      </c>
      <c r="CI126" s="2466">
        <f t="shared" si="35"/>
        <v>0</v>
      </c>
      <c r="CJ126" s="2466"/>
      <c r="CK126" s="2466"/>
    </row>
    <row r="127" spans="1:89" s="170" customFormat="1" ht="15" customHeight="1" x14ac:dyDescent="0.2">
      <c r="A127" s="6234">
        <v>23044700</v>
      </c>
      <c r="B127" s="1323" t="s">
        <v>1069</v>
      </c>
      <c r="C127" s="1324" t="s">
        <v>5292</v>
      </c>
      <c r="D127" s="1325" t="s">
        <v>5293</v>
      </c>
      <c r="E127" s="1321" t="s">
        <v>5294</v>
      </c>
      <c r="F127" s="1134" t="s">
        <v>5295</v>
      </c>
      <c r="G127" s="62" t="s">
        <v>5296</v>
      </c>
      <c r="H127" s="1134" t="s">
        <v>5297</v>
      </c>
      <c r="I127" s="1135" t="s">
        <v>5298</v>
      </c>
      <c r="J127" s="1136" t="s">
        <v>5299</v>
      </c>
      <c r="K127" s="1137" t="s">
        <v>5300</v>
      </c>
      <c r="L127" s="1134" t="s">
        <v>5301</v>
      </c>
      <c r="M127" s="1135" t="s">
        <v>5302</v>
      </c>
      <c r="N127" s="1136" t="s">
        <v>5303</v>
      </c>
      <c r="O127" s="1137" t="s">
        <v>5304</v>
      </c>
      <c r="P127" s="1134" t="s">
        <v>5305</v>
      </c>
      <c r="Q127" s="1135" t="s">
        <v>5306</v>
      </c>
      <c r="R127" s="1136" t="s">
        <v>5307</v>
      </c>
      <c r="S127" s="1137" t="s">
        <v>5308</v>
      </c>
      <c r="T127" s="1134" t="s">
        <v>5309</v>
      </c>
      <c r="U127" s="1135" t="s">
        <v>5310</v>
      </c>
      <c r="V127" s="1136" t="s">
        <v>5311</v>
      </c>
      <c r="W127" s="1137" t="s">
        <v>5312</v>
      </c>
      <c r="X127" s="1134" t="s">
        <v>5313</v>
      </c>
      <c r="Y127" s="1135" t="s">
        <v>5314</v>
      </c>
      <c r="Z127" s="1136" t="s">
        <v>5315</v>
      </c>
      <c r="AA127" s="1137" t="s">
        <v>5316</v>
      </c>
      <c r="AB127" s="1134" t="s">
        <v>5317</v>
      </c>
      <c r="AC127" s="1135" t="s">
        <v>5318</v>
      </c>
      <c r="AD127" s="1136" t="s">
        <v>5319</v>
      </c>
      <c r="AE127" s="1137" t="s">
        <v>5320</v>
      </c>
      <c r="AF127" s="1213" t="s">
        <v>5321</v>
      </c>
      <c r="AG127" s="1135" t="s">
        <v>5322</v>
      </c>
      <c r="AH127" s="1136" t="s">
        <v>5323</v>
      </c>
      <c r="AI127" s="1137" t="s">
        <v>5324</v>
      </c>
      <c r="AJ127" s="1213" t="s">
        <v>5325</v>
      </c>
      <c r="AK127" s="1137" t="s">
        <v>5326</v>
      </c>
      <c r="AL127" s="1327" t="s">
        <v>5327</v>
      </c>
      <c r="AM127" s="170" t="str">
        <f t="shared" si="31"/>
        <v xml:space="preserve"> * La variable 'Por campaña de invierno' No puede ser mayor al Total</v>
      </c>
      <c r="CC127" s="2465" t="str">
        <f t="shared" si="32"/>
        <v xml:space="preserve"> * La variable 'Por campaña de invierno' No puede ser mayor al Total</v>
      </c>
      <c r="CD127" s="2465" t="str">
        <f t="shared" si="33"/>
        <v/>
      </c>
      <c r="CH127" s="2466">
        <f t="shared" si="34"/>
        <v>1</v>
      </c>
      <c r="CI127" s="2466">
        <f t="shared" si="35"/>
        <v>0</v>
      </c>
      <c r="CJ127" s="2466"/>
      <c r="CK127" s="2466"/>
    </row>
    <row r="128" spans="1:89" s="170" customFormat="1" ht="15" customHeight="1" x14ac:dyDescent="0.2">
      <c r="A128" s="6234">
        <v>23044800</v>
      </c>
      <c r="B128" s="1323" t="s">
        <v>1070</v>
      </c>
      <c r="C128" s="1324" t="s">
        <v>5292</v>
      </c>
      <c r="D128" s="1325" t="s">
        <v>5293</v>
      </c>
      <c r="E128" s="1321" t="s">
        <v>5294</v>
      </c>
      <c r="F128" s="1144" t="s">
        <v>5295</v>
      </c>
      <c r="G128" s="1150" t="s">
        <v>5296</v>
      </c>
      <c r="H128" s="1144" t="s">
        <v>5297</v>
      </c>
      <c r="I128" s="1145" t="s">
        <v>5298</v>
      </c>
      <c r="J128" s="1146" t="s">
        <v>5299</v>
      </c>
      <c r="K128" s="1147" t="s">
        <v>5300</v>
      </c>
      <c r="L128" s="1144" t="s">
        <v>5301</v>
      </c>
      <c r="M128" s="1145" t="s">
        <v>5302</v>
      </c>
      <c r="N128" s="1146" t="s">
        <v>5303</v>
      </c>
      <c r="O128" s="1147" t="s">
        <v>5304</v>
      </c>
      <c r="P128" s="1144" t="s">
        <v>5305</v>
      </c>
      <c r="Q128" s="1145" t="s">
        <v>5306</v>
      </c>
      <c r="R128" s="1146" t="s">
        <v>5307</v>
      </c>
      <c r="S128" s="1147" t="s">
        <v>5308</v>
      </c>
      <c r="T128" s="1134" t="s">
        <v>5309</v>
      </c>
      <c r="U128" s="1135" t="s">
        <v>5310</v>
      </c>
      <c r="V128" s="1136" t="s">
        <v>5311</v>
      </c>
      <c r="W128" s="1137" t="s">
        <v>5312</v>
      </c>
      <c r="X128" s="1134" t="s">
        <v>5313</v>
      </c>
      <c r="Y128" s="1135" t="s">
        <v>5314</v>
      </c>
      <c r="Z128" s="1136" t="s">
        <v>5315</v>
      </c>
      <c r="AA128" s="1137" t="s">
        <v>5316</v>
      </c>
      <c r="AB128" s="1134" t="s">
        <v>5317</v>
      </c>
      <c r="AC128" s="1135" t="s">
        <v>5318</v>
      </c>
      <c r="AD128" s="1136" t="s">
        <v>5319</v>
      </c>
      <c r="AE128" s="1137" t="s">
        <v>5320</v>
      </c>
      <c r="AF128" s="1213" t="s">
        <v>5321</v>
      </c>
      <c r="AG128" s="1135" t="s">
        <v>5322</v>
      </c>
      <c r="AH128" s="1136" t="s">
        <v>5323</v>
      </c>
      <c r="AI128" s="1137" t="s">
        <v>5324</v>
      </c>
      <c r="AJ128" s="1213" t="s">
        <v>5325</v>
      </c>
      <c r="AK128" s="1137" t="s">
        <v>5326</v>
      </c>
      <c r="AL128" s="1327" t="s">
        <v>5327</v>
      </c>
      <c r="AM128" s="170" t="str">
        <f t="shared" si="31"/>
        <v xml:space="preserve"> * La variable 'Por campaña de invierno' No puede ser mayor al Total</v>
      </c>
      <c r="CC128" s="2465" t="str">
        <f t="shared" si="32"/>
        <v xml:space="preserve"> * La variable 'Por campaña de invierno' No puede ser mayor al Total</v>
      </c>
      <c r="CD128" s="2465" t="str">
        <f t="shared" si="33"/>
        <v/>
      </c>
      <c r="CH128" s="2466">
        <f>IF(AL128&gt;C128,1,0)</f>
        <v>1</v>
      </c>
      <c r="CI128" s="2466">
        <f t="shared" si="35"/>
        <v>0</v>
      </c>
      <c r="CJ128" s="2466"/>
      <c r="CK128" s="2466"/>
    </row>
    <row r="129" spans="1:89" s="170" customFormat="1" ht="15" customHeight="1" x14ac:dyDescent="0.2">
      <c r="A129" s="6234">
        <v>23044900</v>
      </c>
      <c r="B129" s="1328" t="s">
        <v>1071</v>
      </c>
      <c r="C129" s="1324" t="s">
        <v>5292</v>
      </c>
      <c r="D129" s="1325" t="s">
        <v>5293</v>
      </c>
      <c r="E129" s="1321" t="s">
        <v>5294</v>
      </c>
      <c r="F129" s="64" t="s">
        <v>5295</v>
      </c>
      <c r="G129" s="65" t="s">
        <v>5296</v>
      </c>
      <c r="H129" s="64" t="s">
        <v>5297</v>
      </c>
      <c r="I129" s="1154" t="s">
        <v>5298</v>
      </c>
      <c r="J129" s="654" t="s">
        <v>5299</v>
      </c>
      <c r="K129" s="652" t="s">
        <v>5300</v>
      </c>
      <c r="L129" s="64" t="s">
        <v>5301</v>
      </c>
      <c r="M129" s="1154" t="s">
        <v>5302</v>
      </c>
      <c r="N129" s="654" t="s">
        <v>5303</v>
      </c>
      <c r="O129" s="652" t="s">
        <v>5304</v>
      </c>
      <c r="P129" s="64" t="s">
        <v>5305</v>
      </c>
      <c r="Q129" s="1154" t="s">
        <v>5306</v>
      </c>
      <c r="R129" s="654" t="s">
        <v>5307</v>
      </c>
      <c r="S129" s="652" t="s">
        <v>5308</v>
      </c>
      <c r="T129" s="64" t="s">
        <v>5309</v>
      </c>
      <c r="U129" s="1154" t="s">
        <v>5310</v>
      </c>
      <c r="V129" s="654" t="s">
        <v>5311</v>
      </c>
      <c r="W129" s="652" t="s">
        <v>5312</v>
      </c>
      <c r="X129" s="64" t="s">
        <v>5313</v>
      </c>
      <c r="Y129" s="1154" t="s">
        <v>5314</v>
      </c>
      <c r="Z129" s="654" t="s">
        <v>5315</v>
      </c>
      <c r="AA129" s="652" t="s">
        <v>5316</v>
      </c>
      <c r="AB129" s="64" t="s">
        <v>5317</v>
      </c>
      <c r="AC129" s="1154" t="s">
        <v>5318</v>
      </c>
      <c r="AD129" s="654" t="s">
        <v>5319</v>
      </c>
      <c r="AE129" s="652" t="s">
        <v>5320</v>
      </c>
      <c r="AF129" s="1202" t="s">
        <v>5321</v>
      </c>
      <c r="AG129" s="1154" t="s">
        <v>5322</v>
      </c>
      <c r="AH129" s="654" t="s">
        <v>5323</v>
      </c>
      <c r="AI129" s="652" t="s">
        <v>5324</v>
      </c>
      <c r="AJ129" s="1202" t="s">
        <v>5325</v>
      </c>
      <c r="AK129" s="652" t="s">
        <v>5326</v>
      </c>
      <c r="AL129" s="1329" t="s">
        <v>5327</v>
      </c>
      <c r="AM129" s="170" t="str">
        <f t="shared" si="31"/>
        <v xml:space="preserve"> * La variable 'Por campaña de invierno' No puede ser mayor al Total</v>
      </c>
      <c r="CC129" s="2465" t="str">
        <f t="shared" si="32"/>
        <v xml:space="preserve"> * La variable 'Por campaña de invierno' No puede ser mayor al Total</v>
      </c>
      <c r="CD129" s="2465" t="str">
        <f t="shared" si="33"/>
        <v/>
      </c>
      <c r="CH129" s="2466">
        <f>IF(AL129&gt;C129,1,0)</f>
        <v>1</v>
      </c>
      <c r="CI129" s="2466">
        <f t="shared" si="35"/>
        <v>0</v>
      </c>
      <c r="CJ129" s="2466"/>
      <c r="CK129" s="2466"/>
    </row>
    <row r="130" spans="1:89" s="170" customFormat="1" ht="15" customHeight="1" x14ac:dyDescent="0.25">
      <c r="A130" s="6278"/>
      <c r="B130" s="2458" t="s">
        <v>24</v>
      </c>
      <c r="C130" s="1218">
        <f t="shared" ref="C130:AK130" si="36">SUM(C124:C129)</f>
        <v>0</v>
      </c>
      <c r="D130" s="1162">
        <f t="shared" si="36"/>
        <v>0</v>
      </c>
      <c r="E130" s="1160">
        <f t="shared" si="36"/>
        <v>0</v>
      </c>
      <c r="F130" s="1159">
        <f>SUM(F124:F129)</f>
        <v>0</v>
      </c>
      <c r="G130" s="1160">
        <f t="shared" si="36"/>
        <v>0</v>
      </c>
      <c r="H130" s="1159">
        <f>SUM(H124:H129)</f>
        <v>0</v>
      </c>
      <c r="I130" s="1160">
        <f t="shared" si="36"/>
        <v>0</v>
      </c>
      <c r="J130" s="1162">
        <f t="shared" si="36"/>
        <v>0</v>
      </c>
      <c r="K130" s="1163">
        <f t="shared" si="36"/>
        <v>0</v>
      </c>
      <c r="L130" s="1159">
        <f t="shared" si="36"/>
        <v>0</v>
      </c>
      <c r="M130" s="1161">
        <f t="shared" si="36"/>
        <v>0</v>
      </c>
      <c r="N130" s="1162">
        <f t="shared" si="36"/>
        <v>0</v>
      </c>
      <c r="O130" s="1161">
        <f t="shared" si="36"/>
        <v>0</v>
      </c>
      <c r="P130" s="1162">
        <f t="shared" si="36"/>
        <v>0</v>
      </c>
      <c r="Q130" s="1161">
        <f t="shared" si="36"/>
        <v>0</v>
      </c>
      <c r="R130" s="1162">
        <f t="shared" si="36"/>
        <v>0</v>
      </c>
      <c r="S130" s="1163">
        <f t="shared" si="36"/>
        <v>0</v>
      </c>
      <c r="T130" s="1159">
        <f t="shared" si="36"/>
        <v>0</v>
      </c>
      <c r="U130" s="1161">
        <f t="shared" si="36"/>
        <v>0</v>
      </c>
      <c r="V130" s="1162">
        <f t="shared" si="36"/>
        <v>0</v>
      </c>
      <c r="W130" s="1163">
        <f t="shared" si="36"/>
        <v>0</v>
      </c>
      <c r="X130" s="1159">
        <f t="shared" si="36"/>
        <v>0</v>
      </c>
      <c r="Y130" s="1161">
        <f t="shared" si="36"/>
        <v>0</v>
      </c>
      <c r="Z130" s="1162">
        <f t="shared" si="36"/>
        <v>0</v>
      </c>
      <c r="AA130" s="1163">
        <f t="shared" si="36"/>
        <v>0</v>
      </c>
      <c r="AB130" s="1159">
        <f t="shared" si="36"/>
        <v>0</v>
      </c>
      <c r="AC130" s="1161">
        <f t="shared" si="36"/>
        <v>0</v>
      </c>
      <c r="AD130" s="1162">
        <f t="shared" si="36"/>
        <v>0</v>
      </c>
      <c r="AE130" s="1163">
        <f t="shared" si="36"/>
        <v>0</v>
      </c>
      <c r="AF130" s="1159">
        <f t="shared" si="36"/>
        <v>0</v>
      </c>
      <c r="AG130" s="1161">
        <f t="shared" si="36"/>
        <v>0</v>
      </c>
      <c r="AH130" s="1162">
        <f t="shared" si="36"/>
        <v>0</v>
      </c>
      <c r="AI130" s="1163">
        <f t="shared" si="36"/>
        <v>0</v>
      </c>
      <c r="AJ130" s="2468">
        <f t="shared" si="36"/>
        <v>0</v>
      </c>
      <c r="AK130" s="1163">
        <f t="shared" si="36"/>
        <v>0</v>
      </c>
      <c r="AL130" s="2473">
        <f>SUM(AL124:AL129)</f>
        <v>0</v>
      </c>
    </row>
    <row r="131" spans="1:89" s="1116" customFormat="1" ht="18" customHeight="1" x14ac:dyDescent="0.2">
      <c r="B131" s="49" t="s">
        <v>1072</v>
      </c>
      <c r="C131" s="49"/>
      <c r="D131" s="49"/>
      <c r="E131" s="49"/>
      <c r="F131" s="2474"/>
    </row>
    <row r="132" spans="1:89" s="1116" customFormat="1" ht="18" customHeight="1" x14ac:dyDescent="0.2">
      <c r="B132" s="7797" t="s">
        <v>1073</v>
      </c>
      <c r="C132" s="7797"/>
      <c r="D132" s="7797"/>
      <c r="E132" s="7797"/>
      <c r="F132" s="7797"/>
    </row>
    <row r="133" spans="1:89" s="170" customFormat="1" ht="15" customHeight="1" x14ac:dyDescent="0.2">
      <c r="A133" s="6282"/>
      <c r="B133" s="7755" t="s">
        <v>1058</v>
      </c>
      <c r="C133" s="7764" t="s">
        <v>24</v>
      </c>
      <c r="D133" s="7764"/>
      <c r="E133" s="7765"/>
      <c r="F133" s="7756" t="s">
        <v>30</v>
      </c>
      <c r="G133" s="7771"/>
      <c r="H133" s="7771"/>
      <c r="I133" s="7771"/>
      <c r="J133" s="7771"/>
      <c r="K133" s="7771"/>
      <c r="L133" s="7771"/>
      <c r="M133" s="7771"/>
      <c r="N133" s="7771"/>
      <c r="O133" s="7771"/>
      <c r="P133" s="7771"/>
      <c r="Q133" s="7771"/>
      <c r="R133" s="7771"/>
      <c r="S133" s="7771"/>
      <c r="T133" s="7771"/>
      <c r="U133" s="7771"/>
      <c r="V133" s="7771"/>
      <c r="W133" s="7771"/>
      <c r="X133" s="7771"/>
      <c r="Y133" s="7771"/>
      <c r="Z133" s="7771"/>
      <c r="AA133" s="7771"/>
      <c r="AB133" s="7771"/>
      <c r="AC133" s="7771"/>
      <c r="AD133" s="7771"/>
      <c r="AE133" s="7771"/>
      <c r="AF133" s="7771"/>
      <c r="AG133" s="7771"/>
      <c r="AH133" s="7771"/>
      <c r="AI133" s="7771"/>
      <c r="AJ133" s="7771"/>
      <c r="AK133" s="7757"/>
    </row>
    <row r="134" spans="1:89" s="170" customFormat="1" ht="15" customHeight="1" x14ac:dyDescent="0.2">
      <c r="A134" s="6282"/>
      <c r="B134" s="6762"/>
      <c r="C134" s="7766"/>
      <c r="D134" s="7766"/>
      <c r="E134" s="7767"/>
      <c r="F134" s="7770" t="s">
        <v>682</v>
      </c>
      <c r="G134" s="7755"/>
      <c r="H134" s="7756" t="s">
        <v>1002</v>
      </c>
      <c r="I134" s="7757"/>
      <c r="J134" s="7771" t="s">
        <v>1003</v>
      </c>
      <c r="K134" s="7771"/>
      <c r="L134" s="7756" t="s">
        <v>38</v>
      </c>
      <c r="M134" s="7757"/>
      <c r="N134" s="7756" t="s">
        <v>4</v>
      </c>
      <c r="O134" s="7757"/>
      <c r="P134" s="7754" t="s">
        <v>5</v>
      </c>
      <c r="Q134" s="7755"/>
      <c r="R134" s="6983" t="s">
        <v>1004</v>
      </c>
      <c r="S134" s="6983"/>
      <c r="T134" s="7754" t="s">
        <v>9</v>
      </c>
      <c r="U134" s="7755"/>
      <c r="V134" s="6983" t="s">
        <v>10</v>
      </c>
      <c r="W134" s="6983"/>
      <c r="X134" s="7754" t="s">
        <v>11</v>
      </c>
      <c r="Y134" s="7755"/>
      <c r="Z134" s="6983" t="s">
        <v>18</v>
      </c>
      <c r="AA134" s="6983"/>
      <c r="AB134" s="7754" t="s">
        <v>19</v>
      </c>
      <c r="AC134" s="7755"/>
      <c r="AD134" s="6983" t="s">
        <v>20</v>
      </c>
      <c r="AE134" s="6983"/>
      <c r="AF134" s="7754" t="s">
        <v>70</v>
      </c>
      <c r="AG134" s="7755"/>
      <c r="AH134" s="6983" t="s">
        <v>71</v>
      </c>
      <c r="AI134" s="6983"/>
      <c r="AJ134" s="7756" t="s">
        <v>32</v>
      </c>
      <c r="AK134" s="7757"/>
    </row>
    <row r="135" spans="1:89" s="170" customFormat="1" ht="15" customHeight="1" x14ac:dyDescent="0.2">
      <c r="A135" s="6282"/>
      <c r="B135" s="7795"/>
      <c r="C135" s="1167" t="s">
        <v>26</v>
      </c>
      <c r="D135" s="1232" t="s">
        <v>22</v>
      </c>
      <c r="E135" s="1167" t="s">
        <v>27</v>
      </c>
      <c r="F135" s="1165" t="s">
        <v>22</v>
      </c>
      <c r="G135" s="1167" t="s">
        <v>27</v>
      </c>
      <c r="H135" s="1165" t="s">
        <v>22</v>
      </c>
      <c r="I135" s="1167" t="s">
        <v>27</v>
      </c>
      <c r="J135" s="1232" t="s">
        <v>22</v>
      </c>
      <c r="K135" s="1233" t="s">
        <v>27</v>
      </c>
      <c r="L135" s="1165" t="s">
        <v>22</v>
      </c>
      <c r="M135" s="1167" t="s">
        <v>27</v>
      </c>
      <c r="N135" s="1232" t="s">
        <v>22</v>
      </c>
      <c r="O135" s="1233" t="s">
        <v>27</v>
      </c>
      <c r="P135" s="1165" t="s">
        <v>22</v>
      </c>
      <c r="Q135" s="1167" t="s">
        <v>27</v>
      </c>
      <c r="R135" s="1232" t="s">
        <v>22</v>
      </c>
      <c r="S135" s="1233" t="s">
        <v>27</v>
      </c>
      <c r="T135" s="1165" t="s">
        <v>22</v>
      </c>
      <c r="U135" s="1167" t="s">
        <v>27</v>
      </c>
      <c r="V135" s="1232" t="s">
        <v>22</v>
      </c>
      <c r="W135" s="1233" t="s">
        <v>27</v>
      </c>
      <c r="X135" s="1165" t="s">
        <v>22</v>
      </c>
      <c r="Y135" s="1167" t="s">
        <v>27</v>
      </c>
      <c r="Z135" s="1232" t="s">
        <v>22</v>
      </c>
      <c r="AA135" s="1233" t="s">
        <v>27</v>
      </c>
      <c r="AB135" s="1165" t="s">
        <v>22</v>
      </c>
      <c r="AC135" s="1167" t="s">
        <v>27</v>
      </c>
      <c r="AD135" s="1232" t="s">
        <v>22</v>
      </c>
      <c r="AE135" s="1233" t="s">
        <v>27</v>
      </c>
      <c r="AF135" s="1165" t="s">
        <v>22</v>
      </c>
      <c r="AG135" s="1167" t="s">
        <v>27</v>
      </c>
      <c r="AH135" s="1232" t="s">
        <v>22</v>
      </c>
      <c r="AI135" s="1233" t="s">
        <v>27</v>
      </c>
      <c r="AJ135" s="1165" t="s">
        <v>22</v>
      </c>
      <c r="AK135" s="1167" t="s">
        <v>27</v>
      </c>
    </row>
    <row r="136" spans="1:89" s="170" customFormat="1" ht="15" customHeight="1" x14ac:dyDescent="0.2">
      <c r="A136" s="6234">
        <v>23090590</v>
      </c>
      <c r="B136" s="1330" t="s">
        <v>1074</v>
      </c>
      <c r="C136" s="1331" t="s">
        <v>5292</v>
      </c>
      <c r="D136" s="1325" t="s">
        <v>5293</v>
      </c>
      <c r="E136" s="1321" t="s">
        <v>5294</v>
      </c>
      <c r="F136" s="1332" t="s">
        <v>5295</v>
      </c>
      <c r="G136" s="1258" t="s">
        <v>5296</v>
      </c>
      <c r="H136" s="1332" t="s">
        <v>5297</v>
      </c>
      <c r="I136" s="1258" t="s">
        <v>5298</v>
      </c>
      <c r="J136" s="1332" t="s">
        <v>5299</v>
      </c>
      <c r="K136" s="1258" t="s">
        <v>5300</v>
      </c>
      <c r="L136" s="1332" t="s">
        <v>5301</v>
      </c>
      <c r="M136" s="1258" t="s">
        <v>5302</v>
      </c>
      <c r="N136" s="1332" t="s">
        <v>5303</v>
      </c>
      <c r="O136" s="1258" t="s">
        <v>5304</v>
      </c>
      <c r="P136" s="1332" t="s">
        <v>5305</v>
      </c>
      <c r="Q136" s="1258" t="s">
        <v>5306</v>
      </c>
      <c r="R136" s="1332" t="s">
        <v>5307</v>
      </c>
      <c r="S136" s="1258" t="s">
        <v>5308</v>
      </c>
      <c r="T136" s="1332" t="s">
        <v>5309</v>
      </c>
      <c r="U136" s="1258" t="s">
        <v>5310</v>
      </c>
      <c r="V136" s="1332" t="s">
        <v>5311</v>
      </c>
      <c r="W136" s="1258" t="s">
        <v>5312</v>
      </c>
      <c r="X136" s="1332" t="s">
        <v>5313</v>
      </c>
      <c r="Y136" s="1258" t="s">
        <v>5314</v>
      </c>
      <c r="Z136" s="1332" t="s">
        <v>5315</v>
      </c>
      <c r="AA136" s="1258" t="s">
        <v>5316</v>
      </c>
      <c r="AB136" s="1332" t="s">
        <v>5317</v>
      </c>
      <c r="AC136" s="1258" t="s">
        <v>5318</v>
      </c>
      <c r="AD136" s="1332" t="s">
        <v>5319</v>
      </c>
      <c r="AE136" s="1258" t="s">
        <v>5320</v>
      </c>
      <c r="AF136" s="1332" t="s">
        <v>5321</v>
      </c>
      <c r="AG136" s="1258" t="s">
        <v>5322</v>
      </c>
      <c r="AH136" s="1332" t="s">
        <v>5323</v>
      </c>
      <c r="AI136" s="1258" t="s">
        <v>5324</v>
      </c>
      <c r="AJ136" s="1332" t="s">
        <v>5325</v>
      </c>
      <c r="AK136" s="1258" t="s">
        <v>5326</v>
      </c>
    </row>
    <row r="137" spans="1:89" s="170" customFormat="1" ht="15" customHeight="1" x14ac:dyDescent="0.2">
      <c r="A137" s="6234">
        <v>23090600</v>
      </c>
      <c r="B137" s="1094" t="s">
        <v>1075</v>
      </c>
      <c r="C137" s="1333" t="s">
        <v>5292</v>
      </c>
      <c r="D137" s="1325" t="s">
        <v>5293</v>
      </c>
      <c r="E137" s="1321" t="s">
        <v>5294</v>
      </c>
      <c r="F137" s="9" t="s">
        <v>5295</v>
      </c>
      <c r="G137" s="11" t="s">
        <v>5296</v>
      </c>
      <c r="H137" s="9" t="s">
        <v>5297</v>
      </c>
      <c r="I137" s="11" t="s">
        <v>5298</v>
      </c>
      <c r="J137" s="9" t="s">
        <v>5299</v>
      </c>
      <c r="K137" s="11" t="s">
        <v>5300</v>
      </c>
      <c r="L137" s="9" t="s">
        <v>5301</v>
      </c>
      <c r="M137" s="11" t="s">
        <v>5302</v>
      </c>
      <c r="N137" s="9" t="s">
        <v>5303</v>
      </c>
      <c r="O137" s="11" t="s">
        <v>5304</v>
      </c>
      <c r="P137" s="9" t="s">
        <v>5305</v>
      </c>
      <c r="Q137" s="11" t="s">
        <v>5306</v>
      </c>
      <c r="R137" s="9" t="s">
        <v>5307</v>
      </c>
      <c r="S137" s="11" t="s">
        <v>5308</v>
      </c>
      <c r="T137" s="9" t="s">
        <v>5309</v>
      </c>
      <c r="U137" s="11" t="s">
        <v>5310</v>
      </c>
      <c r="V137" s="9" t="s">
        <v>5311</v>
      </c>
      <c r="W137" s="11" t="s">
        <v>5312</v>
      </c>
      <c r="X137" s="9" t="s">
        <v>5313</v>
      </c>
      <c r="Y137" s="11" t="s">
        <v>5314</v>
      </c>
      <c r="Z137" s="9" t="s">
        <v>5315</v>
      </c>
      <c r="AA137" s="11" t="s">
        <v>5316</v>
      </c>
      <c r="AB137" s="9" t="s">
        <v>5317</v>
      </c>
      <c r="AC137" s="11" t="s">
        <v>5318</v>
      </c>
      <c r="AD137" s="9" t="s">
        <v>5319</v>
      </c>
      <c r="AE137" s="11" t="s">
        <v>5320</v>
      </c>
      <c r="AF137" s="9" t="s">
        <v>5321</v>
      </c>
      <c r="AG137" s="11" t="s">
        <v>5322</v>
      </c>
      <c r="AH137" s="9" t="s">
        <v>5323</v>
      </c>
      <c r="AI137" s="11" t="s">
        <v>5324</v>
      </c>
      <c r="AJ137" s="9" t="s">
        <v>5325</v>
      </c>
      <c r="AK137" s="11" t="s">
        <v>5326</v>
      </c>
    </row>
    <row r="138" spans="1:89" s="170" customFormat="1" ht="15" customHeight="1" x14ac:dyDescent="0.2">
      <c r="A138" s="6234">
        <v>23090620</v>
      </c>
      <c r="B138" s="1105" t="s">
        <v>1076</v>
      </c>
      <c r="C138" s="1333" t="s">
        <v>5292</v>
      </c>
      <c r="D138" s="1325" t="s">
        <v>5293</v>
      </c>
      <c r="E138" s="1321" t="s">
        <v>5294</v>
      </c>
      <c r="F138" s="9" t="s">
        <v>5295</v>
      </c>
      <c r="G138" s="11" t="s">
        <v>5296</v>
      </c>
      <c r="H138" s="9" t="s">
        <v>5297</v>
      </c>
      <c r="I138" s="11" t="s">
        <v>5298</v>
      </c>
      <c r="J138" s="9" t="s">
        <v>5299</v>
      </c>
      <c r="K138" s="11" t="s">
        <v>5300</v>
      </c>
      <c r="L138" s="9" t="s">
        <v>5301</v>
      </c>
      <c r="M138" s="11" t="s">
        <v>5302</v>
      </c>
      <c r="N138" s="9" t="s">
        <v>5303</v>
      </c>
      <c r="O138" s="11" t="s">
        <v>5304</v>
      </c>
      <c r="P138" s="9" t="s">
        <v>5305</v>
      </c>
      <c r="Q138" s="11" t="s">
        <v>5306</v>
      </c>
      <c r="R138" s="9" t="s">
        <v>5307</v>
      </c>
      <c r="S138" s="11" t="s">
        <v>5308</v>
      </c>
      <c r="T138" s="9" t="s">
        <v>5309</v>
      </c>
      <c r="U138" s="11" t="s">
        <v>5310</v>
      </c>
      <c r="V138" s="9" t="s">
        <v>5311</v>
      </c>
      <c r="W138" s="11" t="s">
        <v>5312</v>
      </c>
      <c r="X138" s="9" t="s">
        <v>5313</v>
      </c>
      <c r="Y138" s="11" t="s">
        <v>5314</v>
      </c>
      <c r="Z138" s="9" t="s">
        <v>5315</v>
      </c>
      <c r="AA138" s="11" t="s">
        <v>5316</v>
      </c>
      <c r="AB138" s="9" t="s">
        <v>5317</v>
      </c>
      <c r="AC138" s="11" t="s">
        <v>5318</v>
      </c>
      <c r="AD138" s="9" t="s">
        <v>5319</v>
      </c>
      <c r="AE138" s="11" t="s">
        <v>5320</v>
      </c>
      <c r="AF138" s="9" t="s">
        <v>5321</v>
      </c>
      <c r="AG138" s="11" t="s">
        <v>5322</v>
      </c>
      <c r="AH138" s="9" t="s">
        <v>5323</v>
      </c>
      <c r="AI138" s="1099" t="s">
        <v>5324</v>
      </c>
      <c r="AJ138" s="9" t="s">
        <v>5325</v>
      </c>
      <c r="AK138" s="11" t="s">
        <v>5326</v>
      </c>
    </row>
    <row r="139" spans="1:89" s="170" customFormat="1" ht="15" customHeight="1" x14ac:dyDescent="0.2">
      <c r="A139" s="6234">
        <v>23045000</v>
      </c>
      <c r="B139" s="1094" t="s">
        <v>1077</v>
      </c>
      <c r="C139" s="1333" t="s">
        <v>5292</v>
      </c>
      <c r="D139" s="1325" t="s">
        <v>5293</v>
      </c>
      <c r="E139" s="1321" t="s">
        <v>5294</v>
      </c>
      <c r="F139" s="9" t="s">
        <v>5295</v>
      </c>
      <c r="G139" s="11" t="s">
        <v>5296</v>
      </c>
      <c r="H139" s="9" t="s">
        <v>5297</v>
      </c>
      <c r="I139" s="11" t="s">
        <v>5298</v>
      </c>
      <c r="J139" s="9" t="s">
        <v>5299</v>
      </c>
      <c r="K139" s="11" t="s">
        <v>5300</v>
      </c>
      <c r="L139" s="9" t="s">
        <v>5301</v>
      </c>
      <c r="M139" s="11" t="s">
        <v>5302</v>
      </c>
      <c r="N139" s="9" t="s">
        <v>5303</v>
      </c>
      <c r="O139" s="11" t="s">
        <v>5304</v>
      </c>
      <c r="P139" s="9" t="s">
        <v>5305</v>
      </c>
      <c r="Q139" s="11" t="s">
        <v>5306</v>
      </c>
      <c r="R139" s="9" t="s">
        <v>5307</v>
      </c>
      <c r="S139" s="11" t="s">
        <v>5308</v>
      </c>
      <c r="T139" s="9" t="s">
        <v>5309</v>
      </c>
      <c r="U139" s="11" t="s">
        <v>5310</v>
      </c>
      <c r="V139" s="9" t="s">
        <v>5311</v>
      </c>
      <c r="W139" s="11" t="s">
        <v>5312</v>
      </c>
      <c r="X139" s="9" t="s">
        <v>5313</v>
      </c>
      <c r="Y139" s="11" t="s">
        <v>5314</v>
      </c>
      <c r="Z139" s="9" t="s">
        <v>5315</v>
      </c>
      <c r="AA139" s="11" t="s">
        <v>5316</v>
      </c>
      <c r="AB139" s="9" t="s">
        <v>5317</v>
      </c>
      <c r="AC139" s="11" t="s">
        <v>5318</v>
      </c>
      <c r="AD139" s="9" t="s">
        <v>5319</v>
      </c>
      <c r="AE139" s="11" t="s">
        <v>5320</v>
      </c>
      <c r="AF139" s="9" t="s">
        <v>5321</v>
      </c>
      <c r="AG139" s="11" t="s">
        <v>5322</v>
      </c>
      <c r="AH139" s="9" t="s">
        <v>5323</v>
      </c>
      <c r="AI139" s="11" t="s">
        <v>5324</v>
      </c>
      <c r="AJ139" s="9" t="s">
        <v>5325</v>
      </c>
      <c r="AK139" s="11" t="s">
        <v>5326</v>
      </c>
    </row>
    <row r="140" spans="1:89" s="170" customFormat="1" ht="15" customHeight="1" x14ac:dyDescent="0.2">
      <c r="A140" s="6234">
        <v>23045100</v>
      </c>
      <c r="B140" s="1094" t="s">
        <v>1078</v>
      </c>
      <c r="C140" s="1333" t="s">
        <v>5292</v>
      </c>
      <c r="D140" s="1325" t="s">
        <v>5293</v>
      </c>
      <c r="E140" s="1321" t="s">
        <v>5294</v>
      </c>
      <c r="F140" s="9" t="s">
        <v>5295</v>
      </c>
      <c r="G140" s="11" t="s">
        <v>5296</v>
      </c>
      <c r="H140" s="9" t="s">
        <v>5297</v>
      </c>
      <c r="I140" s="11" t="s">
        <v>5298</v>
      </c>
      <c r="J140" s="9" t="s">
        <v>5299</v>
      </c>
      <c r="K140" s="11" t="s">
        <v>5300</v>
      </c>
      <c r="L140" s="9" t="s">
        <v>5301</v>
      </c>
      <c r="M140" s="11" t="s">
        <v>5302</v>
      </c>
      <c r="N140" s="9" t="s">
        <v>5303</v>
      </c>
      <c r="O140" s="11" t="s">
        <v>5304</v>
      </c>
      <c r="P140" s="9" t="s">
        <v>5305</v>
      </c>
      <c r="Q140" s="11" t="s">
        <v>5306</v>
      </c>
      <c r="R140" s="9" t="s">
        <v>5307</v>
      </c>
      <c r="S140" s="11" t="s">
        <v>5308</v>
      </c>
      <c r="T140" s="9" t="s">
        <v>5309</v>
      </c>
      <c r="U140" s="11" t="s">
        <v>5310</v>
      </c>
      <c r="V140" s="9" t="s">
        <v>5311</v>
      </c>
      <c r="W140" s="11" t="s">
        <v>5312</v>
      </c>
      <c r="X140" s="9" t="s">
        <v>5313</v>
      </c>
      <c r="Y140" s="11" t="s">
        <v>5314</v>
      </c>
      <c r="Z140" s="9" t="s">
        <v>5315</v>
      </c>
      <c r="AA140" s="11" t="s">
        <v>5316</v>
      </c>
      <c r="AB140" s="9" t="s">
        <v>5317</v>
      </c>
      <c r="AC140" s="11" t="s">
        <v>5318</v>
      </c>
      <c r="AD140" s="9" t="s">
        <v>5319</v>
      </c>
      <c r="AE140" s="11" t="s">
        <v>5320</v>
      </c>
      <c r="AF140" s="9" t="s">
        <v>5321</v>
      </c>
      <c r="AG140" s="11" t="s">
        <v>5322</v>
      </c>
      <c r="AH140" s="9" t="s">
        <v>5323</v>
      </c>
      <c r="AI140" s="11" t="s">
        <v>5324</v>
      </c>
      <c r="AJ140" s="9" t="s">
        <v>5325</v>
      </c>
      <c r="AK140" s="11" t="s">
        <v>5326</v>
      </c>
    </row>
    <row r="141" spans="1:89" s="170" customFormat="1" ht="15" customHeight="1" x14ac:dyDescent="0.2">
      <c r="A141" s="6234">
        <v>23090630</v>
      </c>
      <c r="B141" s="1106" t="s">
        <v>44</v>
      </c>
      <c r="C141" s="1333" t="s">
        <v>5292</v>
      </c>
      <c r="D141" s="1325" t="s">
        <v>5293</v>
      </c>
      <c r="E141" s="1321" t="s">
        <v>5294</v>
      </c>
      <c r="F141" s="9" t="s">
        <v>5295</v>
      </c>
      <c r="G141" s="11" t="s">
        <v>5296</v>
      </c>
      <c r="H141" s="9" t="s">
        <v>5297</v>
      </c>
      <c r="I141" s="11" t="s">
        <v>5298</v>
      </c>
      <c r="J141" s="9" t="s">
        <v>5299</v>
      </c>
      <c r="K141" s="11" t="s">
        <v>5300</v>
      </c>
      <c r="L141" s="9" t="s">
        <v>5301</v>
      </c>
      <c r="M141" s="11" t="s">
        <v>5302</v>
      </c>
      <c r="N141" s="9" t="s">
        <v>5303</v>
      </c>
      <c r="O141" s="11" t="s">
        <v>5304</v>
      </c>
      <c r="P141" s="9" t="s">
        <v>5305</v>
      </c>
      <c r="Q141" s="11" t="s">
        <v>5306</v>
      </c>
      <c r="R141" s="9" t="s">
        <v>5307</v>
      </c>
      <c r="S141" s="11" t="s">
        <v>5308</v>
      </c>
      <c r="T141" s="9" t="s">
        <v>5309</v>
      </c>
      <c r="U141" s="11" t="s">
        <v>5310</v>
      </c>
      <c r="V141" s="9" t="s">
        <v>5311</v>
      </c>
      <c r="W141" s="11" t="s">
        <v>5312</v>
      </c>
      <c r="X141" s="9" t="s">
        <v>5313</v>
      </c>
      <c r="Y141" s="11" t="s">
        <v>5314</v>
      </c>
      <c r="Z141" s="9" t="s">
        <v>5315</v>
      </c>
      <c r="AA141" s="11" t="s">
        <v>5316</v>
      </c>
      <c r="AB141" s="9" t="s">
        <v>5317</v>
      </c>
      <c r="AC141" s="11" t="s">
        <v>5318</v>
      </c>
      <c r="AD141" s="9" t="s">
        <v>5319</v>
      </c>
      <c r="AE141" s="11" t="s">
        <v>5320</v>
      </c>
      <c r="AF141" s="9" t="s">
        <v>5321</v>
      </c>
      <c r="AG141" s="11" t="s">
        <v>5322</v>
      </c>
      <c r="AH141" s="9" t="s">
        <v>5323</v>
      </c>
      <c r="AI141" s="11" t="s">
        <v>5324</v>
      </c>
      <c r="AJ141" s="9" t="s">
        <v>5325</v>
      </c>
      <c r="AK141" s="11" t="s">
        <v>5326</v>
      </c>
    </row>
    <row r="142" spans="1:89" s="170" customFormat="1" ht="15" customHeight="1" x14ac:dyDescent="0.25">
      <c r="A142" s="6278"/>
      <c r="B142" s="1259" t="s">
        <v>24</v>
      </c>
      <c r="C142" s="1261">
        <f>SUM(C136:C141)</f>
        <v>0</v>
      </c>
      <c r="D142" s="1260">
        <f>SUM(D136:D141)</f>
        <v>0</v>
      </c>
      <c r="E142" s="1261">
        <f>SUM(E136:E141)</f>
        <v>0</v>
      </c>
      <c r="F142" s="1260">
        <f>SUM(F136:F141)</f>
        <v>0</v>
      </c>
      <c r="G142" s="1264">
        <f t="shared" ref="G142:AK142" si="37">SUM(G136:G141)</f>
        <v>0</v>
      </c>
      <c r="H142" s="1260">
        <f t="shared" si="37"/>
        <v>0</v>
      </c>
      <c r="I142" s="1264">
        <f t="shared" si="37"/>
        <v>0</v>
      </c>
      <c r="J142" s="1260">
        <f t="shared" si="37"/>
        <v>0</v>
      </c>
      <c r="K142" s="1264">
        <f t="shared" si="37"/>
        <v>0</v>
      </c>
      <c r="L142" s="1260">
        <f t="shared" si="37"/>
        <v>0</v>
      </c>
      <c r="M142" s="1264">
        <f t="shared" si="37"/>
        <v>0</v>
      </c>
      <c r="N142" s="1260">
        <f t="shared" si="37"/>
        <v>0</v>
      </c>
      <c r="O142" s="1264">
        <f t="shared" si="37"/>
        <v>0</v>
      </c>
      <c r="P142" s="1260">
        <f t="shared" si="37"/>
        <v>0</v>
      </c>
      <c r="Q142" s="1264">
        <f t="shared" si="37"/>
        <v>0</v>
      </c>
      <c r="R142" s="1260">
        <f t="shared" si="37"/>
        <v>0</v>
      </c>
      <c r="S142" s="1264">
        <f t="shared" si="37"/>
        <v>0</v>
      </c>
      <c r="T142" s="1260">
        <f t="shared" si="37"/>
        <v>0</v>
      </c>
      <c r="U142" s="1264">
        <f t="shared" si="37"/>
        <v>0</v>
      </c>
      <c r="V142" s="1260">
        <f t="shared" si="37"/>
        <v>0</v>
      </c>
      <c r="W142" s="1264">
        <f t="shared" si="37"/>
        <v>0</v>
      </c>
      <c r="X142" s="1260">
        <f t="shared" si="37"/>
        <v>0</v>
      </c>
      <c r="Y142" s="1264">
        <f t="shared" si="37"/>
        <v>0</v>
      </c>
      <c r="Z142" s="1260">
        <f t="shared" si="37"/>
        <v>0</v>
      </c>
      <c r="AA142" s="1264">
        <f t="shared" si="37"/>
        <v>0</v>
      </c>
      <c r="AB142" s="1260">
        <f t="shared" si="37"/>
        <v>0</v>
      </c>
      <c r="AC142" s="1264">
        <f t="shared" si="37"/>
        <v>0</v>
      </c>
      <c r="AD142" s="1260">
        <f t="shared" si="37"/>
        <v>0</v>
      </c>
      <c r="AE142" s="1264">
        <f t="shared" si="37"/>
        <v>0</v>
      </c>
      <c r="AF142" s="1260">
        <f t="shared" si="37"/>
        <v>0</v>
      </c>
      <c r="AG142" s="1264">
        <f t="shared" si="37"/>
        <v>0</v>
      </c>
      <c r="AH142" s="1260">
        <f t="shared" si="37"/>
        <v>0</v>
      </c>
      <c r="AI142" s="1264">
        <f t="shared" si="37"/>
        <v>0</v>
      </c>
      <c r="AJ142" s="1260">
        <f t="shared" si="37"/>
        <v>0</v>
      </c>
      <c r="AK142" s="1264">
        <f t="shared" si="37"/>
        <v>0</v>
      </c>
    </row>
    <row r="143" spans="1:89" s="1116" customFormat="1" ht="18" customHeight="1" x14ac:dyDescent="0.2">
      <c r="B143" s="7" t="s">
        <v>1079</v>
      </c>
    </row>
    <row r="144" spans="1:89" s="170" customFormat="1" ht="15" customHeight="1" x14ac:dyDescent="0.2">
      <c r="B144" s="7790" t="s">
        <v>1080</v>
      </c>
      <c r="C144" s="7791"/>
      <c r="D144" s="1334" t="s">
        <v>1081</v>
      </c>
      <c r="E144" s="1335" t="s">
        <v>655</v>
      </c>
    </row>
    <row r="145" spans="1:37" s="170" customFormat="1" ht="15" customHeight="1" x14ac:dyDescent="0.2">
      <c r="A145" s="6234">
        <v>23045200</v>
      </c>
      <c r="B145" s="7792" t="s">
        <v>1082</v>
      </c>
      <c r="C145" s="1336" t="s">
        <v>1083</v>
      </c>
      <c r="D145" s="1125" t="s">
        <v>5292</v>
      </c>
      <c r="E145" s="1127" t="s">
        <v>5293</v>
      </c>
    </row>
    <row r="146" spans="1:37" s="170" customFormat="1" ht="15" customHeight="1" x14ac:dyDescent="0.2">
      <c r="A146" s="6234">
        <v>23045300</v>
      </c>
      <c r="B146" s="7793"/>
      <c r="C146" s="1337" t="s">
        <v>1084</v>
      </c>
      <c r="D146" s="1134" t="s">
        <v>5292</v>
      </c>
      <c r="E146" s="1135" t="s">
        <v>5293</v>
      </c>
    </row>
    <row r="147" spans="1:37" s="170" customFormat="1" ht="15" customHeight="1" x14ac:dyDescent="0.2">
      <c r="A147" s="6234">
        <v>23045400</v>
      </c>
      <c r="B147" s="7793"/>
      <c r="C147" s="1337" t="s">
        <v>569</v>
      </c>
      <c r="D147" s="1134" t="s">
        <v>5292</v>
      </c>
      <c r="E147" s="1135" t="s">
        <v>5293</v>
      </c>
    </row>
    <row r="148" spans="1:37" s="170" customFormat="1" ht="15" customHeight="1" x14ac:dyDescent="0.2">
      <c r="A148" s="6234">
        <v>23045500</v>
      </c>
      <c r="B148" s="7794"/>
      <c r="C148" s="1338" t="s">
        <v>1085</v>
      </c>
      <c r="D148" s="64" t="s">
        <v>5292</v>
      </c>
      <c r="E148" s="1154" t="s">
        <v>5293</v>
      </c>
    </row>
    <row r="149" spans="1:37" s="170" customFormat="1" ht="15" customHeight="1" x14ac:dyDescent="0.2">
      <c r="A149" s="6234">
        <v>23045700</v>
      </c>
      <c r="B149" s="7792" t="s">
        <v>1074</v>
      </c>
      <c r="C149" s="1336" t="s">
        <v>1083</v>
      </c>
      <c r="D149" s="657" t="s">
        <v>5292</v>
      </c>
      <c r="E149" s="1173" t="s">
        <v>5293</v>
      </c>
    </row>
    <row r="150" spans="1:37" s="170" customFormat="1" ht="15" customHeight="1" x14ac:dyDescent="0.2">
      <c r="A150" s="6234">
        <v>23045800</v>
      </c>
      <c r="B150" s="7793"/>
      <c r="C150" s="1337" t="s">
        <v>1084</v>
      </c>
      <c r="D150" s="1134" t="s">
        <v>5292</v>
      </c>
      <c r="E150" s="1135" t="s">
        <v>5293</v>
      </c>
    </row>
    <row r="151" spans="1:37" s="170" customFormat="1" ht="15" customHeight="1" x14ac:dyDescent="0.2">
      <c r="A151" s="6234">
        <v>23045900</v>
      </c>
      <c r="B151" s="7793"/>
      <c r="C151" s="1337" t="s">
        <v>569</v>
      </c>
      <c r="D151" s="1134" t="s">
        <v>5292</v>
      </c>
      <c r="E151" s="1135" t="s">
        <v>5293</v>
      </c>
    </row>
    <row r="152" spans="1:37" s="170" customFormat="1" ht="15" customHeight="1" x14ac:dyDescent="0.2">
      <c r="A152" s="6234">
        <v>23046000</v>
      </c>
      <c r="B152" s="7794"/>
      <c r="C152" s="1338" t="s">
        <v>1085</v>
      </c>
      <c r="D152" s="64" t="s">
        <v>5292</v>
      </c>
      <c r="E152" s="1154" t="s">
        <v>5293</v>
      </c>
    </row>
    <row r="153" spans="1:37" s="170" customFormat="1" ht="15" customHeight="1" x14ac:dyDescent="0.25">
      <c r="A153" s="6278"/>
      <c r="B153" s="7784" t="s">
        <v>24</v>
      </c>
      <c r="C153" s="7785"/>
      <c r="D153" s="1339">
        <f>SUM(D145:D152)</f>
        <v>0</v>
      </c>
      <c r="E153" s="1340">
        <f>SUM(E145:E152)</f>
        <v>0</v>
      </c>
    </row>
    <row r="154" spans="1:37" s="1116" customFormat="1" ht="18" customHeight="1" x14ac:dyDescent="0.2">
      <c r="B154" s="53" t="s">
        <v>1086</v>
      </c>
    </row>
    <row r="155" spans="1:37" s="170" customFormat="1" ht="15" customHeight="1" x14ac:dyDescent="0.2">
      <c r="A155" s="6282"/>
      <c r="B155" s="7786" t="s">
        <v>1087</v>
      </c>
      <c r="C155" s="7764" t="s">
        <v>24</v>
      </c>
      <c r="D155" s="7764"/>
      <c r="E155" s="7765"/>
      <c r="F155" s="7789" t="s">
        <v>30</v>
      </c>
      <c r="G155" s="7768"/>
      <c r="H155" s="7768"/>
      <c r="I155" s="7768"/>
      <c r="J155" s="7768"/>
      <c r="K155" s="7768"/>
      <c r="L155" s="7768"/>
      <c r="M155" s="7768"/>
      <c r="N155" s="7768"/>
      <c r="O155" s="7768"/>
      <c r="P155" s="7768"/>
      <c r="Q155" s="7768"/>
      <c r="R155" s="7768"/>
      <c r="S155" s="7768"/>
      <c r="T155" s="7768"/>
      <c r="U155" s="7768"/>
      <c r="V155" s="7768"/>
      <c r="W155" s="7768"/>
      <c r="X155" s="7768"/>
      <c r="Y155" s="7768"/>
      <c r="Z155" s="7768"/>
      <c r="AA155" s="7768"/>
      <c r="AB155" s="7768"/>
      <c r="AC155" s="7768"/>
      <c r="AD155" s="7768"/>
      <c r="AE155" s="7768"/>
      <c r="AF155" s="7768"/>
      <c r="AG155" s="7768"/>
      <c r="AH155" s="7768"/>
      <c r="AI155" s="7768"/>
      <c r="AJ155" s="7768"/>
      <c r="AK155" s="7769"/>
    </row>
    <row r="156" spans="1:37" s="170" customFormat="1" ht="15" customHeight="1" x14ac:dyDescent="0.2">
      <c r="A156" s="6282"/>
      <c r="B156" s="7787"/>
      <c r="C156" s="7766"/>
      <c r="D156" s="7766"/>
      <c r="E156" s="7767"/>
      <c r="F156" s="7770" t="s">
        <v>682</v>
      </c>
      <c r="G156" s="7755"/>
      <c r="H156" s="7771" t="s">
        <v>1002</v>
      </c>
      <c r="I156" s="7771"/>
      <c r="J156" s="7756" t="s">
        <v>1003</v>
      </c>
      <c r="K156" s="7757"/>
      <c r="L156" s="7756" t="s">
        <v>38</v>
      </c>
      <c r="M156" s="7757"/>
      <c r="N156" s="7756" t="s">
        <v>4</v>
      </c>
      <c r="O156" s="7757"/>
      <c r="P156" s="6983" t="s">
        <v>5</v>
      </c>
      <c r="Q156" s="6983"/>
      <c r="R156" s="7754" t="s">
        <v>1004</v>
      </c>
      <c r="S156" s="7755"/>
      <c r="T156" s="7754" t="s">
        <v>9</v>
      </c>
      <c r="U156" s="7755"/>
      <c r="V156" s="6983" t="s">
        <v>10</v>
      </c>
      <c r="W156" s="6983"/>
      <c r="X156" s="7754" t="s">
        <v>11</v>
      </c>
      <c r="Y156" s="7755"/>
      <c r="Z156" s="6983" t="s">
        <v>18</v>
      </c>
      <c r="AA156" s="6983"/>
      <c r="AB156" s="7754" t="s">
        <v>19</v>
      </c>
      <c r="AC156" s="7755"/>
      <c r="AD156" s="6983" t="s">
        <v>20</v>
      </c>
      <c r="AE156" s="6983"/>
      <c r="AF156" s="7754" t="s">
        <v>70</v>
      </c>
      <c r="AG156" s="7755"/>
      <c r="AH156" s="6983" t="s">
        <v>71</v>
      </c>
      <c r="AI156" s="6983"/>
      <c r="AJ156" s="7756" t="s">
        <v>32</v>
      </c>
      <c r="AK156" s="7757"/>
    </row>
    <row r="157" spans="1:37" s="170" customFormat="1" ht="15" customHeight="1" x14ac:dyDescent="0.2">
      <c r="A157" s="6282"/>
      <c r="B157" s="7788"/>
      <c r="C157" s="1318" t="s">
        <v>26</v>
      </c>
      <c r="D157" s="1317" t="s">
        <v>22</v>
      </c>
      <c r="E157" s="1341" t="s">
        <v>27</v>
      </c>
      <c r="F157" s="1232" t="s">
        <v>22</v>
      </c>
      <c r="G157" s="1342" t="s">
        <v>27</v>
      </c>
      <c r="H157" s="1232" t="s">
        <v>22</v>
      </c>
      <c r="I157" s="1342" t="s">
        <v>27</v>
      </c>
      <c r="J157" s="1232" t="s">
        <v>22</v>
      </c>
      <c r="K157" s="1342" t="s">
        <v>27</v>
      </c>
      <c r="L157" s="1232" t="s">
        <v>22</v>
      </c>
      <c r="M157" s="1342" t="s">
        <v>27</v>
      </c>
      <c r="N157" s="1232" t="s">
        <v>22</v>
      </c>
      <c r="O157" s="1342" t="s">
        <v>27</v>
      </c>
      <c r="P157" s="1232" t="s">
        <v>22</v>
      </c>
      <c r="Q157" s="1342" t="s">
        <v>27</v>
      </c>
      <c r="R157" s="1232" t="s">
        <v>22</v>
      </c>
      <c r="S157" s="1342" t="s">
        <v>27</v>
      </c>
      <c r="T157" s="1232" t="s">
        <v>22</v>
      </c>
      <c r="U157" s="1342" t="s">
        <v>27</v>
      </c>
      <c r="V157" s="1232" t="s">
        <v>22</v>
      </c>
      <c r="W157" s="1342" t="s">
        <v>27</v>
      </c>
      <c r="X157" s="1232" t="s">
        <v>22</v>
      </c>
      <c r="Y157" s="1342" t="s">
        <v>27</v>
      </c>
      <c r="Z157" s="1232" t="s">
        <v>22</v>
      </c>
      <c r="AA157" s="1342" t="s">
        <v>27</v>
      </c>
      <c r="AB157" s="1232" t="s">
        <v>22</v>
      </c>
      <c r="AC157" s="1342" t="s">
        <v>27</v>
      </c>
      <c r="AD157" s="1232" t="s">
        <v>22</v>
      </c>
      <c r="AE157" s="1342" t="s">
        <v>27</v>
      </c>
      <c r="AF157" s="1232" t="s">
        <v>22</v>
      </c>
      <c r="AG157" s="1342" t="s">
        <v>27</v>
      </c>
      <c r="AH157" s="1232" t="s">
        <v>22</v>
      </c>
      <c r="AI157" s="1342" t="s">
        <v>27</v>
      </c>
      <c r="AJ157" s="1232" t="s">
        <v>22</v>
      </c>
      <c r="AK157" s="1167" t="s">
        <v>27</v>
      </c>
    </row>
    <row r="158" spans="1:37" s="170" customFormat="1" ht="15" customHeight="1" x14ac:dyDescent="0.2">
      <c r="A158" s="6234">
        <v>23090690</v>
      </c>
      <c r="B158" s="1343" t="s">
        <v>1088</v>
      </c>
      <c r="C158" s="1344" t="s">
        <v>5292</v>
      </c>
      <c r="D158" s="1345" t="s">
        <v>5293</v>
      </c>
      <c r="E158" s="1346" t="s">
        <v>5294</v>
      </c>
      <c r="F158" s="1128" t="s">
        <v>5295</v>
      </c>
      <c r="G158" s="1173" t="s">
        <v>5296</v>
      </c>
      <c r="H158" s="1128" t="s">
        <v>5297</v>
      </c>
      <c r="I158" s="1173" t="s">
        <v>5298</v>
      </c>
      <c r="J158" s="1128" t="s">
        <v>5299</v>
      </c>
      <c r="K158" s="1173" t="s">
        <v>5300</v>
      </c>
      <c r="L158" s="1128" t="s">
        <v>5301</v>
      </c>
      <c r="M158" s="1173" t="s">
        <v>5302</v>
      </c>
      <c r="N158" s="1128" t="s">
        <v>5303</v>
      </c>
      <c r="O158" s="1173" t="s">
        <v>5304</v>
      </c>
      <c r="P158" s="1128" t="s">
        <v>5305</v>
      </c>
      <c r="Q158" s="1173" t="s">
        <v>5306</v>
      </c>
      <c r="R158" s="1128" t="s">
        <v>5307</v>
      </c>
      <c r="S158" s="1173" t="s">
        <v>5308</v>
      </c>
      <c r="T158" s="1128" t="s">
        <v>5309</v>
      </c>
      <c r="U158" s="1173" t="s">
        <v>5310</v>
      </c>
      <c r="V158" s="1128" t="s">
        <v>5311</v>
      </c>
      <c r="W158" s="1173" t="s">
        <v>5312</v>
      </c>
      <c r="X158" s="1128" t="s">
        <v>5313</v>
      </c>
      <c r="Y158" s="1173" t="s">
        <v>5314</v>
      </c>
      <c r="Z158" s="1128" t="s">
        <v>5315</v>
      </c>
      <c r="AA158" s="1173" t="s">
        <v>5316</v>
      </c>
      <c r="AB158" s="1128" t="s">
        <v>5317</v>
      </c>
      <c r="AC158" s="1173" t="s">
        <v>5318</v>
      </c>
      <c r="AD158" s="1128" t="s">
        <v>5319</v>
      </c>
      <c r="AE158" s="1173" t="s">
        <v>5320</v>
      </c>
      <c r="AF158" s="1128" t="s">
        <v>5321</v>
      </c>
      <c r="AG158" s="1173" t="s">
        <v>5322</v>
      </c>
      <c r="AH158" s="1128" t="s">
        <v>5323</v>
      </c>
      <c r="AI158" s="1173" t="s">
        <v>5324</v>
      </c>
      <c r="AJ158" s="1296" t="s">
        <v>5325</v>
      </c>
      <c r="AK158" s="1173" t="s">
        <v>5326</v>
      </c>
    </row>
    <row r="159" spans="1:37" s="170" customFormat="1" ht="15" customHeight="1" x14ac:dyDescent="0.2">
      <c r="A159" s="6234">
        <v>23090700</v>
      </c>
      <c r="B159" s="1347" t="s">
        <v>1089</v>
      </c>
      <c r="C159" s="1348" t="s">
        <v>5292</v>
      </c>
      <c r="D159" s="1349" t="s">
        <v>5293</v>
      </c>
      <c r="E159" s="1350" t="s">
        <v>5294</v>
      </c>
      <c r="F159" s="1136" t="s">
        <v>5295</v>
      </c>
      <c r="G159" s="1135" t="s">
        <v>5296</v>
      </c>
      <c r="H159" s="1136" t="s">
        <v>5297</v>
      </c>
      <c r="I159" s="1135" t="s">
        <v>5298</v>
      </c>
      <c r="J159" s="1136" t="s">
        <v>5299</v>
      </c>
      <c r="K159" s="1135" t="s">
        <v>5300</v>
      </c>
      <c r="L159" s="1136" t="s">
        <v>5301</v>
      </c>
      <c r="M159" s="1135" t="s">
        <v>5302</v>
      </c>
      <c r="N159" s="1136" t="s">
        <v>5303</v>
      </c>
      <c r="O159" s="1135" t="s">
        <v>5304</v>
      </c>
      <c r="P159" s="1136" t="s">
        <v>5305</v>
      </c>
      <c r="Q159" s="1135" t="s">
        <v>5306</v>
      </c>
      <c r="R159" s="1136" t="s">
        <v>5307</v>
      </c>
      <c r="S159" s="1135" t="s">
        <v>5308</v>
      </c>
      <c r="T159" s="1136" t="s">
        <v>5309</v>
      </c>
      <c r="U159" s="1135" t="s">
        <v>5310</v>
      </c>
      <c r="V159" s="1136" t="s">
        <v>5311</v>
      </c>
      <c r="W159" s="1135" t="s">
        <v>5312</v>
      </c>
      <c r="X159" s="1136" t="s">
        <v>5313</v>
      </c>
      <c r="Y159" s="1135" t="s">
        <v>5314</v>
      </c>
      <c r="Z159" s="1136" t="s">
        <v>5315</v>
      </c>
      <c r="AA159" s="1135" t="s">
        <v>5316</v>
      </c>
      <c r="AB159" s="1136" t="s">
        <v>5317</v>
      </c>
      <c r="AC159" s="1135" t="s">
        <v>5318</v>
      </c>
      <c r="AD159" s="1136" t="s">
        <v>5319</v>
      </c>
      <c r="AE159" s="1135" t="s">
        <v>5320</v>
      </c>
      <c r="AF159" s="1136" t="s">
        <v>5321</v>
      </c>
      <c r="AG159" s="1135" t="s">
        <v>5322</v>
      </c>
      <c r="AH159" s="1136" t="s">
        <v>5323</v>
      </c>
      <c r="AI159" s="1135" t="s">
        <v>5324</v>
      </c>
      <c r="AJ159" s="1136" t="s">
        <v>5325</v>
      </c>
      <c r="AK159" s="1135" t="s">
        <v>5326</v>
      </c>
    </row>
    <row r="160" spans="1:37" s="170" customFormat="1" ht="15" customHeight="1" x14ac:dyDescent="0.2">
      <c r="A160" s="6234">
        <v>23090710</v>
      </c>
      <c r="B160" s="1299" t="s">
        <v>1090</v>
      </c>
      <c r="C160" s="1348" t="s">
        <v>5292</v>
      </c>
      <c r="D160" s="1351" t="s">
        <v>5293</v>
      </c>
      <c r="E160" s="1352" t="s">
        <v>5294</v>
      </c>
      <c r="F160" s="1303" t="s">
        <v>5295</v>
      </c>
      <c r="G160" s="1302" t="s">
        <v>5296</v>
      </c>
      <c r="H160" s="1303" t="s">
        <v>5297</v>
      </c>
      <c r="I160" s="1302" t="s">
        <v>5298</v>
      </c>
      <c r="J160" s="1303" t="s">
        <v>5299</v>
      </c>
      <c r="K160" s="1302" t="s">
        <v>5300</v>
      </c>
      <c r="L160" s="1303" t="s">
        <v>5301</v>
      </c>
      <c r="M160" s="1302" t="s">
        <v>5302</v>
      </c>
      <c r="N160" s="1303" t="s">
        <v>5303</v>
      </c>
      <c r="O160" s="1302" t="s">
        <v>5304</v>
      </c>
      <c r="P160" s="1303" t="s">
        <v>5305</v>
      </c>
      <c r="Q160" s="1302" t="s">
        <v>5306</v>
      </c>
      <c r="R160" s="1303" t="s">
        <v>5307</v>
      </c>
      <c r="S160" s="1302" t="s">
        <v>5308</v>
      </c>
      <c r="T160" s="1303" t="s">
        <v>5309</v>
      </c>
      <c r="U160" s="1302" t="s">
        <v>5310</v>
      </c>
      <c r="V160" s="1303" t="s">
        <v>5311</v>
      </c>
      <c r="W160" s="1302" t="s">
        <v>5312</v>
      </c>
      <c r="X160" s="1303" t="s">
        <v>5313</v>
      </c>
      <c r="Y160" s="1302" t="s">
        <v>5314</v>
      </c>
      <c r="Z160" s="1303" t="s">
        <v>5315</v>
      </c>
      <c r="AA160" s="1302" t="s">
        <v>5316</v>
      </c>
      <c r="AB160" s="1303" t="s">
        <v>5317</v>
      </c>
      <c r="AC160" s="1302" t="s">
        <v>5318</v>
      </c>
      <c r="AD160" s="1303" t="s">
        <v>5319</v>
      </c>
      <c r="AE160" s="1302" t="s">
        <v>5320</v>
      </c>
      <c r="AF160" s="1303" t="s">
        <v>5321</v>
      </c>
      <c r="AG160" s="1302" t="s">
        <v>5322</v>
      </c>
      <c r="AH160" s="1303" t="s">
        <v>5323</v>
      </c>
      <c r="AI160" s="1302" t="s">
        <v>5324</v>
      </c>
      <c r="AJ160" s="1303" t="s">
        <v>5325</v>
      </c>
      <c r="AK160" s="1302" t="s">
        <v>5326</v>
      </c>
    </row>
    <row r="161" spans="1:37" s="170" customFormat="1" ht="15" customHeight="1" x14ac:dyDescent="0.2">
      <c r="A161" s="6234">
        <v>23110110</v>
      </c>
      <c r="B161" s="1299" t="s">
        <v>1091</v>
      </c>
      <c r="C161" s="1348" t="s">
        <v>5292</v>
      </c>
      <c r="D161" s="1351" t="s">
        <v>5293</v>
      </c>
      <c r="E161" s="1352" t="s">
        <v>5294</v>
      </c>
      <c r="F161" s="1303" t="s">
        <v>5295</v>
      </c>
      <c r="G161" s="1302" t="s">
        <v>5296</v>
      </c>
      <c r="H161" s="1303" t="s">
        <v>5297</v>
      </c>
      <c r="I161" s="1302" t="s">
        <v>5298</v>
      </c>
      <c r="J161" s="1303" t="s">
        <v>5299</v>
      </c>
      <c r="K161" s="1302" t="s">
        <v>5300</v>
      </c>
      <c r="L161" s="1303" t="s">
        <v>5301</v>
      </c>
      <c r="M161" s="1302" t="s">
        <v>5302</v>
      </c>
      <c r="N161" s="1303" t="s">
        <v>5303</v>
      </c>
      <c r="O161" s="1302" t="s">
        <v>5304</v>
      </c>
      <c r="P161" s="1303" t="s">
        <v>5305</v>
      </c>
      <c r="Q161" s="1302" t="s">
        <v>5306</v>
      </c>
      <c r="R161" s="1303" t="s">
        <v>5307</v>
      </c>
      <c r="S161" s="1302" t="s">
        <v>5308</v>
      </c>
      <c r="T161" s="1303" t="s">
        <v>5309</v>
      </c>
      <c r="U161" s="1302" t="s">
        <v>5310</v>
      </c>
      <c r="V161" s="1303" t="s">
        <v>5311</v>
      </c>
      <c r="W161" s="1302" t="s">
        <v>5312</v>
      </c>
      <c r="X161" s="1303" t="s">
        <v>5313</v>
      </c>
      <c r="Y161" s="1302" t="s">
        <v>5314</v>
      </c>
      <c r="Z161" s="1303" t="s">
        <v>5315</v>
      </c>
      <c r="AA161" s="1302" t="s">
        <v>5316</v>
      </c>
      <c r="AB161" s="1303" t="s">
        <v>5317</v>
      </c>
      <c r="AC161" s="1302" t="s">
        <v>5318</v>
      </c>
      <c r="AD161" s="1303" t="s">
        <v>5319</v>
      </c>
      <c r="AE161" s="1302" t="s">
        <v>5320</v>
      </c>
      <c r="AF161" s="1303" t="s">
        <v>5321</v>
      </c>
      <c r="AG161" s="1302" t="s">
        <v>5322</v>
      </c>
      <c r="AH161" s="1303" t="s">
        <v>5323</v>
      </c>
      <c r="AI161" s="1302" t="s">
        <v>5324</v>
      </c>
      <c r="AJ161" s="1303" t="s">
        <v>5325</v>
      </c>
      <c r="AK161" s="1302" t="s">
        <v>5326</v>
      </c>
    </row>
    <row r="162" spans="1:37" s="170" customFormat="1" ht="15" customHeight="1" x14ac:dyDescent="0.2">
      <c r="A162" s="6234">
        <v>23090720</v>
      </c>
      <c r="B162" s="1314" t="s">
        <v>1092</v>
      </c>
      <c r="C162" s="1307" t="s">
        <v>5292</v>
      </c>
      <c r="D162" s="1353" t="s">
        <v>5293</v>
      </c>
      <c r="E162" s="1354" t="s">
        <v>5294</v>
      </c>
      <c r="F162" s="654" t="s">
        <v>5295</v>
      </c>
      <c r="G162" s="1154" t="s">
        <v>5296</v>
      </c>
      <c r="H162" s="654" t="s">
        <v>5297</v>
      </c>
      <c r="I162" s="1154" t="s">
        <v>5298</v>
      </c>
      <c r="J162" s="654" t="s">
        <v>5299</v>
      </c>
      <c r="K162" s="1154" t="s">
        <v>5300</v>
      </c>
      <c r="L162" s="654" t="s">
        <v>5301</v>
      </c>
      <c r="M162" s="1154" t="s">
        <v>5302</v>
      </c>
      <c r="N162" s="654" t="s">
        <v>5303</v>
      </c>
      <c r="O162" s="1154" t="s">
        <v>5304</v>
      </c>
      <c r="P162" s="654" t="s">
        <v>5305</v>
      </c>
      <c r="Q162" s="1154" t="s">
        <v>5306</v>
      </c>
      <c r="R162" s="654" t="s">
        <v>5307</v>
      </c>
      <c r="S162" s="1154" t="s">
        <v>5308</v>
      </c>
      <c r="T162" s="654" t="s">
        <v>5309</v>
      </c>
      <c r="U162" s="1154" t="s">
        <v>5310</v>
      </c>
      <c r="V162" s="654" t="s">
        <v>5311</v>
      </c>
      <c r="W162" s="1154" t="s">
        <v>5312</v>
      </c>
      <c r="X162" s="654" t="s">
        <v>5313</v>
      </c>
      <c r="Y162" s="1154" t="s">
        <v>5314</v>
      </c>
      <c r="Z162" s="654" t="s">
        <v>5315</v>
      </c>
      <c r="AA162" s="1154" t="s">
        <v>5316</v>
      </c>
      <c r="AB162" s="654" t="s">
        <v>5317</v>
      </c>
      <c r="AC162" s="1154" t="s">
        <v>5318</v>
      </c>
      <c r="AD162" s="654" t="s">
        <v>5319</v>
      </c>
      <c r="AE162" s="1154" t="s">
        <v>5320</v>
      </c>
      <c r="AF162" s="654" t="s">
        <v>5321</v>
      </c>
      <c r="AG162" s="1154" t="s">
        <v>5322</v>
      </c>
      <c r="AH162" s="654" t="s">
        <v>5323</v>
      </c>
      <c r="AI162" s="1154" t="s">
        <v>5324</v>
      </c>
      <c r="AJ162" s="654" t="s">
        <v>5325</v>
      </c>
      <c r="AK162" s="1154" t="s">
        <v>5326</v>
      </c>
    </row>
    <row r="163" spans="1:37" s="1116" customFormat="1" ht="18" customHeight="1" x14ac:dyDescent="0.25">
      <c r="A163" s="20"/>
      <c r="B163" s="7775" t="s">
        <v>1093</v>
      </c>
      <c r="C163" s="7775"/>
      <c r="D163" s="7775"/>
    </row>
    <row r="164" spans="1:37" s="170" customFormat="1" ht="13.8" x14ac:dyDescent="0.25">
      <c r="A164" s="20"/>
      <c r="B164" s="7783" t="s">
        <v>137</v>
      </c>
      <c r="C164" s="7783"/>
      <c r="D164" s="1355" t="s">
        <v>571</v>
      </c>
      <c r="E164" s="1356" t="s">
        <v>1094</v>
      </c>
      <c r="F164" s="1356" t="s">
        <v>1095</v>
      </c>
      <c r="G164" s="1356" t="s">
        <v>1042</v>
      </c>
      <c r="H164" s="1356" t="s">
        <v>28</v>
      </c>
    </row>
    <row r="165" spans="1:37" s="170" customFormat="1" ht="15" customHeight="1" x14ac:dyDescent="0.2">
      <c r="A165" s="6234">
        <v>23110120</v>
      </c>
      <c r="B165" s="7772" t="s">
        <v>1096</v>
      </c>
      <c r="C165" s="1357" t="s">
        <v>1097</v>
      </c>
      <c r="D165" s="1358" t="s">
        <v>5292</v>
      </c>
      <c r="E165" s="1359" t="s">
        <v>5293</v>
      </c>
      <c r="F165" s="1359" t="s">
        <v>5294</v>
      </c>
      <c r="G165" s="1359" t="s">
        <v>5295</v>
      </c>
      <c r="H165" s="1359" t="s">
        <v>5296</v>
      </c>
    </row>
    <row r="166" spans="1:37" s="170" customFormat="1" ht="15" customHeight="1" x14ac:dyDescent="0.2">
      <c r="A166" s="6234">
        <v>23110130</v>
      </c>
      <c r="B166" s="7773"/>
      <c r="C166" s="1360" t="s">
        <v>1098</v>
      </c>
      <c r="D166" s="1361" t="s">
        <v>5292</v>
      </c>
      <c r="E166" s="1362" t="s">
        <v>5293</v>
      </c>
      <c r="F166" s="1362" t="s">
        <v>5294</v>
      </c>
      <c r="G166" s="1362" t="s">
        <v>5295</v>
      </c>
      <c r="H166" s="1362" t="s">
        <v>5296</v>
      </c>
    </row>
    <row r="167" spans="1:37" s="170" customFormat="1" ht="15" customHeight="1" x14ac:dyDescent="0.2">
      <c r="A167" s="6234">
        <v>23110140</v>
      </c>
      <c r="B167" s="7774"/>
      <c r="C167" s="1363" t="s">
        <v>1099</v>
      </c>
      <c r="D167" s="1364" t="s">
        <v>5292</v>
      </c>
      <c r="E167" s="655" t="s">
        <v>5293</v>
      </c>
      <c r="F167" s="655" t="s">
        <v>5294</v>
      </c>
      <c r="G167" s="655" t="s">
        <v>5295</v>
      </c>
      <c r="H167" s="655" t="s">
        <v>5296</v>
      </c>
    </row>
    <row r="168" spans="1:37" s="170" customFormat="1" ht="15" customHeight="1" x14ac:dyDescent="0.2">
      <c r="A168" s="6234">
        <v>23110150</v>
      </c>
      <c r="B168" s="7772" t="s">
        <v>1100</v>
      </c>
      <c r="C168" s="1357" t="s">
        <v>1101</v>
      </c>
      <c r="D168" s="1365" t="s">
        <v>5292</v>
      </c>
      <c r="E168" s="1366" t="s">
        <v>5293</v>
      </c>
      <c r="F168" s="1366" t="s">
        <v>5294</v>
      </c>
      <c r="G168" s="1366" t="s">
        <v>5295</v>
      </c>
      <c r="H168" s="1366" t="s">
        <v>5296</v>
      </c>
    </row>
    <row r="169" spans="1:37" s="170" customFormat="1" ht="15" customHeight="1" x14ac:dyDescent="0.2">
      <c r="A169" s="6234">
        <v>23110160</v>
      </c>
      <c r="B169" s="7773"/>
      <c r="C169" s="1360" t="s">
        <v>1102</v>
      </c>
      <c r="D169" s="1365" t="s">
        <v>5292</v>
      </c>
      <c r="E169" s="1362" t="s">
        <v>5293</v>
      </c>
      <c r="F169" s="1362" t="s">
        <v>5294</v>
      </c>
      <c r="G169" s="1362" t="s">
        <v>5295</v>
      </c>
      <c r="H169" s="1362" t="s">
        <v>5296</v>
      </c>
    </row>
    <row r="170" spans="1:37" s="170" customFormat="1" ht="15" customHeight="1" x14ac:dyDescent="0.2">
      <c r="A170" s="6234">
        <v>23110170</v>
      </c>
      <c r="B170" s="7774"/>
      <c r="C170" s="1367" t="s">
        <v>1103</v>
      </c>
      <c r="D170" s="1364" t="s">
        <v>5292</v>
      </c>
      <c r="E170" s="655" t="s">
        <v>5293</v>
      </c>
      <c r="F170" s="655" t="s">
        <v>5294</v>
      </c>
      <c r="G170" s="655" t="s">
        <v>5295</v>
      </c>
      <c r="H170" s="655" t="s">
        <v>5296</v>
      </c>
    </row>
    <row r="171" spans="1:37" s="1116" customFormat="1" ht="18" customHeight="1" x14ac:dyDescent="0.2">
      <c r="B171" s="7775" t="s">
        <v>1104</v>
      </c>
      <c r="C171" s="7775"/>
      <c r="D171" s="7776"/>
    </row>
    <row r="172" spans="1:37" s="170" customFormat="1" ht="15" customHeight="1" x14ac:dyDescent="0.2">
      <c r="A172" s="6282"/>
      <c r="B172" s="7764" t="s">
        <v>137</v>
      </c>
      <c r="C172" s="7765"/>
      <c r="D172" s="7779" t="s">
        <v>24</v>
      </c>
      <c r="E172" s="7764"/>
      <c r="F172" s="7765"/>
      <c r="G172" s="7756" t="s">
        <v>30</v>
      </c>
      <c r="H172" s="7771"/>
      <c r="I172" s="7771"/>
      <c r="J172" s="7771"/>
      <c r="K172" s="7771"/>
      <c r="L172" s="7757"/>
    </row>
    <row r="173" spans="1:37" s="170" customFormat="1" ht="15" customHeight="1" x14ac:dyDescent="0.2">
      <c r="A173" s="6282"/>
      <c r="B173" s="7777"/>
      <c r="C173" s="7778"/>
      <c r="D173" s="7780"/>
      <c r="E173" s="7766"/>
      <c r="F173" s="7767"/>
      <c r="G173" s="7771" t="s">
        <v>1320</v>
      </c>
      <c r="H173" s="7757"/>
      <c r="I173" s="7756" t="s">
        <v>3726</v>
      </c>
      <c r="J173" s="7757"/>
      <c r="K173" s="7768" t="s">
        <v>946</v>
      </c>
      <c r="L173" s="7769"/>
    </row>
    <row r="174" spans="1:37" s="170" customFormat="1" ht="15" customHeight="1" x14ac:dyDescent="0.2">
      <c r="A174" s="6282"/>
      <c r="B174" s="7766"/>
      <c r="C174" s="7767"/>
      <c r="D174" s="4364" t="s">
        <v>26</v>
      </c>
      <c r="E174" s="4415" t="s">
        <v>22</v>
      </c>
      <c r="F174" s="4415" t="s">
        <v>27</v>
      </c>
      <c r="G174" s="1368" t="s">
        <v>22</v>
      </c>
      <c r="H174" s="1318" t="s">
        <v>27</v>
      </c>
      <c r="I174" s="1368" t="s">
        <v>22</v>
      </c>
      <c r="J174" s="1318" t="s">
        <v>27</v>
      </c>
      <c r="K174" s="1317" t="s">
        <v>22</v>
      </c>
      <c r="L174" s="1318" t="s">
        <v>27</v>
      </c>
    </row>
    <row r="175" spans="1:37" s="170" customFormat="1" ht="15" customHeight="1" x14ac:dyDescent="0.2">
      <c r="A175" s="6234">
        <v>29101384</v>
      </c>
      <c r="B175" s="7669" t="s">
        <v>1105</v>
      </c>
      <c r="C175" s="1369" t="s">
        <v>1101</v>
      </c>
      <c r="D175" s="1370" t="s">
        <v>5292</v>
      </c>
      <c r="E175" s="1365" t="s">
        <v>5293</v>
      </c>
      <c r="F175" s="1365" t="s">
        <v>5294</v>
      </c>
      <c r="G175" s="649" t="s">
        <v>5295</v>
      </c>
      <c r="H175" s="1184" t="s">
        <v>5296</v>
      </c>
      <c r="I175" s="649" t="s">
        <v>5297</v>
      </c>
      <c r="J175" s="1184" t="s">
        <v>5298</v>
      </c>
      <c r="K175" s="650" t="s">
        <v>5299</v>
      </c>
      <c r="L175" s="1184" t="s">
        <v>5300</v>
      </c>
    </row>
    <row r="176" spans="1:37" s="170" customFormat="1" ht="15" customHeight="1" x14ac:dyDescent="0.2">
      <c r="A176" s="6234">
        <v>29101385</v>
      </c>
      <c r="B176" s="7781"/>
      <c r="C176" s="1369" t="s">
        <v>1097</v>
      </c>
      <c r="D176" s="1370" t="s">
        <v>5292</v>
      </c>
      <c r="E176" s="1365" t="s">
        <v>5293</v>
      </c>
      <c r="F176" s="1365" t="s">
        <v>5294</v>
      </c>
      <c r="G176" s="1301" t="s">
        <v>5295</v>
      </c>
      <c r="H176" s="1190" t="s">
        <v>5296</v>
      </c>
      <c r="I176" s="1301" t="s">
        <v>5297</v>
      </c>
      <c r="J176" s="1190" t="s">
        <v>5298</v>
      </c>
      <c r="K176" s="1303" t="s">
        <v>5299</v>
      </c>
      <c r="L176" s="1190" t="s">
        <v>5300</v>
      </c>
    </row>
    <row r="177" spans="1:89" s="170" customFormat="1" ht="15" customHeight="1" x14ac:dyDescent="0.2">
      <c r="A177" s="6234">
        <v>29101386</v>
      </c>
      <c r="B177" s="7781"/>
      <c r="C177" s="1369" t="s">
        <v>1098</v>
      </c>
      <c r="D177" s="1370" t="s">
        <v>5292</v>
      </c>
      <c r="E177" s="1365" t="s">
        <v>5293</v>
      </c>
      <c r="F177" s="1365" t="s">
        <v>5294</v>
      </c>
      <c r="G177" s="1301" t="s">
        <v>5295</v>
      </c>
      <c r="H177" s="1190" t="s">
        <v>5296</v>
      </c>
      <c r="I177" s="1301" t="s">
        <v>5297</v>
      </c>
      <c r="J177" s="1190" t="s">
        <v>5298</v>
      </c>
      <c r="K177" s="1303" t="s">
        <v>5299</v>
      </c>
      <c r="L177" s="1190" t="s">
        <v>5300</v>
      </c>
    </row>
    <row r="178" spans="1:89" s="170" customFormat="1" ht="15" customHeight="1" x14ac:dyDescent="0.2">
      <c r="A178" s="6234">
        <v>29101387</v>
      </c>
      <c r="B178" s="7782"/>
      <c r="C178" s="55" t="s">
        <v>1106</v>
      </c>
      <c r="D178" s="1364" t="s">
        <v>5292</v>
      </c>
      <c r="E178" s="1364" t="s">
        <v>5293</v>
      </c>
      <c r="F178" s="1364" t="s">
        <v>5294</v>
      </c>
      <c r="G178" s="64" t="s">
        <v>5295</v>
      </c>
      <c r="H178" s="65" t="s">
        <v>5296</v>
      </c>
      <c r="I178" s="64" t="s">
        <v>5297</v>
      </c>
      <c r="J178" s="65" t="s">
        <v>5298</v>
      </c>
      <c r="K178" s="654" t="s">
        <v>5299</v>
      </c>
      <c r="L178" s="65" t="s">
        <v>5300</v>
      </c>
    </row>
    <row r="179" spans="1:89" s="1116" customFormat="1" ht="18" customHeight="1" x14ac:dyDescent="0.25">
      <c r="A179" s="20"/>
      <c r="B179" s="49" t="s">
        <v>1107</v>
      </c>
    </row>
    <row r="180" spans="1:89" s="170" customFormat="1" ht="15" customHeight="1" x14ac:dyDescent="0.25">
      <c r="A180" s="20"/>
      <c r="B180" s="7760" t="s">
        <v>1108</v>
      </c>
      <c r="C180" s="7760"/>
      <c r="D180" s="7763" t="s">
        <v>1109</v>
      </c>
      <c r="E180" s="7764" t="s">
        <v>24</v>
      </c>
      <c r="F180" s="7764"/>
      <c r="G180" s="7765"/>
      <c r="H180" s="7768" t="s">
        <v>30</v>
      </c>
      <c r="I180" s="7768"/>
      <c r="J180" s="7768"/>
      <c r="K180" s="7768"/>
      <c r="L180" s="7768"/>
      <c r="M180" s="7768"/>
      <c r="N180" s="7768"/>
      <c r="O180" s="7768"/>
      <c r="P180" s="7768"/>
      <c r="Q180" s="7768"/>
      <c r="R180" s="7768"/>
      <c r="S180" s="7768"/>
      <c r="T180" s="7768"/>
      <c r="U180" s="7768"/>
      <c r="V180" s="7768"/>
      <c r="W180" s="7768"/>
      <c r="X180" s="7768"/>
      <c r="Y180" s="7768"/>
      <c r="Z180" s="7768"/>
      <c r="AA180" s="7768"/>
      <c r="AB180" s="7768"/>
      <c r="AC180" s="7768"/>
      <c r="AD180" s="7768"/>
      <c r="AE180" s="7768"/>
      <c r="AF180" s="7768"/>
      <c r="AG180" s="7768"/>
      <c r="AH180" s="7768"/>
      <c r="AI180" s="7768"/>
      <c r="AJ180" s="7768"/>
      <c r="AK180" s="7768"/>
      <c r="AL180" s="7768"/>
      <c r="AM180" s="7769"/>
    </row>
    <row r="181" spans="1:89" s="170" customFormat="1" ht="15" customHeight="1" x14ac:dyDescent="0.25">
      <c r="A181" s="20"/>
      <c r="B181" s="7761"/>
      <c r="C181" s="7761"/>
      <c r="D181" s="7763"/>
      <c r="E181" s="7766"/>
      <c r="F181" s="7766"/>
      <c r="G181" s="7767"/>
      <c r="H181" s="7770" t="s">
        <v>682</v>
      </c>
      <c r="I181" s="7755"/>
      <c r="J181" s="7771" t="s">
        <v>1002</v>
      </c>
      <c r="K181" s="7771"/>
      <c r="L181" s="7756" t="s">
        <v>1003</v>
      </c>
      <c r="M181" s="7757"/>
      <c r="N181" s="7756" t="s">
        <v>38</v>
      </c>
      <c r="O181" s="7757"/>
      <c r="P181" s="7756" t="s">
        <v>4</v>
      </c>
      <c r="Q181" s="7757"/>
      <c r="R181" s="6983" t="s">
        <v>5</v>
      </c>
      <c r="S181" s="6983"/>
      <c r="T181" s="7754" t="s">
        <v>1004</v>
      </c>
      <c r="U181" s="7755"/>
      <c r="V181" s="7754" t="s">
        <v>9</v>
      </c>
      <c r="W181" s="7755"/>
      <c r="X181" s="6983" t="s">
        <v>10</v>
      </c>
      <c r="Y181" s="6983"/>
      <c r="Z181" s="7754" t="s">
        <v>11</v>
      </c>
      <c r="AA181" s="7755"/>
      <c r="AB181" s="6983" t="s">
        <v>18</v>
      </c>
      <c r="AC181" s="6983"/>
      <c r="AD181" s="7754" t="s">
        <v>19</v>
      </c>
      <c r="AE181" s="7755"/>
      <c r="AF181" s="6983" t="s">
        <v>20</v>
      </c>
      <c r="AG181" s="6983"/>
      <c r="AH181" s="7754" t="s">
        <v>70</v>
      </c>
      <c r="AI181" s="7755"/>
      <c r="AJ181" s="6983" t="s">
        <v>71</v>
      </c>
      <c r="AK181" s="6983"/>
      <c r="AL181" s="7756" t="s">
        <v>32</v>
      </c>
      <c r="AM181" s="7757"/>
    </row>
    <row r="182" spans="1:89" s="170" customFormat="1" ht="15" customHeight="1" x14ac:dyDescent="0.25">
      <c r="A182" s="20"/>
      <c r="B182" s="7762"/>
      <c r="C182" s="7762"/>
      <c r="D182" s="7763"/>
      <c r="E182" s="1316" t="s">
        <v>26</v>
      </c>
      <c r="F182" s="1368" t="s">
        <v>22</v>
      </c>
      <c r="G182" s="1318" t="s">
        <v>27</v>
      </c>
      <c r="H182" s="1232" t="s">
        <v>22</v>
      </c>
      <c r="I182" s="1342" t="s">
        <v>27</v>
      </c>
      <c r="J182" s="1232" t="s">
        <v>22</v>
      </c>
      <c r="K182" s="1342" t="s">
        <v>27</v>
      </c>
      <c r="L182" s="1232" t="s">
        <v>22</v>
      </c>
      <c r="M182" s="1342" t="s">
        <v>27</v>
      </c>
      <c r="N182" s="1232" t="s">
        <v>22</v>
      </c>
      <c r="O182" s="1342" t="s">
        <v>27</v>
      </c>
      <c r="P182" s="1232" t="s">
        <v>22</v>
      </c>
      <c r="Q182" s="1342" t="s">
        <v>27</v>
      </c>
      <c r="R182" s="1232" t="s">
        <v>22</v>
      </c>
      <c r="S182" s="1342" t="s">
        <v>27</v>
      </c>
      <c r="T182" s="1232" t="s">
        <v>22</v>
      </c>
      <c r="U182" s="1342" t="s">
        <v>27</v>
      </c>
      <c r="V182" s="1232" t="s">
        <v>22</v>
      </c>
      <c r="W182" s="1342" t="s">
        <v>27</v>
      </c>
      <c r="X182" s="1232" t="s">
        <v>22</v>
      </c>
      <c r="Y182" s="1342" t="s">
        <v>27</v>
      </c>
      <c r="Z182" s="1232" t="s">
        <v>22</v>
      </c>
      <c r="AA182" s="1342" t="s">
        <v>27</v>
      </c>
      <c r="AB182" s="1232" t="s">
        <v>22</v>
      </c>
      <c r="AC182" s="1342" t="s">
        <v>27</v>
      </c>
      <c r="AD182" s="1232" t="s">
        <v>22</v>
      </c>
      <c r="AE182" s="1342" t="s">
        <v>27</v>
      </c>
      <c r="AF182" s="1232" t="s">
        <v>22</v>
      </c>
      <c r="AG182" s="1342" t="s">
        <v>27</v>
      </c>
      <c r="AH182" s="1232" t="s">
        <v>22</v>
      </c>
      <c r="AI182" s="1342" t="s">
        <v>27</v>
      </c>
      <c r="AJ182" s="1232" t="s">
        <v>22</v>
      </c>
      <c r="AK182" s="1342" t="s">
        <v>27</v>
      </c>
      <c r="AL182" s="1232" t="s">
        <v>22</v>
      </c>
      <c r="AM182" s="1167" t="s">
        <v>27</v>
      </c>
    </row>
    <row r="183" spans="1:89" s="170" customFormat="1" ht="15" customHeight="1" x14ac:dyDescent="0.2">
      <c r="A183" s="6234">
        <v>23110180</v>
      </c>
      <c r="B183" s="7758" t="s">
        <v>590</v>
      </c>
      <c r="C183" s="7758"/>
      <c r="D183" s="1357" t="s">
        <v>1110</v>
      </c>
      <c r="E183" s="1343" t="s">
        <v>5292</v>
      </c>
      <c r="F183" s="1371" t="s">
        <v>5293</v>
      </c>
      <c r="G183" s="1372" t="s">
        <v>5294</v>
      </c>
      <c r="H183" s="1125" t="s">
        <v>5295</v>
      </c>
      <c r="I183" s="1127" t="s">
        <v>5296</v>
      </c>
      <c r="J183" s="1125" t="s">
        <v>5297</v>
      </c>
      <c r="K183" s="1127" t="s">
        <v>5298</v>
      </c>
      <c r="L183" s="1125" t="s">
        <v>5299</v>
      </c>
      <c r="M183" s="1127" t="s">
        <v>5300</v>
      </c>
      <c r="N183" s="1125" t="s">
        <v>5301</v>
      </c>
      <c r="O183" s="1127" t="s">
        <v>5302</v>
      </c>
      <c r="P183" s="1125" t="s">
        <v>5303</v>
      </c>
      <c r="Q183" s="1127" t="s">
        <v>5304</v>
      </c>
      <c r="R183" s="1125" t="s">
        <v>5305</v>
      </c>
      <c r="S183" s="1127" t="s">
        <v>5306</v>
      </c>
      <c r="T183" s="1125" t="s">
        <v>5307</v>
      </c>
      <c r="U183" s="1127" t="s">
        <v>5308</v>
      </c>
      <c r="V183" s="1125" t="s">
        <v>5309</v>
      </c>
      <c r="W183" s="1127" t="s">
        <v>5310</v>
      </c>
      <c r="X183" s="1125" t="s">
        <v>5311</v>
      </c>
      <c r="Y183" s="1127" t="s">
        <v>5312</v>
      </c>
      <c r="Z183" s="1125" t="s">
        <v>5313</v>
      </c>
      <c r="AA183" s="1127" t="s">
        <v>5314</v>
      </c>
      <c r="AB183" s="1125" t="s">
        <v>5315</v>
      </c>
      <c r="AC183" s="1127" t="s">
        <v>5316</v>
      </c>
      <c r="AD183" s="1125" t="s">
        <v>5317</v>
      </c>
      <c r="AE183" s="1127" t="s">
        <v>5318</v>
      </c>
      <c r="AF183" s="1125" t="s">
        <v>5319</v>
      </c>
      <c r="AG183" s="1127" t="s">
        <v>5320</v>
      </c>
      <c r="AH183" s="1125" t="s">
        <v>5321</v>
      </c>
      <c r="AI183" s="1127" t="s">
        <v>5322</v>
      </c>
      <c r="AJ183" s="1125" t="s">
        <v>5323</v>
      </c>
      <c r="AK183" s="1127" t="s">
        <v>5324</v>
      </c>
      <c r="AL183" s="1125" t="s">
        <v>5325</v>
      </c>
      <c r="AM183" s="1127" t="s">
        <v>5326</v>
      </c>
    </row>
    <row r="184" spans="1:89" s="170" customFormat="1" ht="15" customHeight="1" x14ac:dyDescent="0.2">
      <c r="A184" s="6234">
        <v>23110190</v>
      </c>
      <c r="B184" s="7759"/>
      <c r="C184" s="7759"/>
      <c r="D184" s="1363" t="s">
        <v>1111</v>
      </c>
      <c r="E184" s="1373" t="s">
        <v>5292</v>
      </c>
      <c r="F184" s="1374" t="s">
        <v>5293</v>
      </c>
      <c r="G184" s="1375" t="s">
        <v>5294</v>
      </c>
      <c r="H184" s="64" t="s">
        <v>5295</v>
      </c>
      <c r="I184" s="1154" t="s">
        <v>5296</v>
      </c>
      <c r="J184" s="64" t="s">
        <v>5297</v>
      </c>
      <c r="K184" s="1154" t="s">
        <v>5298</v>
      </c>
      <c r="L184" s="64" t="s">
        <v>5299</v>
      </c>
      <c r="M184" s="1154" t="s">
        <v>5300</v>
      </c>
      <c r="N184" s="64" t="s">
        <v>5301</v>
      </c>
      <c r="O184" s="1154" t="s">
        <v>5302</v>
      </c>
      <c r="P184" s="64" t="s">
        <v>5303</v>
      </c>
      <c r="Q184" s="1154" t="s">
        <v>5304</v>
      </c>
      <c r="R184" s="64" t="s">
        <v>5305</v>
      </c>
      <c r="S184" s="1154" t="s">
        <v>5306</v>
      </c>
      <c r="T184" s="64" t="s">
        <v>5307</v>
      </c>
      <c r="U184" s="1154" t="s">
        <v>5308</v>
      </c>
      <c r="V184" s="64" t="s">
        <v>5309</v>
      </c>
      <c r="W184" s="1154" t="s">
        <v>5310</v>
      </c>
      <c r="X184" s="64" t="s">
        <v>5311</v>
      </c>
      <c r="Y184" s="1154" t="s">
        <v>5312</v>
      </c>
      <c r="Z184" s="64" t="s">
        <v>5313</v>
      </c>
      <c r="AA184" s="1154" t="s">
        <v>5314</v>
      </c>
      <c r="AB184" s="64" t="s">
        <v>5315</v>
      </c>
      <c r="AC184" s="1154" t="s">
        <v>5316</v>
      </c>
      <c r="AD184" s="64" t="s">
        <v>5317</v>
      </c>
      <c r="AE184" s="1154" t="s">
        <v>5318</v>
      </c>
      <c r="AF184" s="64" t="s">
        <v>5319</v>
      </c>
      <c r="AG184" s="1154" t="s">
        <v>5320</v>
      </c>
      <c r="AH184" s="64" t="s">
        <v>5321</v>
      </c>
      <c r="AI184" s="1154" t="s">
        <v>5322</v>
      </c>
      <c r="AJ184" s="64" t="s">
        <v>5323</v>
      </c>
      <c r="AK184" s="1154" t="s">
        <v>5324</v>
      </c>
      <c r="AL184" s="64" t="s">
        <v>5325</v>
      </c>
      <c r="AM184" s="1154" t="s">
        <v>5326</v>
      </c>
    </row>
    <row r="185" spans="1:89" s="170" customFormat="1" ht="15" customHeight="1" x14ac:dyDescent="0.2">
      <c r="A185" s="6234">
        <v>23110200</v>
      </c>
      <c r="B185" s="7748" t="s">
        <v>1042</v>
      </c>
      <c r="C185" s="7748"/>
      <c r="D185" s="1357" t="s">
        <v>1110</v>
      </c>
      <c r="E185" s="1343" t="s">
        <v>5292</v>
      </c>
      <c r="F185" s="1371" t="s">
        <v>5293</v>
      </c>
      <c r="G185" s="1372" t="s">
        <v>5294</v>
      </c>
      <c r="H185" s="1125" t="s">
        <v>5295</v>
      </c>
      <c r="I185" s="1127" t="s">
        <v>5296</v>
      </c>
      <c r="J185" s="1125" t="s">
        <v>5297</v>
      </c>
      <c r="K185" s="1127" t="s">
        <v>5298</v>
      </c>
      <c r="L185" s="1125" t="s">
        <v>5299</v>
      </c>
      <c r="M185" s="1127" t="s">
        <v>5300</v>
      </c>
      <c r="N185" s="1125" t="s">
        <v>5301</v>
      </c>
      <c r="O185" s="1127" t="s">
        <v>5302</v>
      </c>
      <c r="P185" s="1125" t="s">
        <v>5303</v>
      </c>
      <c r="Q185" s="1127" t="s">
        <v>5304</v>
      </c>
      <c r="R185" s="1125" t="s">
        <v>5305</v>
      </c>
      <c r="S185" s="1127" t="s">
        <v>5306</v>
      </c>
      <c r="T185" s="1125" t="s">
        <v>5307</v>
      </c>
      <c r="U185" s="1127" t="s">
        <v>5308</v>
      </c>
      <c r="V185" s="1125" t="s">
        <v>5309</v>
      </c>
      <c r="W185" s="1127" t="s">
        <v>5310</v>
      </c>
      <c r="X185" s="1125" t="s">
        <v>5311</v>
      </c>
      <c r="Y185" s="1127" t="s">
        <v>5312</v>
      </c>
      <c r="Z185" s="1125" t="s">
        <v>5313</v>
      </c>
      <c r="AA185" s="1127" t="s">
        <v>5314</v>
      </c>
      <c r="AB185" s="1125" t="s">
        <v>5315</v>
      </c>
      <c r="AC185" s="1127" t="s">
        <v>5316</v>
      </c>
      <c r="AD185" s="1125" t="s">
        <v>5317</v>
      </c>
      <c r="AE185" s="1127" t="s">
        <v>5318</v>
      </c>
      <c r="AF185" s="1125" t="s">
        <v>5319</v>
      </c>
      <c r="AG185" s="1127" t="s">
        <v>5320</v>
      </c>
      <c r="AH185" s="1125" t="s">
        <v>5321</v>
      </c>
      <c r="AI185" s="1127" t="s">
        <v>5322</v>
      </c>
      <c r="AJ185" s="1125" t="s">
        <v>5323</v>
      </c>
      <c r="AK185" s="1127" t="s">
        <v>5324</v>
      </c>
      <c r="AL185" s="1125" t="s">
        <v>5325</v>
      </c>
      <c r="AM185" s="1127" t="s">
        <v>5326</v>
      </c>
    </row>
    <row r="186" spans="1:89" s="170" customFormat="1" ht="15" customHeight="1" x14ac:dyDescent="0.2">
      <c r="A186" s="6234">
        <v>23110210</v>
      </c>
      <c r="B186" s="7749"/>
      <c r="C186" s="7749"/>
      <c r="D186" s="1363" t="s">
        <v>1111</v>
      </c>
      <c r="E186" s="1373" t="s">
        <v>5292</v>
      </c>
      <c r="F186" s="1374" t="s">
        <v>5293</v>
      </c>
      <c r="G186" s="1375" t="s">
        <v>5294</v>
      </c>
      <c r="H186" s="64" t="s">
        <v>5295</v>
      </c>
      <c r="I186" s="1154" t="s">
        <v>5296</v>
      </c>
      <c r="J186" s="64" t="s">
        <v>5297</v>
      </c>
      <c r="K186" s="1154" t="s">
        <v>5298</v>
      </c>
      <c r="L186" s="64" t="s">
        <v>5299</v>
      </c>
      <c r="M186" s="1154" t="s">
        <v>5300</v>
      </c>
      <c r="N186" s="64" t="s">
        <v>5301</v>
      </c>
      <c r="O186" s="1154" t="s">
        <v>5302</v>
      </c>
      <c r="P186" s="64" t="s">
        <v>5303</v>
      </c>
      <c r="Q186" s="1154" t="s">
        <v>5304</v>
      </c>
      <c r="R186" s="64" t="s">
        <v>5305</v>
      </c>
      <c r="S186" s="1154" t="s">
        <v>5306</v>
      </c>
      <c r="T186" s="64" t="s">
        <v>5307</v>
      </c>
      <c r="U186" s="1154" t="s">
        <v>5308</v>
      </c>
      <c r="V186" s="64" t="s">
        <v>5309</v>
      </c>
      <c r="W186" s="1154" t="s">
        <v>5310</v>
      </c>
      <c r="X186" s="64" t="s">
        <v>5311</v>
      </c>
      <c r="Y186" s="1154" t="s">
        <v>5312</v>
      </c>
      <c r="Z186" s="64" t="s">
        <v>5313</v>
      </c>
      <c r="AA186" s="1154" t="s">
        <v>5314</v>
      </c>
      <c r="AB186" s="64" t="s">
        <v>5315</v>
      </c>
      <c r="AC186" s="1154" t="s">
        <v>5316</v>
      </c>
      <c r="AD186" s="64" t="s">
        <v>5317</v>
      </c>
      <c r="AE186" s="1154" t="s">
        <v>5318</v>
      </c>
      <c r="AF186" s="64" t="s">
        <v>5319</v>
      </c>
      <c r="AG186" s="1154" t="s">
        <v>5320</v>
      </c>
      <c r="AH186" s="64" t="s">
        <v>5321</v>
      </c>
      <c r="AI186" s="1154" t="s">
        <v>5322</v>
      </c>
      <c r="AJ186" s="64" t="s">
        <v>5323</v>
      </c>
      <c r="AK186" s="1154" t="s">
        <v>5324</v>
      </c>
      <c r="AL186" s="64" t="s">
        <v>5325</v>
      </c>
      <c r="AM186" s="1154" t="s">
        <v>5326</v>
      </c>
    </row>
    <row r="187" spans="1:89" s="170" customFormat="1" ht="15" customHeight="1" x14ac:dyDescent="0.2">
      <c r="A187" s="6234">
        <v>23110220</v>
      </c>
      <c r="B187" s="7750" t="s">
        <v>1112</v>
      </c>
      <c r="C187" s="7751"/>
      <c r="D187" s="1376" t="s">
        <v>1110</v>
      </c>
      <c r="E187" s="1377" t="s">
        <v>5292</v>
      </c>
      <c r="F187" s="1378" t="s">
        <v>5293</v>
      </c>
      <c r="G187" s="1379" t="s">
        <v>5294</v>
      </c>
      <c r="H187" s="657" t="s">
        <v>5295</v>
      </c>
      <c r="I187" s="1173" t="s">
        <v>5296</v>
      </c>
      <c r="J187" s="657" t="s">
        <v>5297</v>
      </c>
      <c r="K187" s="1173" t="s">
        <v>5298</v>
      </c>
      <c r="L187" s="657" t="s">
        <v>5299</v>
      </c>
      <c r="M187" s="1173" t="s">
        <v>5300</v>
      </c>
      <c r="N187" s="657" t="s">
        <v>5301</v>
      </c>
      <c r="O187" s="1173" t="s">
        <v>5302</v>
      </c>
      <c r="P187" s="657" t="s">
        <v>5303</v>
      </c>
      <c r="Q187" s="1173" t="s">
        <v>5304</v>
      </c>
      <c r="R187" s="657" t="s">
        <v>5305</v>
      </c>
      <c r="S187" s="1173" t="s">
        <v>5306</v>
      </c>
      <c r="T187" s="657" t="s">
        <v>5307</v>
      </c>
      <c r="U187" s="1173" t="s">
        <v>5308</v>
      </c>
      <c r="V187" s="657" t="s">
        <v>5309</v>
      </c>
      <c r="W187" s="1173" t="s">
        <v>5310</v>
      </c>
      <c r="X187" s="657" t="s">
        <v>5311</v>
      </c>
      <c r="Y187" s="1173" t="s">
        <v>5312</v>
      </c>
      <c r="Z187" s="657" t="s">
        <v>5313</v>
      </c>
      <c r="AA187" s="1173" t="s">
        <v>5314</v>
      </c>
      <c r="AB187" s="657" t="s">
        <v>5315</v>
      </c>
      <c r="AC187" s="1173" t="s">
        <v>5316</v>
      </c>
      <c r="AD187" s="657" t="s">
        <v>5317</v>
      </c>
      <c r="AE187" s="1173" t="s">
        <v>5318</v>
      </c>
      <c r="AF187" s="657" t="s">
        <v>5319</v>
      </c>
      <c r="AG187" s="1173" t="s">
        <v>5320</v>
      </c>
      <c r="AH187" s="657" t="s">
        <v>5321</v>
      </c>
      <c r="AI187" s="1173" t="s">
        <v>5322</v>
      </c>
      <c r="AJ187" s="657" t="s">
        <v>5323</v>
      </c>
      <c r="AK187" s="1173" t="s">
        <v>5324</v>
      </c>
      <c r="AL187" s="657" t="s">
        <v>5325</v>
      </c>
      <c r="AM187" s="1173" t="s">
        <v>5326</v>
      </c>
    </row>
    <row r="188" spans="1:89" s="170" customFormat="1" ht="15" customHeight="1" x14ac:dyDescent="0.2">
      <c r="A188" s="6234">
        <v>23110230</v>
      </c>
      <c r="B188" s="7752"/>
      <c r="C188" s="7753"/>
      <c r="D188" s="1363" t="s">
        <v>1111</v>
      </c>
      <c r="E188" s="1373" t="s">
        <v>5292</v>
      </c>
      <c r="F188" s="1374" t="s">
        <v>5293</v>
      </c>
      <c r="G188" s="1375" t="s">
        <v>5294</v>
      </c>
      <c r="H188" s="64" t="s">
        <v>5295</v>
      </c>
      <c r="I188" s="1154" t="s">
        <v>5296</v>
      </c>
      <c r="J188" s="64" t="s">
        <v>5297</v>
      </c>
      <c r="K188" s="1154" t="s">
        <v>5298</v>
      </c>
      <c r="L188" s="64" t="s">
        <v>5299</v>
      </c>
      <c r="M188" s="1154" t="s">
        <v>5300</v>
      </c>
      <c r="N188" s="64" t="s">
        <v>5301</v>
      </c>
      <c r="O188" s="1154" t="s">
        <v>5302</v>
      </c>
      <c r="P188" s="64" t="s">
        <v>5303</v>
      </c>
      <c r="Q188" s="1154" t="s">
        <v>5304</v>
      </c>
      <c r="R188" s="64" t="s">
        <v>5305</v>
      </c>
      <c r="S188" s="1154" t="s">
        <v>5306</v>
      </c>
      <c r="T188" s="64" t="s">
        <v>5307</v>
      </c>
      <c r="U188" s="1154" t="s">
        <v>5308</v>
      </c>
      <c r="V188" s="64" t="s">
        <v>5309</v>
      </c>
      <c r="W188" s="1154" t="s">
        <v>5310</v>
      </c>
      <c r="X188" s="64" t="s">
        <v>5311</v>
      </c>
      <c r="Y188" s="1154" t="s">
        <v>5312</v>
      </c>
      <c r="Z188" s="64" t="s">
        <v>5313</v>
      </c>
      <c r="AA188" s="1154" t="s">
        <v>5314</v>
      </c>
      <c r="AB188" s="64" t="s">
        <v>5315</v>
      </c>
      <c r="AC188" s="1154" t="s">
        <v>5316</v>
      </c>
      <c r="AD188" s="64" t="s">
        <v>5317</v>
      </c>
      <c r="AE188" s="1154" t="s">
        <v>5318</v>
      </c>
      <c r="AF188" s="64" t="s">
        <v>5319</v>
      </c>
      <c r="AG188" s="1154" t="s">
        <v>5320</v>
      </c>
      <c r="AH188" s="64" t="s">
        <v>5321</v>
      </c>
      <c r="AI188" s="1154" t="s">
        <v>5322</v>
      </c>
      <c r="AJ188" s="64" t="s">
        <v>5323</v>
      </c>
      <c r="AK188" s="1154" t="s">
        <v>5324</v>
      </c>
      <c r="AL188" s="64" t="s">
        <v>5325</v>
      </c>
      <c r="AM188" s="1154" t="s">
        <v>5326</v>
      </c>
    </row>
    <row r="189" spans="1:89" x14ac:dyDescent="0.3">
      <c r="CC189"/>
      <c r="CD189"/>
      <c r="CE189"/>
      <c r="CF189"/>
      <c r="CH189"/>
      <c r="CI189"/>
      <c r="CJ189"/>
      <c r="CK189"/>
    </row>
    <row r="190" spans="1:89" x14ac:dyDescent="0.3">
      <c r="CC190"/>
      <c r="CD190"/>
      <c r="CE190"/>
      <c r="CF190"/>
      <c r="CH190"/>
      <c r="CI190"/>
      <c r="CJ190"/>
      <c r="CK190"/>
    </row>
    <row r="191" spans="1:89" x14ac:dyDescent="0.3">
      <c r="CC191"/>
      <c r="CD191"/>
      <c r="CE191"/>
      <c r="CF191"/>
      <c r="CH191"/>
      <c r="CI191"/>
      <c r="CJ191"/>
      <c r="CK191"/>
    </row>
    <row r="192" spans="1:89" x14ac:dyDescent="0.3">
      <c r="CC192"/>
      <c r="CD192"/>
      <c r="CE192"/>
      <c r="CF192"/>
      <c r="CH192"/>
      <c r="CI192"/>
      <c r="CJ192"/>
      <c r="CK192"/>
    </row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spans="2:89" x14ac:dyDescent="0.3">
      <c r="CC209"/>
      <c r="CD209"/>
      <c r="CE209"/>
      <c r="CF209"/>
      <c r="CH209"/>
      <c r="CI209"/>
      <c r="CJ209"/>
      <c r="CK209"/>
    </row>
    <row r="210" spans="2:89" x14ac:dyDescent="0.3">
      <c r="CC210"/>
      <c r="CD210"/>
      <c r="CE210"/>
      <c r="CF210"/>
      <c r="CH210"/>
      <c r="CI210"/>
      <c r="CJ210"/>
      <c r="CK210"/>
    </row>
    <row r="211" spans="2:89" x14ac:dyDescent="0.3">
      <c r="CC211"/>
      <c r="CD211"/>
      <c r="CE211"/>
      <c r="CF211"/>
      <c r="CH211"/>
      <c r="CI211"/>
      <c r="CJ211"/>
      <c r="CK211"/>
    </row>
    <row r="212" spans="2:89" x14ac:dyDescent="0.3">
      <c r="CC212"/>
      <c r="CD212"/>
      <c r="CE212"/>
      <c r="CF212"/>
      <c r="CH212"/>
      <c r="CI212"/>
      <c r="CJ212"/>
      <c r="CK212"/>
    </row>
    <row r="213" spans="2:89" x14ac:dyDescent="0.3">
      <c r="CC213"/>
      <c r="CD213"/>
      <c r="CE213"/>
      <c r="CF213"/>
      <c r="CH213"/>
      <c r="CI213"/>
      <c r="CJ213"/>
      <c r="CK213"/>
    </row>
    <row r="214" spans="2:89" x14ac:dyDescent="0.3">
      <c r="CC214"/>
      <c r="CD214"/>
      <c r="CE214"/>
      <c r="CF214"/>
      <c r="CH214"/>
      <c r="CI214"/>
      <c r="CJ214"/>
      <c r="CK214"/>
    </row>
    <row r="215" spans="2:89" hidden="1" x14ac:dyDescent="0.3">
      <c r="B215" s="4428">
        <f>SUM(C12:E23,D28:F41,C46:E53,C58,C63:C66,C71:C73,C78:C84,D87:D90,C95:C103,C108:C110,C115:C119,C124:C130,C136:C142,D153:E153,C158:C162,D165:D170,D175:D178,E183:E188)</f>
        <v>0</v>
      </c>
      <c r="C215" s="4427" t="e">
        <f>SUM(CH12:CL188)</f>
        <v>#VALUE!</v>
      </c>
      <c r="CC215"/>
      <c r="CD215"/>
      <c r="CE215"/>
      <c r="CF215"/>
      <c r="CH215"/>
      <c r="CI215"/>
      <c r="CJ215"/>
      <c r="CK215"/>
    </row>
    <row r="216" spans="2:89" x14ac:dyDescent="0.3">
      <c r="CC216"/>
      <c r="CD216"/>
      <c r="CE216"/>
      <c r="CF216"/>
      <c r="CH216"/>
      <c r="CI216"/>
      <c r="CJ216"/>
      <c r="CK216"/>
    </row>
    <row r="217" spans="2:89" x14ac:dyDescent="0.3">
      <c r="CC217"/>
      <c r="CD217"/>
      <c r="CE217"/>
      <c r="CF217"/>
      <c r="CH217"/>
      <c r="CI217"/>
      <c r="CJ217"/>
      <c r="CK217"/>
    </row>
    <row r="218" spans="2:89" x14ac:dyDescent="0.3">
      <c r="CC218"/>
      <c r="CD218"/>
      <c r="CE218"/>
      <c r="CF218"/>
      <c r="CH218"/>
      <c r="CI218"/>
      <c r="CJ218"/>
      <c r="CK218"/>
    </row>
    <row r="219" spans="2:89" x14ac:dyDescent="0.3">
      <c r="CC219"/>
      <c r="CD219"/>
      <c r="CE219"/>
      <c r="CF219"/>
      <c r="CH219"/>
      <c r="CI219"/>
      <c r="CJ219"/>
      <c r="CK219"/>
    </row>
    <row r="220" spans="2:89" x14ac:dyDescent="0.3">
      <c r="CC220"/>
      <c r="CD220"/>
      <c r="CE220"/>
      <c r="CF220"/>
      <c r="CH220"/>
      <c r="CI220"/>
      <c r="CJ220"/>
      <c r="CK220"/>
    </row>
    <row r="221" spans="2:89" x14ac:dyDescent="0.3">
      <c r="CC221"/>
      <c r="CD221"/>
      <c r="CE221"/>
      <c r="CF221"/>
      <c r="CH221"/>
      <c r="CI221"/>
      <c r="CJ221"/>
      <c r="CK221"/>
    </row>
    <row r="222" spans="2:89" x14ac:dyDescent="0.3">
      <c r="CC222"/>
      <c r="CD222"/>
      <c r="CE222"/>
      <c r="CF222"/>
      <c r="CH222"/>
      <c r="CI222"/>
      <c r="CJ222"/>
      <c r="CK222"/>
    </row>
    <row r="223" spans="2:89" x14ac:dyDescent="0.3">
      <c r="CC223"/>
      <c r="CD223"/>
      <c r="CE223"/>
      <c r="CF223"/>
      <c r="CH223"/>
      <c r="CI223"/>
      <c r="CJ223"/>
      <c r="CK223"/>
    </row>
    <row r="224" spans="2:89" x14ac:dyDescent="0.3">
      <c r="CC224"/>
      <c r="CD224"/>
      <c r="CE224"/>
      <c r="CF224"/>
      <c r="CH224"/>
      <c r="CI224"/>
      <c r="CJ224"/>
      <c r="CK224"/>
    </row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</sheetData>
  <mergeCells count="314">
    <mergeCell ref="B6:W6"/>
    <mergeCell ref="B9:B11"/>
    <mergeCell ref="C9:E10"/>
    <mergeCell ref="F9:AK9"/>
    <mergeCell ref="AL9:AL11"/>
    <mergeCell ref="AM9:AM11"/>
    <mergeCell ref="X10:Y10"/>
    <mergeCell ref="Z10:AA10"/>
    <mergeCell ref="AB10:AC10"/>
    <mergeCell ref="AD10:AE10"/>
    <mergeCell ref="AN9:AN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AF10:AG10"/>
    <mergeCell ref="AH10:AI10"/>
    <mergeCell ref="AJ10:AK10"/>
    <mergeCell ref="AM25:AM27"/>
    <mergeCell ref="AN25:AN27"/>
    <mergeCell ref="AO25:AO27"/>
    <mergeCell ref="G26:H26"/>
    <mergeCell ref="I26:J26"/>
    <mergeCell ref="K26:L26"/>
    <mergeCell ref="M26:N26"/>
    <mergeCell ref="O26:P26"/>
    <mergeCell ref="Q26:R26"/>
    <mergeCell ref="S26:T26"/>
    <mergeCell ref="G25:AL25"/>
    <mergeCell ref="U26:V26"/>
    <mergeCell ref="W26:X26"/>
    <mergeCell ref="Y26:Z26"/>
    <mergeCell ref="AA26:AB26"/>
    <mergeCell ref="AI26:AJ26"/>
    <mergeCell ref="AK26:AL26"/>
    <mergeCell ref="B31:B33"/>
    <mergeCell ref="B34:B35"/>
    <mergeCell ref="B36:C36"/>
    <mergeCell ref="B37:C37"/>
    <mergeCell ref="B38:C38"/>
    <mergeCell ref="B39:C39"/>
    <mergeCell ref="AC26:AD26"/>
    <mergeCell ref="AE26:AF26"/>
    <mergeCell ref="AG26:AH26"/>
    <mergeCell ref="B28:B30"/>
    <mergeCell ref="B25:C27"/>
    <mergeCell ref="D25:F26"/>
    <mergeCell ref="B40:C40"/>
    <mergeCell ref="B41:C41"/>
    <mergeCell ref="B43:B45"/>
    <mergeCell ref="C43:E44"/>
    <mergeCell ref="F43:AK43"/>
    <mergeCell ref="AL43:AM44"/>
    <mergeCell ref="F44:G44"/>
    <mergeCell ref="H44:I44"/>
    <mergeCell ref="J44:K44"/>
    <mergeCell ref="L44:M44"/>
    <mergeCell ref="AL55:AL57"/>
    <mergeCell ref="F56:G56"/>
    <mergeCell ref="H56:I56"/>
    <mergeCell ref="J56:K56"/>
    <mergeCell ref="L56:M56"/>
    <mergeCell ref="Z44:AA44"/>
    <mergeCell ref="AB44:AC44"/>
    <mergeCell ref="AD44:AE44"/>
    <mergeCell ref="AF44:AG44"/>
    <mergeCell ref="AH44:AI44"/>
    <mergeCell ref="AJ44:AK44"/>
    <mergeCell ref="N44:O44"/>
    <mergeCell ref="P44:Q44"/>
    <mergeCell ref="R44:S44"/>
    <mergeCell ref="T44:U44"/>
    <mergeCell ref="V44:W44"/>
    <mergeCell ref="X44:Y44"/>
    <mergeCell ref="Z56:AA56"/>
    <mergeCell ref="AB56:AC56"/>
    <mergeCell ref="AD56:AE56"/>
    <mergeCell ref="AF56:AG56"/>
    <mergeCell ref="AH56:AI56"/>
    <mergeCell ref="AJ56:AK56"/>
    <mergeCell ref="N56:O56"/>
    <mergeCell ref="P56:Q56"/>
    <mergeCell ref="R56:S56"/>
    <mergeCell ref="T56:U56"/>
    <mergeCell ref="V56:W56"/>
    <mergeCell ref="X56:Y56"/>
    <mergeCell ref="B60:B62"/>
    <mergeCell ref="C60:E61"/>
    <mergeCell ref="F60:AK60"/>
    <mergeCell ref="B55:B57"/>
    <mergeCell ref="C55:E56"/>
    <mergeCell ref="F55:AK55"/>
    <mergeCell ref="AL60:AL62"/>
    <mergeCell ref="F61:G61"/>
    <mergeCell ref="H61:I61"/>
    <mergeCell ref="J61:K61"/>
    <mergeCell ref="L61:M61"/>
    <mergeCell ref="N61:O61"/>
    <mergeCell ref="P61:Q61"/>
    <mergeCell ref="AD61:AE61"/>
    <mergeCell ref="AF61:AG61"/>
    <mergeCell ref="AH61:AI61"/>
    <mergeCell ref="AJ61:AK61"/>
    <mergeCell ref="V69:W69"/>
    <mergeCell ref="X69:Y69"/>
    <mergeCell ref="Z69:AA69"/>
    <mergeCell ref="R61:S61"/>
    <mergeCell ref="T61:U61"/>
    <mergeCell ref="V61:W61"/>
    <mergeCell ref="X61:Y61"/>
    <mergeCell ref="Z61:AA61"/>
    <mergeCell ref="AB61:AC61"/>
    <mergeCell ref="F76:G76"/>
    <mergeCell ref="H76:I76"/>
    <mergeCell ref="B87:C87"/>
    <mergeCell ref="B88:C88"/>
    <mergeCell ref="B89:C89"/>
    <mergeCell ref="B90:C90"/>
    <mergeCell ref="AL68:AL70"/>
    <mergeCell ref="AM68:AM70"/>
    <mergeCell ref="F69:G69"/>
    <mergeCell ref="H69:I69"/>
    <mergeCell ref="J69:K69"/>
    <mergeCell ref="L69:M69"/>
    <mergeCell ref="N69:O69"/>
    <mergeCell ref="P69:Q69"/>
    <mergeCell ref="R69:S69"/>
    <mergeCell ref="T69:U69"/>
    <mergeCell ref="AB69:AC69"/>
    <mergeCell ref="AD69:AE69"/>
    <mergeCell ref="AF69:AG69"/>
    <mergeCell ref="AH69:AI69"/>
    <mergeCell ref="AJ69:AK69"/>
    <mergeCell ref="B68:B70"/>
    <mergeCell ref="C68:E69"/>
    <mergeCell ref="F68:AK68"/>
    <mergeCell ref="B92:B94"/>
    <mergeCell ref="C92:E93"/>
    <mergeCell ref="AH76:AI76"/>
    <mergeCell ref="AJ76:AK76"/>
    <mergeCell ref="B86:C86"/>
    <mergeCell ref="V76:W76"/>
    <mergeCell ref="X76:Y76"/>
    <mergeCell ref="Z76:AA76"/>
    <mergeCell ref="AB76:AC76"/>
    <mergeCell ref="AD76:AE76"/>
    <mergeCell ref="AF76:AG76"/>
    <mergeCell ref="J76:K76"/>
    <mergeCell ref="L76:M76"/>
    <mergeCell ref="N76:O76"/>
    <mergeCell ref="P76:Q76"/>
    <mergeCell ref="R76:S76"/>
    <mergeCell ref="T76:U76"/>
    <mergeCell ref="F92:AK92"/>
    <mergeCell ref="F93:G93"/>
    <mergeCell ref="H93:I93"/>
    <mergeCell ref="J93:K93"/>
    <mergeCell ref="B75:B77"/>
    <mergeCell ref="C75:E76"/>
    <mergeCell ref="F75:AK75"/>
    <mergeCell ref="L93:M93"/>
    <mergeCell ref="N93:O93"/>
    <mergeCell ref="P93:Q93"/>
    <mergeCell ref="R93:S93"/>
    <mergeCell ref="T93:U93"/>
    <mergeCell ref="V93:W93"/>
    <mergeCell ref="AJ93:AK93"/>
    <mergeCell ref="B105:B107"/>
    <mergeCell ref="C105:E106"/>
    <mergeCell ref="F105:AK105"/>
    <mergeCell ref="F106:G106"/>
    <mergeCell ref="H106:I106"/>
    <mergeCell ref="J106:K106"/>
    <mergeCell ref="L106:M106"/>
    <mergeCell ref="N106:O106"/>
    <mergeCell ref="P106:Q106"/>
    <mergeCell ref="X93:Y93"/>
    <mergeCell ref="Z93:AA93"/>
    <mergeCell ref="AB93:AC93"/>
    <mergeCell ref="AD93:AE93"/>
    <mergeCell ref="AF93:AG93"/>
    <mergeCell ref="AH93:AI93"/>
    <mergeCell ref="AD106:AE106"/>
    <mergeCell ref="AF106:AG106"/>
    <mergeCell ref="AL121:AL123"/>
    <mergeCell ref="F122:G122"/>
    <mergeCell ref="H122:I122"/>
    <mergeCell ref="J122:K122"/>
    <mergeCell ref="L122:M122"/>
    <mergeCell ref="N122:O122"/>
    <mergeCell ref="AH106:AI106"/>
    <mergeCell ref="AJ106:AK106"/>
    <mergeCell ref="B112:B114"/>
    <mergeCell ref="C112:E113"/>
    <mergeCell ref="F112:AK112"/>
    <mergeCell ref="F113:G113"/>
    <mergeCell ref="H113:I113"/>
    <mergeCell ref="J113:K113"/>
    <mergeCell ref="R106:S106"/>
    <mergeCell ref="T106:U106"/>
    <mergeCell ref="V106:W106"/>
    <mergeCell ref="X106:Y106"/>
    <mergeCell ref="Z106:AA106"/>
    <mergeCell ref="AB106:AC106"/>
    <mergeCell ref="AJ113:AK113"/>
    <mergeCell ref="X113:Y113"/>
    <mergeCell ref="Z113:AA113"/>
    <mergeCell ref="AB113:AC113"/>
    <mergeCell ref="R113:S113"/>
    <mergeCell ref="T113:U113"/>
    <mergeCell ref="V113:W113"/>
    <mergeCell ref="AB122:AC122"/>
    <mergeCell ref="AD122:AE122"/>
    <mergeCell ref="AF122:AG122"/>
    <mergeCell ref="AH122:AI122"/>
    <mergeCell ref="AJ122:AK122"/>
    <mergeCell ref="B132:F132"/>
    <mergeCell ref="P122:Q122"/>
    <mergeCell ref="R122:S122"/>
    <mergeCell ref="T122:U122"/>
    <mergeCell ref="V122:W122"/>
    <mergeCell ref="X122:Y122"/>
    <mergeCell ref="Z122:AA122"/>
    <mergeCell ref="B121:B123"/>
    <mergeCell ref="C121:E122"/>
    <mergeCell ref="F121:AK121"/>
    <mergeCell ref="AD113:AE113"/>
    <mergeCell ref="AF113:AG113"/>
    <mergeCell ref="AH113:AI113"/>
    <mergeCell ref="L113:M113"/>
    <mergeCell ref="N113:O113"/>
    <mergeCell ref="P113:Q113"/>
    <mergeCell ref="AF134:AG134"/>
    <mergeCell ref="AH134:AI134"/>
    <mergeCell ref="AJ134:AK134"/>
    <mergeCell ref="B144:C144"/>
    <mergeCell ref="B145:B148"/>
    <mergeCell ref="B149:B152"/>
    <mergeCell ref="T134:U134"/>
    <mergeCell ref="V134:W134"/>
    <mergeCell ref="X134:Y134"/>
    <mergeCell ref="Z134:AA134"/>
    <mergeCell ref="AB134:AC134"/>
    <mergeCell ref="AD134:AE134"/>
    <mergeCell ref="B133:B135"/>
    <mergeCell ref="C133:E134"/>
    <mergeCell ref="F133:AK133"/>
    <mergeCell ref="F134:G134"/>
    <mergeCell ref="H134:I134"/>
    <mergeCell ref="J134:K134"/>
    <mergeCell ref="L134:M134"/>
    <mergeCell ref="N134:O134"/>
    <mergeCell ref="P134:Q134"/>
    <mergeCell ref="R134:S134"/>
    <mergeCell ref="B153:C153"/>
    <mergeCell ref="B155:B157"/>
    <mergeCell ref="C155:E156"/>
    <mergeCell ref="F155:AK155"/>
    <mergeCell ref="F156:G156"/>
    <mergeCell ref="H156:I156"/>
    <mergeCell ref="J156:K156"/>
    <mergeCell ref="L156:M156"/>
    <mergeCell ref="N156:O156"/>
    <mergeCell ref="P156:Q156"/>
    <mergeCell ref="AD156:AE156"/>
    <mergeCell ref="AF156:AG156"/>
    <mergeCell ref="AH156:AI156"/>
    <mergeCell ref="AJ156:AK156"/>
    <mergeCell ref="B163:D163"/>
    <mergeCell ref="B164:C164"/>
    <mergeCell ref="R156:S156"/>
    <mergeCell ref="T156:U156"/>
    <mergeCell ref="V156:W156"/>
    <mergeCell ref="X156:Y156"/>
    <mergeCell ref="Z156:AA156"/>
    <mergeCell ref="AB156:AC156"/>
    <mergeCell ref="B165:B167"/>
    <mergeCell ref="B168:B170"/>
    <mergeCell ref="B171:D171"/>
    <mergeCell ref="B172:C174"/>
    <mergeCell ref="D172:F173"/>
    <mergeCell ref="G172:L172"/>
    <mergeCell ref="G173:H173"/>
    <mergeCell ref="I173:J173"/>
    <mergeCell ref="K173:L173"/>
    <mergeCell ref="B175:B178"/>
    <mergeCell ref="B185:C186"/>
    <mergeCell ref="B187:C188"/>
    <mergeCell ref="AD181:AE181"/>
    <mergeCell ref="AF181:AG181"/>
    <mergeCell ref="AH181:AI181"/>
    <mergeCell ref="AJ181:AK181"/>
    <mergeCell ref="AL181:AM181"/>
    <mergeCell ref="B183:C184"/>
    <mergeCell ref="R181:S181"/>
    <mergeCell ref="T181:U181"/>
    <mergeCell ref="V181:W181"/>
    <mergeCell ref="X181:Y181"/>
    <mergeCell ref="Z181:AA181"/>
    <mergeCell ref="AB181:AC181"/>
    <mergeCell ref="B180:C182"/>
    <mergeCell ref="D180:D182"/>
    <mergeCell ref="E180:G181"/>
    <mergeCell ref="H180:AM180"/>
    <mergeCell ref="H181:I181"/>
    <mergeCell ref="J181:K181"/>
    <mergeCell ref="L181:M181"/>
    <mergeCell ref="N181:O181"/>
    <mergeCell ref="P181:Q181"/>
  </mergeCells>
  <dataValidations count="2">
    <dataValidation type="whole" operator="greaterThanOrEqual" allowBlank="1" showInputMessage="1" showErrorMessage="1" sqref="G28:AO40 F46:AM53 F58:AL58 F63:AL65 F71:AM72 F78:AK83 E87:F89 F95:AK103 F108:AK110 F115:AK119 F124:AL129 F136:AK141 D145:E152 F158:AK162 E165:H170 G175:L178 H183:AM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F12:AN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Y160"/>
  <sheetViews>
    <sheetView showGridLines="0" workbookViewId="0"/>
  </sheetViews>
  <sheetFormatPr baseColWidth="10" defaultRowHeight="14.4" x14ac:dyDescent="0.3"/>
  <cols>
    <col min="1" max="1" width="16.5546875" customWidth="1"/>
    <col min="2" max="2" width="53.5546875" customWidth="1"/>
    <col min="3" max="3" width="23.44140625" bestFit="1" customWidth="1"/>
    <col min="4" max="8" width="14" customWidth="1"/>
    <col min="9" max="9" width="15" customWidth="1"/>
    <col min="10" max="14" width="14" customWidth="1"/>
    <col min="15" max="15" width="15.33203125" customWidth="1"/>
    <col min="16" max="16" width="13" customWidth="1"/>
    <col min="17" max="17" width="12" customWidth="1"/>
    <col min="18" max="19" width="13.44140625" customWidth="1"/>
    <col min="20" max="20" width="11.33203125" customWidth="1"/>
    <col min="21" max="21" width="12.44140625" customWidth="1"/>
    <col min="23" max="23" width="12.88671875" customWidth="1"/>
    <col min="24" max="29" width="11.33203125" customWidth="1"/>
    <col min="56" max="56" width="20.33203125" bestFit="1" customWidth="1"/>
    <col min="66" max="66" width="20.33203125" bestFit="1" customWidth="1"/>
    <col min="79" max="79" width="11.44140625" customWidth="1"/>
    <col min="80" max="81" width="11.88671875" style="1116" hidden="1" customWidth="1"/>
    <col min="82" max="91" width="11.44140625" style="1116" hidden="1" customWidth="1"/>
    <col min="92" max="92" width="20.33203125" style="1116" hidden="1" customWidth="1"/>
    <col min="93" max="95" width="11.44140625" style="1116" hidden="1" customWidth="1"/>
    <col min="96" max="96" width="20.33203125" style="1116" hidden="1" customWidth="1"/>
    <col min="97" max="97" width="11.44140625" style="1116" customWidth="1"/>
    <col min="98" max="101" width="11.5546875" style="1116"/>
  </cols>
  <sheetData>
    <row r="1" spans="1:101" x14ac:dyDescent="0.3">
      <c r="B1" s="774" t="s">
        <v>3879</v>
      </c>
    </row>
    <row r="2" spans="1:101" x14ac:dyDescent="0.3">
      <c r="B2" s="774" t="str">
        <f>CONCATENATE("COMUNA: ",NOMBRE!B2," - ","( ",NOMBRE!C2,NOMBRE!D2,NOMBRE!E2,NOMBRE!F2,NOMBRE!G2," )")</f>
        <v>COMUNA:  - (  )</v>
      </c>
    </row>
    <row r="3" spans="1:101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01" x14ac:dyDescent="0.3">
      <c r="B4" s="774" t="str">
        <f>CONCATENATE("MES: ",NOMBRE!B6," - ","( ",NOMBRE!C6,NOMBRE!D6," )")</f>
        <v>MES:  - (  )</v>
      </c>
    </row>
    <row r="5" spans="1:101" x14ac:dyDescent="0.3">
      <c r="B5" s="774" t="str">
        <f>CONCATENATE("AÑO: ",NOMBRE!B7)</f>
        <v>AÑO: 2024</v>
      </c>
    </row>
    <row r="6" spans="1:101" ht="18" customHeight="1" x14ac:dyDescent="0.3">
      <c r="B6" s="6396" t="s">
        <v>2983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</row>
    <row r="8" spans="1:101" s="1116" customFormat="1" ht="18" customHeight="1" x14ac:dyDescent="0.2">
      <c r="B8" s="3732" t="s">
        <v>2984</v>
      </c>
      <c r="C8" s="562"/>
      <c r="D8" s="562"/>
      <c r="E8" s="562"/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101"/>
      <c r="R8" s="101"/>
      <c r="S8" s="101"/>
      <c r="T8" s="101"/>
      <c r="U8" s="101"/>
      <c r="V8" s="101"/>
      <c r="W8" s="101"/>
      <c r="X8" s="140"/>
      <c r="Y8" s="140"/>
      <c r="Z8" s="140"/>
      <c r="AA8" s="140"/>
      <c r="AB8" s="140"/>
      <c r="AC8" s="140"/>
    </row>
    <row r="9" spans="1:101" ht="15" customHeight="1" x14ac:dyDescent="0.3">
      <c r="B9" s="6340" t="s">
        <v>2985</v>
      </c>
      <c r="C9" s="6342"/>
      <c r="D9" s="7866" t="s">
        <v>24</v>
      </c>
      <c r="E9" s="7868" t="s">
        <v>2986</v>
      </c>
      <c r="F9" s="7869"/>
      <c r="G9" s="7869"/>
      <c r="H9" s="7870"/>
      <c r="I9" s="6699" t="s">
        <v>2987</v>
      </c>
      <c r="J9" s="7687"/>
      <c r="K9" s="7687"/>
      <c r="L9" s="7688"/>
      <c r="M9" s="7871" t="s">
        <v>2988</v>
      </c>
      <c r="N9" s="6699" t="s">
        <v>2989</v>
      </c>
      <c r="O9" s="7687"/>
      <c r="P9" s="7687"/>
      <c r="Q9" s="7687"/>
      <c r="R9" s="7687"/>
      <c r="S9" s="7687"/>
      <c r="T9" s="7874" t="s">
        <v>2990</v>
      </c>
      <c r="U9" s="7876"/>
      <c r="V9" s="7876"/>
      <c r="W9" s="7877"/>
      <c r="X9" s="6342" t="s">
        <v>2991</v>
      </c>
      <c r="Y9" s="6340" t="s">
        <v>2992</v>
      </c>
      <c r="Z9" s="6402" t="s">
        <v>2</v>
      </c>
      <c r="AA9" s="7892" t="s">
        <v>3</v>
      </c>
      <c r="AB9" s="6341" t="s">
        <v>48</v>
      </c>
      <c r="AC9" s="6342"/>
    </row>
    <row r="10" spans="1:101" ht="27.75" customHeight="1" x14ac:dyDescent="0.3">
      <c r="B10" s="6590"/>
      <c r="C10" s="6324"/>
      <c r="D10" s="6626"/>
      <c r="E10" s="7880" t="s">
        <v>2993</v>
      </c>
      <c r="F10" s="7882" t="s">
        <v>4</v>
      </c>
      <c r="G10" s="7882" t="s">
        <v>524</v>
      </c>
      <c r="H10" s="7884" t="s">
        <v>2994</v>
      </c>
      <c r="I10" s="7885" t="s">
        <v>2995</v>
      </c>
      <c r="J10" s="7887" t="s">
        <v>2996</v>
      </c>
      <c r="K10" s="7887" t="s">
        <v>2997</v>
      </c>
      <c r="L10" s="7888" t="s">
        <v>2998</v>
      </c>
      <c r="M10" s="7871"/>
      <c r="N10" s="7890" t="s">
        <v>2999</v>
      </c>
      <c r="O10" s="7895" t="s">
        <v>3000</v>
      </c>
      <c r="P10" s="7895" t="s">
        <v>3001</v>
      </c>
      <c r="Q10" s="7895" t="s">
        <v>3002</v>
      </c>
      <c r="R10" s="7895" t="s">
        <v>3003</v>
      </c>
      <c r="S10" s="7872" t="s">
        <v>3004</v>
      </c>
      <c r="T10" s="7874" t="s">
        <v>3005</v>
      </c>
      <c r="U10" s="7875"/>
      <c r="V10" s="7876" t="s">
        <v>3006</v>
      </c>
      <c r="W10" s="7877"/>
      <c r="X10" s="6324"/>
      <c r="Y10" s="6590"/>
      <c r="Z10" s="6668"/>
      <c r="AA10" s="7893"/>
      <c r="AB10" s="6344"/>
      <c r="AC10" s="6324"/>
    </row>
    <row r="11" spans="1:101" ht="30.6" x14ac:dyDescent="0.3">
      <c r="B11" s="6459"/>
      <c r="C11" s="6460"/>
      <c r="D11" s="7867"/>
      <c r="E11" s="7881"/>
      <c r="F11" s="7883"/>
      <c r="G11" s="7883"/>
      <c r="H11" s="6640"/>
      <c r="I11" s="7886"/>
      <c r="J11" s="7883"/>
      <c r="K11" s="7883"/>
      <c r="L11" s="7889"/>
      <c r="M11" s="7871"/>
      <c r="N11" s="7891"/>
      <c r="O11" s="7896"/>
      <c r="P11" s="7896"/>
      <c r="Q11" s="7896"/>
      <c r="R11" s="7896"/>
      <c r="S11" s="7873"/>
      <c r="T11" s="3735" t="s">
        <v>3007</v>
      </c>
      <c r="U11" s="3725" t="s">
        <v>3008</v>
      </c>
      <c r="V11" s="2617" t="s">
        <v>3007</v>
      </c>
      <c r="W11" s="2618" t="s">
        <v>3008</v>
      </c>
      <c r="X11" s="6460"/>
      <c r="Y11" s="6459"/>
      <c r="Z11" s="6403"/>
      <c r="AA11" s="7894"/>
      <c r="AB11" s="2617" t="s">
        <v>41</v>
      </c>
      <c r="AC11" s="3725" t="s">
        <v>42</v>
      </c>
    </row>
    <row r="12" spans="1:101" s="170" customFormat="1" ht="15" customHeight="1" x14ac:dyDescent="0.25">
      <c r="A12" s="6238"/>
      <c r="B12" s="3736" t="s">
        <v>3009</v>
      </c>
      <c r="C12" s="3737"/>
      <c r="D12" s="4419">
        <f>SUM(D13:D16)</f>
        <v>0</v>
      </c>
      <c r="E12" s="4420">
        <f t="shared" ref="E12:AA12" si="0">SUM(E13:E16)</f>
        <v>0</v>
      </c>
      <c r="F12" s="4421">
        <f t="shared" si="0"/>
        <v>0</v>
      </c>
      <c r="G12" s="4422">
        <f t="shared" si="0"/>
        <v>0</v>
      </c>
      <c r="H12" s="4423">
        <f t="shared" si="0"/>
        <v>0</v>
      </c>
      <c r="I12" s="3738">
        <f t="shared" si="0"/>
        <v>0</v>
      </c>
      <c r="J12" s="3739">
        <f t="shared" si="0"/>
        <v>0</v>
      </c>
      <c r="K12" s="3742">
        <f t="shared" si="0"/>
        <v>0</v>
      </c>
      <c r="L12" s="3743">
        <f t="shared" si="0"/>
        <v>0</v>
      </c>
      <c r="M12" s="3744">
        <f t="shared" si="0"/>
        <v>0</v>
      </c>
      <c r="N12" s="3738">
        <f t="shared" si="0"/>
        <v>0</v>
      </c>
      <c r="O12" s="3739">
        <f t="shared" si="0"/>
        <v>0</v>
      </c>
      <c r="P12" s="3742">
        <f t="shared" si="0"/>
        <v>0</v>
      </c>
      <c r="Q12" s="3739">
        <f t="shared" si="0"/>
        <v>0</v>
      </c>
      <c r="R12" s="3742">
        <f t="shared" si="0"/>
        <v>0</v>
      </c>
      <c r="S12" s="3742">
        <f t="shared" si="0"/>
        <v>0</v>
      </c>
      <c r="T12" s="3745">
        <f t="shared" si="0"/>
        <v>0</v>
      </c>
      <c r="U12" s="3741">
        <f t="shared" si="0"/>
        <v>0</v>
      </c>
      <c r="V12" s="3738">
        <f t="shared" si="0"/>
        <v>0</v>
      </c>
      <c r="W12" s="3746">
        <f t="shared" si="0"/>
        <v>0</v>
      </c>
      <c r="X12" s="3741">
        <f t="shared" si="0"/>
        <v>0</v>
      </c>
      <c r="Y12" s="3747">
        <f t="shared" si="0"/>
        <v>0</v>
      </c>
      <c r="Z12" s="3748">
        <f t="shared" si="0"/>
        <v>0</v>
      </c>
      <c r="AA12" s="3749">
        <f t="shared" si="0"/>
        <v>0</v>
      </c>
      <c r="AB12" s="3740">
        <f>SUM(AB13:AB16)</f>
        <v>0</v>
      </c>
      <c r="AC12" s="5979">
        <f>SUM(AC13:AC16)</f>
        <v>0</v>
      </c>
      <c r="CB12" s="1116"/>
      <c r="CC12" s="1116"/>
      <c r="CD12" s="1116"/>
      <c r="CE12" s="1116"/>
      <c r="CF12" s="1116"/>
      <c r="CG12" s="1116"/>
      <c r="CH12" s="1116"/>
      <c r="CI12" s="1116"/>
      <c r="CJ12" s="1116"/>
      <c r="CK12" s="1116"/>
      <c r="CL12" s="1116"/>
      <c r="CM12" s="1116"/>
      <c r="CN12" s="1116"/>
      <c r="CO12" s="1116"/>
      <c r="CP12" s="1116"/>
      <c r="CQ12" s="1116"/>
      <c r="CR12" s="1116"/>
      <c r="CS12" s="1116"/>
      <c r="CT12" s="1116"/>
      <c r="CU12" s="1116"/>
      <c r="CV12" s="1116"/>
      <c r="CW12" s="1116"/>
    </row>
    <row r="13" spans="1:101" s="170" customFormat="1" ht="15" customHeight="1" x14ac:dyDescent="0.3">
      <c r="A13" s="6244" t="s">
        <v>5211</v>
      </c>
      <c r="B13" s="7878" t="s">
        <v>3010</v>
      </c>
      <c r="C13" s="7879"/>
      <c r="D13" s="5406" t="s">
        <v>5292</v>
      </c>
      <c r="E13" s="5227" t="s">
        <v>5293</v>
      </c>
      <c r="F13" s="5284" t="s">
        <v>5294</v>
      </c>
      <c r="G13" s="5284" t="s">
        <v>5295</v>
      </c>
      <c r="H13" s="5231" t="s">
        <v>5296</v>
      </c>
      <c r="I13" s="5227" t="s">
        <v>5297</v>
      </c>
      <c r="J13" s="5228" t="s">
        <v>5298</v>
      </c>
      <c r="K13" s="5228" t="s">
        <v>5299</v>
      </c>
      <c r="L13" s="5231" t="s">
        <v>5300</v>
      </c>
      <c r="M13" s="5273" t="s">
        <v>5301</v>
      </c>
      <c r="N13" s="5228" t="s">
        <v>5302</v>
      </c>
      <c r="O13" s="5228" t="s">
        <v>5303</v>
      </c>
      <c r="P13" s="5228" t="s">
        <v>5304</v>
      </c>
      <c r="Q13" s="5228" t="s">
        <v>5305</v>
      </c>
      <c r="R13" s="5228" t="s">
        <v>5306</v>
      </c>
      <c r="S13" s="5283" t="s">
        <v>5307</v>
      </c>
      <c r="T13" s="5407" t="s">
        <v>5308</v>
      </c>
      <c r="U13" s="5257" t="s">
        <v>5309</v>
      </c>
      <c r="V13" s="5284" t="s">
        <v>5310</v>
      </c>
      <c r="W13" s="5229" t="s">
        <v>5311</v>
      </c>
      <c r="X13" s="5231" t="s">
        <v>5312</v>
      </c>
      <c r="Y13" s="5283" t="s">
        <v>5313</v>
      </c>
      <c r="Z13" s="5230" t="s">
        <v>5314</v>
      </c>
      <c r="AA13" s="5408" t="s">
        <v>5315</v>
      </c>
      <c r="AB13" s="5284" t="s">
        <v>5316</v>
      </c>
      <c r="AC13" s="5980" t="s">
        <v>5317</v>
      </c>
      <c r="AD13" s="3559" t="str">
        <f>$CB13&amp;CC13&amp;CD13&amp;CE13&amp;CF13&amp;CG13</f>
        <v xml:space="preserve"> * La variable Pueblos originarios no puede ser mayor al Total. * La variable Migrantes no puede ser mayor al Total. * La variable Trans Masculino no puede ser mayor al Total.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 s="3146" t="str">
        <f>IF(AND(D13&gt;0,Z13="")," * No olvide digitar la variable Pueblos originarios. Digite Cero si no tiene.",IF(Z13&gt;D13," * La variable Pueblos originarios no puede ser mayor al Total.",""))</f>
        <v xml:space="preserve"> * La variable Pueblos originarios no puede ser mayor al Total.</v>
      </c>
      <c r="CC13" s="3146" t="str">
        <f>IF(AND(D13&gt;0,AA13="")," * No olvide digitar la variable Migrantes. Digite Cero si no tiene.",IF(AA13&gt;D13," * La variable Migrantes no puede ser mayor al Total.",""))</f>
        <v xml:space="preserve"> * La variable Migrantes no puede ser mayor al Total.</v>
      </c>
      <c r="CD13" s="3146" t="str">
        <f>IF(AND(D13&gt;0,OR(AB13=""))," * No olvide digitar la variable Trans Masculino . Digite Cero si no tiene.",IF(OR(AB13&gt;D13)," * La variable Trans Masculino no puede ser mayor al Total.",""))</f>
        <v xml:space="preserve"> * La variable Trans Masculino no puede ser mayor al Total.</v>
      </c>
      <c r="CE13" s="600"/>
      <c r="CF13" s="5832"/>
      <c r="CG13" s="600"/>
      <c r="CH13" s="163"/>
      <c r="CI13" s="163"/>
      <c r="CJ13" s="163"/>
      <c r="CK13" s="163"/>
      <c r="CL13" s="163"/>
      <c r="CM13" s="1725">
        <f>IF(AND(D13&gt;0,Z13=""),1,IF(Z13&gt;D13,1,0))</f>
        <v>1</v>
      </c>
      <c r="CN13" s="1725">
        <f>IF(AND(D13&gt;0,AA13=""),1,IF(AA13&gt;D13,1,0))</f>
        <v>1</v>
      </c>
      <c r="CO13" s="1725">
        <f>IF(AND(D13&gt;0,OR(AB13="")),1,IF(OR(AB13&gt;D13),1,0))</f>
        <v>1</v>
      </c>
      <c r="CP13"/>
      <c r="CQ13" s="5833"/>
      <c r="CR13" s="1116"/>
      <c r="CS13" s="1116"/>
      <c r="CT13" s="1116"/>
      <c r="CU13" s="1116"/>
      <c r="CV13" s="1116"/>
      <c r="CW13" s="1116"/>
    </row>
    <row r="14" spans="1:101" s="170" customFormat="1" ht="15" customHeight="1" x14ac:dyDescent="0.3">
      <c r="A14" s="6244">
        <v>29101714</v>
      </c>
      <c r="B14" s="6614" t="s">
        <v>3011</v>
      </c>
      <c r="C14" s="7154"/>
      <c r="D14" s="3240" t="s">
        <v>5292</v>
      </c>
      <c r="E14" s="1072" t="s">
        <v>5293</v>
      </c>
      <c r="F14" s="3143" t="s">
        <v>5294</v>
      </c>
      <c r="G14" s="3143" t="s">
        <v>5295</v>
      </c>
      <c r="H14" s="3077" t="s">
        <v>5296</v>
      </c>
      <c r="I14" s="1072" t="s">
        <v>5297</v>
      </c>
      <c r="J14" s="617" t="s">
        <v>5298</v>
      </c>
      <c r="K14" s="617" t="s">
        <v>5299</v>
      </c>
      <c r="L14" s="3077" t="s">
        <v>5300</v>
      </c>
      <c r="M14" s="3145" t="s">
        <v>5301</v>
      </c>
      <c r="N14" s="617" t="s">
        <v>5302</v>
      </c>
      <c r="O14" s="617" t="s">
        <v>5303</v>
      </c>
      <c r="P14" s="617" t="s">
        <v>5304</v>
      </c>
      <c r="Q14" s="617" t="s">
        <v>5305</v>
      </c>
      <c r="R14" s="617" t="s">
        <v>5306</v>
      </c>
      <c r="S14" s="5409" t="s">
        <v>5307</v>
      </c>
      <c r="T14" s="916" t="s">
        <v>5308</v>
      </c>
      <c r="U14" s="626" t="s">
        <v>5309</v>
      </c>
      <c r="V14" s="3143" t="s">
        <v>5310</v>
      </c>
      <c r="W14" s="3144" t="s">
        <v>5311</v>
      </c>
      <c r="X14" s="3077" t="s">
        <v>5312</v>
      </c>
      <c r="Y14" s="5409" t="s">
        <v>5313</v>
      </c>
      <c r="Z14" s="618" t="s">
        <v>5314</v>
      </c>
      <c r="AA14" s="624" t="s">
        <v>5315</v>
      </c>
      <c r="AB14" s="3143" t="s">
        <v>5316</v>
      </c>
      <c r="AC14" s="5981" t="s">
        <v>5317</v>
      </c>
      <c r="AD14" s="3559" t="str">
        <f t="shared" ref="AD14:AD22" si="1">$CB14&amp;CC14&amp;CD14&amp;CE14&amp;CF14&amp;CG14</f>
        <v xml:space="preserve"> * La variable Pueblos originarios no puede ser mayor al Total. * La variable Migrantes no puede ser mayor al Total. * La variable Trans Masculino no puede ser mayor al Total.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 s="3146" t="str">
        <f t="shared" ref="CB14:CB22" si="2">IF(AND(D14&gt;0,Z14="")," * No olvide digitar la variable Pueblos originarios. Digite Cero si no tiene.",IF(Z14&gt;D14," * La variable Pueblos originarios no puede ser mayor al Total.",""))</f>
        <v xml:space="preserve"> * La variable Pueblos originarios no puede ser mayor al Total.</v>
      </c>
      <c r="CC14" s="3146" t="str">
        <f>IF(AND(D14&gt;0,AA14="")," * No olvide digitar la variable Migrantes. Digite Cero si no tiene.",IF(AA14&gt;D14," * La variable Migrantes no puede ser mayor al Total.",""))</f>
        <v xml:space="preserve"> * La variable Migrantes no puede ser mayor al Total.</v>
      </c>
      <c r="CD14" s="3146" t="str">
        <f t="shared" ref="CD14:CD22" si="3">IF(AND(D14&gt;0,OR(AB14=""))," * No olvide digitar la variable Trans Masculino . Digite Cero si no tiene.",IF(OR(AB14&gt;D14)," * La variable Trans Masculino no puede ser mayor al Total.",""))</f>
        <v xml:space="preserve"> * La variable Trans Masculino no puede ser mayor al Total.</v>
      </c>
      <c r="CE14" s="600"/>
      <c r="CF14" s="5832"/>
      <c r="CG14" s="600"/>
      <c r="CH14" s="163"/>
      <c r="CI14" s="163"/>
      <c r="CJ14" s="163"/>
      <c r="CK14" s="163"/>
      <c r="CL14" s="163"/>
      <c r="CM14" s="1725">
        <f t="shared" ref="CM14:CM22" si="4">IF(AND(D14&gt;0,Z14=""),1,IF(Z14&gt;D14,1,0))</f>
        <v>1</v>
      </c>
      <c r="CN14" s="1725">
        <f>IF(AND(D14&gt;0,AA14=""),1,IF(AA14&gt;D14,1,0))</f>
        <v>1</v>
      </c>
      <c r="CO14" s="1725">
        <f t="shared" ref="CO14:CO22" si="5">IF(AND(D14&gt;0,OR(AB14="")),1,IF(OR(AB14&gt;D14),1,0))</f>
        <v>1</v>
      </c>
      <c r="CP14"/>
      <c r="CQ14" s="5833"/>
      <c r="CR14" s="1116"/>
      <c r="CS14" s="1116"/>
      <c r="CT14" s="1116"/>
      <c r="CU14" s="1116"/>
      <c r="CV14" s="1116"/>
      <c r="CW14" s="1116"/>
    </row>
    <row r="15" spans="1:101" s="170" customFormat="1" ht="15" customHeight="1" x14ac:dyDescent="0.3">
      <c r="A15" s="6244" t="s">
        <v>5212</v>
      </c>
      <c r="B15" s="6614" t="s">
        <v>3012</v>
      </c>
      <c r="C15" s="7154"/>
      <c r="D15" s="3240" t="s">
        <v>5292</v>
      </c>
      <c r="E15" s="1072" t="s">
        <v>5293</v>
      </c>
      <c r="F15" s="3143" t="s">
        <v>5294</v>
      </c>
      <c r="G15" s="3143" t="s">
        <v>5295</v>
      </c>
      <c r="H15" s="3077" t="s">
        <v>5296</v>
      </c>
      <c r="I15" s="1072" t="s">
        <v>5297</v>
      </c>
      <c r="J15" s="617" t="s">
        <v>5298</v>
      </c>
      <c r="K15" s="617" t="s">
        <v>5299</v>
      </c>
      <c r="L15" s="3077" t="s">
        <v>5300</v>
      </c>
      <c r="M15" s="3145" t="s">
        <v>5301</v>
      </c>
      <c r="N15" s="617" t="s">
        <v>5302</v>
      </c>
      <c r="O15" s="617" t="s">
        <v>5303</v>
      </c>
      <c r="P15" s="617" t="s">
        <v>5304</v>
      </c>
      <c r="Q15" s="617" t="s">
        <v>5305</v>
      </c>
      <c r="R15" s="617" t="s">
        <v>5306</v>
      </c>
      <c r="S15" s="5409" t="s">
        <v>5307</v>
      </c>
      <c r="T15" s="916" t="s">
        <v>5308</v>
      </c>
      <c r="U15" s="626" t="s">
        <v>5309</v>
      </c>
      <c r="V15" s="3143" t="s">
        <v>5310</v>
      </c>
      <c r="W15" s="3144" t="s">
        <v>5311</v>
      </c>
      <c r="X15" s="3077" t="s">
        <v>5312</v>
      </c>
      <c r="Y15" s="5409" t="s">
        <v>5313</v>
      </c>
      <c r="Z15" s="618" t="s">
        <v>5314</v>
      </c>
      <c r="AA15" s="624" t="s">
        <v>5315</v>
      </c>
      <c r="AB15" s="3143" t="s">
        <v>5316</v>
      </c>
      <c r="AC15" s="5981" t="s">
        <v>5317</v>
      </c>
      <c r="AD15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 s="3146" t="str">
        <f t="shared" si="2"/>
        <v xml:space="preserve"> * La variable Pueblos originarios no puede ser mayor al Total.</v>
      </c>
      <c r="CC15" s="3146" t="str">
        <f>IF(AND(D15&gt;0,AA15="")," * No olvide digitar la variable Migrantes. Digite Cero si no tiene.",IF(AA15&gt;D15," * La variable Migrantes no puede ser mayor al Total.",""))</f>
        <v xml:space="preserve"> * La variable Migrantes no puede ser mayor al Total.</v>
      </c>
      <c r="CD15" s="3146" t="str">
        <f t="shared" si="3"/>
        <v xml:space="preserve"> * La variable Trans Masculino no puede ser mayor al Total.</v>
      </c>
      <c r="CE15" s="600"/>
      <c r="CF15" s="5832"/>
      <c r="CG15" s="600"/>
      <c r="CH15" s="163"/>
      <c r="CI15" s="163"/>
      <c r="CJ15" s="163"/>
      <c r="CK15" s="163"/>
      <c r="CL15" s="163"/>
      <c r="CM15" s="1725">
        <f t="shared" si="4"/>
        <v>1</v>
      </c>
      <c r="CN15" s="1725">
        <f>IF(AND(D15&gt;0,AA15=""),1,IF(AA15&gt;D15,1,0))</f>
        <v>1</v>
      </c>
      <c r="CO15" s="1725">
        <f t="shared" si="5"/>
        <v>1</v>
      </c>
      <c r="CP15"/>
      <c r="CQ15" s="5833"/>
      <c r="CR15" s="1116"/>
      <c r="CS15" s="1116"/>
      <c r="CT15" s="1116"/>
      <c r="CU15" s="1116"/>
      <c r="CV15" s="1116"/>
      <c r="CW15" s="1116"/>
    </row>
    <row r="16" spans="1:101" s="170" customFormat="1" ht="15" customHeight="1" x14ac:dyDescent="0.3">
      <c r="A16" s="6244">
        <v>24090700</v>
      </c>
      <c r="B16" s="7157" t="s">
        <v>3013</v>
      </c>
      <c r="C16" s="7904"/>
      <c r="D16" s="118" t="s">
        <v>5292</v>
      </c>
      <c r="E16" s="3023" t="s">
        <v>5293</v>
      </c>
      <c r="F16" s="121" t="s">
        <v>5294</v>
      </c>
      <c r="G16" s="121" t="s">
        <v>5295</v>
      </c>
      <c r="H16" s="2800" t="s">
        <v>5296</v>
      </c>
      <c r="I16" s="3023" t="s">
        <v>5297</v>
      </c>
      <c r="J16" s="3020" t="s">
        <v>5298</v>
      </c>
      <c r="K16" s="3020" t="s">
        <v>5299</v>
      </c>
      <c r="L16" s="2800" t="s">
        <v>5300</v>
      </c>
      <c r="M16" s="153" t="s">
        <v>5301</v>
      </c>
      <c r="N16" s="3020" t="s">
        <v>5302</v>
      </c>
      <c r="O16" s="3020" t="s">
        <v>5303</v>
      </c>
      <c r="P16" s="3020" t="s">
        <v>5304</v>
      </c>
      <c r="Q16" s="3020" t="s">
        <v>5305</v>
      </c>
      <c r="R16" s="3020" t="s">
        <v>5306</v>
      </c>
      <c r="S16" s="3244" t="s">
        <v>5307</v>
      </c>
      <c r="T16" s="3754" t="s">
        <v>5308</v>
      </c>
      <c r="U16" s="3035" t="s">
        <v>5309</v>
      </c>
      <c r="V16" s="121" t="s">
        <v>5310</v>
      </c>
      <c r="W16" s="770" t="s">
        <v>5311</v>
      </c>
      <c r="X16" s="2800" t="s">
        <v>5312</v>
      </c>
      <c r="Y16" s="3244" t="s">
        <v>5313</v>
      </c>
      <c r="Z16" s="3155" t="s">
        <v>5314</v>
      </c>
      <c r="AA16" s="3080" t="s">
        <v>5315</v>
      </c>
      <c r="AB16" s="121" t="s">
        <v>5316</v>
      </c>
      <c r="AC16" s="5982" t="s">
        <v>5317</v>
      </c>
      <c r="AD16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 s="3146" t="str">
        <f t="shared" si="2"/>
        <v xml:space="preserve"> * La variable Pueblos originarios no puede ser mayor al Total.</v>
      </c>
      <c r="CC16" s="3146" t="str">
        <f t="shared" ref="CC16:CC22" si="6">IF(AND(D16&gt;0,AA16="")," * No olvide digitar la variable Migrantes. Digite Cero si no tiene.",IF(AA16&gt;D16," * La variable Migrantes no puede ser mayor al Total.",""))</f>
        <v xml:space="preserve"> * La variable Migrantes no puede ser mayor al Total.</v>
      </c>
      <c r="CD16" s="3146" t="str">
        <f t="shared" si="3"/>
        <v xml:space="preserve"> * La variable Trans Masculino no puede ser mayor al Total.</v>
      </c>
      <c r="CE16" s="600"/>
      <c r="CF16" s="5832"/>
      <c r="CG16" s="600"/>
      <c r="CH16" s="163"/>
      <c r="CI16" s="163"/>
      <c r="CJ16" s="163"/>
      <c r="CK16" s="163"/>
      <c r="CL16" s="163"/>
      <c r="CM16" s="1725">
        <f t="shared" si="4"/>
        <v>1</v>
      </c>
      <c r="CN16" s="1725">
        <f t="shared" ref="CN16:CN22" si="7">IF(AND(D16&gt;0,AA16=""),1,IF(AA16&gt;D16,1,0))</f>
        <v>1</v>
      </c>
      <c r="CO16" s="1725">
        <f t="shared" si="5"/>
        <v>1</v>
      </c>
      <c r="CP16"/>
      <c r="CQ16" s="5833"/>
      <c r="CR16" s="1116"/>
      <c r="CS16" s="1116"/>
      <c r="CT16" s="1116"/>
      <c r="CU16" s="1116"/>
      <c r="CV16" s="1116"/>
      <c r="CW16" s="1116"/>
    </row>
    <row r="17" spans="1:101" s="170" customFormat="1" ht="15" customHeight="1" x14ac:dyDescent="0.3">
      <c r="A17" s="6244">
        <v>29101715</v>
      </c>
      <c r="B17" s="7905" t="s">
        <v>3014</v>
      </c>
      <c r="C17" s="7906"/>
      <c r="D17" s="5406" t="s">
        <v>5292</v>
      </c>
      <c r="E17" s="5227" t="s">
        <v>5293</v>
      </c>
      <c r="F17" s="5284" t="s">
        <v>5294</v>
      </c>
      <c r="G17" s="5284" t="s">
        <v>5295</v>
      </c>
      <c r="H17" s="5231" t="s">
        <v>5296</v>
      </c>
      <c r="I17" s="5227" t="s">
        <v>5297</v>
      </c>
      <c r="J17" s="5228" t="s">
        <v>5298</v>
      </c>
      <c r="K17" s="5228" t="s">
        <v>5299</v>
      </c>
      <c r="L17" s="5231" t="s">
        <v>5300</v>
      </c>
      <c r="M17" s="5273" t="s">
        <v>5301</v>
      </c>
      <c r="N17" s="5228" t="s">
        <v>5302</v>
      </c>
      <c r="O17" s="5228" t="s">
        <v>5303</v>
      </c>
      <c r="P17" s="5228" t="s">
        <v>5304</v>
      </c>
      <c r="Q17" s="5228" t="s">
        <v>5305</v>
      </c>
      <c r="R17" s="5228" t="s">
        <v>5306</v>
      </c>
      <c r="S17" s="5283" t="s">
        <v>5307</v>
      </c>
      <c r="T17" s="5407" t="s">
        <v>5308</v>
      </c>
      <c r="U17" s="5257" t="s">
        <v>5309</v>
      </c>
      <c r="V17" s="5284" t="s">
        <v>5310</v>
      </c>
      <c r="W17" s="5229" t="s">
        <v>5311</v>
      </c>
      <c r="X17" s="5231" t="s">
        <v>5312</v>
      </c>
      <c r="Y17" s="5283" t="s">
        <v>5313</v>
      </c>
      <c r="Z17" s="5230" t="s">
        <v>5314</v>
      </c>
      <c r="AA17" s="5408" t="s">
        <v>5315</v>
      </c>
      <c r="AB17" s="5284" t="s">
        <v>5316</v>
      </c>
      <c r="AC17" s="5980" t="s">
        <v>5317</v>
      </c>
      <c r="AD17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 s="3146" t="str">
        <f t="shared" si="2"/>
        <v xml:space="preserve"> * La variable Pueblos originarios no puede ser mayor al Total.</v>
      </c>
      <c r="CC17" s="3146" t="str">
        <f t="shared" si="6"/>
        <v xml:space="preserve"> * La variable Migrantes no puede ser mayor al Total.</v>
      </c>
      <c r="CD17" s="3146" t="str">
        <f t="shared" si="3"/>
        <v xml:space="preserve"> * La variable Trans Masculino no puede ser mayor al Total.</v>
      </c>
      <c r="CE17" s="600"/>
      <c r="CF17" s="5832"/>
      <c r="CG17" s="600"/>
      <c r="CH17" s="163"/>
      <c r="CI17" s="163"/>
      <c r="CJ17" s="163"/>
      <c r="CK17" s="163"/>
      <c r="CL17" s="163"/>
      <c r="CM17" s="1725">
        <f t="shared" si="4"/>
        <v>1</v>
      </c>
      <c r="CN17" s="1725">
        <f t="shared" si="7"/>
        <v>1</v>
      </c>
      <c r="CO17" s="1725">
        <f t="shared" si="5"/>
        <v>1</v>
      </c>
      <c r="CP17"/>
      <c r="CQ17" s="5833"/>
      <c r="CR17" s="1116"/>
      <c r="CS17" s="1116"/>
      <c r="CT17" s="1116"/>
      <c r="CU17" s="1116"/>
      <c r="CV17" s="1116"/>
      <c r="CW17" s="1116"/>
    </row>
    <row r="18" spans="1:101" s="170" customFormat="1" ht="15" customHeight="1" x14ac:dyDescent="0.3">
      <c r="A18" s="6244">
        <v>29101716</v>
      </c>
      <c r="B18" s="6644" t="s">
        <v>3015</v>
      </c>
      <c r="C18" s="7907"/>
      <c r="D18" s="5411" t="s">
        <v>5292</v>
      </c>
      <c r="E18" s="5412" t="s">
        <v>5293</v>
      </c>
      <c r="F18" s="5413" t="s">
        <v>5294</v>
      </c>
      <c r="G18" s="5413" t="s">
        <v>5295</v>
      </c>
      <c r="H18" s="5414" t="s">
        <v>5296</v>
      </c>
      <c r="I18" s="5412" t="s">
        <v>5297</v>
      </c>
      <c r="J18" s="5415" t="s">
        <v>5298</v>
      </c>
      <c r="K18" s="5415" t="s">
        <v>5299</v>
      </c>
      <c r="L18" s="5414" t="s">
        <v>5300</v>
      </c>
      <c r="M18" s="5416" t="s">
        <v>5301</v>
      </c>
      <c r="N18" s="5415" t="s">
        <v>5302</v>
      </c>
      <c r="O18" s="5415" t="s">
        <v>5303</v>
      </c>
      <c r="P18" s="5415" t="s">
        <v>5304</v>
      </c>
      <c r="Q18" s="5415" t="s">
        <v>5305</v>
      </c>
      <c r="R18" s="5415" t="s">
        <v>5306</v>
      </c>
      <c r="S18" s="5417" t="s">
        <v>5307</v>
      </c>
      <c r="T18" s="5418" t="s">
        <v>5308</v>
      </c>
      <c r="U18" s="4767" t="s">
        <v>5309</v>
      </c>
      <c r="V18" s="5413" t="s">
        <v>5310</v>
      </c>
      <c r="W18" s="5419" t="s">
        <v>5311</v>
      </c>
      <c r="X18" s="5414" t="s">
        <v>5312</v>
      </c>
      <c r="Y18" s="5417" t="s">
        <v>5313</v>
      </c>
      <c r="Z18" s="5420" t="s">
        <v>5314</v>
      </c>
      <c r="AA18" s="5421" t="s">
        <v>5315</v>
      </c>
      <c r="AB18" s="5413" t="s">
        <v>5316</v>
      </c>
      <c r="AC18" s="5551" t="s">
        <v>5317</v>
      </c>
      <c r="AD18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 s="3146" t="str">
        <f t="shared" si="2"/>
        <v xml:space="preserve"> * La variable Pueblos originarios no puede ser mayor al Total.</v>
      </c>
      <c r="CC18" s="3146" t="str">
        <f t="shared" si="6"/>
        <v xml:space="preserve"> * La variable Migrantes no puede ser mayor al Total.</v>
      </c>
      <c r="CD18" s="3146" t="str">
        <f t="shared" si="3"/>
        <v xml:space="preserve"> * La variable Trans Masculino no puede ser mayor al Total.</v>
      </c>
      <c r="CE18" s="600"/>
      <c r="CF18" s="5832"/>
      <c r="CG18" s="600"/>
      <c r="CH18" s="163"/>
      <c r="CI18" s="163"/>
      <c r="CJ18" s="163"/>
      <c r="CK18" s="163"/>
      <c r="CL18" s="163"/>
      <c r="CM18" s="1725">
        <f t="shared" si="4"/>
        <v>1</v>
      </c>
      <c r="CN18" s="1725">
        <f t="shared" si="7"/>
        <v>1</v>
      </c>
      <c r="CO18" s="1725">
        <f t="shared" si="5"/>
        <v>1</v>
      </c>
      <c r="CP18"/>
      <c r="CQ18" s="5833"/>
      <c r="CR18" s="1116"/>
      <c r="CS18" s="1116"/>
      <c r="CT18" s="1116"/>
      <c r="CU18" s="1116"/>
      <c r="CV18" s="1116"/>
      <c r="CW18" s="1116"/>
    </row>
    <row r="19" spans="1:101" s="170" customFormat="1" ht="15" customHeight="1" x14ac:dyDescent="0.3">
      <c r="A19" s="6244">
        <v>24200121</v>
      </c>
      <c r="B19" s="7878" t="s">
        <v>3016</v>
      </c>
      <c r="C19" s="7879"/>
      <c r="D19" s="5406" t="s">
        <v>5292</v>
      </c>
      <c r="E19" s="5227" t="s">
        <v>5293</v>
      </c>
      <c r="F19" s="5228" t="s">
        <v>5294</v>
      </c>
      <c r="G19" s="5228" t="s">
        <v>5295</v>
      </c>
      <c r="H19" s="5257" t="s">
        <v>5296</v>
      </c>
      <c r="I19" s="5423" t="s">
        <v>5297</v>
      </c>
      <c r="J19" s="5424" t="s">
        <v>5298</v>
      </c>
      <c r="K19" s="5424" t="s">
        <v>5299</v>
      </c>
      <c r="L19" s="5425" t="s">
        <v>5300</v>
      </c>
      <c r="M19" s="5346" t="s">
        <v>5301</v>
      </c>
      <c r="N19" s="5424" t="s">
        <v>5302</v>
      </c>
      <c r="O19" s="5424" t="s">
        <v>5303</v>
      </c>
      <c r="P19" s="5424" t="s">
        <v>5304</v>
      </c>
      <c r="Q19" s="5424" t="s">
        <v>5305</v>
      </c>
      <c r="R19" s="5424" t="s">
        <v>5306</v>
      </c>
      <c r="S19" s="5426" t="s">
        <v>5307</v>
      </c>
      <c r="T19" s="5427" t="s">
        <v>5308</v>
      </c>
      <c r="U19" s="5428" t="s">
        <v>5309</v>
      </c>
      <c r="V19" s="5429" t="s">
        <v>5310</v>
      </c>
      <c r="W19" s="5430" t="s">
        <v>5311</v>
      </c>
      <c r="X19" s="5425" t="s">
        <v>5312</v>
      </c>
      <c r="Y19" s="5426" t="s">
        <v>5313</v>
      </c>
      <c r="Z19" s="5431" t="s">
        <v>5314</v>
      </c>
      <c r="AA19" s="5432" t="s">
        <v>5315</v>
      </c>
      <c r="AB19" s="5429" t="s">
        <v>5316</v>
      </c>
      <c r="AC19" s="5983" t="s">
        <v>5317</v>
      </c>
      <c r="AD19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 s="3146" t="str">
        <f t="shared" si="2"/>
        <v xml:space="preserve"> * La variable Pueblos originarios no puede ser mayor al Total.</v>
      </c>
      <c r="CC19" s="3146" t="str">
        <f t="shared" si="6"/>
        <v xml:space="preserve"> * La variable Migrantes no puede ser mayor al Total.</v>
      </c>
      <c r="CD19" s="3146" t="str">
        <f t="shared" si="3"/>
        <v xml:space="preserve"> * La variable Trans Masculino no puede ser mayor al Total.</v>
      </c>
      <c r="CE19" s="600"/>
      <c r="CF19" s="5832"/>
      <c r="CG19" s="600"/>
      <c r="CH19" s="163"/>
      <c r="CI19" s="163"/>
      <c r="CJ19" s="163"/>
      <c r="CK19" s="163"/>
      <c r="CL19" s="163"/>
      <c r="CM19" s="1725">
        <f t="shared" si="4"/>
        <v>1</v>
      </c>
      <c r="CN19" s="1725">
        <f t="shared" si="7"/>
        <v>1</v>
      </c>
      <c r="CO19" s="1725">
        <f t="shared" si="5"/>
        <v>1</v>
      </c>
      <c r="CP19"/>
      <c r="CQ19" s="5833"/>
      <c r="CR19" s="1116"/>
      <c r="CS19" s="1116"/>
      <c r="CT19" s="1116"/>
      <c r="CU19" s="1116"/>
      <c r="CV19" s="1116"/>
      <c r="CW19" s="1116"/>
    </row>
    <row r="20" spans="1:101" s="170" customFormat="1" ht="15" customHeight="1" x14ac:dyDescent="0.3">
      <c r="A20" s="6244">
        <v>24100100</v>
      </c>
      <c r="B20" s="7157" t="s">
        <v>3017</v>
      </c>
      <c r="C20" s="7904"/>
      <c r="D20" s="118" t="s">
        <v>5292</v>
      </c>
      <c r="E20" s="3023" t="s">
        <v>5293</v>
      </c>
      <c r="F20" s="3020" t="s">
        <v>5294</v>
      </c>
      <c r="G20" s="3020" t="s">
        <v>5295</v>
      </c>
      <c r="H20" s="3035" t="s">
        <v>5296</v>
      </c>
      <c r="I20" s="3023" t="s">
        <v>5297</v>
      </c>
      <c r="J20" s="3020" t="s">
        <v>5298</v>
      </c>
      <c r="K20" s="3020" t="s">
        <v>5299</v>
      </c>
      <c r="L20" s="2800" t="s">
        <v>5300</v>
      </c>
      <c r="M20" s="153" t="s">
        <v>5301</v>
      </c>
      <c r="N20" s="3020" t="s">
        <v>5302</v>
      </c>
      <c r="O20" s="3020" t="s">
        <v>5303</v>
      </c>
      <c r="P20" s="3020" t="s">
        <v>5304</v>
      </c>
      <c r="Q20" s="3020" t="s">
        <v>5305</v>
      </c>
      <c r="R20" s="3020" t="s">
        <v>5306</v>
      </c>
      <c r="S20" s="3244" t="s">
        <v>5307</v>
      </c>
      <c r="T20" s="3754" t="s">
        <v>5308</v>
      </c>
      <c r="U20" s="3035" t="s">
        <v>5309</v>
      </c>
      <c r="V20" s="121" t="s">
        <v>5310</v>
      </c>
      <c r="W20" s="770" t="s">
        <v>5311</v>
      </c>
      <c r="X20" s="2800" t="s">
        <v>5312</v>
      </c>
      <c r="Y20" s="3244" t="s">
        <v>5313</v>
      </c>
      <c r="Z20" s="3155" t="s">
        <v>5314</v>
      </c>
      <c r="AA20" s="3080" t="s">
        <v>5315</v>
      </c>
      <c r="AB20" s="121" t="s">
        <v>5316</v>
      </c>
      <c r="AC20" s="5982" t="s">
        <v>5317</v>
      </c>
      <c r="AD20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 s="3146" t="str">
        <f t="shared" si="2"/>
        <v xml:space="preserve"> * La variable Pueblos originarios no puede ser mayor al Total.</v>
      </c>
      <c r="CC20" s="3146" t="str">
        <f t="shared" si="6"/>
        <v xml:space="preserve"> * La variable Migrantes no puede ser mayor al Total.</v>
      </c>
      <c r="CD20" s="3146" t="str">
        <f t="shared" si="3"/>
        <v xml:space="preserve"> * La variable Trans Masculino no puede ser mayor al Total.</v>
      </c>
      <c r="CE20" s="600"/>
      <c r="CF20" s="5832"/>
      <c r="CG20" s="600"/>
      <c r="CH20" s="163"/>
      <c r="CI20" s="163"/>
      <c r="CJ20" s="163"/>
      <c r="CK20" s="163"/>
      <c r="CL20" s="163"/>
      <c r="CM20" s="1725">
        <f t="shared" si="4"/>
        <v>1</v>
      </c>
      <c r="CN20" s="1725">
        <f t="shared" si="7"/>
        <v>1</v>
      </c>
      <c r="CO20" s="1725">
        <f t="shared" si="5"/>
        <v>1</v>
      </c>
      <c r="CP20"/>
      <c r="CQ20" s="5833"/>
      <c r="CR20" s="1116"/>
      <c r="CS20" s="1116"/>
      <c r="CT20" s="1116"/>
      <c r="CU20" s="1116"/>
      <c r="CV20" s="1116"/>
      <c r="CW20" s="1116"/>
    </row>
    <row r="21" spans="1:101" s="170" customFormat="1" ht="15" customHeight="1" x14ac:dyDescent="0.3">
      <c r="A21" s="6244">
        <v>29101717</v>
      </c>
      <c r="B21" s="6634" t="s">
        <v>3018</v>
      </c>
      <c r="C21" s="5422" t="s">
        <v>3019</v>
      </c>
      <c r="D21" s="3365" t="s">
        <v>5292</v>
      </c>
      <c r="E21" s="131" t="s">
        <v>5293</v>
      </c>
      <c r="F21" s="4425" t="s">
        <v>5294</v>
      </c>
      <c r="G21" s="4425" t="s">
        <v>5295</v>
      </c>
      <c r="H21" s="870" t="s">
        <v>5296</v>
      </c>
      <c r="I21" s="131" t="s">
        <v>5297</v>
      </c>
      <c r="J21" s="5410" t="s">
        <v>5298</v>
      </c>
      <c r="K21" s="5410" t="s">
        <v>5299</v>
      </c>
      <c r="L21" s="870" t="s">
        <v>5300</v>
      </c>
      <c r="M21" s="3752" t="s">
        <v>5301</v>
      </c>
      <c r="N21" s="5410" t="s">
        <v>5302</v>
      </c>
      <c r="O21" s="5410" t="s">
        <v>5303</v>
      </c>
      <c r="P21" s="5410" t="s">
        <v>5304</v>
      </c>
      <c r="Q21" s="5410" t="s">
        <v>5305</v>
      </c>
      <c r="R21" s="5410" t="s">
        <v>5306</v>
      </c>
      <c r="S21" s="1468" t="s">
        <v>5307</v>
      </c>
      <c r="T21" s="5333" t="s">
        <v>5308</v>
      </c>
      <c r="U21" s="5047" t="s">
        <v>5309</v>
      </c>
      <c r="V21" s="4425" t="s">
        <v>5310</v>
      </c>
      <c r="W21" s="3030" t="s">
        <v>5311</v>
      </c>
      <c r="X21" s="870" t="s">
        <v>5312</v>
      </c>
      <c r="Y21" s="1468" t="s">
        <v>5313</v>
      </c>
      <c r="Z21" s="869" t="s">
        <v>5314</v>
      </c>
      <c r="AA21" s="3086" t="s">
        <v>5315</v>
      </c>
      <c r="AB21" s="4425" t="s">
        <v>5316</v>
      </c>
      <c r="AC21" s="5984" t="s">
        <v>5317</v>
      </c>
      <c r="AD21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 s="3146" t="str">
        <f t="shared" si="2"/>
        <v xml:space="preserve"> * La variable Pueblos originarios no puede ser mayor al Total.</v>
      </c>
      <c r="CC21" s="3146" t="str">
        <f t="shared" si="6"/>
        <v xml:space="preserve"> * La variable Migrantes no puede ser mayor al Total.</v>
      </c>
      <c r="CD21" s="3146" t="str">
        <f t="shared" si="3"/>
        <v xml:space="preserve"> * La variable Trans Masculino no puede ser mayor al Total.</v>
      </c>
      <c r="CE21" s="600"/>
      <c r="CF21" s="5832"/>
      <c r="CG21" s="600"/>
      <c r="CH21" s="163"/>
      <c r="CI21" s="163"/>
      <c r="CJ21" s="163"/>
      <c r="CK21" s="163"/>
      <c r="CL21" s="163"/>
      <c r="CM21" s="1725">
        <f t="shared" si="4"/>
        <v>1</v>
      </c>
      <c r="CN21" s="1725">
        <f t="shared" si="7"/>
        <v>1</v>
      </c>
      <c r="CO21" s="1725">
        <f t="shared" si="5"/>
        <v>1</v>
      </c>
      <c r="CP21"/>
      <c r="CQ21" s="5833"/>
      <c r="CR21" s="1116"/>
      <c r="CS21" s="1116"/>
      <c r="CT21" s="1116"/>
      <c r="CU21" s="1116"/>
      <c r="CV21" s="1116"/>
      <c r="CW21" s="1116"/>
    </row>
    <row r="22" spans="1:101" s="170" customFormat="1" ht="15" customHeight="1" x14ac:dyDescent="0.3">
      <c r="A22" s="6244">
        <v>29101718</v>
      </c>
      <c r="B22" s="7908"/>
      <c r="C22" s="2814" t="s">
        <v>3020</v>
      </c>
      <c r="D22" s="118" t="s">
        <v>5292</v>
      </c>
      <c r="E22" s="118" t="s">
        <v>5293</v>
      </c>
      <c r="F22" s="3020" t="s">
        <v>5294</v>
      </c>
      <c r="G22" s="3020" t="s">
        <v>5295</v>
      </c>
      <c r="H22" s="2800" t="s">
        <v>5296</v>
      </c>
      <c r="I22" s="3023" t="s">
        <v>5297</v>
      </c>
      <c r="J22" s="3020" t="s">
        <v>5298</v>
      </c>
      <c r="K22" s="3020" t="s">
        <v>5299</v>
      </c>
      <c r="L22" s="2800" t="s">
        <v>5300</v>
      </c>
      <c r="M22" s="153" t="s">
        <v>5301</v>
      </c>
      <c r="N22" s="3020" t="s">
        <v>5302</v>
      </c>
      <c r="O22" s="3020" t="s">
        <v>5303</v>
      </c>
      <c r="P22" s="3020" t="s">
        <v>5304</v>
      </c>
      <c r="Q22" s="3020" t="s">
        <v>5305</v>
      </c>
      <c r="R22" s="3020" t="s">
        <v>5306</v>
      </c>
      <c r="S22" s="3244" t="s">
        <v>5307</v>
      </c>
      <c r="T22" s="3754" t="s">
        <v>5308</v>
      </c>
      <c r="U22" s="3035" t="s">
        <v>5309</v>
      </c>
      <c r="V22" s="121" t="s">
        <v>5310</v>
      </c>
      <c r="W22" s="770" t="s">
        <v>5311</v>
      </c>
      <c r="X22" s="2800" t="s">
        <v>5312</v>
      </c>
      <c r="Y22" s="3244" t="s">
        <v>5313</v>
      </c>
      <c r="Z22" s="3155" t="s">
        <v>5314</v>
      </c>
      <c r="AA22" s="3080" t="s">
        <v>5315</v>
      </c>
      <c r="AB22" s="121" t="s">
        <v>5316</v>
      </c>
      <c r="AC22" s="5982" t="s">
        <v>5317</v>
      </c>
      <c r="AD22" s="3559" t="str">
        <f t="shared" si="1"/>
        <v xml:space="preserve"> * La variable Pueblos originarios no puede ser mayor al Total. * La variable Migrantes no puede ser mayor al Total. * La variable Trans Masculino no puede ser mayor al Total.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 s="3146" t="str">
        <f t="shared" si="2"/>
        <v xml:space="preserve"> * La variable Pueblos originarios no puede ser mayor al Total.</v>
      </c>
      <c r="CC22" s="3146" t="str">
        <f t="shared" si="6"/>
        <v xml:space="preserve"> * La variable Migrantes no puede ser mayor al Total.</v>
      </c>
      <c r="CD22" s="3146" t="str">
        <f t="shared" si="3"/>
        <v xml:space="preserve"> * La variable Trans Masculino no puede ser mayor al Total.</v>
      </c>
      <c r="CE22" s="600"/>
      <c r="CF22" s="5832"/>
      <c r="CG22" s="600"/>
      <c r="CH22" s="163"/>
      <c r="CI22" s="163"/>
      <c r="CJ22" s="163"/>
      <c r="CK22" s="163"/>
      <c r="CL22" s="163"/>
      <c r="CM22" s="1725">
        <f t="shared" si="4"/>
        <v>1</v>
      </c>
      <c r="CN22" s="1725">
        <f t="shared" si="7"/>
        <v>1</v>
      </c>
      <c r="CO22" s="1725">
        <f t="shared" si="5"/>
        <v>1</v>
      </c>
      <c r="CP22"/>
      <c r="CQ22" s="5833"/>
      <c r="CR22" s="1116"/>
      <c r="CS22" s="1116"/>
      <c r="CT22" s="1116"/>
      <c r="CU22" s="1116"/>
      <c r="CV22" s="1116"/>
      <c r="CW22" s="1116"/>
    </row>
    <row r="23" spans="1:101" s="1116" customFormat="1" ht="18" customHeight="1" x14ac:dyDescent="0.2">
      <c r="B23" s="562" t="s">
        <v>3021</v>
      </c>
      <c r="C23" s="562"/>
      <c r="D23" s="3755"/>
      <c r="E23" s="3756"/>
      <c r="F23" s="3756"/>
      <c r="G23" s="3757"/>
    </row>
    <row r="24" spans="1:101" s="170" customFormat="1" ht="20.399999999999999" x14ac:dyDescent="0.2">
      <c r="B24" s="6694" t="s">
        <v>3022</v>
      </c>
      <c r="C24" s="7897"/>
      <c r="D24" s="3758" t="s">
        <v>24</v>
      </c>
      <c r="E24" s="3759" t="s">
        <v>3023</v>
      </c>
      <c r="F24" s="3759" t="s">
        <v>3731</v>
      </c>
      <c r="G24" s="3759" t="s">
        <v>3024</v>
      </c>
      <c r="CB24" s="1116"/>
      <c r="CC24" s="1116"/>
      <c r="CD24" s="1116"/>
      <c r="CE24" s="1116"/>
      <c r="CF24" s="1116"/>
      <c r="CG24" s="1116"/>
      <c r="CH24" s="1116"/>
      <c r="CI24" s="1116"/>
      <c r="CJ24" s="1116"/>
      <c r="CK24" s="1116"/>
      <c r="CL24" s="1116"/>
      <c r="CM24" s="1116"/>
      <c r="CN24" s="1116"/>
      <c r="CO24" s="1116"/>
      <c r="CP24" s="1116"/>
      <c r="CQ24" s="1116"/>
      <c r="CR24" s="1116"/>
      <c r="CS24" s="1116"/>
      <c r="CT24" s="1116"/>
      <c r="CU24" s="1116"/>
      <c r="CV24" s="1116"/>
      <c r="CW24" s="1116"/>
    </row>
    <row r="25" spans="1:101" s="170" customFormat="1" ht="15" customHeight="1" x14ac:dyDescent="0.2">
      <c r="A25" s="6244">
        <v>29101719</v>
      </c>
      <c r="B25" s="7898" t="s">
        <v>3025</v>
      </c>
      <c r="C25" s="7899"/>
      <c r="D25" s="3760" t="s">
        <v>5292</v>
      </c>
      <c r="E25" s="3761" t="s">
        <v>5293</v>
      </c>
      <c r="F25" s="3761" t="s">
        <v>5294</v>
      </c>
      <c r="G25" s="3761" t="s">
        <v>5295</v>
      </c>
      <c r="CB25" s="1116"/>
      <c r="CC25" s="1116"/>
      <c r="CD25" s="1116"/>
      <c r="CE25" s="1116"/>
      <c r="CF25" s="1116"/>
      <c r="CG25" s="1116"/>
      <c r="CH25" s="1116"/>
      <c r="CI25" s="1116"/>
      <c r="CJ25" s="1116"/>
      <c r="CK25" s="1116"/>
      <c r="CL25" s="1116"/>
      <c r="CM25" s="1116"/>
      <c r="CN25" s="1116"/>
      <c r="CO25" s="1116"/>
      <c r="CP25" s="1116"/>
      <c r="CQ25" s="1116"/>
      <c r="CR25" s="1116"/>
      <c r="CS25" s="1116"/>
      <c r="CT25" s="1116"/>
      <c r="CU25" s="1116"/>
      <c r="CV25" s="1116"/>
      <c r="CW25" s="1116"/>
    </row>
    <row r="26" spans="1:101" s="170" customFormat="1" ht="15" customHeight="1" x14ac:dyDescent="0.2">
      <c r="A26" s="6244">
        <v>29101720</v>
      </c>
      <c r="B26" s="7900" t="s">
        <v>3026</v>
      </c>
      <c r="C26" s="3762" t="s">
        <v>3027</v>
      </c>
      <c r="D26" s="3763" t="s">
        <v>5292</v>
      </c>
      <c r="E26" s="3764" t="s">
        <v>5293</v>
      </c>
      <c r="F26" s="3764" t="s">
        <v>5294</v>
      </c>
      <c r="G26" s="3764" t="s">
        <v>5295</v>
      </c>
      <c r="CB26" s="1116"/>
      <c r="CC26" s="1116"/>
      <c r="CD26" s="1116"/>
      <c r="CE26" s="1116"/>
      <c r="CF26" s="1116"/>
      <c r="CG26" s="1116"/>
      <c r="CH26" s="1116"/>
      <c r="CI26" s="1116"/>
      <c r="CJ26" s="1116"/>
      <c r="CK26" s="1116"/>
      <c r="CL26" s="1116"/>
      <c r="CM26" s="1116"/>
      <c r="CN26" s="1116"/>
      <c r="CO26" s="1116"/>
      <c r="CP26" s="1116"/>
      <c r="CQ26" s="1116"/>
      <c r="CR26" s="1116"/>
      <c r="CS26" s="1116"/>
      <c r="CT26" s="1116"/>
      <c r="CU26" s="1116"/>
      <c r="CV26" s="1116"/>
      <c r="CW26" s="1116"/>
    </row>
    <row r="27" spans="1:101" s="170" customFormat="1" ht="15" customHeight="1" x14ac:dyDescent="0.2">
      <c r="A27" s="6244">
        <v>29101721</v>
      </c>
      <c r="B27" s="7901"/>
      <c r="C27" s="3765" t="s">
        <v>3028</v>
      </c>
      <c r="D27" s="150" t="s">
        <v>5292</v>
      </c>
      <c r="E27" s="3766" t="s">
        <v>5293</v>
      </c>
      <c r="F27" s="3766" t="s">
        <v>5294</v>
      </c>
      <c r="G27" s="3766" t="s">
        <v>5295</v>
      </c>
      <c r="CB27" s="1116"/>
      <c r="CC27" s="1116"/>
      <c r="CD27" s="1116"/>
      <c r="CE27" s="1116"/>
      <c r="CF27" s="1116"/>
      <c r="CG27" s="1116"/>
      <c r="CH27" s="1116"/>
      <c r="CI27" s="1116"/>
      <c r="CJ27" s="1116"/>
      <c r="CK27" s="1116"/>
      <c r="CL27" s="1116"/>
      <c r="CM27" s="1116"/>
      <c r="CN27" s="1116"/>
      <c r="CO27" s="1116"/>
      <c r="CP27" s="1116"/>
      <c r="CQ27" s="1116"/>
      <c r="CR27" s="1116"/>
      <c r="CS27" s="1116"/>
      <c r="CT27" s="1116"/>
      <c r="CU27" s="1116"/>
      <c r="CV27" s="1116"/>
      <c r="CW27" s="1116"/>
    </row>
    <row r="28" spans="1:101" s="170" customFormat="1" ht="15" customHeight="1" x14ac:dyDescent="0.2">
      <c r="A28" s="6244">
        <v>29101722</v>
      </c>
      <c r="B28" s="7902" t="s">
        <v>3029</v>
      </c>
      <c r="C28" s="7903"/>
      <c r="D28" s="3763" t="s">
        <v>5292</v>
      </c>
      <c r="E28" s="3764" t="s">
        <v>5293</v>
      </c>
      <c r="F28" s="3764" t="s">
        <v>5294</v>
      </c>
      <c r="G28" s="3764" t="s">
        <v>5295</v>
      </c>
      <c r="CB28" s="1116"/>
      <c r="CC28" s="1116"/>
      <c r="CD28" s="1116"/>
      <c r="CE28" s="1116"/>
      <c r="CF28" s="1116"/>
      <c r="CG28" s="1116"/>
      <c r="CH28" s="1116"/>
      <c r="CI28" s="1116"/>
      <c r="CJ28" s="1116"/>
      <c r="CK28" s="1116"/>
      <c r="CL28" s="1116"/>
      <c r="CM28" s="1116"/>
      <c r="CN28" s="1116"/>
      <c r="CO28" s="1116"/>
      <c r="CP28" s="1116"/>
      <c r="CQ28" s="1116"/>
      <c r="CR28" s="1116"/>
      <c r="CS28" s="1116"/>
      <c r="CT28" s="1116"/>
      <c r="CU28" s="1116"/>
      <c r="CV28" s="1116"/>
      <c r="CW28" s="1116"/>
    </row>
    <row r="29" spans="1:101" s="170" customFormat="1" ht="15" customHeight="1" x14ac:dyDescent="0.2">
      <c r="A29" s="6244">
        <v>29101723</v>
      </c>
      <c r="B29" s="6614" t="s">
        <v>3030</v>
      </c>
      <c r="C29" s="7154"/>
      <c r="D29" s="3046" t="s">
        <v>5292</v>
      </c>
      <c r="E29" s="3767" t="s">
        <v>5293</v>
      </c>
      <c r="F29" s="3767" t="s">
        <v>5294</v>
      </c>
      <c r="G29" s="3767" t="s">
        <v>5295</v>
      </c>
      <c r="CB29" s="1116"/>
      <c r="CC29" s="1116"/>
      <c r="CD29" s="1116"/>
      <c r="CE29" s="1116"/>
      <c r="CF29" s="1116"/>
      <c r="CG29" s="1116"/>
      <c r="CH29" s="1116"/>
      <c r="CI29" s="1116"/>
      <c r="CJ29" s="1116"/>
      <c r="CK29" s="1116"/>
      <c r="CL29" s="1116"/>
      <c r="CM29" s="1116"/>
      <c r="CN29" s="1116"/>
      <c r="CO29" s="1116"/>
      <c r="CP29" s="1116"/>
      <c r="CQ29" s="1116"/>
      <c r="CR29" s="1116"/>
      <c r="CS29" s="1116"/>
      <c r="CT29" s="1116"/>
      <c r="CU29" s="1116"/>
      <c r="CV29" s="1116"/>
      <c r="CW29" s="1116"/>
    </row>
    <row r="30" spans="1:101" s="170" customFormat="1" ht="15" customHeight="1" x14ac:dyDescent="0.2">
      <c r="A30" s="6244">
        <v>29101724</v>
      </c>
      <c r="B30" s="7157" t="s">
        <v>3031</v>
      </c>
      <c r="C30" s="7904"/>
      <c r="D30" s="150" t="s">
        <v>5292</v>
      </c>
      <c r="E30" s="3766" t="s">
        <v>5293</v>
      </c>
      <c r="F30" s="3766" t="s">
        <v>5294</v>
      </c>
      <c r="G30" s="3766" t="s">
        <v>5295</v>
      </c>
      <c r="CB30" s="1116"/>
      <c r="CC30" s="1116"/>
      <c r="CD30" s="1116"/>
      <c r="CE30" s="1116"/>
      <c r="CF30" s="1116"/>
      <c r="CG30" s="1116"/>
      <c r="CH30" s="1116"/>
      <c r="CI30" s="1116"/>
      <c r="CJ30" s="1116"/>
      <c r="CK30" s="1116"/>
      <c r="CL30" s="1116"/>
      <c r="CM30" s="1116"/>
      <c r="CN30" s="1116"/>
      <c r="CO30" s="1116"/>
      <c r="CP30" s="1116"/>
      <c r="CQ30" s="1116"/>
      <c r="CR30" s="1116"/>
      <c r="CS30" s="1116"/>
      <c r="CT30" s="1116"/>
      <c r="CU30" s="1116"/>
      <c r="CV30" s="1116"/>
      <c r="CW30" s="1116"/>
    </row>
    <row r="31" spans="1:101" s="170" customFormat="1" ht="15" customHeight="1" x14ac:dyDescent="0.2">
      <c r="A31" s="6244">
        <v>29101725</v>
      </c>
      <c r="B31" s="6367" t="s">
        <v>3032</v>
      </c>
      <c r="C31" s="3768" t="s">
        <v>3033</v>
      </c>
      <c r="D31" s="3763" t="s">
        <v>5292</v>
      </c>
      <c r="E31" s="3764" t="s">
        <v>5293</v>
      </c>
      <c r="F31" s="3764" t="s">
        <v>5294</v>
      </c>
      <c r="G31" s="3764" t="s">
        <v>5295</v>
      </c>
      <c r="CB31" s="1116"/>
      <c r="CC31" s="1116"/>
      <c r="CD31" s="1116"/>
      <c r="CE31" s="1116"/>
      <c r="CF31" s="1116"/>
      <c r="CG31" s="1116"/>
      <c r="CH31" s="1116"/>
      <c r="CI31" s="1116"/>
      <c r="CJ31" s="1116"/>
      <c r="CK31" s="1116"/>
      <c r="CL31" s="1116"/>
      <c r="CM31" s="1116"/>
      <c r="CN31" s="1116"/>
      <c r="CO31" s="1116"/>
      <c r="CP31" s="1116"/>
      <c r="CQ31" s="1116"/>
      <c r="CR31" s="1116"/>
      <c r="CS31" s="1116"/>
      <c r="CT31" s="1116"/>
      <c r="CU31" s="1116"/>
      <c r="CV31" s="1116"/>
      <c r="CW31" s="1116"/>
    </row>
    <row r="32" spans="1:101" s="170" customFormat="1" ht="15" customHeight="1" x14ac:dyDescent="0.2">
      <c r="A32" s="6244">
        <v>29101726</v>
      </c>
      <c r="B32" s="7908"/>
      <c r="C32" s="3382" t="s">
        <v>3034</v>
      </c>
      <c r="D32" s="150" t="s">
        <v>5292</v>
      </c>
      <c r="E32" s="3766" t="s">
        <v>5293</v>
      </c>
      <c r="F32" s="3766" t="s">
        <v>5294</v>
      </c>
      <c r="G32" s="3766" t="s">
        <v>5295</v>
      </c>
      <c r="CB32" s="1116"/>
      <c r="CC32" s="1116"/>
      <c r="CD32" s="1116"/>
      <c r="CE32" s="1116"/>
      <c r="CF32" s="1116"/>
      <c r="CG32" s="1116"/>
      <c r="CH32" s="1116"/>
      <c r="CI32" s="1116"/>
      <c r="CJ32" s="1116"/>
      <c r="CK32" s="1116"/>
      <c r="CL32" s="1116"/>
      <c r="CM32" s="1116"/>
      <c r="CN32" s="1116"/>
      <c r="CO32" s="1116"/>
      <c r="CP32" s="1116"/>
      <c r="CQ32" s="1116"/>
      <c r="CR32" s="1116"/>
      <c r="CS32" s="1116"/>
      <c r="CT32" s="1116"/>
      <c r="CU32" s="1116"/>
      <c r="CV32" s="1116"/>
      <c r="CW32" s="1116"/>
    </row>
    <row r="33" spans="1:101" s="170" customFormat="1" ht="15" customHeight="1" x14ac:dyDescent="0.2">
      <c r="A33" s="6244">
        <v>29101727</v>
      </c>
      <c r="B33" s="7913" t="s">
        <v>3035</v>
      </c>
      <c r="C33" s="7914"/>
      <c r="D33" s="3769" t="s">
        <v>5292</v>
      </c>
      <c r="E33" s="3761" t="s">
        <v>5293</v>
      </c>
      <c r="F33" s="3761" t="s">
        <v>5294</v>
      </c>
      <c r="G33" s="3761" t="s">
        <v>5295</v>
      </c>
      <c r="CB33" s="1116"/>
      <c r="CC33" s="1116"/>
      <c r="CD33" s="1116"/>
      <c r="CE33" s="1116"/>
      <c r="CF33" s="1116"/>
      <c r="CG33" s="1116"/>
      <c r="CH33" s="1116"/>
      <c r="CI33" s="1116"/>
      <c r="CJ33" s="1116"/>
      <c r="CK33" s="1116"/>
      <c r="CL33" s="1116"/>
      <c r="CM33" s="1116"/>
      <c r="CN33" s="1116"/>
      <c r="CO33" s="1116"/>
      <c r="CP33" s="1116"/>
      <c r="CQ33" s="1116"/>
      <c r="CR33" s="1116"/>
      <c r="CS33" s="1116"/>
      <c r="CT33" s="1116"/>
      <c r="CU33" s="1116"/>
      <c r="CV33" s="1116"/>
      <c r="CW33" s="1116"/>
    </row>
    <row r="34" spans="1:101" s="170" customFormat="1" ht="15" customHeight="1" x14ac:dyDescent="0.2">
      <c r="A34" s="6244">
        <v>29101728</v>
      </c>
      <c r="B34" s="6367" t="s">
        <v>3036</v>
      </c>
      <c r="C34" s="3770" t="s">
        <v>3037</v>
      </c>
      <c r="D34" s="1692" t="s">
        <v>5292</v>
      </c>
      <c r="E34" s="3764" t="s">
        <v>5293</v>
      </c>
      <c r="F34" s="3764" t="s">
        <v>5294</v>
      </c>
      <c r="G34" s="3764" t="s">
        <v>5295</v>
      </c>
      <c r="CB34" s="1116"/>
      <c r="CC34" s="1116"/>
      <c r="CD34" s="1116"/>
      <c r="CE34" s="1116"/>
      <c r="CF34" s="1116"/>
      <c r="CG34" s="1116"/>
      <c r="CH34" s="1116"/>
      <c r="CI34" s="1116"/>
      <c r="CJ34" s="1116"/>
      <c r="CK34" s="1116"/>
      <c r="CL34" s="1116"/>
      <c r="CM34" s="1116"/>
      <c r="CN34" s="1116"/>
      <c r="CO34" s="1116"/>
      <c r="CP34" s="1116"/>
      <c r="CQ34" s="1116"/>
      <c r="CR34" s="1116"/>
      <c r="CS34" s="1116"/>
      <c r="CT34" s="1116"/>
      <c r="CU34" s="1116"/>
      <c r="CV34" s="1116"/>
      <c r="CW34" s="1116"/>
    </row>
    <row r="35" spans="1:101" s="170" customFormat="1" ht="15" customHeight="1" x14ac:dyDescent="0.2">
      <c r="A35" s="6244">
        <v>29101729</v>
      </c>
      <c r="B35" s="7908"/>
      <c r="C35" s="3765" t="s">
        <v>3038</v>
      </c>
      <c r="D35" s="150" t="s">
        <v>5292</v>
      </c>
      <c r="E35" s="3766" t="s">
        <v>5293</v>
      </c>
      <c r="F35" s="3766" t="s">
        <v>5294</v>
      </c>
      <c r="G35" s="3766" t="s">
        <v>5295</v>
      </c>
      <c r="CB35" s="1116"/>
      <c r="CC35" s="1116"/>
      <c r="CD35" s="1116"/>
      <c r="CE35" s="1116"/>
      <c r="CF35" s="1116"/>
      <c r="CG35" s="1116"/>
      <c r="CH35" s="1116"/>
      <c r="CI35" s="1116"/>
      <c r="CJ35" s="1116"/>
      <c r="CK35" s="1116"/>
      <c r="CL35" s="1116"/>
      <c r="CM35" s="1116"/>
      <c r="CN35" s="1116"/>
      <c r="CO35" s="1116"/>
      <c r="CP35" s="1116"/>
      <c r="CQ35" s="1116"/>
      <c r="CR35" s="1116"/>
      <c r="CS35" s="1116"/>
      <c r="CT35" s="1116"/>
      <c r="CU35" s="1116"/>
      <c r="CV35" s="1116"/>
      <c r="CW35" s="1116"/>
    </row>
    <row r="36" spans="1:101" s="1386" customFormat="1" ht="15" customHeight="1" x14ac:dyDescent="0.2">
      <c r="B36" s="1844" t="s">
        <v>3039</v>
      </c>
      <c r="CB36" s="1116"/>
      <c r="CC36" s="1116"/>
      <c r="CD36" s="1116"/>
      <c r="CE36" s="1116"/>
      <c r="CF36" s="1116"/>
      <c r="CG36" s="1116"/>
      <c r="CH36" s="1116"/>
      <c r="CI36" s="1116"/>
      <c r="CJ36" s="1116"/>
      <c r="CK36" s="1116"/>
      <c r="CL36" s="1116"/>
      <c r="CM36" s="1116"/>
      <c r="CN36" s="1116"/>
      <c r="CO36" s="1116"/>
      <c r="CP36" s="1116"/>
      <c r="CQ36" s="1116"/>
      <c r="CR36" s="1116"/>
      <c r="CS36" s="1116"/>
      <c r="CT36" s="1116"/>
      <c r="CU36" s="1116"/>
      <c r="CV36" s="1116"/>
      <c r="CW36" s="1116"/>
    </row>
    <row r="37" spans="1:101" s="1116" customFormat="1" ht="18" customHeight="1" x14ac:dyDescent="0.2">
      <c r="B37" s="778" t="s">
        <v>3040</v>
      </c>
      <c r="C37" s="3771"/>
      <c r="D37" s="3772"/>
      <c r="E37" s="3773"/>
    </row>
    <row r="38" spans="1:101" x14ac:dyDescent="0.3">
      <c r="B38" s="7915" t="s">
        <v>3041</v>
      </c>
      <c r="C38" s="7916"/>
      <c r="D38" s="3774" t="s">
        <v>3042</v>
      </c>
      <c r="E38" s="3774" t="s">
        <v>221</v>
      </c>
    </row>
    <row r="39" spans="1:101" ht="15" customHeight="1" x14ac:dyDescent="0.3">
      <c r="A39" s="6244">
        <v>29101730</v>
      </c>
      <c r="B39" s="7909" t="s">
        <v>3043</v>
      </c>
      <c r="C39" s="7910"/>
      <c r="D39" s="3775" t="s">
        <v>5292</v>
      </c>
      <c r="E39" s="3775" t="s">
        <v>5293</v>
      </c>
    </row>
    <row r="40" spans="1:101" ht="15" customHeight="1" x14ac:dyDescent="0.3">
      <c r="A40" s="6244">
        <v>29101731</v>
      </c>
      <c r="B40" s="7911" t="s">
        <v>3044</v>
      </c>
      <c r="C40" s="3776" t="s">
        <v>3045</v>
      </c>
      <c r="D40" s="587" t="s">
        <v>5292</v>
      </c>
      <c r="E40" s="587" t="s">
        <v>5293</v>
      </c>
    </row>
    <row r="41" spans="1:101" ht="15" customHeight="1" x14ac:dyDescent="0.3">
      <c r="A41" s="6244">
        <v>29101732</v>
      </c>
      <c r="B41" s="7912"/>
      <c r="C41" s="892" t="s">
        <v>3046</v>
      </c>
      <c r="D41" s="3035" t="s">
        <v>5292</v>
      </c>
      <c r="E41" s="3035" t="s">
        <v>5293</v>
      </c>
    </row>
    <row r="42" spans="1:101" ht="24.9" customHeight="1" x14ac:dyDescent="0.3">
      <c r="A42" s="6244">
        <v>29101733</v>
      </c>
      <c r="B42" s="7909" t="s">
        <v>3047</v>
      </c>
      <c r="C42" s="7910"/>
      <c r="D42" s="3775" t="s">
        <v>5292</v>
      </c>
      <c r="E42" s="3775" t="s">
        <v>5293</v>
      </c>
    </row>
    <row r="43" spans="1:101" ht="24.9" customHeight="1" x14ac:dyDescent="0.3">
      <c r="A43" s="6244">
        <v>29101734</v>
      </c>
      <c r="B43" s="7909" t="s">
        <v>3048</v>
      </c>
      <c r="C43" s="7910"/>
      <c r="D43" s="3778" t="s">
        <v>5292</v>
      </c>
      <c r="E43" s="2924" t="s">
        <v>5293</v>
      </c>
    </row>
    <row r="44" spans="1:101" ht="15" customHeight="1" x14ac:dyDescent="0.3">
      <c r="A44" s="6244">
        <v>29101735</v>
      </c>
      <c r="B44" s="7911" t="s">
        <v>3049</v>
      </c>
      <c r="C44" s="3779" t="s">
        <v>3050</v>
      </c>
      <c r="D44" s="587" t="s">
        <v>5292</v>
      </c>
      <c r="E44" s="587" t="s">
        <v>5293</v>
      </c>
    </row>
    <row r="45" spans="1:101" x14ac:dyDescent="0.3">
      <c r="A45" s="6244">
        <v>29101736</v>
      </c>
      <c r="B45" s="7912"/>
      <c r="C45" s="3777" t="s">
        <v>3051</v>
      </c>
      <c r="D45" s="153" t="s">
        <v>5292</v>
      </c>
      <c r="E45" s="3035" t="s">
        <v>5293</v>
      </c>
    </row>
    <row r="46" spans="1:101" ht="24.9" customHeight="1" x14ac:dyDescent="0.3">
      <c r="A46" s="6244">
        <v>29101737</v>
      </c>
      <c r="B46" s="7909" t="s">
        <v>3052</v>
      </c>
      <c r="C46" s="7910"/>
      <c r="D46" s="3775" t="s">
        <v>5292</v>
      </c>
      <c r="E46" s="3775" t="s">
        <v>5293</v>
      </c>
    </row>
    <row r="47" spans="1:101" ht="15" customHeight="1" x14ac:dyDescent="0.3">
      <c r="A47" s="6244">
        <v>29101738</v>
      </c>
      <c r="B47" s="7909" t="s">
        <v>3053</v>
      </c>
      <c r="C47" s="7910"/>
      <c r="D47" s="3775" t="s">
        <v>5292</v>
      </c>
      <c r="E47" s="3775" t="s">
        <v>5293</v>
      </c>
    </row>
    <row r="48" spans="1:101" ht="24.9" customHeight="1" x14ac:dyDescent="0.3">
      <c r="A48" s="6244">
        <v>29101739</v>
      </c>
      <c r="B48" s="7909" t="s">
        <v>3054</v>
      </c>
      <c r="C48" s="7910"/>
      <c r="D48" s="3775" t="s">
        <v>5292</v>
      </c>
      <c r="E48" s="3775" t="s">
        <v>5293</v>
      </c>
    </row>
    <row r="49" spans="1:5" ht="24.9" customHeight="1" x14ac:dyDescent="0.3">
      <c r="A49" s="6244">
        <v>29101740</v>
      </c>
      <c r="B49" s="7909" t="s">
        <v>3055</v>
      </c>
      <c r="C49" s="7910"/>
      <c r="D49" s="3775" t="s">
        <v>5292</v>
      </c>
      <c r="E49" s="3775" t="s">
        <v>5293</v>
      </c>
    </row>
    <row r="50" spans="1:5" ht="24.75" customHeight="1" x14ac:dyDescent="0.3">
      <c r="A50" s="6244">
        <v>29101741</v>
      </c>
      <c r="B50" s="7919" t="s">
        <v>3056</v>
      </c>
      <c r="C50" s="7920"/>
      <c r="D50" s="5606" t="s">
        <v>5292</v>
      </c>
      <c r="E50" s="5606" t="s">
        <v>5293</v>
      </c>
    </row>
    <row r="51" spans="1:5" ht="15" customHeight="1" x14ac:dyDescent="0.3">
      <c r="A51" s="6244">
        <v>29101742</v>
      </c>
      <c r="B51" s="7921" t="s">
        <v>3057</v>
      </c>
      <c r="C51" s="7921"/>
      <c r="D51" s="3778" t="s">
        <v>5292</v>
      </c>
      <c r="E51" s="2924" t="s">
        <v>5293</v>
      </c>
    </row>
    <row r="52" spans="1:5" s="1116" customFormat="1" ht="18" customHeight="1" x14ac:dyDescent="0.2">
      <c r="B52" s="778" t="s">
        <v>3058</v>
      </c>
      <c r="C52" s="3771"/>
      <c r="D52" s="3772"/>
      <c r="E52" s="3773"/>
    </row>
    <row r="53" spans="1:5" ht="24.9" customHeight="1" x14ac:dyDescent="0.3">
      <c r="B53" s="7915" t="s">
        <v>3059</v>
      </c>
      <c r="C53" s="7916"/>
      <c r="D53" s="3774" t="s">
        <v>3060</v>
      </c>
      <c r="E53" s="3734" t="s">
        <v>3018</v>
      </c>
    </row>
    <row r="54" spans="1:5" ht="15" customHeight="1" x14ac:dyDescent="0.3">
      <c r="A54" s="6244">
        <v>29101743</v>
      </c>
      <c r="B54" s="7900" t="s">
        <v>3061</v>
      </c>
      <c r="C54" s="3780" t="s">
        <v>3062</v>
      </c>
      <c r="D54" s="148" t="s">
        <v>5292</v>
      </c>
      <c r="E54" s="148" t="s">
        <v>5293</v>
      </c>
    </row>
    <row r="55" spans="1:5" ht="15" customHeight="1" x14ac:dyDescent="0.3">
      <c r="A55" s="6244">
        <v>29101744</v>
      </c>
      <c r="B55" s="7922"/>
      <c r="C55" s="4416" t="s">
        <v>3063</v>
      </c>
      <c r="D55" s="148" t="s">
        <v>5292</v>
      </c>
      <c r="E55" s="148" t="s">
        <v>5293</v>
      </c>
    </row>
    <row r="56" spans="1:5" ht="15" customHeight="1" x14ac:dyDescent="0.3">
      <c r="A56" s="6244">
        <v>29101745</v>
      </c>
      <c r="B56" s="7922"/>
      <c r="C56" s="4416" t="s">
        <v>3064</v>
      </c>
      <c r="D56" s="148" t="s">
        <v>5292</v>
      </c>
      <c r="E56" s="148" t="s">
        <v>5293</v>
      </c>
    </row>
    <row r="57" spans="1:5" ht="15" customHeight="1" x14ac:dyDescent="0.3">
      <c r="A57" s="6244">
        <v>29101746</v>
      </c>
      <c r="B57" s="7922"/>
      <c r="C57" s="4416" t="s">
        <v>3065</v>
      </c>
      <c r="D57" s="148" t="s">
        <v>5292</v>
      </c>
      <c r="E57" s="148" t="s">
        <v>5293</v>
      </c>
    </row>
    <row r="58" spans="1:5" x14ac:dyDescent="0.3">
      <c r="A58" s="6244">
        <v>29101747</v>
      </c>
      <c r="B58" s="7901"/>
      <c r="C58" s="4417" t="s">
        <v>3066</v>
      </c>
      <c r="D58" s="3778" t="s">
        <v>5292</v>
      </c>
      <c r="E58" s="3778" t="s">
        <v>5293</v>
      </c>
    </row>
    <row r="59" spans="1:5" ht="15" customHeight="1" x14ac:dyDescent="0.3">
      <c r="A59" s="6244">
        <v>29101748</v>
      </c>
      <c r="B59" s="7902" t="s">
        <v>3067</v>
      </c>
      <c r="C59" s="7903"/>
      <c r="D59" s="148" t="s">
        <v>5292</v>
      </c>
      <c r="E59" s="148" t="s">
        <v>5293</v>
      </c>
    </row>
    <row r="60" spans="1:5" ht="15" customHeight="1" x14ac:dyDescent="0.3">
      <c r="A60" s="6244">
        <v>29101749</v>
      </c>
      <c r="B60" s="6614" t="s">
        <v>346</v>
      </c>
      <c r="C60" s="7154"/>
      <c r="D60" s="148" t="s">
        <v>5292</v>
      </c>
      <c r="E60" s="148" t="s">
        <v>5293</v>
      </c>
    </row>
    <row r="61" spans="1:5" ht="15" customHeight="1" x14ac:dyDescent="0.3">
      <c r="A61" s="6244">
        <v>29101750</v>
      </c>
      <c r="B61" s="6614" t="s">
        <v>3068</v>
      </c>
      <c r="C61" s="7154"/>
      <c r="D61" s="148" t="s">
        <v>5292</v>
      </c>
      <c r="E61" s="148" t="s">
        <v>5293</v>
      </c>
    </row>
    <row r="62" spans="1:5" ht="15" customHeight="1" x14ac:dyDescent="0.3">
      <c r="A62" s="6244">
        <v>29101751</v>
      </c>
      <c r="B62" s="7917" t="s">
        <v>194</v>
      </c>
      <c r="C62" s="7918"/>
      <c r="D62" s="153" t="s">
        <v>5292</v>
      </c>
      <c r="E62" s="153" t="s">
        <v>5293</v>
      </c>
    </row>
    <row r="63" spans="1:5" ht="15" customHeight="1" x14ac:dyDescent="0.3">
      <c r="A63" s="6244">
        <v>29101752</v>
      </c>
      <c r="B63" s="7234" t="s">
        <v>3069</v>
      </c>
      <c r="C63" s="7235"/>
      <c r="D63" s="784" t="s">
        <v>5292</v>
      </c>
      <c r="E63" s="784" t="s">
        <v>5293</v>
      </c>
    </row>
    <row r="64" spans="1:5" ht="15" customHeight="1" x14ac:dyDescent="0.3">
      <c r="A64" s="6244">
        <v>29101753</v>
      </c>
      <c r="B64" s="6614" t="s">
        <v>3070</v>
      </c>
      <c r="C64" s="7154"/>
      <c r="D64" s="148" t="s">
        <v>5292</v>
      </c>
      <c r="E64" s="148" t="s">
        <v>5293</v>
      </c>
    </row>
    <row r="65" spans="1:103" ht="15" customHeight="1" x14ac:dyDescent="0.3">
      <c r="A65" s="6244">
        <v>29101754</v>
      </c>
      <c r="B65" s="7157" t="s">
        <v>3071</v>
      </c>
      <c r="C65" s="7904"/>
      <c r="D65" s="153" t="s">
        <v>5292</v>
      </c>
      <c r="E65" s="153" t="s">
        <v>5293</v>
      </c>
    </row>
    <row r="66" spans="1:103" s="1116" customFormat="1" ht="18" customHeight="1" x14ac:dyDescent="0.2">
      <c r="B66" s="3771" t="s">
        <v>3072</v>
      </c>
      <c r="C66" s="3755"/>
      <c r="D66" s="3756"/>
      <c r="E66" s="3756"/>
      <c r="F66" s="3757"/>
      <c r="G66" s="3756"/>
      <c r="H66" s="3756"/>
      <c r="I66" s="3756"/>
      <c r="J66" s="3756"/>
      <c r="K66" s="3757"/>
      <c r="L66" s="3756"/>
      <c r="M66" s="3756"/>
      <c r="N66" s="124"/>
      <c r="O66" s="101"/>
      <c r="P66" s="101"/>
      <c r="Q66" s="101"/>
      <c r="R66" s="101"/>
      <c r="S66" s="101"/>
      <c r="T66" s="101"/>
      <c r="U66" s="101"/>
    </row>
    <row r="67" spans="1:103" x14ac:dyDescent="0.3">
      <c r="B67" s="7933" t="s">
        <v>3073</v>
      </c>
      <c r="C67" s="6694" t="s">
        <v>12</v>
      </c>
      <c r="D67" s="6695"/>
      <c r="E67" s="6695"/>
      <c r="F67" s="6695"/>
      <c r="G67" s="6695"/>
      <c r="H67" s="6695"/>
      <c r="I67" s="6695"/>
      <c r="J67" s="6695"/>
      <c r="K67" s="6696"/>
      <c r="L67" s="7687" t="s">
        <v>3074</v>
      </c>
      <c r="M67" s="7687"/>
      <c r="N67" s="7688"/>
      <c r="O67" s="6699" t="s">
        <v>3075</v>
      </c>
      <c r="P67" s="7931"/>
      <c r="Q67" s="6342" t="s">
        <v>3076</v>
      </c>
      <c r="R67" s="6323" t="s">
        <v>2</v>
      </c>
      <c r="S67" s="6625" t="s">
        <v>3</v>
      </c>
      <c r="T67" s="6699" t="s">
        <v>48</v>
      </c>
      <c r="U67" s="7688" t="s">
        <v>48</v>
      </c>
    </row>
    <row r="68" spans="1:103" ht="40.799999999999997" x14ac:dyDescent="0.3">
      <c r="B68" s="7934"/>
      <c r="C68" s="2615" t="s">
        <v>3077</v>
      </c>
      <c r="D68" s="2726" t="s">
        <v>3732</v>
      </c>
      <c r="E68" s="2726" t="s">
        <v>5</v>
      </c>
      <c r="F68" s="2617" t="s">
        <v>6</v>
      </c>
      <c r="G68" s="2726" t="s">
        <v>7</v>
      </c>
      <c r="H68" s="2726" t="s">
        <v>8</v>
      </c>
      <c r="I68" s="2617" t="s">
        <v>9</v>
      </c>
      <c r="J68" s="2726" t="s">
        <v>10</v>
      </c>
      <c r="K68" s="2618" t="s">
        <v>3078</v>
      </c>
      <c r="L68" s="2617" t="s">
        <v>3079</v>
      </c>
      <c r="M68" s="2726" t="s">
        <v>3080</v>
      </c>
      <c r="N68" s="2731" t="s">
        <v>3081</v>
      </c>
      <c r="O68" s="3337" t="s">
        <v>3082</v>
      </c>
      <c r="P68" s="2727" t="s">
        <v>3083</v>
      </c>
      <c r="Q68" s="6460"/>
      <c r="R68" s="7932"/>
      <c r="S68" s="7923"/>
      <c r="T68" s="2615" t="s">
        <v>41</v>
      </c>
      <c r="U68" s="3725" t="s">
        <v>42</v>
      </c>
    </row>
    <row r="69" spans="1:103" x14ac:dyDescent="0.3">
      <c r="A69" s="6238"/>
      <c r="B69" s="4212" t="s">
        <v>24</v>
      </c>
      <c r="C69" s="3781">
        <f t="shared" ref="C69:M69" si="8">SUM(C70:C72)</f>
        <v>0</v>
      </c>
      <c r="D69" s="3782">
        <f t="shared" si="8"/>
        <v>0</v>
      </c>
      <c r="E69" s="3782">
        <f t="shared" si="8"/>
        <v>0</v>
      </c>
      <c r="F69" s="3782">
        <f t="shared" si="8"/>
        <v>0</v>
      </c>
      <c r="G69" s="3782">
        <f t="shared" si="8"/>
        <v>0</v>
      </c>
      <c r="H69" s="3782">
        <f t="shared" si="8"/>
        <v>0</v>
      </c>
      <c r="I69" s="3782">
        <f t="shared" si="8"/>
        <v>0</v>
      </c>
      <c r="J69" s="3782">
        <f t="shared" si="8"/>
        <v>0</v>
      </c>
      <c r="K69" s="3783">
        <f t="shared" si="8"/>
        <v>0</v>
      </c>
      <c r="L69" s="3784">
        <f t="shared" si="8"/>
        <v>0</v>
      </c>
      <c r="M69" s="3782">
        <f t="shared" si="8"/>
        <v>0</v>
      </c>
      <c r="N69" s="3785">
        <f>SUM(N70:N71)</f>
        <v>0</v>
      </c>
      <c r="O69" s="3786">
        <f>SUM(O70:O71)</f>
        <v>0</v>
      </c>
      <c r="P69" s="3783">
        <f>SUM(P70:P71)</f>
        <v>0</v>
      </c>
      <c r="Q69" s="3426">
        <f t="shared" ref="Q69:U69" si="9">SUM(Q70:Q72)</f>
        <v>0</v>
      </c>
      <c r="R69" s="3787">
        <f t="shared" si="9"/>
        <v>0</v>
      </c>
      <c r="S69" s="3788">
        <f t="shared" si="9"/>
        <v>0</v>
      </c>
      <c r="T69" s="3781">
        <f t="shared" si="9"/>
        <v>0</v>
      </c>
      <c r="U69" s="5985">
        <f t="shared" si="9"/>
        <v>0</v>
      </c>
    </row>
    <row r="70" spans="1:103" ht="15" customHeight="1" x14ac:dyDescent="0.3">
      <c r="A70" s="6234">
        <v>24200200</v>
      </c>
      <c r="B70" s="3762" t="s">
        <v>3084</v>
      </c>
      <c r="C70" s="3789" t="s">
        <v>5292</v>
      </c>
      <c r="D70" s="3260" t="s">
        <v>5293</v>
      </c>
      <c r="E70" s="320" t="s">
        <v>5294</v>
      </c>
      <c r="F70" s="3260" t="s">
        <v>5295</v>
      </c>
      <c r="G70" s="320" t="s">
        <v>5296</v>
      </c>
      <c r="H70" s="320" t="s">
        <v>5297</v>
      </c>
      <c r="I70" s="3260" t="s">
        <v>5298</v>
      </c>
      <c r="J70" s="320" t="s">
        <v>5299</v>
      </c>
      <c r="K70" s="3564" t="s">
        <v>5300</v>
      </c>
      <c r="L70" s="3260" t="s">
        <v>5301</v>
      </c>
      <c r="M70" s="320" t="s">
        <v>5302</v>
      </c>
      <c r="N70" s="3790" t="s">
        <v>5303</v>
      </c>
      <c r="O70" s="3789" t="s">
        <v>5304</v>
      </c>
      <c r="P70" s="3791" t="s">
        <v>5305</v>
      </c>
      <c r="Q70" s="3792" t="s">
        <v>5306</v>
      </c>
      <c r="R70" s="3793" t="s">
        <v>5307</v>
      </c>
      <c r="S70" s="3792" t="s">
        <v>5308</v>
      </c>
      <c r="T70" s="3789" t="s">
        <v>5309</v>
      </c>
      <c r="U70" s="5986" t="s">
        <v>5310</v>
      </c>
      <c r="V70" s="3559" t="str">
        <f>$CB70&amp;CC70&amp;CD70&amp;CE70&amp;CF70</f>
        <v xml:space="preserve"> * La variable Beneficiarias no puede ser mayor al total. * La variable Pueblos originarios no puede ser mayor al total. * La variable Migrantes no puede ser mayor al total. * La variable Trans Masculino no puede ser mayor al Total por rango etario.</v>
      </c>
      <c r="CB70" s="3146" t="str">
        <f>IF(AND(SUM(C70:K70)&gt;0,Q70="")," * No olvide digitar la variable Beneficiarias. Digite cero si tiene.",IF(Q70&gt;SUM(C70:K70)," * La variable Beneficiarias no puede ser mayor al total.",""))</f>
        <v xml:space="preserve"> * La variable Beneficiarias no puede ser mayor al total.</v>
      </c>
      <c r="CC70" s="3146" t="str">
        <f>IF(AND(SUM(C70:K70)&gt;0,R70="")," * No olvide digitar la variable Pueblos originarios. Digite cero si tiene.",IF(R70&gt;SUM(C70:K70)," * La variable Pueblos originarios no puede ser mayor al total.",""))</f>
        <v xml:space="preserve"> * La variable Pueblos originarios no puede ser mayor al total.</v>
      </c>
      <c r="CD70" s="3146" t="str">
        <f>IF(AND(SUM(C70:K70)&gt;0,S70="")," * No olvide digitar la variable  Migrantes. Digite cero si tiene.",IF(S70&gt;SUM(C70:K70)," * La variable Migrantes no puede ser mayor al total.",""))</f>
        <v xml:space="preserve"> * La variable Migrantes no puede ser mayor al total.</v>
      </c>
      <c r="CE70" s="3146" t="str">
        <f>IF(AND(SUM(C70:K70)&gt;0,OR(T70=""))," * No olvide digitar la variable Trans Masculino . Digite Cero si no tiene.",IF(T70&gt;SUM(C70:K70)," * La variable Trans Masculino no puede ser mayor al Total por rango etario.",""))</f>
        <v xml:space="preserve"> * La variable Trans Masculino no puede ser mayor al Total por rango etario.</v>
      </c>
      <c r="CF70" s="600"/>
      <c r="CG70" s="600"/>
      <c r="CH70" s="600"/>
      <c r="CI70" s="600"/>
      <c r="CJ70" s="600"/>
      <c r="CK70" s="163"/>
      <c r="CL70" s="163"/>
      <c r="CM70" s="1725">
        <f>IF(AND(SUM(C70:K70)&gt;0,Q70=""),1,IF(Q70&gt;SUM(C70:K70),1,0))</f>
        <v>1</v>
      </c>
      <c r="CN70" s="1725">
        <f>IF(AND(SUM(C70:K70)&gt;0,R70=""),1,IF(R70&gt;SUM(C70:K70),1,0))</f>
        <v>1</v>
      </c>
      <c r="CO70" s="1725">
        <f>IF(AND(SUM(C70:K70)&gt;0,S70=""),1,IF(S70&gt;SUM(C70:K70),1,0))</f>
        <v>1</v>
      </c>
      <c r="CP70" s="1725">
        <f>IF(AND(SUM(C70:K70)&gt;0,OR(T70="")),1,IF(T70&gt;SUM(C70:K70),1,0))</f>
        <v>1</v>
      </c>
      <c r="CQ70"/>
      <c r="CX70" s="1116"/>
      <c r="CY70" s="1116"/>
    </row>
    <row r="71" spans="1:103" ht="15" customHeight="1" x14ac:dyDescent="0.3">
      <c r="A71" s="6234">
        <v>24200201</v>
      </c>
      <c r="B71" s="3184" t="s">
        <v>3085</v>
      </c>
      <c r="C71" s="106" t="s">
        <v>5292</v>
      </c>
      <c r="D71" s="588" t="s">
        <v>5293</v>
      </c>
      <c r="E71" s="1069" t="s">
        <v>5294</v>
      </c>
      <c r="F71" s="588" t="s">
        <v>5295</v>
      </c>
      <c r="G71" s="1069" t="s">
        <v>5296</v>
      </c>
      <c r="H71" s="1069" t="s">
        <v>5297</v>
      </c>
      <c r="I71" s="588" t="s">
        <v>5298</v>
      </c>
      <c r="J71" s="1069" t="s">
        <v>5299</v>
      </c>
      <c r="K71" s="767" t="s">
        <v>5300</v>
      </c>
      <c r="L71" s="916" t="s">
        <v>5301</v>
      </c>
      <c r="M71" s="1069" t="s">
        <v>5302</v>
      </c>
      <c r="N71" s="587" t="s">
        <v>5303</v>
      </c>
      <c r="O71" s="106" t="s">
        <v>5304</v>
      </c>
      <c r="P71" s="772" t="s">
        <v>5305</v>
      </c>
      <c r="Q71" s="105" t="s">
        <v>5306</v>
      </c>
      <c r="R71" s="148" t="s">
        <v>5307</v>
      </c>
      <c r="S71" s="105" t="s">
        <v>5308</v>
      </c>
      <c r="T71" s="106" t="s">
        <v>5309</v>
      </c>
      <c r="U71" s="5987" t="s">
        <v>5310</v>
      </c>
      <c r="V71" s="3559" t="str">
        <f t="shared" ref="V71:V72" si="10">$CB71&amp;CC71&amp;CD71&amp;CE71&amp;CF71</f>
        <v xml:space="preserve"> * La variable Beneficiarias no puede ser mayor al total. * La variable Pueblos originarios no puede ser mayor al total. * La variable Migrantes no puede ser mayor al total. * La variable Trans Masculino no puede ser mayor al Total por rango etario.</v>
      </c>
      <c r="CB71" s="3146" t="str">
        <f t="shared" ref="CB71:CB72" si="11">IF(AND(SUM(C71:K71)&gt;0,Q71="")," * No olvide digitar la variable Beneficiarias. Digite cero si tiene.",IF(Q71&gt;SUM(C71:K71)," * La variable Beneficiarias no puede ser mayor al total.",""))</f>
        <v xml:space="preserve"> * La variable Beneficiarias no puede ser mayor al total.</v>
      </c>
      <c r="CC71" s="3146" t="str">
        <f t="shared" ref="CC71:CC72" si="12">IF(AND(SUM(C71:K71)&gt;0,R71="")," * No olvide digitar la variable Pueblos originarios. Digite cero si tiene.",IF(R71&gt;SUM(C71:K71)," * La variable Pueblos originarios no puede ser mayor al total.",""))</f>
        <v xml:space="preserve"> * La variable Pueblos originarios no puede ser mayor al total.</v>
      </c>
      <c r="CD71" s="3146" t="str">
        <f t="shared" ref="CD71:CD72" si="13">IF(AND(SUM(C71:K71)&gt;0,S71="")," * No olvide digitar la variable  Migrantes. Digite cero si tiene.",IF(S71&gt;SUM(C71:K71)," * La variable Migrantes no puede ser mayor al total.",""))</f>
        <v xml:space="preserve"> * La variable Migrantes no puede ser mayor al total.</v>
      </c>
      <c r="CE71" s="3146" t="str">
        <f t="shared" ref="CE71:CE72" si="14">IF(AND(SUM(C71:K71)&gt;0,OR(T71=""))," * No olvide digitar la variable Trans Masculino . Digite Cero si no tiene.",IF(T71&gt;SUM(C71:K71)," * La variable Trans Masculino no puede ser mayor al Total por rango etario.",""))</f>
        <v xml:space="preserve"> * La variable Trans Masculino no puede ser mayor al Total por rango etario.</v>
      </c>
      <c r="CF71" s="600"/>
      <c r="CG71" s="600"/>
      <c r="CH71" s="600"/>
      <c r="CI71" s="600"/>
      <c r="CJ71" s="600"/>
      <c r="CK71" s="163"/>
      <c r="CL71" s="163"/>
      <c r="CM71" s="1725">
        <f t="shared" ref="CM71:CM72" si="15">IF(AND(SUM(C71:K71)&gt;0,Q71=""),1,IF(Q71&gt;SUM(C71:K71),1,0))</f>
        <v>1</v>
      </c>
      <c r="CN71" s="1725">
        <f t="shared" ref="CN71:CN72" si="16">IF(AND(SUM(C71:K71)&gt;0,R71=""),1,IF(R71&gt;SUM(C71:K71),1,0))</f>
        <v>1</v>
      </c>
      <c r="CO71" s="1725">
        <f t="shared" ref="CO71:CO72" si="17">IF(AND(SUM(C71:K71)&gt;0,S71=""),1,IF(S71&gt;SUM(C71:K71),1,0))</f>
        <v>1</v>
      </c>
      <c r="CP71" s="1725">
        <f t="shared" ref="CP71:CP72" si="18">IF(AND(SUM(C71:K71)&gt;0,OR(T71="")),1,IF(T71&gt;SUM(C71:K71),1,0))</f>
        <v>1</v>
      </c>
      <c r="CQ71"/>
    </row>
    <row r="72" spans="1:103" ht="15" customHeight="1" x14ac:dyDescent="0.3">
      <c r="A72" s="6234">
        <v>24200202</v>
      </c>
      <c r="B72" s="593" t="s">
        <v>3086</v>
      </c>
      <c r="C72" s="3794" t="s">
        <v>5292</v>
      </c>
      <c r="D72" s="2815" t="s">
        <v>5293</v>
      </c>
      <c r="E72" s="2411" t="s">
        <v>5294</v>
      </c>
      <c r="F72" s="2815" t="s">
        <v>5295</v>
      </c>
      <c r="G72" s="2411" t="s">
        <v>5296</v>
      </c>
      <c r="H72" s="2411" t="s">
        <v>5297</v>
      </c>
      <c r="I72" s="2815" t="s">
        <v>5298</v>
      </c>
      <c r="J72" s="2411" t="s">
        <v>5299</v>
      </c>
      <c r="K72" s="3031" t="s">
        <v>5300</v>
      </c>
      <c r="L72" s="3754" t="s">
        <v>5301</v>
      </c>
      <c r="M72" s="3020" t="s">
        <v>5302</v>
      </c>
      <c r="N72" s="3795" t="s">
        <v>5303</v>
      </c>
      <c r="O72" s="3796" t="s">
        <v>5304</v>
      </c>
      <c r="P72" s="3797" t="s">
        <v>5305</v>
      </c>
      <c r="Q72" s="2800" t="s">
        <v>5306</v>
      </c>
      <c r="R72" s="153" t="s">
        <v>5307</v>
      </c>
      <c r="S72" s="2800" t="s">
        <v>5308</v>
      </c>
      <c r="T72" s="3023" t="s">
        <v>5309</v>
      </c>
      <c r="U72" s="5982" t="s">
        <v>5310</v>
      </c>
      <c r="V72" s="3559" t="str">
        <f t="shared" si="10"/>
        <v xml:space="preserve"> * La variable Beneficiarias no puede ser mayor al total. * La variable Pueblos originarios no puede ser mayor al total. * La variable Migrantes no puede ser mayor al total. * La variable Trans Masculino no puede ser mayor al Total por rango etario.</v>
      </c>
      <c r="CB72" s="3146" t="str">
        <f t="shared" si="11"/>
        <v xml:space="preserve"> * La variable Beneficiarias no puede ser mayor al total.</v>
      </c>
      <c r="CC72" s="3146" t="str">
        <f t="shared" si="12"/>
        <v xml:space="preserve"> * La variable Pueblos originarios no puede ser mayor al total.</v>
      </c>
      <c r="CD72" s="3146" t="str">
        <f t="shared" si="13"/>
        <v xml:space="preserve"> * La variable Migrantes no puede ser mayor al total.</v>
      </c>
      <c r="CE72" s="3146" t="str">
        <f t="shared" si="14"/>
        <v xml:space="preserve"> * La variable Trans Masculino no puede ser mayor al Total por rango etario.</v>
      </c>
      <c r="CF72" s="600"/>
      <c r="CG72" s="600"/>
      <c r="CH72" s="600"/>
      <c r="CI72" s="600"/>
      <c r="CJ72" s="600"/>
      <c r="CK72" s="163"/>
      <c r="CL72" s="163"/>
      <c r="CM72" s="1725">
        <f t="shared" si="15"/>
        <v>1</v>
      </c>
      <c r="CN72" s="1725">
        <f t="shared" si="16"/>
        <v>1</v>
      </c>
      <c r="CO72" s="1725">
        <f t="shared" si="17"/>
        <v>1</v>
      </c>
      <c r="CP72" s="1725">
        <f t="shared" si="18"/>
        <v>1</v>
      </c>
      <c r="CQ72"/>
    </row>
    <row r="73" spans="1:103" s="1116" customFormat="1" ht="18" customHeight="1" x14ac:dyDescent="0.2">
      <c r="B73" s="778" t="s">
        <v>3087</v>
      </c>
      <c r="C73" s="3771"/>
      <c r="D73" s="140"/>
      <c r="E73" s="140"/>
      <c r="F73" s="140"/>
      <c r="G73" s="3798"/>
      <c r="H73" s="3799"/>
      <c r="I73" s="140"/>
      <c r="J73" s="3800"/>
    </row>
    <row r="74" spans="1:103" ht="15" customHeight="1" x14ac:dyDescent="0.3">
      <c r="B74" s="7924" t="s">
        <v>3088</v>
      </c>
      <c r="C74" s="7925"/>
      <c r="D74" s="7928" t="s">
        <v>2382</v>
      </c>
      <c r="E74" s="7928" t="s">
        <v>3089</v>
      </c>
      <c r="F74" s="7928" t="s">
        <v>1113</v>
      </c>
      <c r="G74" s="7928" t="s">
        <v>3090</v>
      </c>
      <c r="H74" s="7930" t="s">
        <v>12</v>
      </c>
      <c r="I74" s="7876"/>
      <c r="J74" s="7875"/>
    </row>
    <row r="75" spans="1:103" ht="15" customHeight="1" x14ac:dyDescent="0.3">
      <c r="B75" s="7926"/>
      <c r="C75" s="7927"/>
      <c r="D75" s="7929"/>
      <c r="E75" s="7929"/>
      <c r="F75" s="7929"/>
      <c r="G75" s="7929"/>
      <c r="H75" s="3224" t="s">
        <v>2993</v>
      </c>
      <c r="I75" s="3774" t="s">
        <v>568</v>
      </c>
      <c r="J75" s="3774" t="s">
        <v>131</v>
      </c>
    </row>
    <row r="76" spans="1:103" ht="15" customHeight="1" x14ac:dyDescent="0.3">
      <c r="A76" s="6234">
        <v>29101755</v>
      </c>
      <c r="B76" s="7902" t="s">
        <v>3091</v>
      </c>
      <c r="C76" s="7903"/>
      <c r="D76" s="3801" t="s">
        <v>5292</v>
      </c>
      <c r="E76" s="3802" t="s">
        <v>5293</v>
      </c>
      <c r="F76" s="3789" t="s">
        <v>5294</v>
      </c>
      <c r="G76" s="3789" t="s">
        <v>5295</v>
      </c>
      <c r="H76" s="3789" t="s">
        <v>5296</v>
      </c>
      <c r="I76" s="3789" t="s">
        <v>5297</v>
      </c>
      <c r="J76" s="3793" t="s">
        <v>5298</v>
      </c>
    </row>
    <row r="77" spans="1:103" ht="15" customHeight="1" x14ac:dyDescent="0.3">
      <c r="A77" s="6234">
        <v>29101756</v>
      </c>
      <c r="B77" s="7942" t="s">
        <v>3092</v>
      </c>
      <c r="C77" s="6604"/>
      <c r="D77" s="3370" t="s">
        <v>5292</v>
      </c>
      <c r="E77" s="3470" t="s">
        <v>5293</v>
      </c>
      <c r="F77" s="3794" t="s">
        <v>5294</v>
      </c>
      <c r="G77" s="3794" t="s">
        <v>5295</v>
      </c>
      <c r="H77" s="3794" t="s">
        <v>5296</v>
      </c>
      <c r="I77" s="3794" t="s">
        <v>5297</v>
      </c>
      <c r="J77" s="3778" t="s">
        <v>5298</v>
      </c>
    </row>
    <row r="78" spans="1:103" ht="15" customHeight="1" x14ac:dyDescent="0.3">
      <c r="A78" s="6234">
        <v>29101757</v>
      </c>
      <c r="B78" s="7943" t="s">
        <v>1114</v>
      </c>
      <c r="C78" s="3750" t="s">
        <v>1115</v>
      </c>
      <c r="D78" s="113" t="s">
        <v>5292</v>
      </c>
      <c r="E78" s="3803" t="s">
        <v>5293</v>
      </c>
      <c r="F78" s="106" t="s">
        <v>5294</v>
      </c>
      <c r="G78" s="106" t="s">
        <v>5295</v>
      </c>
      <c r="H78" s="106" t="s">
        <v>5296</v>
      </c>
      <c r="I78" s="106" t="s">
        <v>5297</v>
      </c>
      <c r="J78" s="148" t="s">
        <v>5298</v>
      </c>
    </row>
    <row r="79" spans="1:103" ht="15" customHeight="1" x14ac:dyDescent="0.3">
      <c r="A79" s="6234">
        <v>29101758</v>
      </c>
      <c r="B79" s="7944"/>
      <c r="C79" s="3780" t="s">
        <v>1116</v>
      </c>
      <c r="D79" s="3240" t="s">
        <v>5292</v>
      </c>
      <c r="E79" s="3469" t="s">
        <v>5293</v>
      </c>
      <c r="F79" s="616" t="s">
        <v>5294</v>
      </c>
      <c r="G79" s="616" t="s">
        <v>5295</v>
      </c>
      <c r="H79" s="616" t="s">
        <v>5296</v>
      </c>
      <c r="I79" s="616" t="s">
        <v>5297</v>
      </c>
      <c r="J79" s="3145" t="s">
        <v>5298</v>
      </c>
    </row>
    <row r="80" spans="1:103" ht="15" customHeight="1" x14ac:dyDescent="0.3">
      <c r="A80" s="6234">
        <v>29101759</v>
      </c>
      <c r="B80" s="7944"/>
      <c r="C80" s="3804" t="s">
        <v>1117</v>
      </c>
      <c r="D80" s="3240" t="s">
        <v>5292</v>
      </c>
      <c r="E80" s="3469" t="s">
        <v>5293</v>
      </c>
      <c r="F80" s="616" t="s">
        <v>5294</v>
      </c>
      <c r="G80" s="616" t="s">
        <v>5295</v>
      </c>
      <c r="H80" s="616" t="s">
        <v>5296</v>
      </c>
      <c r="I80" s="616" t="s">
        <v>5297</v>
      </c>
      <c r="J80" s="3145" t="s">
        <v>5298</v>
      </c>
    </row>
    <row r="81" spans="1:91" ht="15" customHeight="1" x14ac:dyDescent="0.3">
      <c r="A81" s="6234">
        <v>29101760</v>
      </c>
      <c r="B81" s="7944"/>
      <c r="C81" s="3805" t="s">
        <v>1118</v>
      </c>
      <c r="D81" s="3240" t="s">
        <v>5292</v>
      </c>
      <c r="E81" s="3469" t="s">
        <v>5293</v>
      </c>
      <c r="F81" s="616" t="s">
        <v>5294</v>
      </c>
      <c r="G81" s="616" t="s">
        <v>5295</v>
      </c>
      <c r="H81" s="616" t="s">
        <v>5296</v>
      </c>
      <c r="I81" s="616" t="s">
        <v>5297</v>
      </c>
      <c r="J81" s="3145" t="s">
        <v>5298</v>
      </c>
    </row>
    <row r="82" spans="1:91" ht="20.399999999999999" x14ac:dyDescent="0.3">
      <c r="A82" s="6234">
        <v>29101761</v>
      </c>
      <c r="B82" s="7944"/>
      <c r="C82" s="3005" t="s">
        <v>1119</v>
      </c>
      <c r="D82" s="3240" t="s">
        <v>5292</v>
      </c>
      <c r="E82" s="3469" t="s">
        <v>5293</v>
      </c>
      <c r="F82" s="616" t="s">
        <v>5294</v>
      </c>
      <c r="G82" s="616" t="s">
        <v>5295</v>
      </c>
      <c r="H82" s="616" t="s">
        <v>5296</v>
      </c>
      <c r="I82" s="616" t="s">
        <v>5297</v>
      </c>
      <c r="J82" s="3145" t="s">
        <v>5298</v>
      </c>
    </row>
    <row r="83" spans="1:91" ht="20.399999999999999" x14ac:dyDescent="0.3">
      <c r="A83" s="6234">
        <v>29101762</v>
      </c>
      <c r="B83" s="7944"/>
      <c r="C83" s="3005" t="s">
        <v>1120</v>
      </c>
      <c r="D83" s="3240" t="s">
        <v>5292</v>
      </c>
      <c r="E83" s="3469" t="s">
        <v>5293</v>
      </c>
      <c r="F83" s="616" t="s">
        <v>5294</v>
      </c>
      <c r="G83" s="616" t="s">
        <v>5295</v>
      </c>
      <c r="H83" s="616" t="s">
        <v>5296</v>
      </c>
      <c r="I83" s="616" t="s">
        <v>5297</v>
      </c>
      <c r="J83" s="3145" t="s">
        <v>5298</v>
      </c>
    </row>
    <row r="84" spans="1:91" ht="15" customHeight="1" x14ac:dyDescent="0.3">
      <c r="A84" s="6234">
        <v>29101763</v>
      </c>
      <c r="B84" s="7921"/>
      <c r="C84" s="584" t="s">
        <v>3093</v>
      </c>
      <c r="D84" s="118" t="s">
        <v>5292</v>
      </c>
      <c r="E84" s="3470" t="s">
        <v>5293</v>
      </c>
      <c r="F84" s="3023" t="s">
        <v>5294</v>
      </c>
      <c r="G84" s="3023" t="s">
        <v>5295</v>
      </c>
      <c r="H84" s="3023" t="s">
        <v>5296</v>
      </c>
      <c r="I84" s="3023" t="s">
        <v>5297</v>
      </c>
      <c r="J84" s="153" t="s">
        <v>5298</v>
      </c>
    </row>
    <row r="85" spans="1:91" ht="15" customHeight="1" x14ac:dyDescent="0.3">
      <c r="A85" s="6234">
        <v>29101764</v>
      </c>
      <c r="B85" s="7942" t="s">
        <v>3094</v>
      </c>
      <c r="C85" s="6604"/>
      <c r="D85" s="3370" t="s">
        <v>5292</v>
      </c>
      <c r="E85" s="3806" t="s">
        <v>5293</v>
      </c>
      <c r="F85" s="3794" t="s">
        <v>5294</v>
      </c>
      <c r="G85" s="3794" t="s">
        <v>5295</v>
      </c>
      <c r="H85" s="3794" t="s">
        <v>5296</v>
      </c>
      <c r="I85" s="3794" t="s">
        <v>5297</v>
      </c>
      <c r="J85" s="3778" t="s">
        <v>5298</v>
      </c>
    </row>
    <row r="86" spans="1:91" ht="15" customHeight="1" x14ac:dyDescent="0.3">
      <c r="A86" s="6234">
        <v>29101765</v>
      </c>
      <c r="B86" s="7935" t="s">
        <v>3095</v>
      </c>
      <c r="C86" s="7936"/>
      <c r="D86" s="106" t="s">
        <v>5292</v>
      </c>
      <c r="E86" s="106" t="s">
        <v>5293</v>
      </c>
      <c r="F86" s="106" t="s">
        <v>5294</v>
      </c>
      <c r="G86" s="106" t="s">
        <v>5295</v>
      </c>
      <c r="H86" s="106" t="s">
        <v>5296</v>
      </c>
      <c r="I86" s="106" t="s">
        <v>5297</v>
      </c>
      <c r="J86" s="148" t="s">
        <v>5298</v>
      </c>
    </row>
    <row r="87" spans="1:91" ht="15" customHeight="1" x14ac:dyDescent="0.3">
      <c r="A87" s="6234">
        <v>29101766</v>
      </c>
      <c r="B87" s="7935" t="s">
        <v>3096</v>
      </c>
      <c r="C87" s="7936"/>
      <c r="D87" s="3807" t="s">
        <v>5292</v>
      </c>
      <c r="E87" s="3808" t="s">
        <v>5293</v>
      </c>
      <c r="F87" s="3807" t="s">
        <v>5294</v>
      </c>
      <c r="G87" s="3807" t="s">
        <v>5295</v>
      </c>
      <c r="H87" s="3807" t="s">
        <v>5296</v>
      </c>
      <c r="I87" s="3807" t="s">
        <v>5297</v>
      </c>
      <c r="J87" s="3809" t="s">
        <v>5298</v>
      </c>
    </row>
    <row r="88" spans="1:91" ht="15" customHeight="1" x14ac:dyDescent="0.3">
      <c r="A88" s="6238"/>
      <c r="B88" s="7935" t="s">
        <v>3097</v>
      </c>
      <c r="C88" s="7936"/>
      <c r="D88" s="3810">
        <f>SUM(D76:D87)</f>
        <v>0</v>
      </c>
      <c r="E88" s="3810">
        <f>SUM(E86)</f>
        <v>0</v>
      </c>
      <c r="F88" s="3810">
        <f t="shared" ref="F88:J88" si="19">SUM(F76:F87)</f>
        <v>0</v>
      </c>
      <c r="G88" s="3810">
        <f t="shared" si="19"/>
        <v>0</v>
      </c>
      <c r="H88" s="3810">
        <f t="shared" si="19"/>
        <v>0</v>
      </c>
      <c r="I88" s="3810">
        <f t="shared" si="19"/>
        <v>0</v>
      </c>
      <c r="J88" s="3811">
        <f t="shared" si="19"/>
        <v>0</v>
      </c>
    </row>
    <row r="89" spans="1:91" s="1116" customFormat="1" ht="18" customHeight="1" x14ac:dyDescent="0.2">
      <c r="B89" s="7937" t="s">
        <v>3098</v>
      </c>
      <c r="C89" s="6623"/>
      <c r="D89" s="6623"/>
      <c r="E89" s="6623"/>
      <c r="F89" s="6623"/>
      <c r="G89" s="6623"/>
      <c r="H89" s="6623"/>
      <c r="I89" s="3812"/>
      <c r="J89" s="3812"/>
      <c r="K89" s="3812"/>
      <c r="L89" s="3812"/>
      <c r="M89" s="210"/>
    </row>
    <row r="90" spans="1:91" s="1116" customFormat="1" ht="18" customHeight="1" x14ac:dyDescent="0.2">
      <c r="B90" s="7938" t="s">
        <v>3099</v>
      </c>
      <c r="C90" s="7939"/>
      <c r="D90" s="7939"/>
      <c r="E90" s="7939"/>
      <c r="F90" s="7939"/>
      <c r="G90" s="7939"/>
      <c r="H90" s="7939"/>
      <c r="I90" s="101"/>
      <c r="J90" s="101"/>
      <c r="K90" s="101"/>
      <c r="L90" s="101"/>
      <c r="M90" s="101"/>
    </row>
    <row r="91" spans="1:91" x14ac:dyDescent="0.3">
      <c r="B91" s="6340" t="s">
        <v>112</v>
      </c>
      <c r="C91" s="6342"/>
      <c r="D91" s="6337" t="s">
        <v>24</v>
      </c>
      <c r="E91" s="6699" t="s">
        <v>3100</v>
      </c>
      <c r="F91" s="7687"/>
      <c r="G91" s="7687"/>
      <c r="H91" s="7687"/>
      <c r="I91" s="7687"/>
      <c r="J91" s="7687"/>
      <c r="K91" s="7687"/>
      <c r="L91" s="7931"/>
      <c r="M91" s="6342" t="s">
        <v>3101</v>
      </c>
    </row>
    <row r="92" spans="1:91" ht="20.399999999999999" x14ac:dyDescent="0.3">
      <c r="B92" s="7940"/>
      <c r="C92" s="6460"/>
      <c r="D92" s="7941"/>
      <c r="E92" s="2615" t="s">
        <v>3102</v>
      </c>
      <c r="F92" s="2615" t="s">
        <v>3103</v>
      </c>
      <c r="G92" s="2726" t="s">
        <v>3104</v>
      </c>
      <c r="H92" s="2726" t="s">
        <v>3105</v>
      </c>
      <c r="I92" s="2726" t="s">
        <v>3106</v>
      </c>
      <c r="J92" s="2726" t="s">
        <v>3107</v>
      </c>
      <c r="K92" s="2726" t="s">
        <v>3108</v>
      </c>
      <c r="L92" s="2727" t="s">
        <v>3109</v>
      </c>
      <c r="M92" s="6460"/>
    </row>
    <row r="93" spans="1:91" ht="15" customHeight="1" x14ac:dyDescent="0.3">
      <c r="A93" s="6244" t="s">
        <v>5213</v>
      </c>
      <c r="B93" s="7952" t="s">
        <v>3110</v>
      </c>
      <c r="C93" s="7953"/>
      <c r="D93" s="3744" t="s">
        <v>5292</v>
      </c>
      <c r="E93" s="3807" t="s">
        <v>5293</v>
      </c>
      <c r="F93" s="3807" t="s">
        <v>5294</v>
      </c>
      <c r="G93" s="3814" t="s">
        <v>5295</v>
      </c>
      <c r="H93" s="3814" t="s">
        <v>5296</v>
      </c>
      <c r="I93" s="3814" t="s">
        <v>5297</v>
      </c>
      <c r="J93" s="3814" t="s">
        <v>5298</v>
      </c>
      <c r="K93" s="3814" t="s">
        <v>5299</v>
      </c>
      <c r="L93" s="3815" t="s">
        <v>5300</v>
      </c>
      <c r="M93" s="3816" t="s">
        <v>5301</v>
      </c>
      <c r="N93" s="3197" t="str">
        <f>CB93</f>
        <v xml:space="preserve">* El Número de Anomalía Congenita no puede superar el Total. </v>
      </c>
      <c r="O93" s="3817"/>
      <c r="P93" s="3197"/>
      <c r="Q93" s="102"/>
      <c r="R93" s="102"/>
      <c r="S93" s="102"/>
      <c r="T93" s="103"/>
      <c r="U93" s="103"/>
      <c r="V93" s="103"/>
      <c r="W93" s="775"/>
      <c r="X93" s="775"/>
      <c r="Y93" s="775"/>
      <c r="Z93" s="775"/>
      <c r="AA93" s="775"/>
      <c r="AB93" s="775"/>
      <c r="AC93" s="775"/>
      <c r="AD93" s="775"/>
      <c r="AE93" s="775"/>
      <c r="AF93" s="775"/>
      <c r="AG93" s="775"/>
      <c r="AH93" s="775"/>
      <c r="AI93" s="775"/>
      <c r="AJ93" s="775"/>
      <c r="AK93" s="775"/>
      <c r="AL93" s="775"/>
      <c r="AM93" s="775"/>
      <c r="AN93" s="775"/>
      <c r="AO93" s="775"/>
      <c r="AP93" s="775"/>
      <c r="AQ93" s="775"/>
      <c r="AR93" s="775"/>
      <c r="AS93" s="775"/>
      <c r="AT93" s="775"/>
      <c r="AU93" s="775"/>
      <c r="AV93" s="775"/>
      <c r="AW93" s="775"/>
      <c r="AX93" s="775"/>
      <c r="AY93" s="775"/>
      <c r="AZ93" s="775"/>
      <c r="BA93" s="775"/>
      <c r="BB93" s="775"/>
      <c r="BC93" s="775"/>
      <c r="BD93" s="775"/>
      <c r="BE93" s="775"/>
      <c r="BF93" s="775"/>
      <c r="BG93" s="775"/>
      <c r="BH93" s="775"/>
      <c r="BI93" s="775"/>
      <c r="BJ93" s="775"/>
      <c r="BK93" s="775"/>
      <c r="BL93" s="775"/>
      <c r="BM93" s="775"/>
      <c r="BN93" s="775"/>
      <c r="BO93" s="775"/>
      <c r="BP93" s="775"/>
      <c r="BQ93" s="775"/>
      <c r="BR93" s="775"/>
      <c r="BS93" s="775"/>
      <c r="BT93" s="775"/>
      <c r="BU93" s="775"/>
      <c r="BV93" s="775"/>
      <c r="BW93" s="775"/>
      <c r="BX93" s="775"/>
      <c r="BY93" s="775"/>
      <c r="BZ93" s="775"/>
      <c r="CA93" s="420"/>
      <c r="CB93" s="2784" t="str">
        <f>IF(AND($D93&lt;&gt;0,M93=""),"* No olvide ingresar la variable  "&amp;M$91&amp;""&amp;" . Si no tiene digite CERO.  ",IF(M93&gt;$D93,"* El Número de Anomalía Congenita no puede superar el Total. ",""))</f>
        <v xml:space="preserve">* El Número de Anomalía Congenita no puede superar el Total. </v>
      </c>
      <c r="CM93" s="1725">
        <f>IF(AND($D93&lt;&gt;0,M93=""),1,IF(M93&gt;$D93,1,0))</f>
        <v>1</v>
      </c>
    </row>
    <row r="94" spans="1:91" s="1116" customFormat="1" ht="18" customHeight="1" x14ac:dyDescent="0.25">
      <c r="A94" s="103"/>
      <c r="B94" s="562" t="s">
        <v>3111</v>
      </c>
      <c r="C94" s="562"/>
      <c r="D94" s="101"/>
      <c r="E94" s="101"/>
      <c r="F94" s="101"/>
      <c r="G94" s="101"/>
      <c r="H94" s="1392"/>
      <c r="I94" s="101"/>
      <c r="J94" s="101"/>
      <c r="K94" s="101"/>
      <c r="L94" s="101"/>
      <c r="M94" s="793"/>
      <c r="N94" s="101"/>
    </row>
    <row r="95" spans="1:91" x14ac:dyDescent="0.3">
      <c r="A95" s="103"/>
      <c r="B95" s="7954" t="s">
        <v>112</v>
      </c>
      <c r="C95" s="7954"/>
      <c r="D95" s="7955" t="s">
        <v>3112</v>
      </c>
      <c r="E95" s="7956"/>
      <c r="F95" s="6699" t="s">
        <v>3113</v>
      </c>
      <c r="G95" s="7687"/>
      <c r="H95" s="7687"/>
      <c r="I95" s="7688"/>
      <c r="J95" s="7957" t="s">
        <v>3114</v>
      </c>
      <c r="K95" s="7957"/>
      <c r="L95" s="6404" t="s">
        <v>3115</v>
      </c>
      <c r="M95" s="6404" t="s">
        <v>3116</v>
      </c>
      <c r="N95" s="6323" t="s">
        <v>3117</v>
      </c>
    </row>
    <row r="96" spans="1:91" ht="30.6" x14ac:dyDescent="0.3">
      <c r="A96" s="103"/>
      <c r="B96" s="7954"/>
      <c r="C96" s="7954"/>
      <c r="D96" s="3759" t="s">
        <v>3118</v>
      </c>
      <c r="E96" s="3759" t="s">
        <v>3119</v>
      </c>
      <c r="F96" s="3759" t="s">
        <v>3120</v>
      </c>
      <c r="G96" s="3759" t="s">
        <v>3121</v>
      </c>
      <c r="H96" s="3759" t="s">
        <v>3122</v>
      </c>
      <c r="I96" s="3759" t="s">
        <v>3123</v>
      </c>
      <c r="J96" s="1393" t="s">
        <v>3124</v>
      </c>
      <c r="K96" s="3725" t="s">
        <v>3125</v>
      </c>
      <c r="L96" s="7958"/>
      <c r="M96" s="7958"/>
      <c r="N96" s="7945"/>
    </row>
    <row r="97" spans="1:96" ht="15" customHeight="1" x14ac:dyDescent="0.3">
      <c r="A97" s="6244">
        <v>29101767</v>
      </c>
      <c r="B97" s="7946" t="s">
        <v>3110</v>
      </c>
      <c r="C97" s="7947"/>
      <c r="D97" s="3819" t="s">
        <v>5292</v>
      </c>
      <c r="E97" s="3819" t="s">
        <v>5293</v>
      </c>
      <c r="F97" s="3819" t="s">
        <v>5294</v>
      </c>
      <c r="G97" s="3819" t="s">
        <v>5295</v>
      </c>
      <c r="H97" s="3819" t="s">
        <v>5296</v>
      </c>
      <c r="I97" s="3819" t="s">
        <v>5297</v>
      </c>
      <c r="J97" s="3820" t="s">
        <v>5298</v>
      </c>
      <c r="K97" s="3819" t="s">
        <v>5299</v>
      </c>
      <c r="L97" s="3819" t="s">
        <v>5300</v>
      </c>
      <c r="M97" s="3819" t="s">
        <v>5301</v>
      </c>
      <c r="N97" s="3819" t="s">
        <v>5302</v>
      </c>
    </row>
    <row r="98" spans="1:96" s="1116" customFormat="1" ht="18" customHeight="1" x14ac:dyDescent="0.2">
      <c r="B98" s="7948" t="s">
        <v>3126</v>
      </c>
      <c r="C98" s="7949"/>
      <c r="D98" s="7949"/>
      <c r="E98" s="7949"/>
      <c r="F98" s="7949"/>
      <c r="G98" s="7949"/>
      <c r="H98" s="7949"/>
      <c r="I98" s="101"/>
      <c r="J98" s="101"/>
      <c r="K98" s="101"/>
      <c r="L98" s="101"/>
      <c r="M98" s="101"/>
      <c r="N98" s="101"/>
      <c r="O98" s="101"/>
      <c r="P98" s="101"/>
    </row>
    <row r="99" spans="1:96" ht="15" customHeight="1" x14ac:dyDescent="0.3">
      <c r="B99" s="6323" t="s">
        <v>112</v>
      </c>
      <c r="C99" s="7097" t="s">
        <v>24</v>
      </c>
      <c r="D99" s="6699" t="s">
        <v>3100</v>
      </c>
      <c r="E99" s="7687"/>
      <c r="F99" s="7687"/>
      <c r="G99" s="7687"/>
      <c r="H99" s="7687"/>
      <c r="I99" s="7687"/>
      <c r="J99" s="7687"/>
      <c r="K99" s="7688"/>
      <c r="L99" s="6404" t="s">
        <v>3127</v>
      </c>
      <c r="M99" s="7930" t="s">
        <v>3128</v>
      </c>
      <c r="N99" s="7876"/>
      <c r="O99" s="7876"/>
      <c r="P99" s="7875"/>
    </row>
    <row r="100" spans="1:96" ht="40.799999999999997" x14ac:dyDescent="0.3">
      <c r="B100" s="7932"/>
      <c r="C100" s="7950"/>
      <c r="D100" s="2615" t="s">
        <v>3102</v>
      </c>
      <c r="E100" s="2617" t="s">
        <v>3103</v>
      </c>
      <c r="F100" s="2726" t="s">
        <v>3104</v>
      </c>
      <c r="G100" s="2726" t="s">
        <v>3105</v>
      </c>
      <c r="H100" s="2726" t="s">
        <v>3106</v>
      </c>
      <c r="I100" s="2726" t="s">
        <v>3107</v>
      </c>
      <c r="J100" s="2726" t="s">
        <v>3108</v>
      </c>
      <c r="K100" s="2731" t="s">
        <v>3109</v>
      </c>
      <c r="L100" s="7951"/>
      <c r="M100" s="3774" t="s">
        <v>3129</v>
      </c>
      <c r="N100" s="3733" t="s">
        <v>3130</v>
      </c>
      <c r="O100" s="3774" t="s">
        <v>3131</v>
      </c>
      <c r="P100" s="3734" t="s">
        <v>3132</v>
      </c>
    </row>
    <row r="101" spans="1:96" ht="15" customHeight="1" x14ac:dyDescent="0.3">
      <c r="A101" s="6234" t="s">
        <v>5214</v>
      </c>
      <c r="B101" s="3821" t="s">
        <v>3133</v>
      </c>
      <c r="C101" s="3822" t="s">
        <v>5292</v>
      </c>
      <c r="D101" s="106" t="s">
        <v>5293</v>
      </c>
      <c r="E101" s="1394" t="s">
        <v>5294</v>
      </c>
      <c r="F101" s="1394" t="s">
        <v>5295</v>
      </c>
      <c r="G101" s="1394" t="s">
        <v>5296</v>
      </c>
      <c r="H101" s="1394" t="s">
        <v>5297</v>
      </c>
      <c r="I101" s="1394" t="s">
        <v>5298</v>
      </c>
      <c r="J101" s="1394" t="s">
        <v>5299</v>
      </c>
      <c r="K101" s="873" t="s">
        <v>5300</v>
      </c>
      <c r="L101" s="587" t="s">
        <v>5301</v>
      </c>
      <c r="M101" s="587" t="s">
        <v>5302</v>
      </c>
      <c r="N101" s="587" t="s">
        <v>5303</v>
      </c>
      <c r="O101" s="587" t="s">
        <v>5304</v>
      </c>
      <c r="P101" s="587" t="s">
        <v>5305</v>
      </c>
    </row>
    <row r="102" spans="1:96" ht="15" customHeight="1" x14ac:dyDescent="0.3">
      <c r="A102" s="6234">
        <v>29101768</v>
      </c>
      <c r="B102" s="1395" t="s">
        <v>3134</v>
      </c>
      <c r="C102" s="324" t="s">
        <v>5292</v>
      </c>
      <c r="D102" s="3823" t="s">
        <v>5293</v>
      </c>
      <c r="E102" s="1069" t="s">
        <v>5294</v>
      </c>
      <c r="F102" s="1069" t="s">
        <v>5295</v>
      </c>
      <c r="G102" s="1069" t="s">
        <v>5296</v>
      </c>
      <c r="H102" s="1069" t="s">
        <v>5297</v>
      </c>
      <c r="I102" s="1069" t="s">
        <v>5298</v>
      </c>
      <c r="J102" s="1069" t="s">
        <v>5299</v>
      </c>
      <c r="K102" s="105" t="s">
        <v>5300</v>
      </c>
      <c r="L102" s="587" t="s">
        <v>5301</v>
      </c>
      <c r="M102" s="587" t="s">
        <v>5302</v>
      </c>
      <c r="N102" s="587" t="s">
        <v>5303</v>
      </c>
      <c r="O102" s="587" t="s">
        <v>5304</v>
      </c>
      <c r="P102" s="587" t="s">
        <v>5305</v>
      </c>
    </row>
    <row r="103" spans="1:96" ht="15" customHeight="1" x14ac:dyDescent="0.3">
      <c r="A103" s="6234">
        <v>29101769</v>
      </c>
      <c r="B103" s="3824" t="s">
        <v>3135</v>
      </c>
      <c r="C103" s="900" t="s">
        <v>5292</v>
      </c>
      <c r="D103" s="3796" t="s">
        <v>5293</v>
      </c>
      <c r="E103" s="3020" t="s">
        <v>5294</v>
      </c>
      <c r="F103" s="3020" t="s">
        <v>5295</v>
      </c>
      <c r="G103" s="3020" t="s">
        <v>5296</v>
      </c>
      <c r="H103" s="3020" t="s">
        <v>5297</v>
      </c>
      <c r="I103" s="3020" t="s">
        <v>5298</v>
      </c>
      <c r="J103" s="3020" t="s">
        <v>5299</v>
      </c>
      <c r="K103" s="2800" t="s">
        <v>5300</v>
      </c>
      <c r="L103" s="2800" t="s">
        <v>5301</v>
      </c>
      <c r="M103" s="2800" t="s">
        <v>5302</v>
      </c>
      <c r="N103" s="2800" t="s">
        <v>5303</v>
      </c>
      <c r="O103" s="2800" t="s">
        <v>5304</v>
      </c>
      <c r="P103" s="153" t="s">
        <v>5305</v>
      </c>
    </row>
    <row r="104" spans="1:96" s="1116" customFormat="1" ht="18" customHeight="1" x14ac:dyDescent="0.2">
      <c r="B104" s="123" t="s">
        <v>3136</v>
      </c>
      <c r="C104" s="101"/>
      <c r="D104" s="101"/>
      <c r="E104" s="101"/>
      <c r="F104" s="101"/>
    </row>
    <row r="105" spans="1:96" ht="20.399999999999999" x14ac:dyDescent="0.3">
      <c r="B105" s="3714" t="s">
        <v>3867</v>
      </c>
      <c r="C105" s="3825" t="s">
        <v>3137</v>
      </c>
      <c r="D105" s="3826" t="s">
        <v>226</v>
      </c>
      <c r="E105" s="3725" t="s">
        <v>546</v>
      </c>
      <c r="F105" s="3715" t="s">
        <v>3</v>
      </c>
    </row>
    <row r="106" spans="1:96" ht="15" customHeight="1" x14ac:dyDescent="0.3">
      <c r="A106" s="6240">
        <v>24200134</v>
      </c>
      <c r="B106" s="5402" t="s">
        <v>3143</v>
      </c>
      <c r="C106" s="5403" t="s">
        <v>5292</v>
      </c>
      <c r="D106" s="5404" t="s">
        <v>5293</v>
      </c>
      <c r="E106" s="5405" t="s">
        <v>5294</v>
      </c>
      <c r="F106" s="5405" t="s">
        <v>5295</v>
      </c>
      <c r="G106" s="3559" t="e">
        <f>CB106&amp;CC106&amp;CD106&amp;CE106&amp;CF106</f>
        <v>#VALUE!</v>
      </c>
      <c r="CB106" s="163"/>
      <c r="CC106" s="163"/>
      <c r="CD106" s="3830" t="e">
        <f>IF(AND(OR(C106&gt;0,D106&gt;0),E106="")," * No olvide digitar la variable Pueblos originarios. Digite cero si no tiene.",IF(E106&gt;(C106+D106)," * La variable pueblos originarios No puede ser mayor a los egresados en Maternidad y Neonatología..",""))</f>
        <v>#VALUE!</v>
      </c>
      <c r="CE106" s="3830" t="e">
        <f>IF(AND(OR(C106&gt;0,D106&gt;0),F106="")," * No olvide digitar la variable Migrantes. Digite cero si no tiene.",IF(F106&gt;(C106+D106)," * La variable Migrantes No puede ser mayor a los egresados en Maternidad y Neonatología.",""))</f>
        <v>#VALUE!</v>
      </c>
      <c r="CF106" s="3830"/>
      <c r="CG106" s="3830"/>
      <c r="CO106" s="3831" t="e">
        <f>IF(AND(OR(C106&gt;0,D106&gt;0),E106=""),1,IF(E106&gt;(C106+D106),1,0))</f>
        <v>#VALUE!</v>
      </c>
      <c r="CP106" s="3831" t="e">
        <f>IF(AND(OR(C106&gt;0,D106&gt;0),F106=""),1,IF(F106&gt;(C106+D106),1,0))</f>
        <v>#VALUE!</v>
      </c>
      <c r="CQ106" s="3831"/>
      <c r="CR106" s="3831"/>
    </row>
    <row r="107" spans="1:96" ht="23.25" customHeight="1" x14ac:dyDescent="0.3">
      <c r="A107" s="6240">
        <v>24300103</v>
      </c>
      <c r="B107" s="4426" t="s">
        <v>3139</v>
      </c>
      <c r="C107" s="3832" t="s">
        <v>5292</v>
      </c>
      <c r="D107" s="3833" t="s">
        <v>5293</v>
      </c>
      <c r="E107" s="3834" t="s">
        <v>5294</v>
      </c>
      <c r="F107" s="3834" t="s">
        <v>5295</v>
      </c>
      <c r="G107" s="3559" t="e">
        <f t="shared" ref="G107:G111" si="20">CB107&amp;CC107&amp;CD107&amp;CE107&amp;CF107</f>
        <v>#VALUE!</v>
      </c>
      <c r="CB107" s="3830" t="str">
        <f>IF(C107&gt;C111," * Los "&amp;B107&amp;" en Maternidad No pueden ser mayores que los "&amp;B111&amp;" en Maternidad.","")</f>
        <v/>
      </c>
      <c r="CC107" s="3830" t="str">
        <f>IF(D107&gt;D111," * Los "&amp;B107&amp;" en Neonatología No pueden ser mayores que los "&amp;B111&amp;" en Neonatología.","")</f>
        <v/>
      </c>
      <c r="CD107" s="3830" t="e">
        <f t="shared" ref="CD107:CD111" si="21">IF(AND(OR(C107&gt;0,D107&gt;0),E107="")," * No olvide digitar la variable Pueblos originarios. Digite cero si no tiene.",IF(E107&gt;(C107+D107)," * La variable pueblos originarios No puede ser mayor a los egresados en Maternidad y Neonatología..",""))</f>
        <v>#VALUE!</v>
      </c>
      <c r="CE107" s="3830" t="e">
        <f t="shared" ref="CE107:CE111" si="22">IF(AND(OR(C107&gt;0,D107&gt;0),F107="")," * No olvide digitar la variable Migrantes. Digite cero si no tiene.",IF(F107&gt;(C107+D107)," * La variable Migrantes No puede ser mayor a los egresados en Maternidad y Neonatología.",""))</f>
        <v>#VALUE!</v>
      </c>
      <c r="CF107" s="3830"/>
      <c r="CG107" s="3830"/>
      <c r="CM107" s="3831">
        <f>IF(C107&gt;C111,1,0)</f>
        <v>0</v>
      </c>
      <c r="CN107" s="3831">
        <f>IF(D107&gt;D111,1,0)</f>
        <v>0</v>
      </c>
      <c r="CO107" s="3831" t="e">
        <f t="shared" ref="CO107:CO111" si="23">IF(AND(OR(C107&gt;0,D107&gt;0),E107=""),1,IF(E107&gt;(C107+D107),1,0))</f>
        <v>#VALUE!</v>
      </c>
      <c r="CP107" s="3831" t="e">
        <f t="shared" ref="CP107:CP111" si="24">IF(AND(OR(C107&gt;0,D107&gt;0),F107=""),1,IF(F107&gt;(C107+D107),1,0))</f>
        <v>#VALUE!</v>
      </c>
      <c r="CQ107" s="3831"/>
      <c r="CR107" s="3831"/>
    </row>
    <row r="108" spans="1:96" ht="15" customHeight="1" x14ac:dyDescent="0.3">
      <c r="A108" s="6240">
        <v>29101770</v>
      </c>
      <c r="B108" s="3835" t="s">
        <v>3140</v>
      </c>
      <c r="C108" s="3836" t="s">
        <v>5292</v>
      </c>
      <c r="D108" s="3837" t="s">
        <v>5293</v>
      </c>
      <c r="E108" s="3838" t="s">
        <v>5294</v>
      </c>
      <c r="F108" s="3838" t="s">
        <v>5295</v>
      </c>
      <c r="G108" s="3559" t="e">
        <f t="shared" si="20"/>
        <v>#VALUE!</v>
      </c>
      <c r="CB108" s="163"/>
      <c r="CC108" s="163"/>
      <c r="CD108" s="3830" t="e">
        <f t="shared" si="21"/>
        <v>#VALUE!</v>
      </c>
      <c r="CE108" s="3830" t="e">
        <f t="shared" si="22"/>
        <v>#VALUE!</v>
      </c>
      <c r="CF108" s="3830"/>
      <c r="CG108" s="3830"/>
      <c r="CO108" s="3831" t="e">
        <f t="shared" si="23"/>
        <v>#VALUE!</v>
      </c>
      <c r="CP108" s="3831" t="e">
        <f t="shared" si="24"/>
        <v>#VALUE!</v>
      </c>
      <c r="CQ108" s="3831"/>
      <c r="CR108" s="3831"/>
    </row>
    <row r="109" spans="1:96" ht="15" customHeight="1" x14ac:dyDescent="0.3">
      <c r="A109" s="6240">
        <v>29101771</v>
      </c>
      <c r="B109" s="3835" t="s">
        <v>3141</v>
      </c>
      <c r="C109" s="3836" t="s">
        <v>5292</v>
      </c>
      <c r="D109" s="3837" t="s">
        <v>5293</v>
      </c>
      <c r="E109" s="3838" t="s">
        <v>5294</v>
      </c>
      <c r="F109" s="3838" t="s">
        <v>5295</v>
      </c>
      <c r="G109" s="3559" t="e">
        <f t="shared" si="20"/>
        <v>#VALUE!</v>
      </c>
      <c r="CB109" s="163"/>
      <c r="CC109" s="163"/>
      <c r="CD109" s="3830" t="e">
        <f t="shared" si="21"/>
        <v>#VALUE!</v>
      </c>
      <c r="CE109" s="3830" t="e">
        <f t="shared" si="22"/>
        <v>#VALUE!</v>
      </c>
      <c r="CF109" s="3830"/>
      <c r="CG109" s="3830"/>
      <c r="CO109" s="3831" t="e">
        <f t="shared" si="23"/>
        <v>#VALUE!</v>
      </c>
      <c r="CP109" s="3831" t="e">
        <f t="shared" si="24"/>
        <v>#VALUE!</v>
      </c>
      <c r="CQ109" s="3831"/>
      <c r="CR109" s="3831"/>
    </row>
    <row r="110" spans="1:96" ht="21.6" x14ac:dyDescent="0.3">
      <c r="A110" s="6240">
        <v>29101772</v>
      </c>
      <c r="B110" s="3835" t="s">
        <v>3142</v>
      </c>
      <c r="C110" s="3836" t="s">
        <v>5292</v>
      </c>
      <c r="D110" s="3837" t="s">
        <v>5293</v>
      </c>
      <c r="E110" s="3838" t="s">
        <v>5294</v>
      </c>
      <c r="F110" s="3838" t="s">
        <v>5295</v>
      </c>
      <c r="G110" s="3559" t="e">
        <f t="shared" si="20"/>
        <v>#VALUE!</v>
      </c>
      <c r="CB110" s="163"/>
      <c r="CC110" s="163"/>
      <c r="CD110" s="3830" t="e">
        <f t="shared" si="21"/>
        <v>#VALUE!</v>
      </c>
      <c r="CE110" s="3830" t="e">
        <f t="shared" si="22"/>
        <v>#VALUE!</v>
      </c>
      <c r="CF110" s="3830"/>
      <c r="CG110" s="3830"/>
      <c r="CO110" s="3831" t="e">
        <f t="shared" si="23"/>
        <v>#VALUE!</v>
      </c>
      <c r="CP110" s="3831" t="e">
        <f t="shared" si="24"/>
        <v>#VALUE!</v>
      </c>
      <c r="CQ110" s="3831"/>
      <c r="CR110" s="3831"/>
    </row>
    <row r="111" spans="1:96" ht="15" customHeight="1" x14ac:dyDescent="0.3">
      <c r="A111" s="6240">
        <v>24200100</v>
      </c>
      <c r="B111" s="3839" t="s">
        <v>3138</v>
      </c>
      <c r="C111" s="3840" t="s">
        <v>5292</v>
      </c>
      <c r="D111" s="3841" t="s">
        <v>5293</v>
      </c>
      <c r="E111" s="3842" t="s">
        <v>5294</v>
      </c>
      <c r="F111" s="3842" t="s">
        <v>5295</v>
      </c>
      <c r="G111" s="3559" t="e">
        <f t="shared" si="20"/>
        <v>#VALUE!</v>
      </c>
      <c r="CB111" s="3830" t="str">
        <f>IF(C111&gt;C106," * Los egresados con lactancia materna exclusiva no puede ser mayor que el Total de Egresos en Maternidad.","")</f>
        <v/>
      </c>
      <c r="CC111" s="3830" t="str">
        <f>IF(D111&gt;D106," * Los egresados con lactancia materna exclusiva no puede ser mayor que el Total de Egresos en Neonatología","")</f>
        <v/>
      </c>
      <c r="CD111" s="3830" t="e">
        <f t="shared" si="21"/>
        <v>#VALUE!</v>
      </c>
      <c r="CE111" s="3830" t="e">
        <f t="shared" si="22"/>
        <v>#VALUE!</v>
      </c>
      <c r="CF111" s="3830"/>
      <c r="CG111" s="3830"/>
      <c r="CM111" s="3831">
        <f>IF(C111&gt;C106,1,0)</f>
        <v>0</v>
      </c>
      <c r="CN111" s="3831">
        <f>IF(D111&gt;D106,1,0)</f>
        <v>0</v>
      </c>
      <c r="CO111" s="3831" t="e">
        <f t="shared" si="23"/>
        <v>#VALUE!</v>
      </c>
      <c r="CP111" s="3831" t="e">
        <f t="shared" si="24"/>
        <v>#VALUE!</v>
      </c>
      <c r="CQ111" s="3831"/>
      <c r="CR111" s="3831"/>
    </row>
    <row r="112" spans="1:96" ht="15" customHeight="1" x14ac:dyDescent="0.3">
      <c r="B112" s="7968" t="s">
        <v>3144</v>
      </c>
      <c r="C112" s="7968"/>
    </row>
    <row r="113" spans="1:92" s="1116" customFormat="1" ht="18" customHeight="1" x14ac:dyDescent="0.2">
      <c r="B113" s="210" t="s">
        <v>3145</v>
      </c>
      <c r="C113" s="210"/>
      <c r="D113" s="210"/>
    </row>
    <row r="114" spans="1:92" ht="15" customHeight="1" x14ac:dyDescent="0.3">
      <c r="B114" s="7969" t="s">
        <v>1121</v>
      </c>
      <c r="C114" s="7969"/>
      <c r="D114" s="3715" t="s">
        <v>24</v>
      </c>
    </row>
    <row r="115" spans="1:92" ht="31.8" x14ac:dyDescent="0.3">
      <c r="A115" s="6240">
        <v>29101773</v>
      </c>
      <c r="B115" s="7911" t="s">
        <v>3146</v>
      </c>
      <c r="C115" s="3843" t="s">
        <v>3147</v>
      </c>
      <c r="D115" s="3827" t="s">
        <v>5292</v>
      </c>
    </row>
    <row r="116" spans="1:92" ht="21.6" x14ac:dyDescent="0.3">
      <c r="A116" s="6240">
        <v>29101774</v>
      </c>
      <c r="B116" s="7970"/>
      <c r="C116" s="3844" t="s">
        <v>3148</v>
      </c>
      <c r="D116" s="3845" t="s">
        <v>5292</v>
      </c>
    </row>
    <row r="117" spans="1:92" ht="15" customHeight="1" x14ac:dyDescent="0.3">
      <c r="A117" s="6240">
        <v>29101775</v>
      </c>
      <c r="B117" s="7911" t="s">
        <v>3149</v>
      </c>
      <c r="C117" s="3846" t="s">
        <v>60</v>
      </c>
      <c r="D117" s="3793" t="s">
        <v>5292</v>
      </c>
    </row>
    <row r="118" spans="1:92" ht="15" customHeight="1" x14ac:dyDescent="0.3">
      <c r="A118" s="6240">
        <v>29101776</v>
      </c>
      <c r="B118" s="7971"/>
      <c r="C118" s="3847" t="s">
        <v>217</v>
      </c>
      <c r="D118" s="3145" t="s">
        <v>5292</v>
      </c>
    </row>
    <row r="119" spans="1:92" ht="15" customHeight="1" x14ac:dyDescent="0.3">
      <c r="A119" s="6240">
        <v>29101777</v>
      </c>
      <c r="B119" s="7971"/>
      <c r="C119" s="3847" t="s">
        <v>76</v>
      </c>
      <c r="D119" s="3145" t="s">
        <v>5292</v>
      </c>
    </row>
    <row r="120" spans="1:92" ht="15" customHeight="1" x14ac:dyDescent="0.3">
      <c r="A120" s="6240">
        <v>29101778</v>
      </c>
      <c r="B120" s="7970"/>
      <c r="C120" s="3848" t="s">
        <v>247</v>
      </c>
      <c r="D120" s="3849" t="s">
        <v>5292</v>
      </c>
    </row>
    <row r="121" spans="1:92" s="1116" customFormat="1" ht="18" customHeight="1" x14ac:dyDescent="0.2">
      <c r="B121" s="3850" t="s">
        <v>3150</v>
      </c>
      <c r="C121" s="3151"/>
      <c r="D121" s="3151"/>
      <c r="E121" s="123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1:92" x14ac:dyDescent="0.3">
      <c r="A122" s="6236"/>
      <c r="B122" s="6625" t="s">
        <v>23</v>
      </c>
      <c r="C122" s="6323" t="s">
        <v>24</v>
      </c>
      <c r="D122" s="7959" t="s">
        <v>12</v>
      </c>
      <c r="E122" s="7960"/>
      <c r="F122" s="7960"/>
      <c r="G122" s="7960"/>
      <c r="H122" s="7960"/>
      <c r="I122" s="7960"/>
      <c r="J122" s="7960"/>
      <c r="K122" s="7960"/>
      <c r="L122" s="7961"/>
      <c r="M122" s="7962" t="s">
        <v>2</v>
      </c>
      <c r="N122" s="7647" t="s">
        <v>3</v>
      </c>
    </row>
    <row r="123" spans="1:92" x14ac:dyDescent="0.3">
      <c r="A123" s="6236"/>
      <c r="B123" s="6627"/>
      <c r="C123" s="6459"/>
      <c r="D123" s="3851" t="s">
        <v>38</v>
      </c>
      <c r="E123" s="3852" t="s">
        <v>4</v>
      </c>
      <c r="F123" s="3852" t="s">
        <v>5</v>
      </c>
      <c r="G123" s="3852" t="s">
        <v>6</v>
      </c>
      <c r="H123" s="3852" t="s">
        <v>7</v>
      </c>
      <c r="I123" s="3852" t="s">
        <v>8</v>
      </c>
      <c r="J123" s="3852" t="s">
        <v>9</v>
      </c>
      <c r="K123" s="3852" t="s">
        <v>10</v>
      </c>
      <c r="L123" s="3853" t="s">
        <v>11</v>
      </c>
      <c r="M123" s="7963"/>
      <c r="N123" s="7964"/>
    </row>
    <row r="124" spans="1:92" x14ac:dyDescent="0.3">
      <c r="A124" s="6240">
        <v>29101779</v>
      </c>
      <c r="B124" s="3854" t="s">
        <v>3151</v>
      </c>
      <c r="C124" s="3855" t="s">
        <v>5292</v>
      </c>
      <c r="D124" s="5672" t="s">
        <v>5293</v>
      </c>
      <c r="E124" s="1832" t="s">
        <v>5294</v>
      </c>
      <c r="F124" s="1832" t="s">
        <v>5295</v>
      </c>
      <c r="G124" s="1832" t="s">
        <v>5296</v>
      </c>
      <c r="H124" s="1832" t="s">
        <v>5297</v>
      </c>
      <c r="I124" s="1832" t="s">
        <v>5298</v>
      </c>
      <c r="J124" s="1832" t="s">
        <v>5299</v>
      </c>
      <c r="K124" s="1832" t="s">
        <v>5300</v>
      </c>
      <c r="L124" s="5673" t="s">
        <v>5301</v>
      </c>
      <c r="M124" s="5674" t="s">
        <v>5302</v>
      </c>
      <c r="N124" s="5675" t="s">
        <v>5303</v>
      </c>
    </row>
    <row r="125" spans="1:92" ht="20.399999999999999" x14ac:dyDescent="0.3">
      <c r="A125" s="6240">
        <v>29101780</v>
      </c>
      <c r="B125" s="584" t="s">
        <v>3152</v>
      </c>
      <c r="C125" s="3856" t="s">
        <v>5292</v>
      </c>
      <c r="D125" s="3857" t="s">
        <v>5293</v>
      </c>
      <c r="E125" s="2411" t="s">
        <v>5294</v>
      </c>
      <c r="F125" s="2411" t="s">
        <v>5295</v>
      </c>
      <c r="G125" s="2411" t="s">
        <v>5296</v>
      </c>
      <c r="H125" s="2411" t="s">
        <v>5297</v>
      </c>
      <c r="I125" s="2411" t="s">
        <v>5298</v>
      </c>
      <c r="J125" s="2411" t="s">
        <v>5299</v>
      </c>
      <c r="K125" s="2411" t="s">
        <v>5300</v>
      </c>
      <c r="L125" s="2923" t="s">
        <v>5301</v>
      </c>
      <c r="M125" s="3855" t="s">
        <v>5302</v>
      </c>
      <c r="N125" s="3845" t="s">
        <v>5303</v>
      </c>
      <c r="O125" s="3559" t="str">
        <f>$CB125&amp;CC125</f>
        <v xml:space="preserve">* La variable Pueblos Originarios no puede superar el Total. * La variable Migrantes no puede superar el Total. </v>
      </c>
      <c r="CB125" s="3830" t="str">
        <f>IF(AND($C125&lt;&gt;0,M125=""),"* No olvide ingresar la variable Pueblos Originarios. Si no tiene digite CERO.  ",IF(M125&gt;$C125,"* La variable Pueblos Originarios no puede superar el Total. ",""))</f>
        <v xml:space="preserve">* La variable Pueblos Originarios no puede superar el Total. </v>
      </c>
      <c r="CC125" s="3830" t="str">
        <f>IF(AND($C125&lt;&gt;0,N125=""),"* No olvide ingresar la variable Migrantes. Si no tiene digite CERO. ",IF(N125&gt;$C125,"* La variable Migrantes no puede superar el Total. ",""))</f>
        <v xml:space="preserve">* La variable Migrantes no puede superar el Total. </v>
      </c>
      <c r="CM125" s="3831">
        <f>IF(AND($C125&lt;&gt;0,M125=""),1,IF(M125&gt;$C125,1,0))</f>
        <v>1</v>
      </c>
      <c r="CN125" s="3831">
        <f>IF(AND($C125&lt;&gt;0,N125=""),1,IF(N125&gt;$C125,1,0))</f>
        <v>1</v>
      </c>
    </row>
    <row r="126" spans="1:92" s="1116" customFormat="1" ht="18" customHeight="1" x14ac:dyDescent="0.2">
      <c r="A126" s="6240"/>
      <c r="B126" s="210" t="s">
        <v>3153</v>
      </c>
      <c r="C126" s="210"/>
      <c r="D126" s="101"/>
      <c r="E126" s="101"/>
      <c r="F126" s="101"/>
      <c r="G126" s="101"/>
    </row>
    <row r="127" spans="1:92" s="1116" customFormat="1" ht="18" customHeight="1" x14ac:dyDescent="0.2">
      <c r="A127" s="6240"/>
      <c r="B127" s="210" t="s">
        <v>3154</v>
      </c>
      <c r="C127" s="210"/>
      <c r="D127" s="101"/>
      <c r="E127" s="101"/>
      <c r="F127" s="101"/>
      <c r="G127" s="101"/>
    </row>
    <row r="128" spans="1:92" ht="20.399999999999999" x14ac:dyDescent="0.3">
      <c r="A128" s="6240"/>
      <c r="B128" s="7965" t="s">
        <v>3155</v>
      </c>
      <c r="C128" s="7956" t="s">
        <v>3156</v>
      </c>
      <c r="D128" s="7967"/>
      <c r="E128" s="7967"/>
      <c r="F128" s="7967"/>
      <c r="G128" s="3759" t="s">
        <v>3157</v>
      </c>
    </row>
    <row r="129" spans="1:92" ht="20.399999999999999" x14ac:dyDescent="0.3">
      <c r="A129" s="6240"/>
      <c r="B129" s="7966"/>
      <c r="C129" s="2617" t="s">
        <v>3158</v>
      </c>
      <c r="D129" s="2726" t="s">
        <v>3159</v>
      </c>
      <c r="E129" s="2617" t="s">
        <v>3160</v>
      </c>
      <c r="F129" s="3725" t="s">
        <v>3161</v>
      </c>
      <c r="G129" s="3759" t="s">
        <v>3162</v>
      </c>
    </row>
    <row r="130" spans="1:92" x14ac:dyDescent="0.3">
      <c r="A130" s="6240">
        <v>29101781</v>
      </c>
      <c r="B130" s="4418" t="s">
        <v>3163</v>
      </c>
      <c r="C130" s="3858" t="s">
        <v>5292</v>
      </c>
      <c r="D130" s="3814" t="s">
        <v>5293</v>
      </c>
      <c r="E130" s="3858" t="s">
        <v>5294</v>
      </c>
      <c r="F130" s="3816" t="s">
        <v>5295</v>
      </c>
      <c r="G130" s="3775" t="s">
        <v>5296</v>
      </c>
    </row>
    <row r="131" spans="1:92" s="1116" customFormat="1" ht="18" customHeight="1" x14ac:dyDescent="0.2">
      <c r="B131" s="210" t="s">
        <v>3164</v>
      </c>
      <c r="C131" s="101"/>
      <c r="D131" s="101"/>
      <c r="E131" s="101"/>
      <c r="F131" s="101"/>
    </row>
    <row r="132" spans="1:92" ht="20.399999999999999" x14ac:dyDescent="0.3">
      <c r="B132" s="3714" t="s">
        <v>3165</v>
      </c>
      <c r="C132" s="3715" t="s">
        <v>3166</v>
      </c>
      <c r="D132" s="3715" t="s">
        <v>3167</v>
      </c>
      <c r="E132" s="3826" t="s">
        <v>445</v>
      </c>
      <c r="F132" s="3725" t="s">
        <v>2</v>
      </c>
    </row>
    <row r="133" spans="1:92" ht="15" customHeight="1" x14ac:dyDescent="0.3">
      <c r="A133" s="6240">
        <v>29101782</v>
      </c>
      <c r="B133" s="5166" t="s">
        <v>3168</v>
      </c>
      <c r="C133" s="5403" t="s">
        <v>5292</v>
      </c>
      <c r="D133" s="5403" t="s">
        <v>5293</v>
      </c>
      <c r="E133" s="5404" t="s">
        <v>5294</v>
      </c>
      <c r="F133" s="5405" t="s">
        <v>5295</v>
      </c>
      <c r="G133" s="3559" t="str">
        <f>$CB133</f>
        <v xml:space="preserve">* La variable Pueblos Originarios no puede superar el Total de Tamizaje. </v>
      </c>
      <c r="CB133" s="3830" t="str">
        <f>IF(AND($C133&lt;&gt;0,F133=""),"* No olvide ingresar la variable Pueblos Originarios. Si no tiene digite CERO. ",IF(F133&gt;$C133,"* La variable Pueblos Originarios no puede superar el Total de Tamizaje. ",""))</f>
        <v xml:space="preserve">* La variable Pueblos Originarios no puede superar el Total de Tamizaje. </v>
      </c>
      <c r="CC133" s="163"/>
      <c r="CM133" s="3831">
        <f>IF(AND($C133&lt;&gt;0,F133=""),1,IF(F133&gt;$C133,1,0))</f>
        <v>1</v>
      </c>
      <c r="CN133" s="163"/>
    </row>
    <row r="134" spans="1:92" ht="15" customHeight="1" x14ac:dyDescent="0.3">
      <c r="A134" s="6240">
        <v>29101783</v>
      </c>
      <c r="B134" s="3239" t="s">
        <v>3169</v>
      </c>
      <c r="C134" s="3145" t="s">
        <v>5292</v>
      </c>
      <c r="D134" s="3145" t="s">
        <v>5293</v>
      </c>
      <c r="E134" s="3147" t="s">
        <v>5294</v>
      </c>
      <c r="F134" s="3077" t="s">
        <v>5295</v>
      </c>
      <c r="G134" s="3559" t="str">
        <f t="shared" ref="G134:G135" si="25">$CP134&amp;CB134</f>
        <v xml:space="preserve">* La variable Pueblos Originarios no puede superar el Total de Tamizaje. </v>
      </c>
      <c r="CB134" s="3830" t="str">
        <f t="shared" ref="CB134:CB135" si="26">IF(AND($C134&lt;&gt;0,F134=""),"* No olvide ingresar la variable Pueblos Originarios. Si no tiene digite CERO. ",IF(F134&gt;$C134,"* La variable Pueblos Originarios no puede superar el Total de Tamizaje. ",""))</f>
        <v xml:space="preserve">* La variable Pueblos Originarios no puede superar el Total de Tamizaje. </v>
      </c>
      <c r="CC134" s="163"/>
      <c r="CM134" s="3831">
        <f t="shared" ref="CM134:CM135" si="27">IF(AND($C134&lt;&gt;0,F134=""),1,IF(F134&gt;$C134,1,0))</f>
        <v>1</v>
      </c>
    </row>
    <row r="135" spans="1:92" ht="15" customHeight="1" x14ac:dyDescent="0.3">
      <c r="A135" s="6240">
        <v>29101784</v>
      </c>
      <c r="B135" s="207" t="s">
        <v>3170</v>
      </c>
      <c r="C135" s="3860" t="s">
        <v>5292</v>
      </c>
      <c r="D135" s="3860" t="s">
        <v>5293</v>
      </c>
      <c r="E135" s="3861" t="s">
        <v>5294</v>
      </c>
      <c r="F135" s="3862" t="s">
        <v>5295</v>
      </c>
      <c r="G135" s="3559" t="str">
        <f t="shared" si="25"/>
        <v xml:space="preserve">* La variable Pueblos Originarios no puede superar el Total de Tamizaje. </v>
      </c>
      <c r="CB135" s="3830" t="str">
        <f t="shared" si="26"/>
        <v xml:space="preserve">* La variable Pueblos Originarios no puede superar el Total de Tamizaje. </v>
      </c>
      <c r="CC135" s="163"/>
      <c r="CM135" s="3831">
        <f t="shared" si="27"/>
        <v>1</v>
      </c>
    </row>
    <row r="136" spans="1:92" ht="20.399999999999999" x14ac:dyDescent="0.3">
      <c r="A136" s="6284"/>
      <c r="B136" s="3813" t="s">
        <v>3171</v>
      </c>
      <c r="C136" s="3818" t="s">
        <v>3172</v>
      </c>
      <c r="D136" s="3859" t="s">
        <v>3173</v>
      </c>
      <c r="E136" s="3338" t="s">
        <v>2</v>
      </c>
      <c r="F136" s="103"/>
    </row>
    <row r="137" spans="1:92" x14ac:dyDescent="0.3">
      <c r="A137" s="6240">
        <v>29101785</v>
      </c>
      <c r="B137" s="3770" t="s">
        <v>3137</v>
      </c>
      <c r="C137" s="3827" t="s">
        <v>5292</v>
      </c>
      <c r="D137" s="3828" t="s">
        <v>5293</v>
      </c>
      <c r="E137" s="3829" t="s">
        <v>5294</v>
      </c>
      <c r="F137" s="3559" t="str">
        <f>$CB137</f>
        <v xml:space="preserve">* La variable Pueblos Originarios no puede superar el Total de EOA. </v>
      </c>
      <c r="CB137" s="3830" t="str">
        <f>IF(AND($C137&lt;&gt;0,E137=""),"* No olvide ingresar la variable Pueblos Originarios. Si no tiene digite CERO. ",IF(E137&gt;$C137,"* La variable Pueblos Originarios no puede superar el Total de EOA. ",""))</f>
        <v xml:space="preserve">* La variable Pueblos Originarios no puede superar el Total de EOA. </v>
      </c>
      <c r="CC137" s="163"/>
      <c r="CM137" s="3831">
        <f>IF(AND($C137&lt;&gt;0,E137=""),1,IF(E137&gt;$C137,1,0))</f>
        <v>1</v>
      </c>
    </row>
    <row r="138" spans="1:92" x14ac:dyDescent="0.3">
      <c r="A138" s="6240">
        <v>29101786</v>
      </c>
      <c r="B138" s="3239" t="s">
        <v>226</v>
      </c>
      <c r="C138" s="3145" t="s">
        <v>5292</v>
      </c>
      <c r="D138" s="3147" t="s">
        <v>5293</v>
      </c>
      <c r="E138" s="3077" t="s">
        <v>5294</v>
      </c>
      <c r="F138" s="3559" t="str">
        <f t="shared" ref="F138:F139" si="28">$CB138</f>
        <v xml:space="preserve">* La variable Pueblos Originarios no puede superar el Total de EOA. </v>
      </c>
      <c r="CB138" s="3830" t="str">
        <f t="shared" ref="CB138:CB139" si="29">IF(AND($C138&lt;&gt;0,E138=""),"* No olvide ingresar la variable Pueblos Originarios. Si no tiene digite CERO. ",IF(E138&gt;$C138,"* La variable Pueblos Originarios no puede superar el Total de EOA. ",""))</f>
        <v xml:space="preserve">* La variable Pueblos Originarios no puede superar el Total de EOA. </v>
      </c>
      <c r="CC138" s="163"/>
      <c r="CM138" s="3831">
        <f t="shared" ref="CM138:CM139" si="30">IF(AND($C138&lt;&gt;0,E138=""),1,IF(E138&gt;$C138,1,0))</f>
        <v>1</v>
      </c>
    </row>
    <row r="139" spans="1:92" x14ac:dyDescent="0.3">
      <c r="A139" s="6240">
        <v>29101787</v>
      </c>
      <c r="B139" s="207" t="s">
        <v>3174</v>
      </c>
      <c r="C139" s="3860" t="s">
        <v>5292</v>
      </c>
      <c r="D139" s="3861" t="s">
        <v>5293</v>
      </c>
      <c r="E139" s="3862" t="s">
        <v>5294</v>
      </c>
      <c r="F139" s="3559" t="str">
        <f t="shared" si="28"/>
        <v xml:space="preserve">* La variable Pueblos Originarios no puede superar el Total de EOA. </v>
      </c>
      <c r="CB139" s="3830" t="str">
        <f t="shared" si="29"/>
        <v xml:space="preserve">* La variable Pueblos Originarios no puede superar el Total de EOA. </v>
      </c>
      <c r="CC139" s="163"/>
      <c r="CM139" s="3831">
        <f t="shared" si="30"/>
        <v>1</v>
      </c>
    </row>
    <row r="140" spans="1:92" x14ac:dyDescent="0.3">
      <c r="A140" s="103"/>
      <c r="B140" s="210" t="s">
        <v>3894</v>
      </c>
      <c r="C140" s="3299"/>
      <c r="D140" s="103"/>
    </row>
    <row r="141" spans="1:92" ht="30.6" x14ac:dyDescent="0.3">
      <c r="A141" s="103"/>
      <c r="B141" s="5692" t="s">
        <v>3171</v>
      </c>
      <c r="C141" s="5670" t="s">
        <v>3896</v>
      </c>
      <c r="D141" s="5671" t="s">
        <v>3895</v>
      </c>
    </row>
    <row r="142" spans="1:92" x14ac:dyDescent="0.3">
      <c r="A142" s="6240">
        <v>29101788</v>
      </c>
      <c r="B142" s="5693" t="s">
        <v>3137</v>
      </c>
      <c r="C142" s="5403" t="s">
        <v>5292</v>
      </c>
      <c r="D142" s="5405" t="s">
        <v>5293</v>
      </c>
    </row>
    <row r="143" spans="1:92" x14ac:dyDescent="0.3">
      <c r="A143" s="6240">
        <v>29101789</v>
      </c>
      <c r="B143" s="5694" t="s">
        <v>226</v>
      </c>
      <c r="C143" s="5695" t="s">
        <v>5292</v>
      </c>
      <c r="D143" s="5696" t="s">
        <v>5293</v>
      </c>
    </row>
    <row r="160" spans="2:3" hidden="1" x14ac:dyDescent="0.3">
      <c r="B160" s="3177">
        <f>SUM(D13:Y22,D25:D35,D39:E51,D54:E65,C70:P72,D76:J87,D93,D97:K97,C101:C103,C106:D111,D115:D120,C124:C125,C130:G130,C133:E135,C137:D139)</f>
        <v>0</v>
      </c>
      <c r="C160" s="3177" t="e">
        <f>SUM(CM13:CR139)</f>
        <v>#VALUE!</v>
      </c>
    </row>
  </sheetData>
  <mergeCells count="121">
    <mergeCell ref="D122:L122"/>
    <mergeCell ref="M122:M123"/>
    <mergeCell ref="N122:N123"/>
    <mergeCell ref="B128:B129"/>
    <mergeCell ref="C128:F128"/>
    <mergeCell ref="B112:C112"/>
    <mergeCell ref="B114:C114"/>
    <mergeCell ref="B115:B116"/>
    <mergeCell ref="B117:B120"/>
    <mergeCell ref="B122:B123"/>
    <mergeCell ref="C122:C123"/>
    <mergeCell ref="N95:N96"/>
    <mergeCell ref="B97:C97"/>
    <mergeCell ref="B98:H98"/>
    <mergeCell ref="B99:B100"/>
    <mergeCell ref="C99:C100"/>
    <mergeCell ref="D99:K99"/>
    <mergeCell ref="L99:L100"/>
    <mergeCell ref="M99:P99"/>
    <mergeCell ref="M91:M92"/>
    <mergeCell ref="B93:C93"/>
    <mergeCell ref="B95:C96"/>
    <mergeCell ref="D95:E95"/>
    <mergeCell ref="F95:I95"/>
    <mergeCell ref="J95:K95"/>
    <mergeCell ref="L95:L96"/>
    <mergeCell ref="M95:M96"/>
    <mergeCell ref="B88:C88"/>
    <mergeCell ref="B89:H89"/>
    <mergeCell ref="B90:H90"/>
    <mergeCell ref="B91:C92"/>
    <mergeCell ref="D91:D92"/>
    <mergeCell ref="E91:L91"/>
    <mergeCell ref="B76:C76"/>
    <mergeCell ref="B77:C77"/>
    <mergeCell ref="B78:B84"/>
    <mergeCell ref="B85:C85"/>
    <mergeCell ref="B86:C86"/>
    <mergeCell ref="B87:C87"/>
    <mergeCell ref="S67:S68"/>
    <mergeCell ref="T67:U67"/>
    <mergeCell ref="B74:C75"/>
    <mergeCell ref="D74:D75"/>
    <mergeCell ref="E74:E75"/>
    <mergeCell ref="F74:F75"/>
    <mergeCell ref="G74:G75"/>
    <mergeCell ref="H74:J74"/>
    <mergeCell ref="C67:K67"/>
    <mergeCell ref="L67:N67"/>
    <mergeCell ref="O67:P67"/>
    <mergeCell ref="Q67:Q68"/>
    <mergeCell ref="R67:R68"/>
    <mergeCell ref="B67:B68"/>
    <mergeCell ref="B60:C60"/>
    <mergeCell ref="B61:C61"/>
    <mergeCell ref="B62:C62"/>
    <mergeCell ref="B63:C63"/>
    <mergeCell ref="B64:C64"/>
    <mergeCell ref="B65:C65"/>
    <mergeCell ref="B49:C49"/>
    <mergeCell ref="B50:C50"/>
    <mergeCell ref="B51:C51"/>
    <mergeCell ref="B53:C53"/>
    <mergeCell ref="B54:B58"/>
    <mergeCell ref="B59:C59"/>
    <mergeCell ref="B42:C42"/>
    <mergeCell ref="B43:C43"/>
    <mergeCell ref="B44:B45"/>
    <mergeCell ref="B46:C46"/>
    <mergeCell ref="B47:C47"/>
    <mergeCell ref="B48:C48"/>
    <mergeCell ref="B31:B32"/>
    <mergeCell ref="B33:C33"/>
    <mergeCell ref="B34:B35"/>
    <mergeCell ref="B38:C38"/>
    <mergeCell ref="B39:C39"/>
    <mergeCell ref="B40:B41"/>
    <mergeCell ref="B24:C24"/>
    <mergeCell ref="B25:C25"/>
    <mergeCell ref="B26:B27"/>
    <mergeCell ref="B28:C28"/>
    <mergeCell ref="B29:C29"/>
    <mergeCell ref="B30:C30"/>
    <mergeCell ref="B16:C16"/>
    <mergeCell ref="B17:C17"/>
    <mergeCell ref="B18:C18"/>
    <mergeCell ref="B19:C19"/>
    <mergeCell ref="B20:C20"/>
    <mergeCell ref="B21:B22"/>
    <mergeCell ref="B13:C13"/>
    <mergeCell ref="B14:C14"/>
    <mergeCell ref="B15:C15"/>
    <mergeCell ref="AB9:AC10"/>
    <mergeCell ref="E10:E11"/>
    <mergeCell ref="F10:F11"/>
    <mergeCell ref="G10:G11"/>
    <mergeCell ref="H10:H11"/>
    <mergeCell ref="I10:I11"/>
    <mergeCell ref="J10:J11"/>
    <mergeCell ref="K10:K11"/>
    <mergeCell ref="L10:L11"/>
    <mergeCell ref="N10:N11"/>
    <mergeCell ref="N9:S9"/>
    <mergeCell ref="T9:W9"/>
    <mergeCell ref="X9:X11"/>
    <mergeCell ref="Y9:Y11"/>
    <mergeCell ref="Z9:Z11"/>
    <mergeCell ref="AA9:AA11"/>
    <mergeCell ref="O10:O11"/>
    <mergeCell ref="P10:P11"/>
    <mergeCell ref="Q10:Q11"/>
    <mergeCell ref="R10:R11"/>
    <mergeCell ref="B6:M6"/>
    <mergeCell ref="B9:C11"/>
    <mergeCell ref="D9:D11"/>
    <mergeCell ref="E9:H9"/>
    <mergeCell ref="I9:L9"/>
    <mergeCell ref="M9:M11"/>
    <mergeCell ref="S10:S11"/>
    <mergeCell ref="T10:U10"/>
    <mergeCell ref="V10:W10"/>
  </mergeCells>
  <dataValidations count="2">
    <dataValidation allowBlank="1" showInputMessage="1" showErrorMessage="1" error="Valor no Permitido" sqref="B6:M6 D9:D10 U11:U12 B9:B10 B12:B21 T9:T10 V10 X9:X10 N9 N10:S10 I9 I10:L10 D129:F129 Y9:AB9 B8:AC8 C125 W11:W12 D12:T12 V12 X12:AC12 G24 B26 C26:C27 B33:B34 B28:B31 C34:C35 B23:G23 B42:B44 B39:B40 C44:C45 B46:B54 B37:E37 D25:D35 C52 N93:CA93 D66:T66 D68:K69 L67:T69 U66:U69 B76:B78 B85:B91 G74:H74 I75:J75 F88:J88 G73:J73 C73 B93:B99 C89:M90 M91 E91:L92 C94:N94 L95:N95 F95 J95:K96 N100:P100 M99:M100 C98:P98 L99 E87:E88 D99:K100 D73:F74 D104:F105 B102:B112 E76:E85 C99:C104 D88 E121:N121 B121:B124 D121:D124 E123:L123 M122:N122 D91:D93 C128:C129 B160:C160 B126:G127 D52:E53 C66:C69 G128:G129 E124:N124 C121:C123 B131:B139 C131:F132 C136:F136 B59:B67 B69:B74 B140:D140 A134:A140" xr:uid="{00000000-0002-0000-1000-000000000000}"/>
    <dataValidation type="whole" operator="greaterThanOrEqual" allowBlank="1" showInputMessage="1" showErrorMessage="1" error="Valor no Permitido" sqref="D13:AC22 E25:G35 D39:E51 D54:E65 C70:U72 D76:D87 E86 F76:J87 E93:M93 D97:N97 D101:P103 C106:F111 D115:D120 C124 D125:N125 C130:G130 C133:F135 C137:E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E320"/>
  <sheetViews>
    <sheetView showGridLines="0" workbookViewId="0"/>
  </sheetViews>
  <sheetFormatPr baseColWidth="10" defaultRowHeight="14.4" x14ac:dyDescent="0.3"/>
  <cols>
    <col min="1" max="1" width="16.21875" customWidth="1"/>
    <col min="2" max="2" width="44.88671875" customWidth="1"/>
    <col min="3" max="3" width="18.109375" customWidth="1"/>
    <col min="4" max="4" width="23.88671875" customWidth="1"/>
    <col min="5" max="5" width="18.5546875" customWidth="1"/>
    <col min="6" max="6" width="12.88671875" customWidth="1"/>
    <col min="7" max="7" width="12.6640625" customWidth="1"/>
    <col min="8" max="8" width="15.6640625" customWidth="1"/>
    <col min="9" max="9" width="16.44140625" customWidth="1"/>
  </cols>
  <sheetData>
    <row r="1" spans="1:29" x14ac:dyDescent="0.3">
      <c r="B1" s="774" t="s">
        <v>3879</v>
      </c>
    </row>
    <row r="2" spans="1:29" x14ac:dyDescent="0.3">
      <c r="B2" s="774" t="str">
        <f>CONCATENATE("COMUNA: ",NOMBRE!B2," - ","( ",NOMBRE!C2,NOMBRE!D2,NOMBRE!E2,NOMBRE!F2,NOMBRE!G2," )")</f>
        <v>COMUNA:  - (  )</v>
      </c>
    </row>
    <row r="3" spans="1:29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29" x14ac:dyDescent="0.3">
      <c r="B4" s="774" t="str">
        <f>CONCATENATE("MES: ",NOMBRE!B6," - ","( ",NOMBRE!C6,NOMBRE!D6," )")</f>
        <v>MES:  - (  )</v>
      </c>
    </row>
    <row r="5" spans="1:29" x14ac:dyDescent="0.3">
      <c r="B5" s="774" t="str">
        <f>CONCATENATE("AÑO: ",NOMBRE!B7)</f>
        <v>AÑO: 2024</v>
      </c>
    </row>
    <row r="6" spans="1:29" ht="18" customHeight="1" x14ac:dyDescent="0.3">
      <c r="B6" s="7974" t="s">
        <v>1741</v>
      </c>
      <c r="C6" s="7974"/>
      <c r="D6" s="7974"/>
      <c r="E6" s="7974"/>
      <c r="F6" s="7974"/>
      <c r="G6" s="7974"/>
      <c r="H6" s="7974"/>
      <c r="I6" s="7974"/>
      <c r="J6" s="7974"/>
      <c r="K6" s="7974"/>
      <c r="L6" s="7974"/>
      <c r="M6" s="7974"/>
      <c r="N6" s="7974"/>
      <c r="O6" s="7974"/>
      <c r="P6" s="7974"/>
      <c r="Q6" s="7974"/>
      <c r="R6" s="7974"/>
      <c r="S6" s="7974"/>
      <c r="T6" s="7974"/>
      <c r="U6" s="7974"/>
      <c r="V6" s="7974"/>
      <c r="W6" s="7974"/>
    </row>
    <row r="8" spans="1:29" s="17" customFormat="1" ht="18" customHeight="1" x14ac:dyDescent="0.25">
      <c r="B8" s="8011" t="s">
        <v>1740</v>
      </c>
      <c r="C8" s="8011"/>
      <c r="D8" s="8011"/>
    </row>
    <row r="9" spans="1:29" s="170" customFormat="1" ht="15" customHeight="1" x14ac:dyDescent="0.2">
      <c r="B9" s="7975" t="s">
        <v>1735</v>
      </c>
      <c r="C9" s="7975" t="s">
        <v>1640</v>
      </c>
      <c r="D9" s="7975"/>
      <c r="E9" s="6340" t="s">
        <v>24</v>
      </c>
      <c r="F9" s="6341"/>
      <c r="G9" s="6673"/>
      <c r="H9" s="7976" t="s">
        <v>30</v>
      </c>
      <c r="I9" s="6683"/>
      <c r="J9" s="6683"/>
      <c r="K9" s="6683"/>
      <c r="L9" s="6683"/>
      <c r="M9" s="6683"/>
      <c r="N9" s="6683"/>
      <c r="O9" s="6683"/>
      <c r="P9" s="6683"/>
      <c r="Q9" s="6683"/>
      <c r="R9" s="6683"/>
      <c r="S9" s="6683"/>
      <c r="T9" s="6683"/>
      <c r="U9" s="6683"/>
      <c r="V9" s="6683"/>
      <c r="W9" s="6683"/>
      <c r="X9" s="6683"/>
      <c r="Y9" s="6683"/>
      <c r="Z9" s="6683"/>
      <c r="AA9" s="6683"/>
      <c r="AB9" s="6683"/>
      <c r="AC9" s="6681"/>
    </row>
    <row r="10" spans="1:29" s="170" customFormat="1" ht="15" customHeight="1" x14ac:dyDescent="0.2">
      <c r="B10" s="7975"/>
      <c r="C10" s="7975"/>
      <c r="D10" s="7975"/>
      <c r="E10" s="6674"/>
      <c r="F10" s="6675"/>
      <c r="G10" s="6676"/>
      <c r="H10" s="7972" t="s">
        <v>493</v>
      </c>
      <c r="I10" s="7972"/>
      <c r="J10" s="7972" t="s">
        <v>559</v>
      </c>
      <c r="K10" s="7972"/>
      <c r="L10" s="7972" t="s">
        <v>560</v>
      </c>
      <c r="M10" s="7972"/>
      <c r="N10" s="7972" t="s">
        <v>561</v>
      </c>
      <c r="O10" s="7972"/>
      <c r="P10" s="7972" t="s">
        <v>562</v>
      </c>
      <c r="Q10" s="7972"/>
      <c r="R10" s="7972" t="s">
        <v>563</v>
      </c>
      <c r="S10" s="7972"/>
      <c r="T10" s="7972" t="s">
        <v>564</v>
      </c>
      <c r="U10" s="7972"/>
      <c r="V10" s="7972" t="s">
        <v>565</v>
      </c>
      <c r="W10" s="7972"/>
      <c r="X10" s="7972" t="s">
        <v>555</v>
      </c>
      <c r="Y10" s="7972"/>
      <c r="Z10" s="7972" t="s">
        <v>556</v>
      </c>
      <c r="AA10" s="7972"/>
      <c r="AB10" s="7972" t="s">
        <v>946</v>
      </c>
      <c r="AC10" s="7972"/>
    </row>
    <row r="11" spans="1:29" s="170" customFormat="1" ht="15" customHeight="1" x14ac:dyDescent="0.2">
      <c r="B11" s="7975"/>
      <c r="C11" s="7975"/>
      <c r="D11" s="7975"/>
      <c r="E11" s="1842" t="s">
        <v>26</v>
      </c>
      <c r="F11" s="1841" t="s">
        <v>22</v>
      </c>
      <c r="G11" s="1381" t="s">
        <v>27</v>
      </c>
      <c r="H11" s="1921" t="s">
        <v>22</v>
      </c>
      <c r="I11" s="1716" t="s">
        <v>27</v>
      </c>
      <c r="J11" s="1931" t="s">
        <v>22</v>
      </c>
      <c r="K11" s="1713" t="s">
        <v>27</v>
      </c>
      <c r="L11" s="1931" t="s">
        <v>22</v>
      </c>
      <c r="M11" s="1713" t="s">
        <v>27</v>
      </c>
      <c r="N11" s="1931" t="s">
        <v>22</v>
      </c>
      <c r="O11" s="1713" t="s">
        <v>27</v>
      </c>
      <c r="P11" s="1931" t="s">
        <v>22</v>
      </c>
      <c r="Q11" s="1713" t="s">
        <v>27</v>
      </c>
      <c r="R11" s="1931" t="s">
        <v>22</v>
      </c>
      <c r="S11" s="1713" t="s">
        <v>27</v>
      </c>
      <c r="T11" s="1931" t="s">
        <v>22</v>
      </c>
      <c r="U11" s="1713" t="s">
        <v>27</v>
      </c>
      <c r="V11" s="1931" t="s">
        <v>22</v>
      </c>
      <c r="W11" s="1713" t="s">
        <v>27</v>
      </c>
      <c r="X11" s="1931" t="s">
        <v>22</v>
      </c>
      <c r="Y11" s="1713" t="s">
        <v>27</v>
      </c>
      <c r="Z11" s="1931" t="s">
        <v>22</v>
      </c>
      <c r="AA11" s="1713" t="s">
        <v>27</v>
      </c>
      <c r="AB11" s="1931" t="s">
        <v>22</v>
      </c>
      <c r="AC11" s="1713" t="s">
        <v>27</v>
      </c>
    </row>
    <row r="12" spans="1:29" s="170" customFormat="1" ht="15" customHeight="1" x14ac:dyDescent="0.2">
      <c r="A12" s="6234">
        <v>25100100</v>
      </c>
      <c r="B12" s="7900" t="s">
        <v>1733</v>
      </c>
      <c r="C12" s="1884" t="s">
        <v>1732</v>
      </c>
      <c r="D12" s="1930" t="s">
        <v>1739</v>
      </c>
      <c r="E12" s="8903" t="s">
        <v>5292</v>
      </c>
      <c r="F12" s="8904" t="s">
        <v>5293</v>
      </c>
      <c r="G12" s="8905" t="s">
        <v>5294</v>
      </c>
      <c r="H12" s="8906" t="s">
        <v>5295</v>
      </c>
      <c r="I12" s="8907" t="s">
        <v>5296</v>
      </c>
      <c r="J12" s="8906" t="s">
        <v>5297</v>
      </c>
      <c r="K12" s="8907" t="s">
        <v>5298</v>
      </c>
      <c r="L12" s="8906" t="s">
        <v>5299</v>
      </c>
      <c r="M12" s="8907" t="s">
        <v>5300</v>
      </c>
      <c r="N12" s="8906" t="s">
        <v>5301</v>
      </c>
      <c r="O12" s="8907" t="s">
        <v>5302</v>
      </c>
      <c r="P12" s="8906" t="s">
        <v>5303</v>
      </c>
      <c r="Q12" s="8907" t="s">
        <v>5304</v>
      </c>
      <c r="R12" s="8906" t="s">
        <v>5305</v>
      </c>
      <c r="S12" s="8907" t="s">
        <v>5306</v>
      </c>
      <c r="T12" s="8906" t="s">
        <v>5307</v>
      </c>
      <c r="U12" s="8907" t="s">
        <v>5308</v>
      </c>
      <c r="V12" s="8906" t="s">
        <v>5309</v>
      </c>
      <c r="W12" s="8907" t="s">
        <v>5310</v>
      </c>
      <c r="X12" s="8906" t="s">
        <v>5311</v>
      </c>
      <c r="Y12" s="8907" t="s">
        <v>5312</v>
      </c>
      <c r="Z12" s="8906" t="s">
        <v>5313</v>
      </c>
      <c r="AA12" s="8907" t="s">
        <v>5314</v>
      </c>
      <c r="AB12" s="8906" t="s">
        <v>5315</v>
      </c>
      <c r="AC12" s="8907" t="s">
        <v>5316</v>
      </c>
    </row>
    <row r="13" spans="1:29" s="170" customFormat="1" ht="15" customHeight="1" x14ac:dyDescent="0.2">
      <c r="A13" s="6234">
        <v>25100300</v>
      </c>
      <c r="B13" s="6398"/>
      <c r="C13" s="1689" t="s">
        <v>1731</v>
      </c>
      <c r="D13" s="1929" t="s">
        <v>1739</v>
      </c>
      <c r="E13" s="8908" t="s">
        <v>5292</v>
      </c>
      <c r="F13" s="8909" t="s">
        <v>5293</v>
      </c>
      <c r="G13" s="8910" t="s">
        <v>5294</v>
      </c>
      <c r="H13" s="8911" t="s">
        <v>5295</v>
      </c>
      <c r="I13" s="8912" t="s">
        <v>5296</v>
      </c>
      <c r="J13" s="8671" t="s">
        <v>5297</v>
      </c>
      <c r="K13" s="8734" t="s">
        <v>5298</v>
      </c>
      <c r="L13" s="8671" t="s">
        <v>5299</v>
      </c>
      <c r="M13" s="8734" t="s">
        <v>5300</v>
      </c>
      <c r="N13" s="8671" t="s">
        <v>5301</v>
      </c>
      <c r="O13" s="8734" t="s">
        <v>5302</v>
      </c>
      <c r="P13" s="8671" t="s">
        <v>5303</v>
      </c>
      <c r="Q13" s="8734" t="s">
        <v>5304</v>
      </c>
      <c r="R13" s="8671" t="s">
        <v>5305</v>
      </c>
      <c r="S13" s="8734" t="s">
        <v>5306</v>
      </c>
      <c r="T13" s="8671" t="s">
        <v>5307</v>
      </c>
      <c r="U13" s="8734" t="s">
        <v>5308</v>
      </c>
      <c r="V13" s="8671" t="s">
        <v>5309</v>
      </c>
      <c r="W13" s="8734" t="s">
        <v>5310</v>
      </c>
      <c r="X13" s="8671" t="s">
        <v>5311</v>
      </c>
      <c r="Y13" s="8734" t="s">
        <v>5312</v>
      </c>
      <c r="Z13" s="8671" t="s">
        <v>5313</v>
      </c>
      <c r="AA13" s="8734" t="s">
        <v>5314</v>
      </c>
      <c r="AB13" s="8671" t="s">
        <v>5315</v>
      </c>
      <c r="AC13" s="8734" t="s">
        <v>5316</v>
      </c>
    </row>
    <row r="14" spans="1:29" s="170" customFormat="1" ht="15" customHeight="1" x14ac:dyDescent="0.2">
      <c r="A14" s="6234">
        <v>25100500</v>
      </c>
      <c r="B14" s="7371" t="s">
        <v>1724</v>
      </c>
      <c r="C14" s="7973"/>
      <c r="D14" s="1925" t="s">
        <v>1739</v>
      </c>
      <c r="E14" s="8913" t="s">
        <v>5292</v>
      </c>
      <c r="F14" s="8914" t="s">
        <v>5293</v>
      </c>
      <c r="G14" s="8915" t="s">
        <v>5294</v>
      </c>
      <c r="H14" s="8916" t="s">
        <v>5295</v>
      </c>
      <c r="I14" s="8917" t="s">
        <v>5296</v>
      </c>
      <c r="J14" s="8916" t="s">
        <v>5297</v>
      </c>
      <c r="K14" s="8917" t="s">
        <v>5298</v>
      </c>
      <c r="L14" s="8916" t="s">
        <v>5299</v>
      </c>
      <c r="M14" s="8917" t="s">
        <v>5300</v>
      </c>
      <c r="N14" s="8916" t="s">
        <v>5301</v>
      </c>
      <c r="O14" s="8917" t="s">
        <v>5302</v>
      </c>
      <c r="P14" s="8916" t="s">
        <v>5303</v>
      </c>
      <c r="Q14" s="8917" t="s">
        <v>5304</v>
      </c>
      <c r="R14" s="8916" t="s">
        <v>5305</v>
      </c>
      <c r="S14" s="8917" t="s">
        <v>5306</v>
      </c>
      <c r="T14" s="8916" t="s">
        <v>5307</v>
      </c>
      <c r="U14" s="8917" t="s">
        <v>5308</v>
      </c>
      <c r="V14" s="8916" t="s">
        <v>5309</v>
      </c>
      <c r="W14" s="8917" t="s">
        <v>5310</v>
      </c>
      <c r="X14" s="8916" t="s">
        <v>5311</v>
      </c>
      <c r="Y14" s="8917" t="s">
        <v>5312</v>
      </c>
      <c r="Z14" s="8916" t="s">
        <v>5313</v>
      </c>
      <c r="AA14" s="8917" t="s">
        <v>5314</v>
      </c>
      <c r="AB14" s="8916" t="s">
        <v>5315</v>
      </c>
      <c r="AC14" s="8917" t="s">
        <v>5316</v>
      </c>
    </row>
    <row r="15" spans="1:29" s="170" customFormat="1" ht="15" customHeight="1" x14ac:dyDescent="0.2">
      <c r="A15" s="6242"/>
      <c r="B15" s="7977" t="s">
        <v>24</v>
      </c>
      <c r="C15" s="7978"/>
      <c r="D15" s="7979"/>
      <c r="E15" s="8918">
        <v>0</v>
      </c>
      <c r="F15" s="8919">
        <v>0</v>
      </c>
      <c r="G15" s="8920">
        <v>0</v>
      </c>
      <c r="H15" s="8918">
        <v>0</v>
      </c>
      <c r="I15" s="8920">
        <v>0</v>
      </c>
      <c r="J15" s="8918">
        <v>0</v>
      </c>
      <c r="K15" s="8920">
        <v>0</v>
      </c>
      <c r="L15" s="8918">
        <v>0</v>
      </c>
      <c r="M15" s="8920">
        <v>0</v>
      </c>
      <c r="N15" s="8918">
        <v>0</v>
      </c>
      <c r="O15" s="8920">
        <v>0</v>
      </c>
      <c r="P15" s="8918">
        <v>0</v>
      </c>
      <c r="Q15" s="8920">
        <v>0</v>
      </c>
      <c r="R15" s="8918">
        <v>0</v>
      </c>
      <c r="S15" s="8920">
        <v>0</v>
      </c>
      <c r="T15" s="8918">
        <v>0</v>
      </c>
      <c r="U15" s="8920">
        <v>0</v>
      </c>
      <c r="V15" s="8918">
        <v>0</v>
      </c>
      <c r="W15" s="8920">
        <v>0</v>
      </c>
      <c r="X15" s="8918">
        <v>0</v>
      </c>
      <c r="Y15" s="8920">
        <v>0</v>
      </c>
      <c r="Z15" s="8918">
        <v>0</v>
      </c>
      <c r="AA15" s="8920">
        <v>0</v>
      </c>
      <c r="AB15" s="8918">
        <v>0</v>
      </c>
      <c r="AC15" s="8920">
        <v>0</v>
      </c>
    </row>
    <row r="16" spans="1:29" s="170" customFormat="1" ht="15" customHeight="1" x14ac:dyDescent="0.2">
      <c r="A16" s="6234">
        <v>25502201</v>
      </c>
      <c r="B16" s="7980" t="s">
        <v>1738</v>
      </c>
      <c r="C16" s="7981"/>
      <c r="D16" s="7982"/>
      <c r="E16" s="8675" t="s">
        <v>5292</v>
      </c>
      <c r="F16" s="8921" t="s">
        <v>5293</v>
      </c>
      <c r="G16" s="8922" t="s">
        <v>5294</v>
      </c>
      <c r="H16" s="8921" t="s">
        <v>5295</v>
      </c>
      <c r="I16" s="8921" t="s">
        <v>5296</v>
      </c>
      <c r="J16" s="8921" t="s">
        <v>5297</v>
      </c>
      <c r="K16" s="8922" t="s">
        <v>5298</v>
      </c>
      <c r="L16" s="8921" t="s">
        <v>5299</v>
      </c>
      <c r="M16" s="8922" t="s">
        <v>5300</v>
      </c>
      <c r="N16" s="8921" t="s">
        <v>5301</v>
      </c>
      <c r="O16" s="8922" t="s">
        <v>5302</v>
      </c>
      <c r="P16" s="8921" t="s">
        <v>5303</v>
      </c>
      <c r="Q16" s="8922" t="s">
        <v>5304</v>
      </c>
      <c r="R16" s="8921" t="s">
        <v>5305</v>
      </c>
      <c r="S16" s="8922" t="s">
        <v>5306</v>
      </c>
      <c r="T16" s="8921" t="s">
        <v>5307</v>
      </c>
      <c r="U16" s="8922" t="s">
        <v>5308</v>
      </c>
      <c r="V16" s="8921" t="s">
        <v>5309</v>
      </c>
      <c r="W16" s="8922" t="s">
        <v>5310</v>
      </c>
      <c r="X16" s="8921" t="s">
        <v>5311</v>
      </c>
      <c r="Y16" s="8922" t="s">
        <v>5312</v>
      </c>
      <c r="Z16" s="8921" t="s">
        <v>5313</v>
      </c>
      <c r="AA16" s="8923" t="s">
        <v>5314</v>
      </c>
      <c r="AB16" s="8921" t="s">
        <v>5315</v>
      </c>
      <c r="AC16" s="8923" t="s">
        <v>5316</v>
      </c>
    </row>
    <row r="17" spans="1:31" s="170" customFormat="1" ht="15" customHeight="1" x14ac:dyDescent="0.2">
      <c r="A17" s="6234">
        <v>25502202</v>
      </c>
      <c r="B17" s="7366" t="s">
        <v>1737</v>
      </c>
      <c r="C17" s="6619"/>
      <c r="D17" s="6620"/>
      <c r="E17" s="8911" t="s">
        <v>5292</v>
      </c>
      <c r="F17" s="8924" t="s">
        <v>5293</v>
      </c>
      <c r="G17" s="8925" t="s">
        <v>5294</v>
      </c>
      <c r="H17" s="8924" t="s">
        <v>5295</v>
      </c>
      <c r="I17" s="8924" t="s">
        <v>5296</v>
      </c>
      <c r="J17" s="8924" t="s">
        <v>5297</v>
      </c>
      <c r="K17" s="8925" t="s">
        <v>5298</v>
      </c>
      <c r="L17" s="8924" t="s">
        <v>5299</v>
      </c>
      <c r="M17" s="8925" t="s">
        <v>5300</v>
      </c>
      <c r="N17" s="8924" t="s">
        <v>5301</v>
      </c>
      <c r="O17" s="8925" t="s">
        <v>5302</v>
      </c>
      <c r="P17" s="8924" t="s">
        <v>5303</v>
      </c>
      <c r="Q17" s="8925" t="s">
        <v>5304</v>
      </c>
      <c r="R17" s="8924" t="s">
        <v>5305</v>
      </c>
      <c r="S17" s="8925" t="s">
        <v>5306</v>
      </c>
      <c r="T17" s="8924" t="s">
        <v>5307</v>
      </c>
      <c r="U17" s="8925" t="s">
        <v>5308</v>
      </c>
      <c r="V17" s="8924" t="s">
        <v>5309</v>
      </c>
      <c r="W17" s="8925" t="s">
        <v>5310</v>
      </c>
      <c r="X17" s="8924" t="s">
        <v>5311</v>
      </c>
      <c r="Y17" s="8925" t="s">
        <v>5312</v>
      </c>
      <c r="Z17" s="8924" t="s">
        <v>5313</v>
      </c>
      <c r="AA17" s="8926" t="s">
        <v>5314</v>
      </c>
      <c r="AB17" s="8924" t="s">
        <v>5315</v>
      </c>
      <c r="AC17" s="8926" t="s">
        <v>5316</v>
      </c>
    </row>
    <row r="18" spans="1:31" s="17" customFormat="1" ht="18" customHeight="1" x14ac:dyDescent="0.3">
      <c r="A18"/>
      <c r="B18" s="8018" t="s">
        <v>1736</v>
      </c>
      <c r="C18" s="8018"/>
      <c r="D18" s="8018"/>
    </row>
    <row r="19" spans="1:31" ht="15" customHeight="1" x14ac:dyDescent="0.3">
      <c r="B19" s="7975" t="s">
        <v>1735</v>
      </c>
      <c r="C19" s="7975" t="s">
        <v>1640</v>
      </c>
      <c r="D19" s="7975"/>
      <c r="E19" s="6340" t="s">
        <v>24</v>
      </c>
      <c r="F19" s="6341"/>
      <c r="G19" s="6673"/>
      <c r="H19" s="7976" t="s">
        <v>30</v>
      </c>
      <c r="I19" s="6683"/>
      <c r="J19" s="6683"/>
      <c r="K19" s="6683"/>
      <c r="L19" s="6683"/>
      <c r="M19" s="6683"/>
      <c r="N19" s="6683"/>
      <c r="O19" s="6683"/>
      <c r="P19" s="6683"/>
      <c r="Q19" s="6683"/>
      <c r="R19" s="6683"/>
      <c r="S19" s="6683"/>
      <c r="T19" s="6683"/>
      <c r="U19" s="6683"/>
      <c r="V19" s="6683"/>
      <c r="W19" s="6683"/>
      <c r="X19" s="6683"/>
      <c r="Y19" s="6683"/>
      <c r="Z19" s="6683"/>
      <c r="AA19" s="6683"/>
      <c r="AB19" s="6683"/>
      <c r="AC19" s="6683"/>
      <c r="AD19" s="6683"/>
      <c r="AE19" s="6681"/>
    </row>
    <row r="20" spans="1:31" ht="15" customHeight="1" x14ac:dyDescent="0.3">
      <c r="B20" s="7975"/>
      <c r="C20" s="7975"/>
      <c r="D20" s="7975"/>
      <c r="E20" s="6674"/>
      <c r="F20" s="6675"/>
      <c r="G20" s="6675"/>
      <c r="H20" s="7996" t="s">
        <v>1734</v>
      </c>
      <c r="I20" s="6682"/>
      <c r="J20" s="7972" t="s">
        <v>493</v>
      </c>
      <c r="K20" s="7972"/>
      <c r="L20" s="7972" t="s">
        <v>559</v>
      </c>
      <c r="M20" s="7972"/>
      <c r="N20" s="7972" t="s">
        <v>560</v>
      </c>
      <c r="O20" s="7972"/>
      <c r="P20" s="7972" t="s">
        <v>561</v>
      </c>
      <c r="Q20" s="7972"/>
      <c r="R20" s="7972" t="s">
        <v>562</v>
      </c>
      <c r="S20" s="7972"/>
      <c r="T20" s="7972" t="s">
        <v>563</v>
      </c>
      <c r="U20" s="7972"/>
      <c r="V20" s="7972" t="s">
        <v>564</v>
      </c>
      <c r="W20" s="7972"/>
      <c r="X20" s="7972" t="s">
        <v>565</v>
      </c>
      <c r="Y20" s="7972"/>
      <c r="Z20" s="7972" t="s">
        <v>555</v>
      </c>
      <c r="AA20" s="7972"/>
      <c r="AB20" s="7972" t="s">
        <v>556</v>
      </c>
      <c r="AC20" s="7972"/>
      <c r="AD20" s="7972" t="s">
        <v>946</v>
      </c>
      <c r="AE20" s="7972"/>
    </row>
    <row r="21" spans="1:31" ht="15" customHeight="1" x14ac:dyDescent="0.3">
      <c r="B21" s="7975"/>
      <c r="C21" s="7975"/>
      <c r="D21" s="7975"/>
      <c r="E21" s="1842" t="s">
        <v>26</v>
      </c>
      <c r="F21" s="1841" t="s">
        <v>22</v>
      </c>
      <c r="G21" s="1715" t="s">
        <v>27</v>
      </c>
      <c r="H21" s="1921" t="s">
        <v>22</v>
      </c>
      <c r="I21" s="1716" t="s">
        <v>27</v>
      </c>
      <c r="J21" s="1921" t="s">
        <v>22</v>
      </c>
      <c r="K21" s="1716" t="s">
        <v>27</v>
      </c>
      <c r="L21" s="1921" t="s">
        <v>22</v>
      </c>
      <c r="M21" s="1717" t="s">
        <v>27</v>
      </c>
      <c r="N21" s="1921" t="s">
        <v>22</v>
      </c>
      <c r="O21" s="1716" t="s">
        <v>27</v>
      </c>
      <c r="P21" s="1921" t="s">
        <v>22</v>
      </c>
      <c r="Q21" s="1716" t="s">
        <v>27</v>
      </c>
      <c r="R21" s="1921" t="s">
        <v>22</v>
      </c>
      <c r="S21" s="1716" t="s">
        <v>27</v>
      </c>
      <c r="T21" s="1921" t="s">
        <v>22</v>
      </c>
      <c r="U21" s="1716" t="s">
        <v>27</v>
      </c>
      <c r="V21" s="1921" t="s">
        <v>22</v>
      </c>
      <c r="W21" s="1716" t="s">
        <v>27</v>
      </c>
      <c r="X21" s="1921" t="s">
        <v>22</v>
      </c>
      <c r="Y21" s="1716" t="s">
        <v>27</v>
      </c>
      <c r="Z21" s="1921" t="s">
        <v>22</v>
      </c>
      <c r="AA21" s="1716" t="s">
        <v>27</v>
      </c>
      <c r="AB21" s="1921" t="s">
        <v>22</v>
      </c>
      <c r="AC21" s="1716" t="s">
        <v>27</v>
      </c>
      <c r="AD21" s="1921" t="s">
        <v>22</v>
      </c>
      <c r="AE21" s="1716" t="s">
        <v>27</v>
      </c>
    </row>
    <row r="22" spans="1:31" ht="15" customHeight="1" x14ac:dyDescent="0.3">
      <c r="A22" s="6234">
        <v>29101388</v>
      </c>
      <c r="B22" s="6398" t="s">
        <v>1733</v>
      </c>
      <c r="C22" s="6367" t="s">
        <v>1732</v>
      </c>
      <c r="D22" s="1915" t="s">
        <v>1730</v>
      </c>
      <c r="E22" s="145" t="s">
        <v>5292</v>
      </c>
      <c r="F22" s="1914" t="s">
        <v>5293</v>
      </c>
      <c r="G22" s="1913" t="s">
        <v>5294</v>
      </c>
      <c r="H22" s="106" t="s">
        <v>5295</v>
      </c>
      <c r="I22" s="587" t="s">
        <v>5296</v>
      </c>
      <c r="J22" s="106" t="s">
        <v>5297</v>
      </c>
      <c r="K22" s="587" t="s">
        <v>5298</v>
      </c>
      <c r="L22" s="1836" t="s">
        <v>5299</v>
      </c>
      <c r="M22" s="1920" t="s">
        <v>5300</v>
      </c>
      <c r="N22" s="1919" t="s">
        <v>5301</v>
      </c>
      <c r="O22" s="1918" t="s">
        <v>5302</v>
      </c>
      <c r="P22" s="1919" t="s">
        <v>5303</v>
      </c>
      <c r="Q22" s="1918" t="s">
        <v>5304</v>
      </c>
      <c r="R22" s="1919" t="s">
        <v>5305</v>
      </c>
      <c r="S22" s="1918" t="s">
        <v>5306</v>
      </c>
      <c r="T22" s="1919" t="s">
        <v>5307</v>
      </c>
      <c r="U22" s="1918" t="s">
        <v>5308</v>
      </c>
      <c r="V22" s="1919" t="s">
        <v>5309</v>
      </c>
      <c r="W22" s="1918" t="s">
        <v>5310</v>
      </c>
      <c r="X22" s="1919" t="s">
        <v>5311</v>
      </c>
      <c r="Y22" s="1918" t="s">
        <v>5312</v>
      </c>
      <c r="Z22" s="1919" t="s">
        <v>5313</v>
      </c>
      <c r="AA22" s="1918" t="s">
        <v>5314</v>
      </c>
      <c r="AB22" s="1836" t="s">
        <v>5315</v>
      </c>
      <c r="AC22" s="1918" t="s">
        <v>5316</v>
      </c>
      <c r="AD22" s="1836" t="s">
        <v>5317</v>
      </c>
      <c r="AE22" s="1918" t="s">
        <v>5318</v>
      </c>
    </row>
    <row r="23" spans="1:31" ht="15" customHeight="1" x14ac:dyDescent="0.3">
      <c r="A23" s="6234">
        <v>29101389</v>
      </c>
      <c r="B23" s="6398"/>
      <c r="C23" s="7995"/>
      <c r="D23" s="1712" t="s">
        <v>1729</v>
      </c>
      <c r="E23" s="217" t="s">
        <v>5292</v>
      </c>
      <c r="F23" s="95" t="s">
        <v>5293</v>
      </c>
      <c r="G23" s="1910" t="s">
        <v>5294</v>
      </c>
      <c r="H23" s="114" t="s">
        <v>5295</v>
      </c>
      <c r="I23" s="116" t="s">
        <v>5296</v>
      </c>
      <c r="J23" s="114" t="s">
        <v>5297</v>
      </c>
      <c r="K23" s="116" t="s">
        <v>5298</v>
      </c>
      <c r="L23" s="1833" t="s">
        <v>5299</v>
      </c>
      <c r="M23" s="1917" t="s">
        <v>5300</v>
      </c>
      <c r="N23" s="1916" t="s">
        <v>5301</v>
      </c>
      <c r="O23" s="1074" t="s">
        <v>5302</v>
      </c>
      <c r="P23" s="1916" t="s">
        <v>5303</v>
      </c>
      <c r="Q23" s="1074" t="s">
        <v>5304</v>
      </c>
      <c r="R23" s="1916" t="s">
        <v>5305</v>
      </c>
      <c r="S23" s="1074" t="s">
        <v>5306</v>
      </c>
      <c r="T23" s="1916" t="s">
        <v>5307</v>
      </c>
      <c r="U23" s="1074" t="s">
        <v>5308</v>
      </c>
      <c r="V23" s="1916" t="s">
        <v>5309</v>
      </c>
      <c r="W23" s="1074" t="s">
        <v>5310</v>
      </c>
      <c r="X23" s="1916" t="s">
        <v>5311</v>
      </c>
      <c r="Y23" s="1074" t="s">
        <v>5312</v>
      </c>
      <c r="Z23" s="1916" t="s">
        <v>5313</v>
      </c>
      <c r="AA23" s="1074" t="s">
        <v>5314</v>
      </c>
      <c r="AB23" s="1916" t="s">
        <v>5315</v>
      </c>
      <c r="AC23" s="1074" t="s">
        <v>5316</v>
      </c>
      <c r="AD23" s="1916" t="s">
        <v>5317</v>
      </c>
      <c r="AE23" s="1074" t="s">
        <v>5318</v>
      </c>
    </row>
    <row r="24" spans="1:31" ht="15" customHeight="1" x14ac:dyDescent="0.3">
      <c r="A24" s="6234">
        <v>29101390</v>
      </c>
      <c r="B24" s="6398"/>
      <c r="C24" s="6367" t="s">
        <v>1731</v>
      </c>
      <c r="D24" s="1915" t="s">
        <v>1730</v>
      </c>
      <c r="E24" s="1037" t="s">
        <v>5292</v>
      </c>
      <c r="F24" s="1914" t="s">
        <v>5293</v>
      </c>
      <c r="G24" s="1913" t="s">
        <v>5294</v>
      </c>
      <c r="H24" s="1072" t="s">
        <v>5295</v>
      </c>
      <c r="I24" s="1060" t="s">
        <v>5296</v>
      </c>
      <c r="J24" s="1072" t="s">
        <v>5297</v>
      </c>
      <c r="K24" s="1060" t="s">
        <v>5298</v>
      </c>
      <c r="L24" s="1072" t="s">
        <v>5299</v>
      </c>
      <c r="M24" s="83" t="s">
        <v>5300</v>
      </c>
      <c r="N24" s="1391" t="s">
        <v>5301</v>
      </c>
      <c r="O24" s="1060" t="s">
        <v>5302</v>
      </c>
      <c r="P24" s="1391" t="s">
        <v>5303</v>
      </c>
      <c r="Q24" s="1060" t="s">
        <v>5304</v>
      </c>
      <c r="R24" s="1391" t="s">
        <v>5305</v>
      </c>
      <c r="S24" s="1060" t="s">
        <v>5306</v>
      </c>
      <c r="T24" s="1391" t="s">
        <v>5307</v>
      </c>
      <c r="U24" s="1060" t="s">
        <v>5308</v>
      </c>
      <c r="V24" s="1391" t="s">
        <v>5309</v>
      </c>
      <c r="W24" s="1060" t="s">
        <v>5310</v>
      </c>
      <c r="X24" s="1391" t="s">
        <v>5311</v>
      </c>
      <c r="Y24" s="1060" t="s">
        <v>5312</v>
      </c>
      <c r="Z24" s="1391" t="s">
        <v>5313</v>
      </c>
      <c r="AA24" s="1060" t="s">
        <v>5314</v>
      </c>
      <c r="AB24" s="1391" t="s">
        <v>5315</v>
      </c>
      <c r="AC24" s="1060" t="s">
        <v>5316</v>
      </c>
      <c r="AD24" s="1391" t="s">
        <v>5317</v>
      </c>
      <c r="AE24" s="1060" t="s">
        <v>5318</v>
      </c>
    </row>
    <row r="25" spans="1:31" ht="15" customHeight="1" x14ac:dyDescent="0.3">
      <c r="A25" s="6234">
        <v>29101391</v>
      </c>
      <c r="B25" s="7994"/>
      <c r="C25" s="7995"/>
      <c r="D25" s="1712" t="s">
        <v>1729</v>
      </c>
      <c r="E25" s="217" t="s">
        <v>5292</v>
      </c>
      <c r="F25" s="95" t="s">
        <v>5293</v>
      </c>
      <c r="G25" s="1910" t="s">
        <v>5294</v>
      </c>
      <c r="H25" s="114" t="s">
        <v>5295</v>
      </c>
      <c r="I25" s="116" t="s">
        <v>5296</v>
      </c>
      <c r="J25" s="114" t="s">
        <v>5297</v>
      </c>
      <c r="K25" s="116" t="s">
        <v>5298</v>
      </c>
      <c r="L25" s="114" t="s">
        <v>5299</v>
      </c>
      <c r="M25" s="117" t="s">
        <v>5300</v>
      </c>
      <c r="N25" s="118" t="s">
        <v>5301</v>
      </c>
      <c r="O25" s="116" t="s">
        <v>5302</v>
      </c>
      <c r="P25" s="118" t="s">
        <v>5303</v>
      </c>
      <c r="Q25" s="116" t="s">
        <v>5304</v>
      </c>
      <c r="R25" s="118" t="s">
        <v>5305</v>
      </c>
      <c r="S25" s="116" t="s">
        <v>5306</v>
      </c>
      <c r="T25" s="118" t="s">
        <v>5307</v>
      </c>
      <c r="U25" s="116" t="s">
        <v>5308</v>
      </c>
      <c r="V25" s="118" t="s">
        <v>5309</v>
      </c>
      <c r="W25" s="116" t="s">
        <v>5310</v>
      </c>
      <c r="X25" s="118" t="s">
        <v>5311</v>
      </c>
      <c r="Y25" s="116" t="s">
        <v>5312</v>
      </c>
      <c r="Z25" s="118" t="s">
        <v>5313</v>
      </c>
      <c r="AA25" s="116" t="s">
        <v>5314</v>
      </c>
      <c r="AB25" s="118" t="s">
        <v>5315</v>
      </c>
      <c r="AC25" s="116" t="s">
        <v>5316</v>
      </c>
      <c r="AD25" s="118" t="s">
        <v>5317</v>
      </c>
      <c r="AE25" s="116" t="s">
        <v>5318</v>
      </c>
    </row>
    <row r="26" spans="1:31" ht="15" customHeight="1" x14ac:dyDescent="0.3">
      <c r="A26" s="6234">
        <v>29101392</v>
      </c>
      <c r="B26" s="8024" t="s">
        <v>1724</v>
      </c>
      <c r="C26" s="7467"/>
      <c r="D26" s="1395" t="s">
        <v>1730</v>
      </c>
      <c r="E26" s="189" t="s">
        <v>5292</v>
      </c>
      <c r="F26" s="1914" t="s">
        <v>5293</v>
      </c>
      <c r="G26" s="1913" t="s">
        <v>5294</v>
      </c>
      <c r="H26" s="1912" t="s">
        <v>5295</v>
      </c>
      <c r="I26" s="1382" t="s">
        <v>5296</v>
      </c>
      <c r="J26" s="1912" t="s">
        <v>5297</v>
      </c>
      <c r="K26" s="1382" t="s">
        <v>5298</v>
      </c>
      <c r="L26" s="131" t="s">
        <v>5299</v>
      </c>
      <c r="M26" s="870" t="s">
        <v>5300</v>
      </c>
      <c r="N26" s="1912" t="s">
        <v>5301</v>
      </c>
      <c r="O26" s="1382" t="s">
        <v>5302</v>
      </c>
      <c r="P26" s="1912" t="s">
        <v>5303</v>
      </c>
      <c r="Q26" s="1382" t="s">
        <v>5304</v>
      </c>
      <c r="R26" s="1912" t="s">
        <v>5305</v>
      </c>
      <c r="S26" s="1382" t="s">
        <v>5306</v>
      </c>
      <c r="T26" s="1912" t="s">
        <v>5307</v>
      </c>
      <c r="U26" s="1382" t="s">
        <v>5308</v>
      </c>
      <c r="V26" s="1912" t="s">
        <v>5309</v>
      </c>
      <c r="W26" s="1382" t="s">
        <v>5310</v>
      </c>
      <c r="X26" s="1912" t="s">
        <v>5311</v>
      </c>
      <c r="Y26" s="1382" t="s">
        <v>5312</v>
      </c>
      <c r="Z26" s="1912" t="s">
        <v>5313</v>
      </c>
      <c r="AA26" s="1382" t="s">
        <v>5314</v>
      </c>
      <c r="AB26" s="1912" t="s">
        <v>5315</v>
      </c>
      <c r="AC26" s="1382" t="s">
        <v>5316</v>
      </c>
      <c r="AD26" s="1912" t="s">
        <v>5317</v>
      </c>
      <c r="AE26" s="1382" t="s">
        <v>5318</v>
      </c>
    </row>
    <row r="27" spans="1:31" ht="15" customHeight="1" x14ac:dyDescent="0.3">
      <c r="A27" s="6234">
        <v>29101393</v>
      </c>
      <c r="B27" s="8025"/>
      <c r="C27" s="8026"/>
      <c r="D27" s="1911" t="s">
        <v>1729</v>
      </c>
      <c r="E27" s="217" t="s">
        <v>5292</v>
      </c>
      <c r="F27" s="95" t="s">
        <v>5293</v>
      </c>
      <c r="G27" s="1910" t="s">
        <v>5294</v>
      </c>
      <c r="H27" s="118" t="s">
        <v>5295</v>
      </c>
      <c r="I27" s="116" t="s">
        <v>5296</v>
      </c>
      <c r="J27" s="118" t="s">
        <v>5297</v>
      </c>
      <c r="K27" s="116" t="s">
        <v>5298</v>
      </c>
      <c r="L27" s="114" t="s">
        <v>5299</v>
      </c>
      <c r="M27" s="117" t="s">
        <v>5300</v>
      </c>
      <c r="N27" s="118" t="s">
        <v>5301</v>
      </c>
      <c r="O27" s="116" t="s">
        <v>5302</v>
      </c>
      <c r="P27" s="118" t="s">
        <v>5303</v>
      </c>
      <c r="Q27" s="116" t="s">
        <v>5304</v>
      </c>
      <c r="R27" s="118" t="s">
        <v>5305</v>
      </c>
      <c r="S27" s="116" t="s">
        <v>5306</v>
      </c>
      <c r="T27" s="118" t="s">
        <v>5307</v>
      </c>
      <c r="U27" s="116" t="s">
        <v>5308</v>
      </c>
      <c r="V27" s="118" t="s">
        <v>5309</v>
      </c>
      <c r="W27" s="116" t="s">
        <v>5310</v>
      </c>
      <c r="X27" s="118" t="s">
        <v>5311</v>
      </c>
      <c r="Y27" s="116" t="s">
        <v>5312</v>
      </c>
      <c r="Z27" s="118" t="s">
        <v>5313</v>
      </c>
      <c r="AA27" s="116" t="s">
        <v>5314</v>
      </c>
      <c r="AB27" s="118" t="s">
        <v>5315</v>
      </c>
      <c r="AC27" s="116" t="s">
        <v>5316</v>
      </c>
      <c r="AD27" s="118" t="s">
        <v>5317</v>
      </c>
      <c r="AE27" s="116" t="s">
        <v>5318</v>
      </c>
    </row>
    <row r="28" spans="1:31" ht="15" customHeight="1" x14ac:dyDescent="0.3">
      <c r="A28" s="6235"/>
      <c r="B28" s="8027" t="s">
        <v>24</v>
      </c>
      <c r="C28" s="8028"/>
      <c r="D28" s="8029"/>
      <c r="E28" s="1909">
        <f t="shared" ref="E28:AE28" si="0">SUM(E22:E27)</f>
        <v>0</v>
      </c>
      <c r="F28" s="1908">
        <f t="shared" si="0"/>
        <v>0</v>
      </c>
      <c r="G28" s="1907">
        <f t="shared" si="0"/>
        <v>0</v>
      </c>
      <c r="H28" s="1904">
        <f t="shared" si="0"/>
        <v>0</v>
      </c>
      <c r="I28" s="1084">
        <f t="shared" si="0"/>
        <v>0</v>
      </c>
      <c r="J28" s="1904">
        <f t="shared" si="0"/>
        <v>0</v>
      </c>
      <c r="K28" s="1084">
        <f t="shared" si="0"/>
        <v>0</v>
      </c>
      <c r="L28" s="1906">
        <f t="shared" si="0"/>
        <v>0</v>
      </c>
      <c r="M28" s="1905">
        <f t="shared" si="0"/>
        <v>0</v>
      </c>
      <c r="N28" s="1904">
        <f t="shared" si="0"/>
        <v>0</v>
      </c>
      <c r="O28" s="1084">
        <f t="shared" si="0"/>
        <v>0</v>
      </c>
      <c r="P28" s="1904">
        <f t="shared" si="0"/>
        <v>0</v>
      </c>
      <c r="Q28" s="1084">
        <f t="shared" si="0"/>
        <v>0</v>
      </c>
      <c r="R28" s="1904">
        <f t="shared" si="0"/>
        <v>0</v>
      </c>
      <c r="S28" s="1084">
        <f t="shared" si="0"/>
        <v>0</v>
      </c>
      <c r="T28" s="1904">
        <f t="shared" si="0"/>
        <v>0</v>
      </c>
      <c r="U28" s="1084">
        <f t="shared" si="0"/>
        <v>0</v>
      </c>
      <c r="V28" s="1904">
        <f t="shared" si="0"/>
        <v>0</v>
      </c>
      <c r="W28" s="1084">
        <f t="shared" si="0"/>
        <v>0</v>
      </c>
      <c r="X28" s="1904">
        <f t="shared" si="0"/>
        <v>0</v>
      </c>
      <c r="Y28" s="1084">
        <f t="shared" si="0"/>
        <v>0</v>
      </c>
      <c r="Z28" s="1904">
        <f t="shared" si="0"/>
        <v>0</v>
      </c>
      <c r="AA28" s="1084">
        <f t="shared" si="0"/>
        <v>0</v>
      </c>
      <c r="AB28" s="1904">
        <f t="shared" si="0"/>
        <v>0</v>
      </c>
      <c r="AC28" s="1084">
        <f t="shared" si="0"/>
        <v>0</v>
      </c>
      <c r="AD28" s="1904">
        <f t="shared" si="0"/>
        <v>0</v>
      </c>
      <c r="AE28" s="1084">
        <f t="shared" si="0"/>
        <v>0</v>
      </c>
    </row>
    <row r="29" spans="1:31" s="17" customFormat="1" ht="18" customHeight="1" x14ac:dyDescent="0.25">
      <c r="B29" s="8030" t="s">
        <v>1728</v>
      </c>
      <c r="C29" s="8030"/>
      <c r="D29" s="8030"/>
      <c r="E29" s="8030"/>
      <c r="F29" s="8030"/>
      <c r="G29" s="8030"/>
    </row>
    <row r="30" spans="1:31" ht="15" customHeight="1" x14ac:dyDescent="0.3">
      <c r="B30" s="1903" t="s">
        <v>1727</v>
      </c>
      <c r="C30" s="1903" t="s">
        <v>112</v>
      </c>
      <c r="D30" s="7983" t="s">
        <v>1726</v>
      </c>
      <c r="E30" s="7984"/>
      <c r="F30" s="1902" t="s">
        <v>24</v>
      </c>
      <c r="G30" s="1901" t="s">
        <v>1725</v>
      </c>
      <c r="H30" s="1901" t="s">
        <v>1724</v>
      </c>
    </row>
    <row r="31" spans="1:31" ht="15" customHeight="1" x14ac:dyDescent="0.3">
      <c r="A31" s="6234">
        <v>25501000</v>
      </c>
      <c r="B31" s="7911" t="s">
        <v>1723</v>
      </c>
      <c r="C31" s="7987" t="s">
        <v>1722</v>
      </c>
      <c r="D31" s="7988" t="s">
        <v>1721</v>
      </c>
      <c r="E31" s="7989"/>
      <c r="F31" s="1896" t="s">
        <v>5292</v>
      </c>
      <c r="G31" s="1895" t="s">
        <v>5293</v>
      </c>
      <c r="H31" s="1895" t="s">
        <v>5294</v>
      </c>
    </row>
    <row r="32" spans="1:31" ht="15" customHeight="1" x14ac:dyDescent="0.3">
      <c r="A32" s="6234">
        <v>25501100</v>
      </c>
      <c r="B32" s="7985"/>
      <c r="C32" s="7987"/>
      <c r="D32" s="7990" t="s">
        <v>1720</v>
      </c>
      <c r="E32" s="7991"/>
      <c r="F32" s="1892" t="s">
        <v>5292</v>
      </c>
      <c r="G32" s="1891" t="s">
        <v>5293</v>
      </c>
      <c r="H32" s="1891" t="s">
        <v>5294</v>
      </c>
    </row>
    <row r="33" spans="1:8" ht="15" customHeight="1" x14ac:dyDescent="0.3">
      <c r="A33" s="6234">
        <v>25501200</v>
      </c>
      <c r="B33" s="7985"/>
      <c r="C33" s="7987"/>
      <c r="D33" s="7992" t="s">
        <v>1719</v>
      </c>
      <c r="E33" s="7993"/>
      <c r="F33" s="631" t="s">
        <v>5292</v>
      </c>
      <c r="G33" s="384" t="s">
        <v>5293</v>
      </c>
      <c r="H33" s="384" t="s">
        <v>5294</v>
      </c>
    </row>
    <row r="34" spans="1:8" ht="15" customHeight="1" x14ac:dyDescent="0.3">
      <c r="A34" s="6234">
        <v>25501300</v>
      </c>
      <c r="B34" s="7985"/>
      <c r="C34" s="7911" t="s">
        <v>1718</v>
      </c>
      <c r="D34" s="8019" t="s">
        <v>1717</v>
      </c>
      <c r="E34" s="8020"/>
      <c r="F34" s="1894" t="s">
        <v>5292</v>
      </c>
      <c r="G34" s="1893" t="s">
        <v>5293</v>
      </c>
      <c r="H34" s="1893" t="s">
        <v>5294</v>
      </c>
    </row>
    <row r="35" spans="1:8" ht="15" customHeight="1" x14ac:dyDescent="0.3">
      <c r="A35" s="6234">
        <v>25501600</v>
      </c>
      <c r="B35" s="7985"/>
      <c r="C35" s="7986"/>
      <c r="D35" s="7992" t="s">
        <v>1716</v>
      </c>
      <c r="E35" s="7993"/>
      <c r="F35" s="631" t="s">
        <v>5292</v>
      </c>
      <c r="G35" s="384" t="s">
        <v>5293</v>
      </c>
      <c r="H35" s="384" t="s">
        <v>5294</v>
      </c>
    </row>
    <row r="36" spans="1:8" ht="15" customHeight="1" x14ac:dyDescent="0.3">
      <c r="A36" s="6234">
        <v>25501700</v>
      </c>
      <c r="B36" s="7985"/>
      <c r="C36" s="8021" t="s">
        <v>1715</v>
      </c>
      <c r="D36" s="8019" t="s">
        <v>1714</v>
      </c>
      <c r="E36" s="8020"/>
      <c r="F36" s="1894" t="s">
        <v>5292</v>
      </c>
      <c r="G36" s="1893" t="s">
        <v>5293</v>
      </c>
      <c r="H36" s="1893" t="s">
        <v>5294</v>
      </c>
    </row>
    <row r="37" spans="1:8" ht="15" customHeight="1" x14ac:dyDescent="0.3">
      <c r="A37" s="6234">
        <v>29101394</v>
      </c>
      <c r="B37" s="7985"/>
      <c r="C37" s="8022"/>
      <c r="D37" s="8016" t="s">
        <v>1713</v>
      </c>
      <c r="E37" s="8017"/>
      <c r="F37" s="631" t="s">
        <v>5292</v>
      </c>
      <c r="G37" s="384" t="s">
        <v>5293</v>
      </c>
      <c r="H37" s="384" t="s">
        <v>5294</v>
      </c>
    </row>
    <row r="38" spans="1:8" ht="15" customHeight="1" x14ac:dyDescent="0.3">
      <c r="A38" s="6234">
        <v>29101395</v>
      </c>
      <c r="B38" s="7985"/>
      <c r="C38" s="8021" t="s">
        <v>1712</v>
      </c>
      <c r="D38" s="8012" t="s">
        <v>1711</v>
      </c>
      <c r="E38" s="8013"/>
      <c r="F38" s="1894" t="s">
        <v>5292</v>
      </c>
      <c r="G38" s="1893" t="s">
        <v>5293</v>
      </c>
      <c r="H38" s="1893" t="s">
        <v>5294</v>
      </c>
    </row>
    <row r="39" spans="1:8" ht="15" customHeight="1" x14ac:dyDescent="0.3">
      <c r="A39" s="6234">
        <v>29101396</v>
      </c>
      <c r="B39" s="7985"/>
      <c r="C39" s="8023"/>
      <c r="D39" s="8014" t="s">
        <v>1710</v>
      </c>
      <c r="E39" s="8015"/>
      <c r="F39" s="1892" t="s">
        <v>5292</v>
      </c>
      <c r="G39" s="1891" t="s">
        <v>5293</v>
      </c>
      <c r="H39" s="1891" t="s">
        <v>5294</v>
      </c>
    </row>
    <row r="40" spans="1:8" ht="15" customHeight="1" x14ac:dyDescent="0.3">
      <c r="A40" s="6234">
        <v>29101397</v>
      </c>
      <c r="B40" s="7985"/>
      <c r="C40" s="8023"/>
      <c r="D40" s="8014" t="s">
        <v>1709</v>
      </c>
      <c r="E40" s="8015"/>
      <c r="F40" s="1892" t="s">
        <v>5292</v>
      </c>
      <c r="G40" s="1891" t="s">
        <v>5293</v>
      </c>
      <c r="H40" s="1891" t="s">
        <v>5294</v>
      </c>
    </row>
    <row r="41" spans="1:8" ht="15" customHeight="1" x14ac:dyDescent="0.3">
      <c r="A41" s="6234">
        <v>29101398</v>
      </c>
      <c r="B41" s="7986"/>
      <c r="C41" s="8022"/>
      <c r="D41" s="8016" t="s">
        <v>1708</v>
      </c>
      <c r="E41" s="8017"/>
      <c r="F41" s="631" t="s">
        <v>5292</v>
      </c>
      <c r="G41" s="384" t="s">
        <v>5293</v>
      </c>
      <c r="H41" s="384" t="s">
        <v>5294</v>
      </c>
    </row>
    <row r="42" spans="1:8" ht="15" customHeight="1" x14ac:dyDescent="0.3">
      <c r="A42" s="6234">
        <v>29101399</v>
      </c>
      <c r="B42" s="7911" t="s">
        <v>1707</v>
      </c>
      <c r="C42" s="7911" t="s">
        <v>1706</v>
      </c>
      <c r="D42" s="8002" t="s">
        <v>1705</v>
      </c>
      <c r="E42" s="8004"/>
      <c r="F42" s="1889" t="s">
        <v>5292</v>
      </c>
      <c r="G42" s="1888" t="s">
        <v>5293</v>
      </c>
      <c r="H42" s="1888" t="s">
        <v>5294</v>
      </c>
    </row>
    <row r="43" spans="1:8" ht="20.399999999999999" x14ac:dyDescent="0.3">
      <c r="A43" s="6234">
        <v>29101400</v>
      </c>
      <c r="B43" s="7985"/>
      <c r="C43" s="7985"/>
      <c r="D43" s="7911" t="s">
        <v>1704</v>
      </c>
      <c r="E43" s="1900" t="s">
        <v>1703</v>
      </c>
      <c r="F43" s="1898" t="s">
        <v>5292</v>
      </c>
      <c r="G43" s="1897" t="s">
        <v>5293</v>
      </c>
      <c r="H43" s="1897" t="s">
        <v>5294</v>
      </c>
    </row>
    <row r="44" spans="1:8" ht="30.6" x14ac:dyDescent="0.3">
      <c r="A44" s="6234">
        <v>29101401</v>
      </c>
      <c r="B44" s="7985"/>
      <c r="C44" s="7985"/>
      <c r="D44" s="7986"/>
      <c r="E44" s="1899" t="s">
        <v>1702</v>
      </c>
      <c r="F44" s="1898" t="s">
        <v>5292</v>
      </c>
      <c r="G44" s="1897" t="s">
        <v>5293</v>
      </c>
      <c r="H44" s="1897" t="s">
        <v>5294</v>
      </c>
    </row>
    <row r="45" spans="1:8" ht="15" customHeight="1" x14ac:dyDescent="0.3">
      <c r="A45" s="6234">
        <v>29101402</v>
      </c>
      <c r="B45" s="7985"/>
      <c r="C45" s="7985"/>
      <c r="D45" s="7998" t="s">
        <v>1701</v>
      </c>
      <c r="E45" s="8000"/>
      <c r="F45" s="1894" t="s">
        <v>5292</v>
      </c>
      <c r="G45" s="1893" t="s">
        <v>5293</v>
      </c>
      <c r="H45" s="1893" t="s">
        <v>5294</v>
      </c>
    </row>
    <row r="46" spans="1:8" ht="15" customHeight="1" x14ac:dyDescent="0.3">
      <c r="A46" s="6234">
        <v>29101403</v>
      </c>
      <c r="B46" s="7985"/>
      <c r="C46" s="7985"/>
      <c r="D46" s="8001" t="s">
        <v>1700</v>
      </c>
      <c r="E46" s="7383"/>
      <c r="F46" s="1892" t="s">
        <v>5292</v>
      </c>
      <c r="G46" s="1891" t="s">
        <v>5293</v>
      </c>
      <c r="H46" s="1891" t="s">
        <v>5294</v>
      </c>
    </row>
    <row r="47" spans="1:8" ht="15" customHeight="1" x14ac:dyDescent="0.3">
      <c r="A47" s="6234">
        <v>29101404</v>
      </c>
      <c r="B47" s="7985"/>
      <c r="C47" s="7985"/>
      <c r="D47" s="8001" t="s">
        <v>1699</v>
      </c>
      <c r="E47" s="7383"/>
      <c r="F47" s="1892" t="s">
        <v>5292</v>
      </c>
      <c r="G47" s="1891" t="s">
        <v>5293</v>
      </c>
      <c r="H47" s="1891" t="s">
        <v>5294</v>
      </c>
    </row>
    <row r="48" spans="1:8" ht="15" customHeight="1" x14ac:dyDescent="0.3">
      <c r="A48" s="6234">
        <v>29101405</v>
      </c>
      <c r="B48" s="7986"/>
      <c r="C48" s="7986"/>
      <c r="D48" s="8002" t="s">
        <v>1698</v>
      </c>
      <c r="E48" s="8004"/>
      <c r="F48" s="631" t="s">
        <v>5292</v>
      </c>
      <c r="G48" s="384" t="s">
        <v>5293</v>
      </c>
      <c r="H48" s="384" t="s">
        <v>5294</v>
      </c>
    </row>
    <row r="49" spans="1:9" ht="15" customHeight="1" x14ac:dyDescent="0.3">
      <c r="A49" s="6234">
        <v>29101406</v>
      </c>
      <c r="B49" s="7911" t="s">
        <v>1697</v>
      </c>
      <c r="C49" s="7998" t="s">
        <v>1696</v>
      </c>
      <c r="D49" s="7999"/>
      <c r="E49" s="8000"/>
      <c r="F49" s="1896" t="s">
        <v>5292</v>
      </c>
      <c r="G49" s="1895" t="s">
        <v>5293</v>
      </c>
      <c r="H49" s="1895" t="s">
        <v>5294</v>
      </c>
    </row>
    <row r="50" spans="1:9" ht="15" customHeight="1" x14ac:dyDescent="0.3">
      <c r="A50" s="6234">
        <v>29101407</v>
      </c>
      <c r="B50" s="7985"/>
      <c r="C50" s="8001" t="s">
        <v>1695</v>
      </c>
      <c r="D50" s="7382"/>
      <c r="E50" s="7383"/>
      <c r="F50" s="1892" t="s">
        <v>5292</v>
      </c>
      <c r="G50" s="1891" t="s">
        <v>5293</v>
      </c>
      <c r="H50" s="1891" t="s">
        <v>5294</v>
      </c>
    </row>
    <row r="51" spans="1:9" ht="15" customHeight="1" x14ac:dyDescent="0.3">
      <c r="A51" s="6234">
        <v>29101408</v>
      </c>
      <c r="B51" s="7985"/>
      <c r="C51" s="8001" t="s">
        <v>1694</v>
      </c>
      <c r="D51" s="7382"/>
      <c r="E51" s="7383"/>
      <c r="F51" s="1892" t="s">
        <v>5292</v>
      </c>
      <c r="G51" s="1891" t="s">
        <v>5293</v>
      </c>
      <c r="H51" s="1891" t="s">
        <v>5294</v>
      </c>
    </row>
    <row r="52" spans="1:9" ht="15" customHeight="1" x14ac:dyDescent="0.3">
      <c r="A52" s="6234">
        <v>29101409</v>
      </c>
      <c r="B52" s="7986"/>
      <c r="C52" s="7393" t="s">
        <v>1693</v>
      </c>
      <c r="D52" s="7394"/>
      <c r="E52" s="7395"/>
      <c r="F52" s="631" t="s">
        <v>5292</v>
      </c>
      <c r="G52" s="384" t="s">
        <v>5293</v>
      </c>
      <c r="H52" s="384" t="s">
        <v>5294</v>
      </c>
    </row>
    <row r="53" spans="1:9" ht="15" customHeight="1" x14ac:dyDescent="0.3">
      <c r="A53" s="6234">
        <v>29101410</v>
      </c>
      <c r="B53" s="7985" t="s">
        <v>1610</v>
      </c>
      <c r="C53" s="8008" t="s">
        <v>1692</v>
      </c>
      <c r="D53" s="8009"/>
      <c r="E53" s="8010"/>
      <c r="F53" s="1894" t="s">
        <v>5292</v>
      </c>
      <c r="G53" s="1893" t="s">
        <v>5293</v>
      </c>
      <c r="H53" s="1893" t="s">
        <v>5294</v>
      </c>
    </row>
    <row r="54" spans="1:9" ht="15" customHeight="1" x14ac:dyDescent="0.3">
      <c r="A54" s="6234">
        <v>29101411</v>
      </c>
      <c r="B54" s="7986"/>
      <c r="C54" s="7393" t="s">
        <v>1691</v>
      </c>
      <c r="D54" s="7394"/>
      <c r="E54" s="7395"/>
      <c r="F54" s="631" t="s">
        <v>5292</v>
      </c>
      <c r="G54" s="384" t="s">
        <v>5293</v>
      </c>
      <c r="H54" s="384" t="s">
        <v>5294</v>
      </c>
    </row>
    <row r="55" spans="1:9" ht="15" customHeight="1" x14ac:dyDescent="0.3">
      <c r="A55" s="6234">
        <v>29101412</v>
      </c>
      <c r="B55" s="7911" t="s">
        <v>1690</v>
      </c>
      <c r="C55" s="7998" t="s">
        <v>1689</v>
      </c>
      <c r="D55" s="7999"/>
      <c r="E55" s="8000"/>
      <c r="F55" s="1894" t="s">
        <v>5292</v>
      </c>
      <c r="G55" s="1893" t="s">
        <v>5293</v>
      </c>
      <c r="H55" s="1893" t="s">
        <v>5294</v>
      </c>
    </row>
    <row r="56" spans="1:9" ht="15" customHeight="1" x14ac:dyDescent="0.3">
      <c r="A56" s="6234">
        <v>29101413</v>
      </c>
      <c r="B56" s="7985"/>
      <c r="C56" s="8001" t="s">
        <v>1688</v>
      </c>
      <c r="D56" s="7382"/>
      <c r="E56" s="7383"/>
      <c r="F56" s="1892" t="s">
        <v>5292</v>
      </c>
      <c r="G56" s="1891" t="s">
        <v>5293</v>
      </c>
      <c r="H56" s="1891" t="s">
        <v>5294</v>
      </c>
    </row>
    <row r="57" spans="1:9" ht="15" customHeight="1" x14ac:dyDescent="0.3">
      <c r="A57" s="6234">
        <v>29101414</v>
      </c>
      <c r="B57" s="7985"/>
      <c r="C57" s="8001" t="s">
        <v>1687</v>
      </c>
      <c r="D57" s="7382"/>
      <c r="E57" s="7383"/>
      <c r="F57" s="1892" t="s">
        <v>5292</v>
      </c>
      <c r="G57" s="1891" t="s">
        <v>5293</v>
      </c>
      <c r="H57" s="1891" t="s">
        <v>5294</v>
      </c>
    </row>
    <row r="58" spans="1:9" ht="15" customHeight="1" x14ac:dyDescent="0.3">
      <c r="A58" s="6234">
        <v>29101415</v>
      </c>
      <c r="B58" s="7985"/>
      <c r="C58" s="8001" t="s">
        <v>1686</v>
      </c>
      <c r="D58" s="7382"/>
      <c r="E58" s="7383"/>
      <c r="F58" s="1892" t="s">
        <v>5292</v>
      </c>
      <c r="G58" s="1891" t="s">
        <v>5293</v>
      </c>
      <c r="H58" s="1891" t="s">
        <v>5294</v>
      </c>
    </row>
    <row r="59" spans="1:9" ht="15" customHeight="1" x14ac:dyDescent="0.3">
      <c r="A59" s="6234">
        <v>29101416</v>
      </c>
      <c r="B59" s="7985"/>
      <c r="C59" s="8001" t="s">
        <v>1685</v>
      </c>
      <c r="D59" s="7382"/>
      <c r="E59" s="7383"/>
      <c r="F59" s="1892" t="s">
        <v>5292</v>
      </c>
      <c r="G59" s="1891" t="s">
        <v>5293</v>
      </c>
      <c r="H59" s="1891" t="s">
        <v>5294</v>
      </c>
    </row>
    <row r="60" spans="1:9" ht="15" customHeight="1" x14ac:dyDescent="0.3">
      <c r="A60" s="6234">
        <v>29101417</v>
      </c>
      <c r="B60" s="7986"/>
      <c r="C60" s="8002" t="s">
        <v>1684</v>
      </c>
      <c r="D60" s="8003"/>
      <c r="E60" s="8004"/>
      <c r="F60" s="631" t="s">
        <v>5292</v>
      </c>
      <c r="G60" s="384" t="s">
        <v>5293</v>
      </c>
      <c r="H60" s="384" t="s">
        <v>5294</v>
      </c>
    </row>
    <row r="61" spans="1:9" ht="15" customHeight="1" x14ac:dyDescent="0.3">
      <c r="A61" s="6234">
        <v>29101418</v>
      </c>
      <c r="B61" s="1890" t="s">
        <v>1683</v>
      </c>
      <c r="C61" s="8005" t="s">
        <v>1682</v>
      </c>
      <c r="D61" s="8006"/>
      <c r="E61" s="8007"/>
      <c r="F61" s="1889" t="s">
        <v>5292</v>
      </c>
      <c r="G61" s="1888" t="s">
        <v>5293</v>
      </c>
      <c r="H61" s="1888" t="s">
        <v>5294</v>
      </c>
    </row>
    <row r="62" spans="1:9" s="17" customFormat="1" ht="18" customHeight="1" x14ac:dyDescent="0.25">
      <c r="B62" s="7997" t="s">
        <v>1681</v>
      </c>
      <c r="C62" s="7997"/>
      <c r="D62" s="7997"/>
      <c r="E62" s="7997"/>
      <c r="F62" s="1872"/>
      <c r="G62" s="1872"/>
      <c r="H62" s="1872"/>
      <c r="I62" s="1872"/>
    </row>
    <row r="63" spans="1:9" ht="15" customHeight="1" x14ac:dyDescent="0.3">
      <c r="B63" s="1718" t="s">
        <v>1680</v>
      </c>
      <c r="C63" s="1887" t="s">
        <v>24</v>
      </c>
    </row>
    <row r="64" spans="1:9" ht="15" customHeight="1" x14ac:dyDescent="0.3">
      <c r="A64" s="6234">
        <v>25100700</v>
      </c>
      <c r="B64" s="1884" t="s">
        <v>1679</v>
      </c>
      <c r="C64" s="1881" t="s">
        <v>5292</v>
      </c>
    </row>
    <row r="65" spans="1:4" ht="15" customHeight="1" x14ac:dyDescent="0.3">
      <c r="A65" s="6234">
        <v>25100800</v>
      </c>
      <c r="B65" s="207" t="s">
        <v>1678</v>
      </c>
      <c r="C65" s="153" t="s">
        <v>5292</v>
      </c>
    </row>
    <row r="66" spans="1:4" ht="15" customHeight="1" x14ac:dyDescent="0.3">
      <c r="A66" s="6278"/>
      <c r="B66" s="1886" t="s">
        <v>24</v>
      </c>
      <c r="C66" s="1885" t="e">
        <f>SUM(C64+C65)</f>
        <v>#VALUE!</v>
      </c>
    </row>
    <row r="67" spans="1:4" s="17" customFormat="1" ht="18" customHeight="1" x14ac:dyDescent="0.25">
      <c r="B67" s="8032" t="s">
        <v>1677</v>
      </c>
      <c r="C67" s="8032"/>
      <c r="D67" s="8032"/>
    </row>
    <row r="68" spans="1:4" s="170" customFormat="1" ht="15" customHeight="1" x14ac:dyDescent="0.2">
      <c r="B68" s="1393" t="s">
        <v>1676</v>
      </c>
      <c r="C68" s="1714" t="s">
        <v>1640</v>
      </c>
      <c r="D68" s="1393" t="s">
        <v>24</v>
      </c>
    </row>
    <row r="69" spans="1:4" s="170" customFormat="1" ht="15" customHeight="1" x14ac:dyDescent="0.2">
      <c r="A69" s="6234">
        <v>25400080</v>
      </c>
      <c r="B69" s="6367" t="s">
        <v>1616</v>
      </c>
      <c r="C69" s="1884" t="s">
        <v>1675</v>
      </c>
      <c r="D69" s="1881" t="s">
        <v>5292</v>
      </c>
    </row>
    <row r="70" spans="1:4" s="170" customFormat="1" ht="15" customHeight="1" x14ac:dyDescent="0.2">
      <c r="A70" s="6234">
        <v>25400090</v>
      </c>
      <c r="B70" s="6349"/>
      <c r="C70" s="1883" t="s">
        <v>1674</v>
      </c>
      <c r="D70" s="1063" t="s">
        <v>5292</v>
      </c>
    </row>
    <row r="71" spans="1:4" s="170" customFormat="1" ht="15" customHeight="1" x14ac:dyDescent="0.2">
      <c r="A71" s="6234">
        <v>25400100</v>
      </c>
      <c r="B71" s="6349"/>
      <c r="C71" s="1076" t="s">
        <v>1671</v>
      </c>
      <c r="D71" s="158" t="s">
        <v>5292</v>
      </c>
    </row>
    <row r="72" spans="1:4" s="170" customFormat="1" ht="15" customHeight="1" x14ac:dyDescent="0.2">
      <c r="A72" s="6234">
        <v>29101419</v>
      </c>
      <c r="B72" s="6349"/>
      <c r="C72" s="1076" t="s">
        <v>1625</v>
      </c>
      <c r="D72" s="158" t="s">
        <v>5292</v>
      </c>
    </row>
    <row r="73" spans="1:4" s="170" customFormat="1" ht="15" customHeight="1" x14ac:dyDescent="0.2">
      <c r="A73" s="6234">
        <v>25400110</v>
      </c>
      <c r="B73" s="6367" t="s">
        <v>1614</v>
      </c>
      <c r="C73" s="1884" t="s">
        <v>1627</v>
      </c>
      <c r="D73" s="1881" t="s">
        <v>5292</v>
      </c>
    </row>
    <row r="74" spans="1:4" s="170" customFormat="1" ht="15" customHeight="1" x14ac:dyDescent="0.2">
      <c r="A74" s="6234">
        <v>25400122</v>
      </c>
      <c r="B74" s="6349"/>
      <c r="C74" s="1883" t="s">
        <v>1673</v>
      </c>
      <c r="D74" s="1063" t="s">
        <v>5292</v>
      </c>
    </row>
    <row r="75" spans="1:4" s="170" customFormat="1" ht="15" customHeight="1" x14ac:dyDescent="0.2">
      <c r="A75" s="6234">
        <v>25400124</v>
      </c>
      <c r="B75" s="6349"/>
      <c r="C75" s="1076" t="s">
        <v>1672</v>
      </c>
      <c r="D75" s="1063" t="s">
        <v>5292</v>
      </c>
    </row>
    <row r="76" spans="1:4" s="170" customFormat="1" ht="15" customHeight="1" x14ac:dyDescent="0.2">
      <c r="A76" s="6234">
        <v>25400130</v>
      </c>
      <c r="B76" s="6349"/>
      <c r="C76" s="1076" t="s">
        <v>1625</v>
      </c>
      <c r="D76" s="158" t="s">
        <v>5292</v>
      </c>
    </row>
    <row r="77" spans="1:4" s="170" customFormat="1" ht="15" customHeight="1" x14ac:dyDescent="0.2">
      <c r="A77" s="6234">
        <v>29101421</v>
      </c>
      <c r="B77" s="7995"/>
      <c r="C77" s="1076" t="s">
        <v>1671</v>
      </c>
      <c r="D77" s="158" t="s">
        <v>5292</v>
      </c>
    </row>
    <row r="78" spans="1:4" ht="20.399999999999999" x14ac:dyDescent="0.3">
      <c r="A78" s="6234">
        <v>25400140</v>
      </c>
      <c r="B78" s="6367" t="s">
        <v>1624</v>
      </c>
      <c r="C78" s="1882" t="s">
        <v>1670</v>
      </c>
      <c r="D78" s="1881" t="s">
        <v>5292</v>
      </c>
    </row>
    <row r="79" spans="1:4" ht="20.399999999999999" x14ac:dyDescent="0.3">
      <c r="A79" s="6234">
        <v>25400150</v>
      </c>
      <c r="B79" s="6349"/>
      <c r="C79" s="1076" t="s">
        <v>1669</v>
      </c>
      <c r="D79" s="1063" t="s">
        <v>5292</v>
      </c>
    </row>
    <row r="80" spans="1:4" s="170" customFormat="1" ht="15" customHeight="1" x14ac:dyDescent="0.2">
      <c r="A80" s="6234">
        <v>29101422</v>
      </c>
      <c r="B80" s="7995"/>
      <c r="C80" s="1880" t="s">
        <v>1625</v>
      </c>
      <c r="D80" s="1879" t="s">
        <v>5292</v>
      </c>
    </row>
    <row r="81" spans="1:13" s="170" customFormat="1" ht="15" customHeight="1" x14ac:dyDescent="0.2">
      <c r="A81" s="6234">
        <v>25400160</v>
      </c>
      <c r="B81" s="8039" t="s">
        <v>1623</v>
      </c>
      <c r="C81" s="8040"/>
      <c r="D81" s="1879" t="s">
        <v>5292</v>
      </c>
    </row>
    <row r="82" spans="1:13" s="17" customFormat="1" ht="18" customHeight="1" x14ac:dyDescent="0.25">
      <c r="B82" s="8031" t="s">
        <v>1668</v>
      </c>
      <c r="C82" s="8031"/>
      <c r="D82" s="8031"/>
      <c r="E82" s="8031"/>
      <c r="F82" s="8031"/>
      <c r="G82" s="8031"/>
      <c r="H82" s="8031"/>
      <c r="I82" s="8031"/>
      <c r="J82" s="1872"/>
    </row>
    <row r="83" spans="1:13" ht="15" customHeight="1" x14ac:dyDescent="0.3">
      <c r="B83" s="8041" t="s">
        <v>1663</v>
      </c>
      <c r="C83" s="8041"/>
      <c r="D83" s="8033" t="s">
        <v>1662</v>
      </c>
      <c r="E83" s="8033" t="s">
        <v>1634</v>
      </c>
      <c r="F83" s="8035" t="s">
        <v>1614</v>
      </c>
      <c r="G83" s="8036"/>
      <c r="H83" s="8036"/>
      <c r="I83" s="8036" t="s">
        <v>1623</v>
      </c>
    </row>
    <row r="84" spans="1:13" ht="15" customHeight="1" x14ac:dyDescent="0.3">
      <c r="B84" s="8041"/>
      <c r="C84" s="8041"/>
      <c r="D84" s="8034"/>
      <c r="E84" s="8034"/>
      <c r="F84" s="1848" t="s">
        <v>1627</v>
      </c>
      <c r="G84" s="1847" t="s">
        <v>1635</v>
      </c>
      <c r="H84" s="1846" t="s">
        <v>1625</v>
      </c>
      <c r="I84" s="8035"/>
    </row>
    <row r="85" spans="1:13" ht="15" customHeight="1" x14ac:dyDescent="0.3">
      <c r="A85" s="6234">
        <v>25400170</v>
      </c>
      <c r="B85" s="8037" t="s">
        <v>1667</v>
      </c>
      <c r="C85" s="8038"/>
      <c r="D85" s="8927" t="s">
        <v>5292</v>
      </c>
      <c r="E85" s="8927" t="s">
        <v>5293</v>
      </c>
      <c r="F85" s="8928" t="s">
        <v>5294</v>
      </c>
      <c r="G85" s="8929" t="s">
        <v>5295</v>
      </c>
      <c r="H85" s="8930" t="s">
        <v>5296</v>
      </c>
      <c r="I85" s="8930" t="s">
        <v>5297</v>
      </c>
    </row>
    <row r="86" spans="1:13" ht="15" customHeight="1" x14ac:dyDescent="0.3">
      <c r="A86" s="6234">
        <v>25400190</v>
      </c>
      <c r="B86" s="7497" t="s">
        <v>1661</v>
      </c>
      <c r="C86" s="7254"/>
      <c r="D86" s="8931" t="s">
        <v>5292</v>
      </c>
      <c r="E86" s="8931" t="s">
        <v>5293</v>
      </c>
      <c r="F86" s="8932" t="s">
        <v>5294</v>
      </c>
      <c r="G86" s="8933" t="s">
        <v>5295</v>
      </c>
      <c r="H86" s="8934" t="s">
        <v>5296</v>
      </c>
      <c r="I86" s="8934" t="s">
        <v>5297</v>
      </c>
    </row>
    <row r="87" spans="1:13" ht="15" customHeight="1" x14ac:dyDescent="0.3">
      <c r="A87" s="6234">
        <v>29101423</v>
      </c>
      <c r="B87" s="7497" t="s">
        <v>1666</v>
      </c>
      <c r="C87" s="7254"/>
      <c r="D87" s="8935" t="s">
        <v>5292</v>
      </c>
      <c r="E87" s="8935" t="s">
        <v>5293</v>
      </c>
      <c r="F87" s="8936" t="s">
        <v>5294</v>
      </c>
      <c r="G87" s="8937" t="s">
        <v>5295</v>
      </c>
      <c r="H87" s="8938" t="s">
        <v>5296</v>
      </c>
      <c r="I87" s="8938" t="s">
        <v>5297</v>
      </c>
    </row>
    <row r="88" spans="1:13" ht="15" customHeight="1" x14ac:dyDescent="0.3">
      <c r="A88" s="6234">
        <v>29101424</v>
      </c>
      <c r="B88" s="7497" t="s">
        <v>1665</v>
      </c>
      <c r="C88" s="7254"/>
      <c r="D88" s="8935" t="s">
        <v>5292</v>
      </c>
      <c r="E88" s="8935" t="s">
        <v>5293</v>
      </c>
      <c r="F88" s="8936" t="s">
        <v>5294</v>
      </c>
      <c r="G88" s="8937" t="s">
        <v>5295</v>
      </c>
      <c r="H88" s="8938" t="s">
        <v>5296</v>
      </c>
      <c r="I88" s="8938" t="s">
        <v>5297</v>
      </c>
    </row>
    <row r="89" spans="1:13" ht="15" customHeight="1" x14ac:dyDescent="0.3">
      <c r="A89" s="6234">
        <v>25505000</v>
      </c>
      <c r="B89" s="7366" t="s">
        <v>28</v>
      </c>
      <c r="C89" s="6620"/>
      <c r="D89" s="8718" t="s">
        <v>5292</v>
      </c>
      <c r="E89" s="8718" t="s">
        <v>5293</v>
      </c>
      <c r="F89" s="8722" t="s">
        <v>5294</v>
      </c>
      <c r="G89" s="8939" t="s">
        <v>5295</v>
      </c>
      <c r="H89" s="8719" t="s">
        <v>5296</v>
      </c>
      <c r="I89" s="8719" t="s">
        <v>5297</v>
      </c>
    </row>
    <row r="90" spans="1:13" ht="15" customHeight="1" x14ac:dyDescent="0.3">
      <c r="A90" s="6278"/>
      <c r="B90" s="8042" t="s">
        <v>24</v>
      </c>
      <c r="C90" s="8042"/>
      <c r="D90" s="1690">
        <f t="shared" ref="D90:I90" si="1">SUM(D85:D89)</f>
        <v>0</v>
      </c>
      <c r="E90" s="1690">
        <f t="shared" si="1"/>
        <v>0</v>
      </c>
      <c r="F90" s="1830">
        <f t="shared" si="1"/>
        <v>0</v>
      </c>
      <c r="G90" s="1829">
        <f t="shared" si="1"/>
        <v>0</v>
      </c>
      <c r="H90" s="1873">
        <f t="shared" si="1"/>
        <v>0</v>
      </c>
      <c r="I90" s="1773">
        <f t="shared" si="1"/>
        <v>0</v>
      </c>
    </row>
    <row r="91" spans="1:13" ht="15" customHeight="1" x14ac:dyDescent="0.3">
      <c r="B91" s="1844" t="s">
        <v>1633</v>
      </c>
    </row>
    <row r="92" spans="1:13" s="17" customFormat="1" ht="18" customHeight="1" x14ac:dyDescent="0.25">
      <c r="B92" s="8031" t="s">
        <v>1664</v>
      </c>
      <c r="C92" s="8031"/>
      <c r="D92" s="8031"/>
      <c r="E92" s="8031"/>
      <c r="F92" s="8031"/>
      <c r="G92" s="8031"/>
      <c r="H92" s="8031"/>
      <c r="I92" s="8031"/>
      <c r="J92" s="1872"/>
      <c r="K92" s="1872"/>
      <c r="L92" s="1872"/>
      <c r="M92" s="1872"/>
    </row>
    <row r="93" spans="1:13" ht="15" customHeight="1" x14ac:dyDescent="0.3">
      <c r="B93" s="8041" t="s">
        <v>1663</v>
      </c>
      <c r="C93" s="8041"/>
      <c r="D93" s="8033" t="s">
        <v>1662</v>
      </c>
      <c r="E93" s="8033" t="s">
        <v>1634</v>
      </c>
      <c r="F93" s="8035" t="s">
        <v>1614</v>
      </c>
      <c r="G93" s="8036"/>
      <c r="H93" s="8036"/>
      <c r="I93" s="8036" t="s">
        <v>1623</v>
      </c>
    </row>
    <row r="94" spans="1:13" ht="15" customHeight="1" x14ac:dyDescent="0.3">
      <c r="B94" s="8041"/>
      <c r="C94" s="8041"/>
      <c r="D94" s="8034"/>
      <c r="E94" s="8034"/>
      <c r="F94" s="1848" t="s">
        <v>1627</v>
      </c>
      <c r="G94" s="1847" t="s">
        <v>1635</v>
      </c>
      <c r="H94" s="1846" t="s">
        <v>1625</v>
      </c>
      <c r="I94" s="8035"/>
    </row>
    <row r="95" spans="1:13" ht="15" customHeight="1" x14ac:dyDescent="0.3">
      <c r="A95" s="6234" t="s">
        <v>5215</v>
      </c>
      <c r="B95" s="8037" t="s">
        <v>1661</v>
      </c>
      <c r="C95" s="8038"/>
      <c r="D95" s="8927" t="s">
        <v>5292</v>
      </c>
      <c r="E95" s="8927" t="s">
        <v>5293</v>
      </c>
      <c r="F95" s="8940" t="s">
        <v>5294</v>
      </c>
      <c r="G95" s="8929" t="s">
        <v>5295</v>
      </c>
      <c r="H95" s="8941" t="s">
        <v>5296</v>
      </c>
      <c r="I95" s="8930" t="s">
        <v>5297</v>
      </c>
    </row>
    <row r="96" spans="1:13" ht="15" customHeight="1" x14ac:dyDescent="0.3">
      <c r="A96" s="6234">
        <v>25502300</v>
      </c>
      <c r="B96" s="7497" t="s">
        <v>1660</v>
      </c>
      <c r="C96" s="7254"/>
      <c r="D96" s="8749" t="s">
        <v>5292</v>
      </c>
      <c r="E96" s="8749" t="s">
        <v>5293</v>
      </c>
      <c r="F96" s="8745" t="s">
        <v>5294</v>
      </c>
      <c r="G96" s="8890" t="s">
        <v>5295</v>
      </c>
      <c r="H96" s="8744" t="s">
        <v>5296</v>
      </c>
      <c r="I96" s="8746" t="s">
        <v>5297</v>
      </c>
    </row>
    <row r="97" spans="1:10" ht="15" customHeight="1" x14ac:dyDescent="0.3">
      <c r="A97" s="6234">
        <v>25502400</v>
      </c>
      <c r="B97" s="7462" t="s">
        <v>1659</v>
      </c>
      <c r="C97" s="7400"/>
      <c r="D97" s="8749" t="s">
        <v>5292</v>
      </c>
      <c r="E97" s="8749" t="s">
        <v>5293</v>
      </c>
      <c r="F97" s="8745" t="s">
        <v>5294</v>
      </c>
      <c r="G97" s="8890" t="s">
        <v>5295</v>
      </c>
      <c r="H97" s="8744" t="s">
        <v>5296</v>
      </c>
      <c r="I97" s="8746" t="s">
        <v>5297</v>
      </c>
    </row>
    <row r="98" spans="1:10" ht="15" customHeight="1" x14ac:dyDescent="0.3">
      <c r="A98" s="6234">
        <v>25502500</v>
      </c>
      <c r="B98" s="7497" t="s">
        <v>1658</v>
      </c>
      <c r="C98" s="7254"/>
      <c r="D98" s="8749" t="s">
        <v>5292</v>
      </c>
      <c r="E98" s="8749" t="s">
        <v>5293</v>
      </c>
      <c r="F98" s="8745" t="s">
        <v>5294</v>
      </c>
      <c r="G98" s="8890" t="s">
        <v>5295</v>
      </c>
      <c r="H98" s="8744" t="s">
        <v>5296</v>
      </c>
      <c r="I98" s="8746" t="s">
        <v>5297</v>
      </c>
    </row>
    <row r="99" spans="1:10" ht="15" customHeight="1" x14ac:dyDescent="0.3">
      <c r="A99" s="6234">
        <v>25502600</v>
      </c>
      <c r="B99" s="7334" t="s">
        <v>28</v>
      </c>
      <c r="C99" s="7336"/>
      <c r="D99" s="8718" t="s">
        <v>5292</v>
      </c>
      <c r="E99" s="8727" t="s">
        <v>5293</v>
      </c>
      <c r="F99" s="8724" t="s">
        <v>5294</v>
      </c>
      <c r="G99" s="8939" t="s">
        <v>5295</v>
      </c>
      <c r="H99" s="8723" t="s">
        <v>5296</v>
      </c>
      <c r="I99" s="8719" t="s">
        <v>5297</v>
      </c>
    </row>
    <row r="100" spans="1:10" ht="15" customHeight="1" x14ac:dyDescent="0.3">
      <c r="A100" s="6278"/>
      <c r="B100" s="8042" t="s">
        <v>24</v>
      </c>
      <c r="C100" s="8042"/>
      <c r="D100" s="1690">
        <f t="shared" ref="D100:I100" si="2">SUM(D95:D99)</f>
        <v>0</v>
      </c>
      <c r="E100" s="1773">
        <f t="shared" si="2"/>
        <v>0</v>
      </c>
      <c r="F100" s="1830">
        <f t="shared" si="2"/>
        <v>0</v>
      </c>
      <c r="G100" s="1676">
        <f t="shared" si="2"/>
        <v>0</v>
      </c>
      <c r="H100" s="1402">
        <f t="shared" si="2"/>
        <v>0</v>
      </c>
      <c r="I100" s="1402">
        <f t="shared" si="2"/>
        <v>0</v>
      </c>
    </row>
    <row r="101" spans="1:10" ht="15" customHeight="1" x14ac:dyDescent="0.3">
      <c r="B101" s="1844" t="s">
        <v>1633</v>
      </c>
    </row>
    <row r="102" spans="1:10" ht="18" customHeight="1" x14ac:dyDescent="0.3">
      <c r="B102" s="8031" t="s">
        <v>1657</v>
      </c>
      <c r="C102" s="8031"/>
      <c r="D102" s="8031"/>
      <c r="E102" s="8031"/>
      <c r="F102" s="8031"/>
      <c r="G102" s="8031"/>
      <c r="H102" s="8031"/>
      <c r="I102" s="8031"/>
      <c r="J102" s="8031"/>
    </row>
    <row r="103" spans="1:10" ht="40.799999999999997" x14ac:dyDescent="0.3">
      <c r="B103" s="8050" t="s">
        <v>437</v>
      </c>
      <c r="C103" s="8051"/>
      <c r="D103" s="1849" t="s">
        <v>24</v>
      </c>
      <c r="E103" s="1848" t="s">
        <v>1654</v>
      </c>
      <c r="F103" s="1847" t="s">
        <v>1653</v>
      </c>
      <c r="G103" s="1847" t="s">
        <v>1652</v>
      </c>
      <c r="H103" s="1847" t="s">
        <v>1651</v>
      </c>
      <c r="I103" s="1869" t="s">
        <v>1650</v>
      </c>
      <c r="J103" s="1868" t="s">
        <v>1656</v>
      </c>
    </row>
    <row r="104" spans="1:10" s="170" customFormat="1" ht="15" customHeight="1" x14ac:dyDescent="0.2">
      <c r="A104" s="6234">
        <v>25502700</v>
      </c>
      <c r="B104" s="8043" t="s">
        <v>1636</v>
      </c>
      <c r="C104" s="8044"/>
      <c r="D104" s="8942" t="s">
        <v>5292</v>
      </c>
      <c r="E104" s="8943" t="s">
        <v>5293</v>
      </c>
      <c r="F104" s="8944" t="s">
        <v>5294</v>
      </c>
      <c r="G104" s="8944" t="s">
        <v>5295</v>
      </c>
      <c r="H104" s="8944" t="s">
        <v>5296</v>
      </c>
      <c r="I104" s="8944" t="s">
        <v>5297</v>
      </c>
      <c r="J104" s="8945" t="s">
        <v>5298</v>
      </c>
    </row>
    <row r="105" spans="1:10" s="170" customFormat="1" ht="15" customHeight="1" x14ac:dyDescent="0.2">
      <c r="A105" s="6234">
        <v>25502800</v>
      </c>
      <c r="B105" s="6367" t="s">
        <v>1614</v>
      </c>
      <c r="C105" s="1840" t="s">
        <v>1627</v>
      </c>
      <c r="D105" s="1884" t="s">
        <v>5292</v>
      </c>
      <c r="E105" s="8946" t="s">
        <v>5293</v>
      </c>
      <c r="F105" s="8947" t="s">
        <v>5294</v>
      </c>
      <c r="G105" s="8947" t="s">
        <v>5295</v>
      </c>
      <c r="H105" s="8947" t="s">
        <v>5296</v>
      </c>
      <c r="I105" s="8947" t="s">
        <v>5297</v>
      </c>
      <c r="J105" s="8948" t="s">
        <v>5298</v>
      </c>
    </row>
    <row r="106" spans="1:10" s="170" customFormat="1" ht="15" customHeight="1" x14ac:dyDescent="0.2">
      <c r="A106" s="6234">
        <v>25502900</v>
      </c>
      <c r="B106" s="6349"/>
      <c r="C106" s="1711" t="s">
        <v>1635</v>
      </c>
      <c r="D106" s="1076" t="s">
        <v>5292</v>
      </c>
      <c r="E106" s="8932" t="s">
        <v>5293</v>
      </c>
      <c r="F106" s="8933" t="s">
        <v>5294</v>
      </c>
      <c r="G106" s="8933" t="s">
        <v>5295</v>
      </c>
      <c r="H106" s="8933" t="s">
        <v>5296</v>
      </c>
      <c r="I106" s="8933" t="s">
        <v>5297</v>
      </c>
      <c r="J106" s="8948" t="s">
        <v>5298</v>
      </c>
    </row>
    <row r="107" spans="1:10" s="170" customFormat="1" ht="15" customHeight="1" x14ac:dyDescent="0.2">
      <c r="A107" s="6234">
        <v>25503000</v>
      </c>
      <c r="B107" s="7995"/>
      <c r="C107" s="1837" t="s">
        <v>1625</v>
      </c>
      <c r="D107" s="207" t="s">
        <v>5292</v>
      </c>
      <c r="E107" s="8949" t="s">
        <v>5293</v>
      </c>
      <c r="F107" s="8950" t="s">
        <v>5294</v>
      </c>
      <c r="G107" s="8950" t="s">
        <v>5295</v>
      </c>
      <c r="H107" s="8950" t="s">
        <v>5296</v>
      </c>
      <c r="I107" s="8950" t="s">
        <v>5297</v>
      </c>
      <c r="J107" s="8951" t="s">
        <v>5298</v>
      </c>
    </row>
    <row r="108" spans="1:10" s="170" customFormat="1" ht="15" customHeight="1" x14ac:dyDescent="0.2">
      <c r="A108" s="6234">
        <v>25503100</v>
      </c>
      <c r="B108" s="8037" t="s">
        <v>1634</v>
      </c>
      <c r="C108" s="8038"/>
      <c r="D108" s="1884" t="s">
        <v>5292</v>
      </c>
      <c r="E108" s="8946" t="s">
        <v>5293</v>
      </c>
      <c r="F108" s="8947" t="s">
        <v>5294</v>
      </c>
      <c r="G108" s="8947" t="s">
        <v>5295</v>
      </c>
      <c r="H108" s="8947" t="s">
        <v>5296</v>
      </c>
      <c r="I108" s="8947" t="s">
        <v>5297</v>
      </c>
      <c r="J108" s="1871" t="s">
        <v>5298</v>
      </c>
    </row>
    <row r="109" spans="1:10" s="170" customFormat="1" ht="15" customHeight="1" x14ac:dyDescent="0.2">
      <c r="A109" s="6234">
        <v>25503200</v>
      </c>
      <c r="B109" s="8048" t="s">
        <v>1623</v>
      </c>
      <c r="C109" s="8049"/>
      <c r="D109" s="6228" t="s">
        <v>5292</v>
      </c>
      <c r="E109" s="8722" t="s">
        <v>5293</v>
      </c>
      <c r="F109" s="8939" t="s">
        <v>5294</v>
      </c>
      <c r="G109" s="8939" t="s">
        <v>5295</v>
      </c>
      <c r="H109" s="8939" t="s">
        <v>5296</v>
      </c>
      <c r="I109" s="8939" t="s">
        <v>5297</v>
      </c>
      <c r="J109" s="1870" t="s">
        <v>5298</v>
      </c>
    </row>
    <row r="110" spans="1:10" ht="15" customHeight="1" x14ac:dyDescent="0.3">
      <c r="B110" s="1844" t="s">
        <v>1633</v>
      </c>
    </row>
    <row r="111" spans="1:10" s="17" customFormat="1" ht="18" customHeight="1" x14ac:dyDescent="0.25">
      <c r="B111" s="8047" t="s">
        <v>1655</v>
      </c>
      <c r="C111" s="8047"/>
      <c r="D111" s="8047"/>
      <c r="E111" s="8047"/>
      <c r="F111" s="8047"/>
      <c r="G111" s="8047"/>
      <c r="H111" s="8047"/>
      <c r="I111" s="8047"/>
      <c r="J111" s="8047"/>
    </row>
    <row r="112" spans="1:10" ht="40.799999999999997" x14ac:dyDescent="0.3">
      <c r="B112" s="8050" t="s">
        <v>437</v>
      </c>
      <c r="C112" s="8051"/>
      <c r="D112" s="1849" t="s">
        <v>24</v>
      </c>
      <c r="E112" s="1848" t="s">
        <v>1654</v>
      </c>
      <c r="F112" s="1847" t="s">
        <v>1653</v>
      </c>
      <c r="G112" s="1847" t="s">
        <v>1652</v>
      </c>
      <c r="H112" s="1847" t="s">
        <v>1651</v>
      </c>
      <c r="I112" s="1869" t="s">
        <v>1650</v>
      </c>
      <c r="J112" s="1868" t="s">
        <v>1628</v>
      </c>
    </row>
    <row r="113" spans="1:10" ht="15" customHeight="1" x14ac:dyDescent="0.3">
      <c r="A113" s="6234">
        <v>25503300</v>
      </c>
      <c r="B113" s="8043" t="s">
        <v>1636</v>
      </c>
      <c r="C113" s="8044"/>
      <c r="D113" s="1867" t="s">
        <v>5292</v>
      </c>
      <c r="E113" s="1866" t="s">
        <v>5293</v>
      </c>
      <c r="F113" s="1865" t="s">
        <v>5294</v>
      </c>
      <c r="G113" s="1865" t="s">
        <v>5295</v>
      </c>
      <c r="H113" s="1865" t="s">
        <v>5296</v>
      </c>
      <c r="I113" s="1865" t="s">
        <v>5297</v>
      </c>
      <c r="J113" s="1864" t="s">
        <v>5298</v>
      </c>
    </row>
    <row r="114" spans="1:10" ht="15" customHeight="1" x14ac:dyDescent="0.3">
      <c r="A114" s="6234">
        <v>25503400</v>
      </c>
      <c r="B114" s="6367" t="s">
        <v>1614</v>
      </c>
      <c r="C114" s="1840" t="s">
        <v>1627</v>
      </c>
      <c r="D114" s="1863" t="s">
        <v>5292</v>
      </c>
      <c r="E114" s="1862" t="s">
        <v>5293</v>
      </c>
      <c r="F114" s="1861" t="s">
        <v>5294</v>
      </c>
      <c r="G114" s="1861" t="s">
        <v>5295</v>
      </c>
      <c r="H114" s="1861" t="s">
        <v>5296</v>
      </c>
      <c r="I114" s="1861" t="s">
        <v>5297</v>
      </c>
      <c r="J114" s="1860" t="s">
        <v>5298</v>
      </c>
    </row>
    <row r="115" spans="1:10" ht="15" customHeight="1" x14ac:dyDescent="0.3">
      <c r="A115" s="6234">
        <v>25503500</v>
      </c>
      <c r="B115" s="6349"/>
      <c r="C115" s="1711" t="s">
        <v>1635</v>
      </c>
      <c r="D115" s="1087" t="s">
        <v>5292</v>
      </c>
      <c r="E115" s="1862" t="s">
        <v>5293</v>
      </c>
      <c r="F115" s="1861" t="s">
        <v>5294</v>
      </c>
      <c r="G115" s="1861" t="s">
        <v>5295</v>
      </c>
      <c r="H115" s="1861" t="s">
        <v>5296</v>
      </c>
      <c r="I115" s="1861" t="s">
        <v>5297</v>
      </c>
      <c r="J115" s="1860" t="s">
        <v>5298</v>
      </c>
    </row>
    <row r="116" spans="1:10" ht="15" customHeight="1" x14ac:dyDescent="0.3">
      <c r="A116" s="6234">
        <v>25503600</v>
      </c>
      <c r="B116" s="7995"/>
      <c r="C116" s="1837" t="s">
        <v>1625</v>
      </c>
      <c r="D116" s="388" t="s">
        <v>5292</v>
      </c>
      <c r="E116" s="1858" t="s">
        <v>5293</v>
      </c>
      <c r="F116" s="1857" t="s">
        <v>5294</v>
      </c>
      <c r="G116" s="1857" t="s">
        <v>5295</v>
      </c>
      <c r="H116" s="1857" t="s">
        <v>5296</v>
      </c>
      <c r="I116" s="1857" t="s">
        <v>5297</v>
      </c>
      <c r="J116" s="1856" t="s">
        <v>5298</v>
      </c>
    </row>
    <row r="117" spans="1:10" ht="15" customHeight="1" x14ac:dyDescent="0.3">
      <c r="A117" s="6234">
        <v>25503700</v>
      </c>
      <c r="B117" s="8037" t="s">
        <v>1634</v>
      </c>
      <c r="C117" s="8038"/>
      <c r="D117" s="1863" t="s">
        <v>5292</v>
      </c>
      <c r="E117" s="1862" t="s">
        <v>5293</v>
      </c>
      <c r="F117" s="1861" t="s">
        <v>5294</v>
      </c>
      <c r="G117" s="1861" t="s">
        <v>5295</v>
      </c>
      <c r="H117" s="1861" t="s">
        <v>5296</v>
      </c>
      <c r="I117" s="1861" t="s">
        <v>5297</v>
      </c>
      <c r="J117" s="1860" t="s">
        <v>5298</v>
      </c>
    </row>
    <row r="118" spans="1:10" ht="15" customHeight="1" x14ac:dyDescent="0.3">
      <c r="A118" s="6234">
        <v>25503800</v>
      </c>
      <c r="B118" s="8048" t="s">
        <v>1623</v>
      </c>
      <c r="C118" s="8049"/>
      <c r="D118" s="1859" t="s">
        <v>5292</v>
      </c>
      <c r="E118" s="1858" t="s">
        <v>5293</v>
      </c>
      <c r="F118" s="1857" t="s">
        <v>5294</v>
      </c>
      <c r="G118" s="1857" t="s">
        <v>5295</v>
      </c>
      <c r="H118" s="1857" t="s">
        <v>5296</v>
      </c>
      <c r="I118" s="1857" t="s">
        <v>5297</v>
      </c>
      <c r="J118" s="1856" t="s">
        <v>5298</v>
      </c>
    </row>
    <row r="119" spans="1:10" ht="15" customHeight="1" x14ac:dyDescent="0.3">
      <c r="B119" s="1844" t="s">
        <v>1633</v>
      </c>
    </row>
    <row r="120" spans="1:10" s="17" customFormat="1" ht="18" customHeight="1" x14ac:dyDescent="0.25">
      <c r="B120" s="8046" t="s">
        <v>1649</v>
      </c>
      <c r="C120" s="8046"/>
      <c r="D120" s="1855"/>
      <c r="E120" s="1855"/>
      <c r="F120" s="1855"/>
    </row>
    <row r="121" spans="1:10" ht="20.399999999999999" x14ac:dyDescent="0.3">
      <c r="B121" s="1853" t="s">
        <v>1647</v>
      </c>
      <c r="C121" s="1853" t="s">
        <v>1648</v>
      </c>
    </row>
    <row r="122" spans="1:10" ht="15" customHeight="1" x14ac:dyDescent="0.3">
      <c r="A122" s="6234">
        <v>25503900</v>
      </c>
      <c r="B122" s="1711" t="s">
        <v>1646</v>
      </c>
      <c r="C122" s="1852" t="s">
        <v>5292</v>
      </c>
    </row>
    <row r="123" spans="1:10" ht="15" customHeight="1" x14ac:dyDescent="0.3">
      <c r="A123" s="6234">
        <v>25504000</v>
      </c>
      <c r="B123" s="1711" t="s">
        <v>1645</v>
      </c>
      <c r="C123" s="1384" t="s">
        <v>5292</v>
      </c>
    </row>
    <row r="124" spans="1:10" ht="15" customHeight="1" x14ac:dyDescent="0.3">
      <c r="A124" s="6234">
        <v>25504100</v>
      </c>
      <c r="B124" s="1711" t="s">
        <v>1644</v>
      </c>
      <c r="C124" s="1384" t="s">
        <v>5292</v>
      </c>
    </row>
    <row r="125" spans="1:10" ht="15" customHeight="1" x14ac:dyDescent="0.3">
      <c r="A125" s="6234">
        <v>25504200</v>
      </c>
      <c r="B125" s="1711" t="s">
        <v>1643</v>
      </c>
      <c r="C125" s="1384" t="s">
        <v>5292</v>
      </c>
    </row>
    <row r="126" spans="1:10" ht="15" customHeight="1" x14ac:dyDescent="0.3">
      <c r="A126" s="6234">
        <v>25504300</v>
      </c>
      <c r="B126" s="1837" t="s">
        <v>1642</v>
      </c>
      <c r="C126" s="1851" t="s">
        <v>5292</v>
      </c>
    </row>
    <row r="127" spans="1:10" s="17" customFormat="1" ht="18" customHeight="1" x14ac:dyDescent="0.3">
      <c r="A127"/>
      <c r="B127" s="8045" t="s">
        <v>1742</v>
      </c>
      <c r="C127" s="8045"/>
      <c r="D127" s="1854"/>
      <c r="E127" s="1854"/>
    </row>
    <row r="128" spans="1:10" ht="20.399999999999999" x14ac:dyDescent="0.3">
      <c r="B128" s="1853" t="s">
        <v>1647</v>
      </c>
      <c r="C128" s="1853" t="s">
        <v>1743</v>
      </c>
    </row>
    <row r="129" spans="1:10" x14ac:dyDescent="0.3">
      <c r="A129" s="6234">
        <v>25504400</v>
      </c>
      <c r="B129" s="1711" t="s">
        <v>1646</v>
      </c>
      <c r="C129" s="1852" t="s">
        <v>5292</v>
      </c>
    </row>
    <row r="130" spans="1:10" x14ac:dyDescent="0.3">
      <c r="A130" s="6234">
        <v>25504500</v>
      </c>
      <c r="B130" s="1711" t="s">
        <v>1645</v>
      </c>
      <c r="C130" s="1384" t="s">
        <v>5292</v>
      </c>
    </row>
    <row r="131" spans="1:10" x14ac:dyDescent="0.3">
      <c r="A131" s="6234">
        <v>25504600</v>
      </c>
      <c r="B131" s="1711" t="s">
        <v>1644</v>
      </c>
      <c r="C131" s="1384" t="s">
        <v>5292</v>
      </c>
    </row>
    <row r="132" spans="1:10" x14ac:dyDescent="0.3">
      <c r="A132" s="6234">
        <v>25504700</v>
      </c>
      <c r="B132" s="1711" t="s">
        <v>1643</v>
      </c>
      <c r="C132" s="1384" t="s">
        <v>5292</v>
      </c>
    </row>
    <row r="133" spans="1:10" x14ac:dyDescent="0.3">
      <c r="A133" s="6234">
        <v>25504800</v>
      </c>
      <c r="B133" s="1837" t="s">
        <v>1642</v>
      </c>
      <c r="C133" s="1851" t="s">
        <v>5292</v>
      </c>
    </row>
    <row r="134" spans="1:10" s="17" customFormat="1" ht="18" customHeight="1" x14ac:dyDescent="0.25">
      <c r="B134" s="1850" t="s">
        <v>1641</v>
      </c>
    </row>
    <row r="135" spans="1:10" x14ac:dyDescent="0.3">
      <c r="B135" s="8050" t="s">
        <v>1640</v>
      </c>
      <c r="C135" s="8051"/>
      <c r="D135" s="1849" t="s">
        <v>24</v>
      </c>
      <c r="E135" s="1848" t="s">
        <v>1639</v>
      </c>
      <c r="F135" s="1847" t="s">
        <v>1638</v>
      </c>
      <c r="G135" s="1846" t="s">
        <v>1637</v>
      </c>
    </row>
    <row r="136" spans="1:10" x14ac:dyDescent="0.3">
      <c r="A136" s="6234">
        <v>25400270</v>
      </c>
      <c r="B136" s="8043" t="s">
        <v>1636</v>
      </c>
      <c r="C136" s="8044"/>
      <c r="D136" s="8952" t="s">
        <v>5292</v>
      </c>
      <c r="E136" s="8953" t="s">
        <v>5293</v>
      </c>
      <c r="F136" s="8954" t="s">
        <v>5294</v>
      </c>
      <c r="G136" s="8955" t="s">
        <v>5295</v>
      </c>
    </row>
    <row r="137" spans="1:10" x14ac:dyDescent="0.3">
      <c r="A137" s="6234">
        <v>25400280</v>
      </c>
      <c r="B137" s="6367" t="s">
        <v>1614</v>
      </c>
      <c r="C137" s="1840" t="s">
        <v>1627</v>
      </c>
      <c r="D137" s="1840" t="s">
        <v>5292</v>
      </c>
      <c r="E137" s="8928" t="s">
        <v>5293</v>
      </c>
      <c r="F137" s="8929" t="s">
        <v>5294</v>
      </c>
      <c r="G137" s="8930" t="s">
        <v>5295</v>
      </c>
    </row>
    <row r="138" spans="1:10" x14ac:dyDescent="0.3">
      <c r="A138" s="6234">
        <v>25400290</v>
      </c>
      <c r="B138" s="6349"/>
      <c r="C138" s="1711" t="s">
        <v>1635</v>
      </c>
      <c r="D138" s="8956" t="s">
        <v>5292</v>
      </c>
      <c r="E138" s="8743" t="s">
        <v>5293</v>
      </c>
      <c r="F138" s="8890" t="s">
        <v>5294</v>
      </c>
      <c r="G138" s="8746" t="s">
        <v>5295</v>
      </c>
    </row>
    <row r="139" spans="1:10" x14ac:dyDescent="0.3">
      <c r="A139" s="6234">
        <v>25400300</v>
      </c>
      <c r="B139" s="7995"/>
      <c r="C139" s="1837" t="s">
        <v>1625</v>
      </c>
      <c r="D139" s="8957" t="s">
        <v>5292</v>
      </c>
      <c r="E139" s="8722" t="s">
        <v>5293</v>
      </c>
      <c r="F139" s="8939" t="s">
        <v>5294</v>
      </c>
      <c r="G139" s="8728" t="s">
        <v>5295</v>
      </c>
    </row>
    <row r="140" spans="1:10" x14ac:dyDescent="0.3">
      <c r="A140" s="6234">
        <v>25400322</v>
      </c>
      <c r="B140" s="8037" t="s">
        <v>1634</v>
      </c>
      <c r="C140" s="8038"/>
      <c r="D140" s="8958" t="s">
        <v>5292</v>
      </c>
      <c r="E140" s="8671" t="s">
        <v>5293</v>
      </c>
      <c r="F140" s="8959" t="s">
        <v>5294</v>
      </c>
      <c r="G140" s="8734" t="s">
        <v>5295</v>
      </c>
    </row>
    <row r="141" spans="1:10" x14ac:dyDescent="0.3">
      <c r="A141" s="6234">
        <v>25400330</v>
      </c>
      <c r="B141" s="8048" t="s">
        <v>1623</v>
      </c>
      <c r="C141" s="8049"/>
      <c r="D141" s="8957" t="s">
        <v>5292</v>
      </c>
      <c r="E141" s="8722" t="s">
        <v>5293</v>
      </c>
      <c r="F141" s="8939" t="s">
        <v>5294</v>
      </c>
      <c r="G141" s="8728" t="s">
        <v>5295</v>
      </c>
    </row>
    <row r="142" spans="1:10" x14ac:dyDescent="0.3">
      <c r="B142" s="1844" t="s">
        <v>1633</v>
      </c>
      <c r="C142" s="793"/>
      <c r="D142" s="1843"/>
      <c r="E142" s="1843"/>
      <c r="F142" s="1845"/>
      <c r="G142" s="102"/>
    </row>
    <row r="143" spans="1:10" x14ac:dyDescent="0.3">
      <c r="B143" s="1844" t="s">
        <v>1632</v>
      </c>
      <c r="C143" s="1392"/>
      <c r="D143" s="1843"/>
      <c r="E143" s="1843"/>
      <c r="F143" s="1843"/>
      <c r="G143" s="1843"/>
    </row>
    <row r="144" spans="1:10" s="17" customFormat="1" ht="18" customHeight="1" x14ac:dyDescent="0.25">
      <c r="B144" s="8011" t="s">
        <v>1631</v>
      </c>
      <c r="C144" s="8011"/>
      <c r="D144" s="8011"/>
      <c r="E144" s="8011"/>
      <c r="F144" s="8011"/>
      <c r="G144" s="8011"/>
      <c r="H144" s="8011"/>
      <c r="I144" s="8011"/>
      <c r="J144" s="123"/>
    </row>
    <row r="145" spans="1:10" x14ac:dyDescent="0.3">
      <c r="B145" s="6340" t="s">
        <v>1630</v>
      </c>
      <c r="C145" s="6673"/>
      <c r="D145" s="7976" t="s">
        <v>443</v>
      </c>
      <c r="E145" s="6683"/>
      <c r="F145" s="6681"/>
      <c r="G145" s="7976" t="s">
        <v>219</v>
      </c>
      <c r="H145" s="6683"/>
      <c r="I145" s="6681"/>
    </row>
    <row r="146" spans="1:10" x14ac:dyDescent="0.3">
      <c r="B146" s="6674"/>
      <c r="C146" s="6676"/>
      <c r="D146" s="1842" t="s">
        <v>1627</v>
      </c>
      <c r="E146" s="1841" t="s">
        <v>1629</v>
      </c>
      <c r="F146" s="1381" t="s">
        <v>1628</v>
      </c>
      <c r="G146" s="1842" t="s">
        <v>1627</v>
      </c>
      <c r="H146" s="1841" t="s">
        <v>1629</v>
      </c>
      <c r="I146" s="1381" t="s">
        <v>1628</v>
      </c>
    </row>
    <row r="147" spans="1:10" x14ac:dyDescent="0.3">
      <c r="A147" s="6234">
        <v>25200500</v>
      </c>
      <c r="B147" s="8043" t="s">
        <v>1616</v>
      </c>
      <c r="C147" s="8044"/>
      <c r="D147" s="1801" t="s">
        <v>5292</v>
      </c>
      <c r="E147" s="1839" t="s">
        <v>5293</v>
      </c>
      <c r="F147" s="1838" t="s">
        <v>5294</v>
      </c>
      <c r="G147" s="1801" t="s">
        <v>5295</v>
      </c>
      <c r="H147" s="1839" t="s">
        <v>5296</v>
      </c>
      <c r="I147" s="1838" t="s">
        <v>5297</v>
      </c>
    </row>
    <row r="148" spans="1:10" x14ac:dyDescent="0.3">
      <c r="A148" s="6234">
        <v>25200600</v>
      </c>
      <c r="B148" s="6367" t="s">
        <v>1614</v>
      </c>
      <c r="C148" s="1840" t="s">
        <v>1627</v>
      </c>
      <c r="D148" s="1801" t="s">
        <v>5292</v>
      </c>
      <c r="E148" s="1839" t="s">
        <v>5293</v>
      </c>
      <c r="F148" s="1838" t="s">
        <v>5294</v>
      </c>
      <c r="G148" s="1801" t="s">
        <v>5295</v>
      </c>
      <c r="H148" s="1839" t="s">
        <v>5296</v>
      </c>
      <c r="I148" s="1838" t="s">
        <v>5297</v>
      </c>
    </row>
    <row r="149" spans="1:10" x14ac:dyDescent="0.3">
      <c r="A149" s="6234">
        <v>25400340</v>
      </c>
      <c r="B149" s="6349"/>
      <c r="C149" s="1711" t="s">
        <v>1626</v>
      </c>
      <c r="D149" s="957" t="s">
        <v>5292</v>
      </c>
      <c r="E149" s="963" t="s">
        <v>5293</v>
      </c>
      <c r="F149" s="960" t="s">
        <v>5294</v>
      </c>
      <c r="G149" s="957" t="s">
        <v>5295</v>
      </c>
      <c r="H149" s="963" t="s">
        <v>5296</v>
      </c>
      <c r="I149" s="960" t="s">
        <v>5297</v>
      </c>
    </row>
    <row r="150" spans="1:10" x14ac:dyDescent="0.3">
      <c r="A150" s="6234">
        <v>25400350</v>
      </c>
      <c r="B150" s="7995"/>
      <c r="C150" s="1837" t="s">
        <v>1625</v>
      </c>
      <c r="D150" s="938" t="s">
        <v>5292</v>
      </c>
      <c r="E150" s="944" t="s">
        <v>5293</v>
      </c>
      <c r="F150" s="941" t="s">
        <v>5294</v>
      </c>
      <c r="G150" s="938" t="s">
        <v>5295</v>
      </c>
      <c r="H150" s="944" t="s">
        <v>5296</v>
      </c>
      <c r="I150" s="941" t="s">
        <v>5297</v>
      </c>
    </row>
    <row r="151" spans="1:10" x14ac:dyDescent="0.3">
      <c r="A151" s="6234">
        <v>25400362</v>
      </c>
      <c r="B151" s="8037" t="s">
        <v>1624</v>
      </c>
      <c r="C151" s="8038"/>
      <c r="D151" s="1836" t="s">
        <v>5292</v>
      </c>
      <c r="E151" s="1835" t="s">
        <v>5293</v>
      </c>
      <c r="F151" s="1834" t="s">
        <v>5294</v>
      </c>
      <c r="G151" s="1836" t="s">
        <v>5295</v>
      </c>
      <c r="H151" s="1835" t="s">
        <v>5296</v>
      </c>
      <c r="I151" s="1834" t="s">
        <v>5297</v>
      </c>
    </row>
    <row r="152" spans="1:10" x14ac:dyDescent="0.3">
      <c r="A152" s="6234">
        <v>25200700</v>
      </c>
      <c r="B152" s="8048" t="s">
        <v>1623</v>
      </c>
      <c r="C152" s="8049"/>
      <c r="D152" s="1833" t="s">
        <v>5292</v>
      </c>
      <c r="E152" s="1832" t="s">
        <v>5293</v>
      </c>
      <c r="F152" s="1831" t="s">
        <v>5294</v>
      </c>
      <c r="G152" s="1833" t="s">
        <v>5295</v>
      </c>
      <c r="H152" s="1832" t="s">
        <v>5296</v>
      </c>
      <c r="I152" s="1831" t="s">
        <v>5297</v>
      </c>
    </row>
    <row r="153" spans="1:10" x14ac:dyDescent="0.3">
      <c r="A153" s="6278"/>
      <c r="B153" s="8052" t="s">
        <v>24</v>
      </c>
      <c r="C153" s="8053"/>
      <c r="D153" s="1830">
        <f>SUM(D147:D152)</f>
        <v>0</v>
      </c>
      <c r="E153" s="1829">
        <f>SUM(E147:E150)</f>
        <v>0</v>
      </c>
      <c r="F153" s="1402">
        <f>SUM(F147:F150)</f>
        <v>0</v>
      </c>
      <c r="G153" s="1828">
        <f>SUM(G147:G152)</f>
        <v>0</v>
      </c>
      <c r="H153" s="1827">
        <f>SUM(H147:H150)</f>
        <v>0</v>
      </c>
      <c r="I153" s="1826">
        <f>SUM(I147:I150)</f>
        <v>0</v>
      </c>
    </row>
    <row r="154" spans="1:10" s="17" customFormat="1" ht="18" customHeight="1" x14ac:dyDescent="0.25">
      <c r="B154" s="8055" t="s">
        <v>1622</v>
      </c>
      <c r="C154" s="8055"/>
      <c r="D154" s="8055"/>
    </row>
    <row r="155" spans="1:10" ht="15" customHeight="1" x14ac:dyDescent="0.3">
      <c r="B155" s="6340" t="s">
        <v>112</v>
      </c>
      <c r="C155" s="8054"/>
      <c r="D155" s="1393" t="s">
        <v>24</v>
      </c>
    </row>
    <row r="156" spans="1:10" ht="15" customHeight="1" x14ac:dyDescent="0.3">
      <c r="A156" s="6234">
        <v>25200900</v>
      </c>
      <c r="B156" s="6367" t="s">
        <v>1621</v>
      </c>
      <c r="C156" s="1825" t="s">
        <v>949</v>
      </c>
      <c r="D156" s="1824" t="s">
        <v>5292</v>
      </c>
    </row>
    <row r="157" spans="1:10" ht="15" customHeight="1" x14ac:dyDescent="0.3">
      <c r="A157" s="6234">
        <v>25300100</v>
      </c>
      <c r="B157" s="7995"/>
      <c r="C157" s="1823" t="s">
        <v>1620</v>
      </c>
      <c r="D157" s="1822" t="s">
        <v>5292</v>
      </c>
    </row>
    <row r="158" spans="1:10" s="17" customFormat="1" ht="18" customHeight="1" x14ac:dyDescent="0.25">
      <c r="B158" s="8070" t="s">
        <v>1619</v>
      </c>
      <c r="C158" s="8070"/>
      <c r="D158" s="8070"/>
      <c r="E158" s="8070"/>
      <c r="F158" s="8070"/>
      <c r="G158" s="8070"/>
      <c r="H158" s="8032"/>
      <c r="I158" s="8032"/>
      <c r="J158" s="8032"/>
    </row>
    <row r="159" spans="1:10" ht="21" customHeight="1" x14ac:dyDescent="0.3">
      <c r="B159" s="1720" t="s">
        <v>1618</v>
      </c>
      <c r="C159" s="1720" t="s">
        <v>1617</v>
      </c>
      <c r="D159" s="8063" t="s">
        <v>112</v>
      </c>
      <c r="E159" s="8064"/>
      <c r="F159" s="8065"/>
      <c r="G159" s="1821" t="s">
        <v>24</v>
      </c>
      <c r="H159" s="1820" t="s">
        <v>1616</v>
      </c>
      <c r="I159" s="1819" t="s">
        <v>1615</v>
      </c>
      <c r="J159" s="1818" t="s">
        <v>1614</v>
      </c>
    </row>
    <row r="160" spans="1:10" x14ac:dyDescent="0.3">
      <c r="A160" s="6234">
        <v>29101425</v>
      </c>
      <c r="B160" s="8056" t="s">
        <v>1613</v>
      </c>
      <c r="C160" s="8056" t="s">
        <v>1600</v>
      </c>
      <c r="D160" s="8057" t="s">
        <v>1612</v>
      </c>
      <c r="E160" s="8058"/>
      <c r="F160" s="8059"/>
      <c r="G160" s="324" t="s">
        <v>5292</v>
      </c>
      <c r="H160" s="1793" t="s">
        <v>5293</v>
      </c>
      <c r="I160" s="953" t="s">
        <v>5294</v>
      </c>
      <c r="J160" s="950" t="s">
        <v>5295</v>
      </c>
    </row>
    <row r="161" spans="1:10" x14ac:dyDescent="0.3">
      <c r="A161" s="6234">
        <v>25400390</v>
      </c>
      <c r="B161" s="8056"/>
      <c r="C161" s="8056"/>
      <c r="D161" s="8060" t="s">
        <v>1611</v>
      </c>
      <c r="E161" s="8061"/>
      <c r="F161" s="8062"/>
      <c r="G161" s="1088" t="s">
        <v>5292</v>
      </c>
      <c r="H161" s="957" t="s">
        <v>5293</v>
      </c>
      <c r="I161" s="963" t="s">
        <v>5294</v>
      </c>
      <c r="J161" s="960" t="s">
        <v>5295</v>
      </c>
    </row>
    <row r="162" spans="1:10" x14ac:dyDescent="0.3">
      <c r="A162" s="6234">
        <v>29101426</v>
      </c>
      <c r="B162" s="8056"/>
      <c r="C162" s="8056"/>
      <c r="D162" s="8060" t="s">
        <v>1610</v>
      </c>
      <c r="E162" s="8061"/>
      <c r="F162" s="8062"/>
      <c r="G162" s="1088" t="s">
        <v>5292</v>
      </c>
      <c r="H162" s="957" t="s">
        <v>5293</v>
      </c>
      <c r="I162" s="963" t="s">
        <v>5294</v>
      </c>
      <c r="J162" s="960" t="s">
        <v>5295</v>
      </c>
    </row>
    <row r="163" spans="1:10" x14ac:dyDescent="0.3">
      <c r="A163" s="6234">
        <v>25400380</v>
      </c>
      <c r="B163" s="8056"/>
      <c r="C163" s="8056"/>
      <c r="D163" s="8060" t="s">
        <v>1609</v>
      </c>
      <c r="E163" s="8061"/>
      <c r="F163" s="8062"/>
      <c r="G163" s="1088" t="s">
        <v>5292</v>
      </c>
      <c r="H163" s="957" t="s">
        <v>5293</v>
      </c>
      <c r="I163" s="963" t="s">
        <v>5294</v>
      </c>
      <c r="J163" s="960" t="s">
        <v>5295</v>
      </c>
    </row>
    <row r="164" spans="1:10" x14ac:dyDescent="0.3">
      <c r="A164" s="6234">
        <v>25400450</v>
      </c>
      <c r="B164" s="8056"/>
      <c r="C164" s="8056"/>
      <c r="D164" s="8060" t="s">
        <v>1608</v>
      </c>
      <c r="E164" s="8061"/>
      <c r="F164" s="8062"/>
      <c r="G164" s="1088" t="s">
        <v>5292</v>
      </c>
      <c r="H164" s="957" t="s">
        <v>5293</v>
      </c>
      <c r="I164" s="963" t="s">
        <v>5294</v>
      </c>
      <c r="J164" s="960" t="s">
        <v>5295</v>
      </c>
    </row>
    <row r="165" spans="1:10" x14ac:dyDescent="0.3">
      <c r="A165" s="6234">
        <v>29101427</v>
      </c>
      <c r="B165" s="8056"/>
      <c r="C165" s="8056"/>
      <c r="D165" s="8060" t="s">
        <v>1607</v>
      </c>
      <c r="E165" s="8061"/>
      <c r="F165" s="8062"/>
      <c r="G165" s="1088" t="s">
        <v>5292</v>
      </c>
      <c r="H165" s="957" t="s">
        <v>5293</v>
      </c>
      <c r="I165" s="963" t="s">
        <v>5294</v>
      </c>
      <c r="J165" s="960" t="s">
        <v>5295</v>
      </c>
    </row>
    <row r="166" spans="1:10" x14ac:dyDescent="0.3">
      <c r="A166" s="6234">
        <v>25400400</v>
      </c>
      <c r="B166" s="8056"/>
      <c r="C166" s="8056"/>
      <c r="D166" s="8060" t="s">
        <v>1606</v>
      </c>
      <c r="E166" s="8061"/>
      <c r="F166" s="8062"/>
      <c r="G166" s="1088" t="s">
        <v>5292</v>
      </c>
      <c r="H166" s="957" t="s">
        <v>5293</v>
      </c>
      <c r="I166" s="963" t="s">
        <v>5294</v>
      </c>
      <c r="J166" s="960" t="s">
        <v>5295</v>
      </c>
    </row>
    <row r="167" spans="1:10" x14ac:dyDescent="0.3">
      <c r="A167" s="6234">
        <v>25400410</v>
      </c>
      <c r="B167" s="8056"/>
      <c r="C167" s="8056"/>
      <c r="D167" s="8066" t="s">
        <v>1605</v>
      </c>
      <c r="E167" s="8067"/>
      <c r="F167" s="8068"/>
      <c r="G167" s="900" t="s">
        <v>5292</v>
      </c>
      <c r="H167" s="938" t="s">
        <v>5293</v>
      </c>
      <c r="I167" s="944" t="s">
        <v>5294</v>
      </c>
      <c r="J167" s="941" t="s">
        <v>5295</v>
      </c>
    </row>
    <row r="168" spans="1:10" x14ac:dyDescent="0.3">
      <c r="A168" s="6234">
        <v>29101428</v>
      </c>
      <c r="B168" s="8056"/>
      <c r="C168" s="8069" t="s">
        <v>1595</v>
      </c>
      <c r="D168" s="8057" t="s">
        <v>1604</v>
      </c>
      <c r="E168" s="8058"/>
      <c r="F168" s="8059"/>
      <c r="G168" s="324" t="s">
        <v>5292</v>
      </c>
      <c r="H168" s="1793" t="s">
        <v>5293</v>
      </c>
      <c r="I168" s="953" t="s">
        <v>5294</v>
      </c>
      <c r="J168" s="950" t="s">
        <v>5295</v>
      </c>
    </row>
    <row r="169" spans="1:10" x14ac:dyDescent="0.3">
      <c r="A169" s="6234">
        <v>25400420</v>
      </c>
      <c r="B169" s="8056"/>
      <c r="C169" s="8069"/>
      <c r="D169" s="8060" t="s">
        <v>1603</v>
      </c>
      <c r="E169" s="8061"/>
      <c r="F169" s="8062"/>
      <c r="G169" s="324" t="s">
        <v>5292</v>
      </c>
      <c r="H169" s="957" t="s">
        <v>5293</v>
      </c>
      <c r="I169" s="963" t="s">
        <v>5294</v>
      </c>
      <c r="J169" s="960" t="s">
        <v>5295</v>
      </c>
    </row>
    <row r="170" spans="1:10" x14ac:dyDescent="0.3">
      <c r="A170" s="6234">
        <v>29101429</v>
      </c>
      <c r="B170" s="8056"/>
      <c r="C170" s="8069"/>
      <c r="D170" s="8066" t="s">
        <v>1602</v>
      </c>
      <c r="E170" s="8067"/>
      <c r="F170" s="8068"/>
      <c r="G170" s="1817" t="s">
        <v>5292</v>
      </c>
      <c r="H170" s="938" t="s">
        <v>5293</v>
      </c>
      <c r="I170" s="944" t="s">
        <v>5294</v>
      </c>
      <c r="J170" s="941" t="s">
        <v>5295</v>
      </c>
    </row>
    <row r="171" spans="1:10" x14ac:dyDescent="0.3">
      <c r="A171" s="6234">
        <v>25400430</v>
      </c>
      <c r="B171" s="8056" t="s">
        <v>1601</v>
      </c>
      <c r="C171" s="8069" t="s">
        <v>1600</v>
      </c>
      <c r="D171" s="8057" t="s">
        <v>1599</v>
      </c>
      <c r="E171" s="8058"/>
      <c r="F171" s="8059"/>
      <c r="G171" s="1816" t="s">
        <v>5292</v>
      </c>
      <c r="H171" s="1793" t="s">
        <v>5293</v>
      </c>
      <c r="I171" s="953" t="s">
        <v>5294</v>
      </c>
      <c r="J171" s="950" t="s">
        <v>5295</v>
      </c>
    </row>
    <row r="172" spans="1:10" x14ac:dyDescent="0.3">
      <c r="A172" s="6234">
        <v>29101430</v>
      </c>
      <c r="B172" s="8056"/>
      <c r="C172" s="8069"/>
      <c r="D172" s="8060" t="s">
        <v>1598</v>
      </c>
      <c r="E172" s="8061"/>
      <c r="F172" s="8062"/>
      <c r="G172" s="324" t="s">
        <v>5292</v>
      </c>
      <c r="H172" s="957" t="s">
        <v>5293</v>
      </c>
      <c r="I172" s="963" t="s">
        <v>5294</v>
      </c>
      <c r="J172" s="960" t="s">
        <v>5295</v>
      </c>
    </row>
    <row r="173" spans="1:10" x14ac:dyDescent="0.3">
      <c r="A173" s="6234">
        <v>29101431</v>
      </c>
      <c r="B173" s="8056"/>
      <c r="C173" s="8069"/>
      <c r="D173" s="8060" t="s">
        <v>1597</v>
      </c>
      <c r="E173" s="8061"/>
      <c r="F173" s="8062"/>
      <c r="G173" s="324" t="s">
        <v>5292</v>
      </c>
      <c r="H173" s="957" t="s">
        <v>5293</v>
      </c>
      <c r="I173" s="963" t="s">
        <v>5294</v>
      </c>
      <c r="J173" s="960" t="s">
        <v>5295</v>
      </c>
    </row>
    <row r="174" spans="1:10" x14ac:dyDescent="0.3">
      <c r="A174" s="6234">
        <v>29101432</v>
      </c>
      <c r="B174" s="8056"/>
      <c r="C174" s="8069"/>
      <c r="D174" s="8076" t="s">
        <v>1596</v>
      </c>
      <c r="E174" s="8077"/>
      <c r="F174" s="8078"/>
      <c r="G174" s="1815" t="s">
        <v>5292</v>
      </c>
      <c r="H174" s="938" t="s">
        <v>5293</v>
      </c>
      <c r="I174" s="944" t="s">
        <v>5294</v>
      </c>
      <c r="J174" s="941" t="s">
        <v>5295</v>
      </c>
    </row>
    <row r="175" spans="1:10" x14ac:dyDescent="0.3">
      <c r="A175" s="6234">
        <v>29101433</v>
      </c>
      <c r="B175" s="8056"/>
      <c r="C175" s="8069" t="s">
        <v>1595</v>
      </c>
      <c r="D175" s="8081" t="s">
        <v>1594</v>
      </c>
      <c r="E175" s="8082"/>
      <c r="F175" s="8083"/>
      <c r="G175" s="324" t="s">
        <v>5292</v>
      </c>
      <c r="H175" s="1793" t="s">
        <v>5293</v>
      </c>
      <c r="I175" s="953" t="s">
        <v>5294</v>
      </c>
      <c r="J175" s="950" t="s">
        <v>5295</v>
      </c>
    </row>
    <row r="176" spans="1:10" x14ac:dyDescent="0.3">
      <c r="A176" s="6234">
        <v>29101434</v>
      </c>
      <c r="B176" s="8056"/>
      <c r="C176" s="8069"/>
      <c r="D176" s="8060" t="s">
        <v>1593</v>
      </c>
      <c r="E176" s="8061"/>
      <c r="F176" s="8062"/>
      <c r="G176" s="324" t="s">
        <v>5292</v>
      </c>
      <c r="H176" s="957" t="s">
        <v>5293</v>
      </c>
      <c r="I176" s="963" t="s">
        <v>5294</v>
      </c>
      <c r="J176" s="960" t="s">
        <v>5295</v>
      </c>
    </row>
    <row r="177" spans="1:10" x14ac:dyDescent="0.3">
      <c r="A177" s="6234">
        <v>29101435</v>
      </c>
      <c r="B177" s="8056"/>
      <c r="C177" s="8069"/>
      <c r="D177" s="8060" t="s">
        <v>1592</v>
      </c>
      <c r="E177" s="8061"/>
      <c r="F177" s="8062"/>
      <c r="G177" s="324" t="s">
        <v>5292</v>
      </c>
      <c r="H177" s="957" t="s">
        <v>5293</v>
      </c>
      <c r="I177" s="963" t="s">
        <v>5294</v>
      </c>
      <c r="J177" s="960" t="s">
        <v>5295</v>
      </c>
    </row>
    <row r="178" spans="1:10" x14ac:dyDescent="0.3">
      <c r="A178" s="6234">
        <v>25400440</v>
      </c>
      <c r="B178" s="8056"/>
      <c r="C178" s="8069"/>
      <c r="D178" s="8060" t="s">
        <v>1591</v>
      </c>
      <c r="E178" s="8061"/>
      <c r="F178" s="8062"/>
      <c r="G178" s="324" t="s">
        <v>5292</v>
      </c>
      <c r="H178" s="957" t="s">
        <v>5293</v>
      </c>
      <c r="I178" s="963" t="s">
        <v>5294</v>
      </c>
      <c r="J178" s="960" t="s">
        <v>5295</v>
      </c>
    </row>
    <row r="179" spans="1:10" x14ac:dyDescent="0.3">
      <c r="A179" s="6234">
        <v>29101436</v>
      </c>
      <c r="B179" s="8056"/>
      <c r="C179" s="8069"/>
      <c r="D179" s="8060" t="s">
        <v>1590</v>
      </c>
      <c r="E179" s="8061"/>
      <c r="F179" s="8062"/>
      <c r="G179" s="324" t="s">
        <v>5292</v>
      </c>
      <c r="H179" s="957" t="s">
        <v>5293</v>
      </c>
      <c r="I179" s="963" t="s">
        <v>5294</v>
      </c>
      <c r="J179" s="960" t="s">
        <v>5295</v>
      </c>
    </row>
    <row r="180" spans="1:10" x14ac:dyDescent="0.3">
      <c r="A180" s="6234">
        <v>29101437</v>
      </c>
      <c r="B180" s="8056"/>
      <c r="C180" s="8069"/>
      <c r="D180" s="8060" t="s">
        <v>1589</v>
      </c>
      <c r="E180" s="8061"/>
      <c r="F180" s="8062"/>
      <c r="G180" s="324" t="s">
        <v>5292</v>
      </c>
      <c r="H180" s="957" t="s">
        <v>5293</v>
      </c>
      <c r="I180" s="963" t="s">
        <v>5294</v>
      </c>
      <c r="J180" s="960" t="s">
        <v>5295</v>
      </c>
    </row>
    <row r="181" spans="1:10" x14ac:dyDescent="0.3">
      <c r="A181" s="6234">
        <v>29101438</v>
      </c>
      <c r="B181" s="8056"/>
      <c r="C181" s="8069"/>
      <c r="D181" s="8060" t="s">
        <v>1588</v>
      </c>
      <c r="E181" s="8061"/>
      <c r="F181" s="8062"/>
      <c r="G181" s="324" t="s">
        <v>5292</v>
      </c>
      <c r="H181" s="957" t="s">
        <v>5293</v>
      </c>
      <c r="I181" s="963" t="s">
        <v>5294</v>
      </c>
      <c r="J181" s="960" t="s">
        <v>5295</v>
      </c>
    </row>
    <row r="182" spans="1:10" x14ac:dyDescent="0.3">
      <c r="A182" s="6234">
        <v>29101439</v>
      </c>
      <c r="B182" s="8056"/>
      <c r="C182" s="8069"/>
      <c r="D182" s="8060" t="s">
        <v>1587</v>
      </c>
      <c r="E182" s="8061"/>
      <c r="F182" s="8062"/>
      <c r="G182" s="324" t="s">
        <v>5292</v>
      </c>
      <c r="H182" s="957" t="s">
        <v>5293</v>
      </c>
      <c r="I182" s="963" t="s">
        <v>5294</v>
      </c>
      <c r="J182" s="960" t="s">
        <v>5295</v>
      </c>
    </row>
    <row r="183" spans="1:10" x14ac:dyDescent="0.3">
      <c r="A183" s="6234">
        <v>29101440</v>
      </c>
      <c r="B183" s="8056"/>
      <c r="C183" s="8069"/>
      <c r="D183" s="8060" t="s">
        <v>1586</v>
      </c>
      <c r="E183" s="8061"/>
      <c r="F183" s="8062"/>
      <c r="G183" s="324" t="s">
        <v>5292</v>
      </c>
      <c r="H183" s="957" t="s">
        <v>5293</v>
      </c>
      <c r="I183" s="963" t="s">
        <v>5294</v>
      </c>
      <c r="J183" s="960" t="s">
        <v>5295</v>
      </c>
    </row>
    <row r="184" spans="1:10" x14ac:dyDescent="0.3">
      <c r="A184" s="6234">
        <v>29101441</v>
      </c>
      <c r="B184" s="8056"/>
      <c r="C184" s="8069"/>
      <c r="D184" s="8076" t="s">
        <v>1585</v>
      </c>
      <c r="E184" s="8077"/>
      <c r="F184" s="8078"/>
      <c r="G184" s="324" t="s">
        <v>5292</v>
      </c>
      <c r="H184" s="957" t="s">
        <v>5293</v>
      </c>
      <c r="I184" s="963" t="s">
        <v>5294</v>
      </c>
      <c r="J184" s="960" t="s">
        <v>5295</v>
      </c>
    </row>
    <row r="185" spans="1:10" x14ac:dyDescent="0.3">
      <c r="A185" s="6235"/>
      <c r="B185" s="1814"/>
      <c r="C185" s="1813"/>
      <c r="D185" s="1812" t="s">
        <v>24</v>
      </c>
      <c r="E185" s="1811"/>
      <c r="F185" s="1810"/>
      <c r="G185" s="1809">
        <f>+SUM(G160:G184)</f>
        <v>0</v>
      </c>
      <c r="H185" s="1808">
        <f>+SUM(H160:H184)</f>
        <v>0</v>
      </c>
      <c r="I185" s="1807">
        <f>+SUM(I160:I184)</f>
        <v>0</v>
      </c>
      <c r="J185" s="1806">
        <f>+SUM(J160:J184)</f>
        <v>0</v>
      </c>
    </row>
    <row r="186" spans="1:10" x14ac:dyDescent="0.3">
      <c r="B186" s="1805" t="s">
        <v>1584</v>
      </c>
      <c r="C186" s="774"/>
      <c r="D186" s="102"/>
      <c r="E186" s="102"/>
      <c r="F186" s="102"/>
      <c r="G186" s="102"/>
      <c r="H186" s="102"/>
      <c r="I186" s="102"/>
      <c r="J186" s="102"/>
    </row>
    <row r="187" spans="1:10" s="17" customFormat="1" ht="18" customHeight="1" x14ac:dyDescent="0.25">
      <c r="B187" s="1779" t="s">
        <v>1583</v>
      </c>
    </row>
    <row r="188" spans="1:10" s="17" customFormat="1" ht="18" customHeight="1" x14ac:dyDescent="0.25">
      <c r="B188" s="8074" t="s">
        <v>1582</v>
      </c>
      <c r="C188" s="8074"/>
      <c r="D188" s="8075"/>
      <c r="E188" s="8075"/>
    </row>
    <row r="189" spans="1:10" ht="15" customHeight="1" x14ac:dyDescent="0.3">
      <c r="B189" s="1778" t="s">
        <v>1533</v>
      </c>
      <c r="C189" s="1780" t="s">
        <v>24</v>
      </c>
      <c r="D189" s="1804" t="s">
        <v>545</v>
      </c>
      <c r="E189" s="1804" t="s">
        <v>1122</v>
      </c>
    </row>
    <row r="190" spans="1:10" ht="15" customHeight="1" x14ac:dyDescent="0.3">
      <c r="A190" s="6234">
        <v>29101442</v>
      </c>
      <c r="B190" s="1777" t="s">
        <v>1581</v>
      </c>
      <c r="C190" s="1088" t="s">
        <v>5292</v>
      </c>
      <c r="D190" s="1793" t="s">
        <v>5293</v>
      </c>
      <c r="E190" s="1792" t="s">
        <v>5294</v>
      </c>
    </row>
    <row r="191" spans="1:10" ht="15" customHeight="1" x14ac:dyDescent="0.3">
      <c r="A191" s="6234">
        <v>29101443</v>
      </c>
      <c r="B191" s="1776" t="s">
        <v>1580</v>
      </c>
      <c r="C191" s="1088" t="s">
        <v>5292</v>
      </c>
      <c r="D191" s="957" t="s">
        <v>5293</v>
      </c>
      <c r="E191" s="1075" t="s">
        <v>5294</v>
      </c>
    </row>
    <row r="192" spans="1:10" ht="15" customHeight="1" x14ac:dyDescent="0.3">
      <c r="A192" s="6234">
        <v>29101444</v>
      </c>
      <c r="B192" s="1776" t="s">
        <v>1579</v>
      </c>
      <c r="C192" s="1088" t="s">
        <v>5292</v>
      </c>
      <c r="D192" s="957" t="s">
        <v>5293</v>
      </c>
      <c r="E192" s="1075" t="s">
        <v>5294</v>
      </c>
    </row>
    <row r="193" spans="1:6" ht="15" customHeight="1" x14ac:dyDescent="0.3">
      <c r="A193" s="6234">
        <v>29101445</v>
      </c>
      <c r="B193" s="1776" t="s">
        <v>1578</v>
      </c>
      <c r="C193" s="1088" t="s">
        <v>5292</v>
      </c>
      <c r="D193" s="957" t="s">
        <v>5293</v>
      </c>
      <c r="E193" s="1075" t="s">
        <v>5294</v>
      </c>
    </row>
    <row r="194" spans="1:6" ht="15" customHeight="1" x14ac:dyDescent="0.3">
      <c r="A194" s="6234">
        <v>29101446</v>
      </c>
      <c r="B194" s="1776" t="s">
        <v>1577</v>
      </c>
      <c r="C194" s="1088" t="s">
        <v>5292</v>
      </c>
      <c r="D194" s="957" t="s">
        <v>5293</v>
      </c>
      <c r="E194" s="1075" t="s">
        <v>5294</v>
      </c>
    </row>
    <row r="195" spans="1:6" ht="15" customHeight="1" x14ac:dyDescent="0.3">
      <c r="A195" s="6234">
        <v>29101447</v>
      </c>
      <c r="B195" s="1776" t="s">
        <v>1576</v>
      </c>
      <c r="C195" s="1088" t="s">
        <v>5292</v>
      </c>
      <c r="D195" s="957" t="s">
        <v>5293</v>
      </c>
      <c r="E195" s="1075" t="s">
        <v>5294</v>
      </c>
    </row>
    <row r="196" spans="1:6" ht="15" customHeight="1" x14ac:dyDescent="0.3">
      <c r="A196" s="6234">
        <v>29101448</v>
      </c>
      <c r="B196" s="1776" t="s">
        <v>1575</v>
      </c>
      <c r="C196" s="1088" t="s">
        <v>5292</v>
      </c>
      <c r="D196" s="957" t="s">
        <v>5293</v>
      </c>
      <c r="E196" s="1075" t="s">
        <v>5294</v>
      </c>
    </row>
    <row r="197" spans="1:6" ht="15" customHeight="1" x14ac:dyDescent="0.3">
      <c r="A197" s="6234">
        <v>29101449</v>
      </c>
      <c r="B197" s="1776" t="s">
        <v>1574</v>
      </c>
      <c r="C197" s="1088" t="s">
        <v>5292</v>
      </c>
      <c r="D197" s="957" t="s">
        <v>5293</v>
      </c>
      <c r="E197" s="1075" t="s">
        <v>5294</v>
      </c>
    </row>
    <row r="198" spans="1:6" ht="15" customHeight="1" x14ac:dyDescent="0.3">
      <c r="A198" s="6234">
        <v>29101450</v>
      </c>
      <c r="B198" s="1776" t="s">
        <v>1573</v>
      </c>
      <c r="C198" s="1088" t="s">
        <v>5292</v>
      </c>
      <c r="D198" s="957" t="s">
        <v>5293</v>
      </c>
      <c r="E198" s="1075" t="s">
        <v>5294</v>
      </c>
    </row>
    <row r="199" spans="1:6" ht="15" customHeight="1" x14ac:dyDescent="0.3">
      <c r="A199" s="6234">
        <v>29101451</v>
      </c>
      <c r="B199" s="1775" t="s">
        <v>1572</v>
      </c>
      <c r="C199" s="1088" t="s">
        <v>5292</v>
      </c>
      <c r="D199" s="957" t="s">
        <v>5293</v>
      </c>
      <c r="E199" s="1075" t="s">
        <v>5294</v>
      </c>
    </row>
    <row r="200" spans="1:6" ht="15" customHeight="1" x14ac:dyDescent="0.3">
      <c r="A200" s="6235"/>
      <c r="B200" s="1774" t="s">
        <v>24</v>
      </c>
      <c r="C200" s="1773">
        <f>+SUM(C190:C199)</f>
        <v>0</v>
      </c>
      <c r="D200" s="1773">
        <f>+SUM(D190:D199)</f>
        <v>0</v>
      </c>
      <c r="E200" s="1773">
        <f>+SUM(E190:E199)</f>
        <v>0</v>
      </c>
    </row>
    <row r="201" spans="1:6" s="17" customFormat="1" ht="18" customHeight="1" x14ac:dyDescent="0.25">
      <c r="B201" s="1779" t="s">
        <v>1571</v>
      </c>
    </row>
    <row r="202" spans="1:6" ht="15" customHeight="1" x14ac:dyDescent="0.3">
      <c r="B202" s="1778" t="s">
        <v>1570</v>
      </c>
      <c r="C202" s="1774" t="s">
        <v>545</v>
      </c>
      <c r="D202" s="1774" t="s">
        <v>1122</v>
      </c>
      <c r="E202" s="1774" t="s">
        <v>327</v>
      </c>
    </row>
    <row r="203" spans="1:6" ht="15" customHeight="1" x14ac:dyDescent="0.3">
      <c r="A203" s="6234">
        <v>29101452</v>
      </c>
      <c r="B203" s="1798" t="s">
        <v>1496</v>
      </c>
      <c r="C203" s="957" t="s">
        <v>5292</v>
      </c>
      <c r="D203" s="957" t="s">
        <v>5293</v>
      </c>
      <c r="E203" s="1075" t="s">
        <v>5294</v>
      </c>
    </row>
    <row r="204" spans="1:6" ht="15" customHeight="1" x14ac:dyDescent="0.3">
      <c r="A204" s="6234">
        <v>29101453</v>
      </c>
      <c r="B204" s="1782" t="s">
        <v>1495</v>
      </c>
      <c r="C204" s="957" t="s">
        <v>5292</v>
      </c>
      <c r="D204" s="957" t="s">
        <v>5293</v>
      </c>
      <c r="E204" s="1075" t="s">
        <v>5294</v>
      </c>
    </row>
    <row r="205" spans="1:6" ht="15" customHeight="1" x14ac:dyDescent="0.3">
      <c r="A205" s="6234">
        <v>29101454</v>
      </c>
      <c r="B205" s="1781" t="s">
        <v>1494</v>
      </c>
      <c r="C205" s="957" t="s">
        <v>5292</v>
      </c>
      <c r="D205" s="957" t="s">
        <v>5293</v>
      </c>
      <c r="E205" s="1789" t="s">
        <v>5294</v>
      </c>
    </row>
    <row r="206" spans="1:6" ht="15" customHeight="1" x14ac:dyDescent="0.3">
      <c r="A206" s="6235"/>
      <c r="B206" s="1778" t="s">
        <v>24</v>
      </c>
      <c r="C206" s="1773">
        <f>+SUM(C203:C205)</f>
        <v>0</v>
      </c>
      <c r="D206" s="1773">
        <f>+SUM(D203:D205)</f>
        <v>0</v>
      </c>
      <c r="E206" s="1773">
        <f>+SUM(E203:E205)</f>
        <v>0</v>
      </c>
    </row>
    <row r="207" spans="1:6" s="17" customFormat="1" ht="18" customHeight="1" x14ac:dyDescent="0.3">
      <c r="A207"/>
      <c r="B207" s="8074" t="s">
        <v>1569</v>
      </c>
      <c r="C207" s="8074"/>
      <c r="D207" s="8074"/>
      <c r="E207" s="8074"/>
      <c r="F207" s="8074"/>
    </row>
    <row r="208" spans="1:6" s="170" customFormat="1" ht="15" customHeight="1" x14ac:dyDescent="0.3">
      <c r="A208"/>
      <c r="B208" s="1774" t="s">
        <v>1534</v>
      </c>
      <c r="C208" s="1774" t="s">
        <v>3901</v>
      </c>
      <c r="D208" s="1774" t="s">
        <v>545</v>
      </c>
      <c r="E208" s="1774" t="s">
        <v>1122</v>
      </c>
      <c r="F208" s="1774" t="s">
        <v>327</v>
      </c>
    </row>
    <row r="209" spans="1:6" s="170" customFormat="1" ht="15" customHeight="1" x14ac:dyDescent="0.2">
      <c r="A209" s="6234">
        <v>29101455</v>
      </c>
      <c r="B209" s="8071" t="s">
        <v>1568</v>
      </c>
      <c r="C209" s="1797" t="s">
        <v>1567</v>
      </c>
      <c r="D209" s="957" t="s">
        <v>5292</v>
      </c>
      <c r="E209" s="957" t="s">
        <v>5293</v>
      </c>
      <c r="F209" s="1796" t="s">
        <v>5294</v>
      </c>
    </row>
    <row r="210" spans="1:6" s="170" customFormat="1" ht="15" customHeight="1" x14ac:dyDescent="0.2">
      <c r="A210" s="6234">
        <v>29101456</v>
      </c>
      <c r="B210" s="8072"/>
      <c r="C210" s="1791" t="s">
        <v>1566</v>
      </c>
      <c r="D210" s="957" t="s">
        <v>5292</v>
      </c>
      <c r="E210" s="957" t="s">
        <v>5293</v>
      </c>
      <c r="F210" s="1792" t="s">
        <v>5294</v>
      </c>
    </row>
    <row r="211" spans="1:6" s="170" customFormat="1" ht="15" customHeight="1" x14ac:dyDescent="0.2">
      <c r="A211" s="6234">
        <v>29101457</v>
      </c>
      <c r="B211" s="8072"/>
      <c r="C211" s="1794" t="s">
        <v>1565</v>
      </c>
      <c r="D211" s="1793" t="s">
        <v>5292</v>
      </c>
      <c r="E211" s="1793" t="s">
        <v>5293</v>
      </c>
      <c r="F211" s="1075" t="s">
        <v>5294</v>
      </c>
    </row>
    <row r="212" spans="1:6" s="170" customFormat="1" ht="15" customHeight="1" x14ac:dyDescent="0.2">
      <c r="A212" s="6234">
        <v>29101458</v>
      </c>
      <c r="B212" s="8073"/>
      <c r="C212" s="1788" t="s">
        <v>1564</v>
      </c>
      <c r="D212" s="938" t="s">
        <v>5292</v>
      </c>
      <c r="E212" s="938" t="s">
        <v>5293</v>
      </c>
      <c r="F212" s="1789" t="s">
        <v>5294</v>
      </c>
    </row>
    <row r="213" spans="1:6" s="170" customFormat="1" ht="15" customHeight="1" x14ac:dyDescent="0.2">
      <c r="A213" s="6234">
        <v>29101459</v>
      </c>
      <c r="B213" s="1803" t="s">
        <v>1563</v>
      </c>
      <c r="C213" s="1803" t="s">
        <v>1562</v>
      </c>
      <c r="D213" s="1802" t="s">
        <v>5292</v>
      </c>
      <c r="E213" s="1802" t="s">
        <v>5293</v>
      </c>
      <c r="F213" s="1799" t="s">
        <v>5294</v>
      </c>
    </row>
    <row r="214" spans="1:6" s="170" customFormat="1" ht="15" customHeight="1" x14ac:dyDescent="0.2">
      <c r="A214" s="6234">
        <v>29101460</v>
      </c>
      <c r="B214" s="8071" t="s">
        <v>1532</v>
      </c>
      <c r="C214" s="1797" t="s">
        <v>1561</v>
      </c>
      <c r="D214" s="1801" t="s">
        <v>5292</v>
      </c>
      <c r="E214" s="1801" t="s">
        <v>5293</v>
      </c>
      <c r="F214" s="1796" t="s">
        <v>5294</v>
      </c>
    </row>
    <row r="215" spans="1:6" s="170" customFormat="1" ht="15" customHeight="1" x14ac:dyDescent="0.2">
      <c r="A215" s="6234">
        <v>29101461</v>
      </c>
      <c r="B215" s="8072"/>
      <c r="C215" s="1794" t="s">
        <v>1560</v>
      </c>
      <c r="D215" s="1793" t="s">
        <v>5292</v>
      </c>
      <c r="E215" s="1793" t="s">
        <v>5293</v>
      </c>
      <c r="F215" s="1792" t="s">
        <v>5294</v>
      </c>
    </row>
    <row r="216" spans="1:6" s="170" customFormat="1" ht="15" customHeight="1" x14ac:dyDescent="0.2">
      <c r="A216" s="6234">
        <v>29101462</v>
      </c>
      <c r="B216" s="8072"/>
      <c r="C216" s="1791" t="s">
        <v>1559</v>
      </c>
      <c r="D216" s="957" t="s">
        <v>5292</v>
      </c>
      <c r="E216" s="957" t="s">
        <v>5293</v>
      </c>
      <c r="F216" s="1075" t="s">
        <v>5294</v>
      </c>
    </row>
    <row r="217" spans="1:6" s="170" customFormat="1" ht="15" customHeight="1" x14ac:dyDescent="0.2">
      <c r="A217" s="6234">
        <v>29101463</v>
      </c>
      <c r="B217" s="8072"/>
      <c r="C217" s="1794" t="s">
        <v>1558</v>
      </c>
      <c r="D217" s="1793" t="s">
        <v>5292</v>
      </c>
      <c r="E217" s="1793" t="s">
        <v>5293</v>
      </c>
      <c r="F217" s="1792" t="s">
        <v>5294</v>
      </c>
    </row>
    <row r="218" spans="1:6" s="170" customFormat="1" ht="15" customHeight="1" x14ac:dyDescent="0.2">
      <c r="A218" s="6234">
        <v>29101464</v>
      </c>
      <c r="B218" s="8073"/>
      <c r="C218" s="1788" t="s">
        <v>1557</v>
      </c>
      <c r="D218" s="938" t="s">
        <v>5292</v>
      </c>
      <c r="E218" s="938" t="s">
        <v>5293</v>
      </c>
      <c r="F218" s="1789" t="s">
        <v>5294</v>
      </c>
    </row>
    <row r="219" spans="1:6" s="170" customFormat="1" ht="15" customHeight="1" x14ac:dyDescent="0.2">
      <c r="A219" s="6234">
        <v>29101465</v>
      </c>
      <c r="B219" s="8071" t="s">
        <v>1556</v>
      </c>
      <c r="C219" s="1797" t="s">
        <v>1555</v>
      </c>
      <c r="D219" s="1793" t="s">
        <v>5292</v>
      </c>
      <c r="E219" s="1793" t="s">
        <v>5293</v>
      </c>
      <c r="F219" s="1792" t="s">
        <v>5294</v>
      </c>
    </row>
    <row r="220" spans="1:6" s="170" customFormat="1" ht="15" customHeight="1" x14ac:dyDescent="0.2">
      <c r="A220" s="6234">
        <v>29101466</v>
      </c>
      <c r="B220" s="8073"/>
      <c r="C220" s="1788" t="s">
        <v>1554</v>
      </c>
      <c r="D220" s="938" t="s">
        <v>5292</v>
      </c>
      <c r="E220" s="938" t="s">
        <v>5293</v>
      </c>
      <c r="F220" s="1789" t="s">
        <v>5294</v>
      </c>
    </row>
    <row r="221" spans="1:6" s="170" customFormat="1" ht="15" customHeight="1" x14ac:dyDescent="0.2">
      <c r="A221" s="6234">
        <v>29101467</v>
      </c>
      <c r="B221" s="8071" t="s">
        <v>1517</v>
      </c>
      <c r="C221" s="1797" t="s">
        <v>1553</v>
      </c>
      <c r="D221" s="1801" t="s">
        <v>5292</v>
      </c>
      <c r="E221" s="1801" t="s">
        <v>5293</v>
      </c>
      <c r="F221" s="1796" t="s">
        <v>5294</v>
      </c>
    </row>
    <row r="222" spans="1:6" s="170" customFormat="1" ht="15" customHeight="1" x14ac:dyDescent="0.2">
      <c r="A222" s="6234">
        <v>29101468</v>
      </c>
      <c r="B222" s="8072"/>
      <c r="C222" s="1791" t="s">
        <v>1552</v>
      </c>
      <c r="D222" s="1793" t="s">
        <v>5292</v>
      </c>
      <c r="E222" s="1793" t="s">
        <v>5293</v>
      </c>
      <c r="F222" s="1792" t="s">
        <v>5294</v>
      </c>
    </row>
    <row r="223" spans="1:6" s="170" customFormat="1" ht="15" customHeight="1" x14ac:dyDescent="0.2">
      <c r="A223" s="6234">
        <v>29101469</v>
      </c>
      <c r="B223" s="8073"/>
      <c r="C223" s="1794" t="s">
        <v>1551</v>
      </c>
      <c r="D223" s="1800" t="s">
        <v>5292</v>
      </c>
      <c r="E223" s="1800" t="s">
        <v>5293</v>
      </c>
      <c r="F223" s="1799" t="s">
        <v>5294</v>
      </c>
    </row>
    <row r="224" spans="1:6" s="170" customFormat="1" ht="15" customHeight="1" x14ac:dyDescent="0.2">
      <c r="A224" s="6234">
        <v>29101470</v>
      </c>
      <c r="B224" s="8071" t="s">
        <v>1550</v>
      </c>
      <c r="C224" s="1797" t="s">
        <v>1549</v>
      </c>
      <c r="D224" s="1793" t="s">
        <v>5292</v>
      </c>
      <c r="E224" s="1793" t="s">
        <v>5293</v>
      </c>
      <c r="F224" s="1792" t="s">
        <v>5294</v>
      </c>
    </row>
    <row r="225" spans="1:6" s="170" customFormat="1" ht="15" customHeight="1" x14ac:dyDescent="0.2">
      <c r="A225" s="6234">
        <v>29101471</v>
      </c>
      <c r="B225" s="8073"/>
      <c r="C225" s="1788" t="s">
        <v>1548</v>
      </c>
      <c r="D225" s="938" t="s">
        <v>5292</v>
      </c>
      <c r="E225" s="938" t="s">
        <v>5293</v>
      </c>
      <c r="F225" s="1789" t="s">
        <v>5294</v>
      </c>
    </row>
    <row r="226" spans="1:6" s="170" customFormat="1" ht="15" customHeight="1" x14ac:dyDescent="0.2">
      <c r="A226" s="6234">
        <v>29101472</v>
      </c>
      <c r="B226" s="8071" t="s">
        <v>1512</v>
      </c>
      <c r="C226" s="1797" t="s">
        <v>1547</v>
      </c>
      <c r="D226" s="1793" t="s">
        <v>5292</v>
      </c>
      <c r="E226" s="1793" t="s">
        <v>5293</v>
      </c>
      <c r="F226" s="1792" t="s">
        <v>5294</v>
      </c>
    </row>
    <row r="227" spans="1:6" s="170" customFormat="1" ht="15" customHeight="1" x14ac:dyDescent="0.2">
      <c r="A227" s="6234">
        <v>29101473</v>
      </c>
      <c r="B227" s="8073"/>
      <c r="C227" s="1788" t="s">
        <v>1546</v>
      </c>
      <c r="D227" s="938" t="s">
        <v>5292</v>
      </c>
      <c r="E227" s="938" t="s">
        <v>5293</v>
      </c>
      <c r="F227" s="1789" t="s">
        <v>5294</v>
      </c>
    </row>
    <row r="228" spans="1:6" s="170" customFormat="1" ht="15" customHeight="1" x14ac:dyDescent="0.2">
      <c r="A228" s="6234">
        <v>29101474</v>
      </c>
      <c r="B228" s="8071" t="s">
        <v>1506</v>
      </c>
      <c r="C228" s="1797" t="s">
        <v>1545</v>
      </c>
      <c r="D228" s="1793" t="s">
        <v>5292</v>
      </c>
      <c r="E228" s="1793" t="s">
        <v>5293</v>
      </c>
      <c r="F228" s="1792" t="s">
        <v>5294</v>
      </c>
    </row>
    <row r="229" spans="1:6" s="170" customFormat="1" ht="15" customHeight="1" x14ac:dyDescent="0.2">
      <c r="A229" s="6234">
        <v>29101475</v>
      </c>
      <c r="B229" s="8073"/>
      <c r="C229" s="1788" t="s">
        <v>1544</v>
      </c>
      <c r="D229" s="938" t="s">
        <v>5292</v>
      </c>
      <c r="E229" s="938" t="s">
        <v>5293</v>
      </c>
      <c r="F229" s="1789" t="s">
        <v>5294</v>
      </c>
    </row>
    <row r="230" spans="1:6" s="170" customFormat="1" ht="15" customHeight="1" x14ac:dyDescent="0.2">
      <c r="A230" s="6234">
        <v>29101476</v>
      </c>
      <c r="B230" s="8071" t="s">
        <v>1543</v>
      </c>
      <c r="C230" s="1797" t="s">
        <v>1542</v>
      </c>
      <c r="D230" s="1793" t="s">
        <v>5292</v>
      </c>
      <c r="E230" s="1793" t="s">
        <v>5293</v>
      </c>
      <c r="F230" s="1792" t="s">
        <v>5294</v>
      </c>
    </row>
    <row r="231" spans="1:6" s="170" customFormat="1" ht="15" customHeight="1" x14ac:dyDescent="0.2">
      <c r="A231" s="6234">
        <v>29101477</v>
      </c>
      <c r="B231" s="8073"/>
      <c r="C231" s="1790" t="s">
        <v>1541</v>
      </c>
      <c r="D231" s="938" t="s">
        <v>5292</v>
      </c>
      <c r="E231" s="938" t="s">
        <v>5293</v>
      </c>
      <c r="F231" s="1789" t="s">
        <v>5294</v>
      </c>
    </row>
    <row r="232" spans="1:6" s="170" customFormat="1" ht="15" customHeight="1" x14ac:dyDescent="0.2">
      <c r="A232" s="6234">
        <v>29101478</v>
      </c>
      <c r="B232" s="8096" t="s">
        <v>1540</v>
      </c>
      <c r="C232" s="8098"/>
      <c r="D232" s="1793" t="s">
        <v>5292</v>
      </c>
      <c r="E232" s="1793" t="s">
        <v>5293</v>
      </c>
      <c r="F232" s="1792" t="s">
        <v>5294</v>
      </c>
    </row>
    <row r="233" spans="1:6" s="170" customFormat="1" ht="15" customHeight="1" x14ac:dyDescent="0.2">
      <c r="A233" s="6234">
        <v>29101479</v>
      </c>
      <c r="B233" s="8099" t="s">
        <v>28</v>
      </c>
      <c r="C233" s="8100"/>
      <c r="D233" s="957" t="s">
        <v>5292</v>
      </c>
      <c r="E233" s="957" t="s">
        <v>5293</v>
      </c>
      <c r="F233" s="1075" t="s">
        <v>5294</v>
      </c>
    </row>
    <row r="234" spans="1:6" s="170" customFormat="1" ht="15" customHeight="1" x14ac:dyDescent="0.3">
      <c r="A234" s="6235"/>
      <c r="B234" s="8092" t="s">
        <v>24</v>
      </c>
      <c r="C234" s="8093"/>
      <c r="D234" s="1773">
        <f>+SUM(D209:D233)</f>
        <v>0</v>
      </c>
      <c r="E234" s="1773">
        <f>+SUM(E209:E233)</f>
        <v>0</v>
      </c>
      <c r="F234" s="1773">
        <f>+SUM(F209:F233)</f>
        <v>0</v>
      </c>
    </row>
    <row r="235" spans="1:6" s="17" customFormat="1" ht="18" customHeight="1" x14ac:dyDescent="0.25">
      <c r="B235" s="8086" t="s">
        <v>1539</v>
      </c>
      <c r="C235" s="8086"/>
      <c r="D235" s="8086"/>
      <c r="E235" s="8086"/>
      <c r="F235" s="8086"/>
    </row>
    <row r="236" spans="1:6" s="170" customFormat="1" ht="10.199999999999999" x14ac:dyDescent="0.2">
      <c r="B236" s="8101" t="s">
        <v>1538</v>
      </c>
      <c r="C236" s="8101"/>
      <c r="D236" s="1719" t="s">
        <v>24</v>
      </c>
      <c r="E236" s="1784" t="s">
        <v>1320</v>
      </c>
      <c r="F236" s="1784" t="s">
        <v>1123</v>
      </c>
    </row>
    <row r="237" spans="1:6" s="170" customFormat="1" ht="15" customHeight="1" x14ac:dyDescent="0.2">
      <c r="A237" s="6234">
        <v>29101480</v>
      </c>
      <c r="B237" s="8102" t="s">
        <v>1537</v>
      </c>
      <c r="C237" s="8102"/>
      <c r="D237" s="1088" t="s">
        <v>5292</v>
      </c>
      <c r="E237" s="957" t="s">
        <v>5293</v>
      </c>
      <c r="F237" s="1075" t="s">
        <v>5294</v>
      </c>
    </row>
    <row r="238" spans="1:6" s="170" customFormat="1" ht="15" customHeight="1" x14ac:dyDescent="0.2">
      <c r="A238" s="6234">
        <v>29101481</v>
      </c>
      <c r="B238" s="8103" t="s">
        <v>1536</v>
      </c>
      <c r="C238" s="8103"/>
      <c r="D238" s="1088" t="s">
        <v>5292</v>
      </c>
      <c r="E238" s="957" t="s">
        <v>5293</v>
      </c>
      <c r="F238" s="1075" t="s">
        <v>5294</v>
      </c>
    </row>
    <row r="239" spans="1:6" s="170" customFormat="1" ht="15" customHeight="1" x14ac:dyDescent="0.3">
      <c r="A239" s="6235"/>
      <c r="B239" s="8104" t="s">
        <v>24</v>
      </c>
      <c r="C239" s="8104"/>
      <c r="D239" s="1402">
        <f>+SUM(D237:D238)</f>
        <v>0</v>
      </c>
      <c r="E239" s="1402">
        <f>+SUM(E237:E238)</f>
        <v>0</v>
      </c>
      <c r="F239" s="1773">
        <f>+SUM(F237:F238)</f>
        <v>0</v>
      </c>
    </row>
    <row r="240" spans="1:6" s="17" customFormat="1" ht="18" customHeight="1" x14ac:dyDescent="0.25">
      <c r="B240" s="8086" t="s">
        <v>1535</v>
      </c>
      <c r="C240" s="8086"/>
      <c r="D240" s="8086"/>
      <c r="E240" s="8086"/>
    </row>
    <row r="241" spans="1:5" ht="15" customHeight="1" x14ac:dyDescent="0.3">
      <c r="B241" s="1774" t="s">
        <v>1534</v>
      </c>
      <c r="C241" s="1774" t="s">
        <v>1533</v>
      </c>
      <c r="D241" s="1774" t="s">
        <v>545</v>
      </c>
      <c r="E241" s="1774" t="s">
        <v>1122</v>
      </c>
    </row>
    <row r="242" spans="1:5" ht="15" customHeight="1" x14ac:dyDescent="0.3">
      <c r="A242" s="6234">
        <v>29101482</v>
      </c>
      <c r="B242" s="8071" t="s">
        <v>1532</v>
      </c>
      <c r="C242" s="1797" t="s">
        <v>1531</v>
      </c>
      <c r="D242" s="957" t="s">
        <v>5292</v>
      </c>
      <c r="E242" s="1796" t="s">
        <v>5293</v>
      </c>
    </row>
    <row r="243" spans="1:5" ht="15" customHeight="1" x14ac:dyDescent="0.3">
      <c r="A243" s="6234">
        <v>29101483</v>
      </c>
      <c r="B243" s="8072"/>
      <c r="C243" s="1791" t="s">
        <v>1530</v>
      </c>
      <c r="D243" s="957" t="s">
        <v>5292</v>
      </c>
      <c r="E243" s="1075" t="s">
        <v>5293</v>
      </c>
    </row>
    <row r="244" spans="1:5" ht="15" customHeight="1" x14ac:dyDescent="0.3">
      <c r="A244" s="6234">
        <v>29101484</v>
      </c>
      <c r="B244" s="8072"/>
      <c r="C244" s="1791" t="s">
        <v>1529</v>
      </c>
      <c r="D244" s="957" t="s">
        <v>5292</v>
      </c>
      <c r="E244" s="1075" t="s">
        <v>5293</v>
      </c>
    </row>
    <row r="245" spans="1:5" ht="15" customHeight="1" x14ac:dyDescent="0.3">
      <c r="A245" s="6234">
        <v>29101485</v>
      </c>
      <c r="B245" s="8072"/>
      <c r="C245" s="1791" t="s">
        <v>1528</v>
      </c>
      <c r="D245" s="957" t="s">
        <v>5292</v>
      </c>
      <c r="E245" s="1075" t="s">
        <v>5293</v>
      </c>
    </row>
    <row r="246" spans="1:5" ht="15" customHeight="1" x14ac:dyDescent="0.3">
      <c r="A246" s="6234">
        <v>29101486</v>
      </c>
      <c r="B246" s="8072"/>
      <c r="C246" s="1791" t="s">
        <v>1527</v>
      </c>
      <c r="D246" s="957" t="s">
        <v>5292</v>
      </c>
      <c r="E246" s="1075" t="s">
        <v>5293</v>
      </c>
    </row>
    <row r="247" spans="1:5" ht="15" customHeight="1" x14ac:dyDescent="0.3">
      <c r="A247" s="6234">
        <v>29101487</v>
      </c>
      <c r="B247" s="8072"/>
      <c r="C247" s="1791" t="s">
        <v>1526</v>
      </c>
      <c r="D247" s="957" t="s">
        <v>5292</v>
      </c>
      <c r="E247" s="1075" t="s">
        <v>5293</v>
      </c>
    </row>
    <row r="248" spans="1:5" ht="15" customHeight="1" x14ac:dyDescent="0.3">
      <c r="A248" s="6234">
        <v>29101488</v>
      </c>
      <c r="B248" s="8072"/>
      <c r="C248" s="1791" t="s">
        <v>1525</v>
      </c>
      <c r="D248" s="957" t="s">
        <v>5292</v>
      </c>
      <c r="E248" s="1075" t="s">
        <v>5293</v>
      </c>
    </row>
    <row r="249" spans="1:5" ht="15" customHeight="1" x14ac:dyDescent="0.3">
      <c r="A249" s="6234">
        <v>29101489</v>
      </c>
      <c r="B249" s="8072"/>
      <c r="C249" s="1791" t="s">
        <v>1524</v>
      </c>
      <c r="D249" s="957" t="s">
        <v>5292</v>
      </c>
      <c r="E249" s="1075" t="s">
        <v>5293</v>
      </c>
    </row>
    <row r="250" spans="1:5" ht="15" customHeight="1" x14ac:dyDescent="0.3">
      <c r="A250" s="6234">
        <v>29101490</v>
      </c>
      <c r="B250" s="8072"/>
      <c r="C250" s="1791" t="s">
        <v>1523</v>
      </c>
      <c r="D250" s="957" t="s">
        <v>5292</v>
      </c>
      <c r="E250" s="1075" t="s">
        <v>5293</v>
      </c>
    </row>
    <row r="251" spans="1:5" ht="15" customHeight="1" x14ac:dyDescent="0.3">
      <c r="A251" s="6234">
        <v>29101491</v>
      </c>
      <c r="B251" s="8072"/>
      <c r="C251" s="1791" t="s">
        <v>1522</v>
      </c>
      <c r="D251" s="957" t="s">
        <v>5292</v>
      </c>
      <c r="E251" s="1075" t="s">
        <v>5293</v>
      </c>
    </row>
    <row r="252" spans="1:5" ht="15" customHeight="1" x14ac:dyDescent="0.3">
      <c r="A252" s="6234">
        <v>29101492</v>
      </c>
      <c r="B252" s="8072"/>
      <c r="C252" s="1791" t="s">
        <v>1521</v>
      </c>
      <c r="D252" s="957" t="s">
        <v>5292</v>
      </c>
      <c r="E252" s="1075" t="s">
        <v>5293</v>
      </c>
    </row>
    <row r="253" spans="1:5" ht="15" customHeight="1" x14ac:dyDescent="0.3">
      <c r="A253" s="6234">
        <v>29101493</v>
      </c>
      <c r="B253" s="8072"/>
      <c r="C253" s="1791" t="s">
        <v>1520</v>
      </c>
      <c r="D253" s="957" t="s">
        <v>5292</v>
      </c>
      <c r="E253" s="1075" t="s">
        <v>5293</v>
      </c>
    </row>
    <row r="254" spans="1:5" ht="15" customHeight="1" x14ac:dyDescent="0.3">
      <c r="A254" s="6234">
        <v>29101494</v>
      </c>
      <c r="B254" s="8072"/>
      <c r="C254" s="1790" t="s">
        <v>1519</v>
      </c>
      <c r="D254" s="938" t="s">
        <v>5292</v>
      </c>
      <c r="E254" s="1789" t="s">
        <v>5293</v>
      </c>
    </row>
    <row r="255" spans="1:5" ht="15" customHeight="1" x14ac:dyDescent="0.3">
      <c r="A255" s="6235"/>
      <c r="B255" s="8073"/>
      <c r="C255" s="1788" t="s">
        <v>1518</v>
      </c>
      <c r="D255" s="1795">
        <f>SUM(D242:D254)</f>
        <v>0</v>
      </c>
      <c r="E255" s="1786">
        <f>SUM(E242:E254)</f>
        <v>0</v>
      </c>
    </row>
    <row r="256" spans="1:5" ht="15" customHeight="1" x14ac:dyDescent="0.3">
      <c r="A256" s="6234">
        <v>29101496</v>
      </c>
      <c r="B256" s="8071" t="s">
        <v>1517</v>
      </c>
      <c r="C256" s="1794" t="s">
        <v>1516</v>
      </c>
      <c r="D256" s="1793" t="s">
        <v>5292</v>
      </c>
      <c r="E256" s="1792" t="s">
        <v>5293</v>
      </c>
    </row>
    <row r="257" spans="1:5" ht="15" customHeight="1" x14ac:dyDescent="0.3">
      <c r="A257" s="6234">
        <v>29101497</v>
      </c>
      <c r="B257" s="8072"/>
      <c r="C257" s="1791" t="s">
        <v>1515</v>
      </c>
      <c r="D257" s="957" t="s">
        <v>5292</v>
      </c>
      <c r="E257" s="1075" t="s">
        <v>5293</v>
      </c>
    </row>
    <row r="258" spans="1:5" ht="15" customHeight="1" x14ac:dyDescent="0.3">
      <c r="A258" s="6234">
        <v>29101498</v>
      </c>
      <c r="B258" s="8072"/>
      <c r="C258" s="1790" t="s">
        <v>1514</v>
      </c>
      <c r="D258" s="938" t="s">
        <v>5292</v>
      </c>
      <c r="E258" s="1789" t="s">
        <v>5293</v>
      </c>
    </row>
    <row r="259" spans="1:5" ht="15" customHeight="1" x14ac:dyDescent="0.3">
      <c r="A259" s="6235"/>
      <c r="B259" s="8073"/>
      <c r="C259" s="1788" t="s">
        <v>1513</v>
      </c>
      <c r="D259" s="1795">
        <f>SUM(D256:D258)</f>
        <v>0</v>
      </c>
      <c r="E259" s="1786">
        <f>SUM(E256:E258)</f>
        <v>0</v>
      </c>
    </row>
    <row r="260" spans="1:5" ht="15" customHeight="1" x14ac:dyDescent="0.3">
      <c r="A260" s="6234">
        <v>29101500</v>
      </c>
      <c r="B260" s="8071" t="s">
        <v>1512</v>
      </c>
      <c r="C260" s="1794" t="s">
        <v>1511</v>
      </c>
      <c r="D260" s="1793" t="s">
        <v>5292</v>
      </c>
      <c r="E260" s="1792" t="s">
        <v>5293</v>
      </c>
    </row>
    <row r="261" spans="1:5" ht="15" customHeight="1" x14ac:dyDescent="0.3">
      <c r="A261" s="6234">
        <v>29101501</v>
      </c>
      <c r="B261" s="8072"/>
      <c r="C261" s="1791" t="s">
        <v>1510</v>
      </c>
      <c r="D261" s="957" t="s">
        <v>5292</v>
      </c>
      <c r="E261" s="1075" t="s">
        <v>5293</v>
      </c>
    </row>
    <row r="262" spans="1:5" ht="15" customHeight="1" x14ac:dyDescent="0.3">
      <c r="A262" s="6234">
        <v>29101502</v>
      </c>
      <c r="B262" s="8072"/>
      <c r="C262" s="1791" t="s">
        <v>1509</v>
      </c>
      <c r="D262" s="957" t="s">
        <v>5292</v>
      </c>
      <c r="E262" s="1075" t="s">
        <v>5293</v>
      </c>
    </row>
    <row r="263" spans="1:5" ht="15" customHeight="1" x14ac:dyDescent="0.3">
      <c r="A263" s="6234">
        <v>29101503</v>
      </c>
      <c r="B263" s="8072"/>
      <c r="C263" s="1790" t="s">
        <v>1508</v>
      </c>
      <c r="D263" s="938" t="s">
        <v>5292</v>
      </c>
      <c r="E263" s="1789" t="s">
        <v>5293</v>
      </c>
    </row>
    <row r="264" spans="1:5" ht="15" customHeight="1" x14ac:dyDescent="0.3">
      <c r="A264" s="6235"/>
      <c r="B264" s="8073"/>
      <c r="C264" s="1788" t="s">
        <v>1507</v>
      </c>
      <c r="D264" s="1795">
        <f>SUM(D260:D263)</f>
        <v>0</v>
      </c>
      <c r="E264" s="1786">
        <f>SUM(E260:E263)</f>
        <v>0</v>
      </c>
    </row>
    <row r="265" spans="1:5" ht="15" customHeight="1" x14ac:dyDescent="0.3">
      <c r="A265" s="6234">
        <v>29101505</v>
      </c>
      <c r="B265" s="8071" t="s">
        <v>1506</v>
      </c>
      <c r="C265" s="1794" t="s">
        <v>1505</v>
      </c>
      <c r="D265" s="1793" t="s">
        <v>5292</v>
      </c>
      <c r="E265" s="1792" t="s">
        <v>5293</v>
      </c>
    </row>
    <row r="266" spans="1:5" ht="15" customHeight="1" x14ac:dyDescent="0.3">
      <c r="A266" s="6234">
        <v>29101506</v>
      </c>
      <c r="B266" s="8072"/>
      <c r="C266" s="1791" t="s">
        <v>1504</v>
      </c>
      <c r="D266" s="957" t="s">
        <v>5292</v>
      </c>
      <c r="E266" s="1075" t="s">
        <v>5293</v>
      </c>
    </row>
    <row r="267" spans="1:5" ht="15" customHeight="1" x14ac:dyDescent="0.3">
      <c r="A267" s="6234">
        <v>29101507</v>
      </c>
      <c r="B267" s="8072"/>
      <c r="C267" s="1790" t="s">
        <v>1503</v>
      </c>
      <c r="D267" s="938" t="s">
        <v>5292</v>
      </c>
      <c r="E267" s="1789" t="s">
        <v>5293</v>
      </c>
    </row>
    <row r="268" spans="1:5" ht="15" customHeight="1" x14ac:dyDescent="0.3">
      <c r="A268" s="6235"/>
      <c r="B268" s="8091"/>
      <c r="C268" s="1788" t="s">
        <v>1502</v>
      </c>
      <c r="D268" s="1787">
        <f>SUM(D265:D267)</f>
        <v>0</v>
      </c>
      <c r="E268" s="1786">
        <f>SUM(E265:E267)</f>
        <v>0</v>
      </c>
    </row>
    <row r="269" spans="1:5" ht="15" customHeight="1" x14ac:dyDescent="0.3">
      <c r="A269" s="6235"/>
      <c r="B269" s="8092" t="s">
        <v>24</v>
      </c>
      <c r="C269" s="8093"/>
      <c r="D269" s="1773">
        <f>+D255+D259+D264+D268</f>
        <v>0</v>
      </c>
      <c r="E269" s="1773">
        <f>+E255+E259+E264+E268</f>
        <v>0</v>
      </c>
    </row>
    <row r="270" spans="1:5" s="17" customFormat="1" ht="18" customHeight="1" x14ac:dyDescent="0.25">
      <c r="B270" s="8086" t="s">
        <v>1501</v>
      </c>
      <c r="C270" s="8086"/>
      <c r="D270" s="8086"/>
      <c r="E270" s="8086"/>
    </row>
    <row r="271" spans="1:5" x14ac:dyDescent="0.3">
      <c r="B271" s="1785" t="s">
        <v>1500</v>
      </c>
      <c r="C271" s="1785" t="s">
        <v>1499</v>
      </c>
      <c r="D271" s="1784" t="s">
        <v>1498</v>
      </c>
      <c r="E271" s="1784" t="s">
        <v>1497</v>
      </c>
    </row>
    <row r="272" spans="1:5" ht="15" customHeight="1" x14ac:dyDescent="0.3">
      <c r="A272" s="6234">
        <v>29101509</v>
      </c>
      <c r="B272" s="1783" t="s">
        <v>1496</v>
      </c>
      <c r="C272" s="957" t="s">
        <v>5292</v>
      </c>
      <c r="D272" s="957" t="s">
        <v>5293</v>
      </c>
      <c r="E272" s="1075" t="s">
        <v>5294</v>
      </c>
    </row>
    <row r="273" spans="1:5" ht="15" customHeight="1" x14ac:dyDescent="0.3">
      <c r="A273" s="6234">
        <v>29101510</v>
      </c>
      <c r="B273" s="1782" t="s">
        <v>1495</v>
      </c>
      <c r="C273" s="957" t="s">
        <v>5292</v>
      </c>
      <c r="D273" s="957" t="s">
        <v>5293</v>
      </c>
      <c r="E273" s="1075" t="s">
        <v>5294</v>
      </c>
    </row>
    <row r="274" spans="1:5" ht="15" customHeight="1" x14ac:dyDescent="0.3">
      <c r="A274" s="6234">
        <v>29101511</v>
      </c>
      <c r="B274" s="1781" t="s">
        <v>1494</v>
      </c>
      <c r="C274" s="957" t="s">
        <v>5292</v>
      </c>
      <c r="D274" s="957" t="s">
        <v>5293</v>
      </c>
      <c r="E274" s="1075" t="s">
        <v>5294</v>
      </c>
    </row>
    <row r="275" spans="1:5" ht="15" customHeight="1" x14ac:dyDescent="0.3">
      <c r="A275" s="6235"/>
      <c r="B275" s="1778" t="s">
        <v>24</v>
      </c>
      <c r="C275" s="1690">
        <f>+SUM(C272:C274)</f>
        <v>0</v>
      </c>
      <c r="D275" s="1690">
        <f>+SUM(D272:D274)</f>
        <v>0</v>
      </c>
      <c r="E275" s="1773">
        <f>+SUM(E272:E274)</f>
        <v>0</v>
      </c>
    </row>
    <row r="276" spans="1:5" s="17" customFormat="1" ht="18" customHeight="1" x14ac:dyDescent="0.25">
      <c r="B276" s="1779" t="s">
        <v>1493</v>
      </c>
    </row>
    <row r="277" spans="1:5" s="17" customFormat="1" ht="18" customHeight="1" x14ac:dyDescent="0.25">
      <c r="B277" s="8074" t="s">
        <v>1492</v>
      </c>
      <c r="C277" s="8074"/>
      <c r="D277" s="8074"/>
    </row>
    <row r="278" spans="1:5" x14ac:dyDescent="0.3">
      <c r="B278" s="8094" t="s">
        <v>1491</v>
      </c>
      <c r="C278" s="8095"/>
      <c r="D278" s="1774" t="s">
        <v>1490</v>
      </c>
    </row>
    <row r="279" spans="1:5" x14ac:dyDescent="0.3">
      <c r="A279" s="6234">
        <v>29101512</v>
      </c>
      <c r="B279" s="8096" t="s">
        <v>1489</v>
      </c>
      <c r="C279" s="8097"/>
      <c r="D279" s="1075" t="s">
        <v>5292</v>
      </c>
    </row>
    <row r="280" spans="1:5" x14ac:dyDescent="0.3">
      <c r="A280" s="6234">
        <v>29101513</v>
      </c>
      <c r="B280" s="8084" t="s">
        <v>1488</v>
      </c>
      <c r="C280" s="8085"/>
      <c r="D280" s="1075" t="s">
        <v>5292</v>
      </c>
    </row>
    <row r="281" spans="1:5" x14ac:dyDescent="0.3">
      <c r="A281" s="6234">
        <v>29101514</v>
      </c>
      <c r="B281" s="8084" t="s">
        <v>1487</v>
      </c>
      <c r="C281" s="8085"/>
      <c r="D281" s="1075" t="s">
        <v>5292</v>
      </c>
    </row>
    <row r="282" spans="1:5" x14ac:dyDescent="0.3">
      <c r="A282" s="6234">
        <v>29101515</v>
      </c>
      <c r="B282" s="8084" t="s">
        <v>1486</v>
      </c>
      <c r="C282" s="8085"/>
      <c r="D282" s="1075" t="s">
        <v>5292</v>
      </c>
    </row>
    <row r="283" spans="1:5" ht="24.9" customHeight="1" x14ac:dyDescent="0.3">
      <c r="A283" s="6234">
        <v>29101516</v>
      </c>
      <c r="B283" s="8087" t="s">
        <v>1485</v>
      </c>
      <c r="C283" s="8088"/>
      <c r="D283" s="1075" t="s">
        <v>5292</v>
      </c>
    </row>
    <row r="284" spans="1:5" ht="24.9" customHeight="1" x14ac:dyDescent="0.3">
      <c r="A284" s="6234">
        <v>29101517</v>
      </c>
      <c r="B284" s="8087" t="s">
        <v>1484</v>
      </c>
      <c r="C284" s="8088"/>
      <c r="D284" s="1075" t="s">
        <v>5292</v>
      </c>
    </row>
    <row r="285" spans="1:5" ht="24.9" customHeight="1" x14ac:dyDescent="0.3">
      <c r="A285" s="6234">
        <v>29101518</v>
      </c>
      <c r="B285" s="8087" t="s">
        <v>1483</v>
      </c>
      <c r="C285" s="8088"/>
      <c r="D285" s="1075" t="s">
        <v>5292</v>
      </c>
    </row>
    <row r="286" spans="1:5" ht="24.9" customHeight="1" x14ac:dyDescent="0.3">
      <c r="A286" s="6234">
        <v>29101519</v>
      </c>
      <c r="B286" s="8087" t="s">
        <v>1482</v>
      </c>
      <c r="C286" s="8088"/>
      <c r="D286" s="1075" t="s">
        <v>5292</v>
      </c>
    </row>
    <row r="287" spans="1:5" ht="15" customHeight="1" x14ac:dyDescent="0.3">
      <c r="A287" s="6234">
        <v>29101520</v>
      </c>
      <c r="B287" s="8089" t="s">
        <v>1481</v>
      </c>
      <c r="C287" s="8090"/>
      <c r="D287" s="1075" t="s">
        <v>5292</v>
      </c>
    </row>
    <row r="288" spans="1:5" ht="15" customHeight="1" x14ac:dyDescent="0.3">
      <c r="A288" s="6235"/>
      <c r="B288" s="8079" t="s">
        <v>24</v>
      </c>
      <c r="C288" s="8080"/>
      <c r="D288" s="1773">
        <f>+SUM(D279:D287)</f>
        <v>0</v>
      </c>
    </row>
    <row r="289" spans="1:3" s="17" customFormat="1" ht="18" customHeight="1" x14ac:dyDescent="0.25">
      <c r="B289" s="1779" t="s">
        <v>1480</v>
      </c>
    </row>
    <row r="290" spans="1:3" ht="15" customHeight="1" x14ac:dyDescent="0.3">
      <c r="B290" s="1778" t="s">
        <v>1479</v>
      </c>
      <c r="C290" s="1774" t="s">
        <v>1478</v>
      </c>
    </row>
    <row r="291" spans="1:3" ht="15" customHeight="1" x14ac:dyDescent="0.3">
      <c r="A291" s="6234">
        <v>29101521</v>
      </c>
      <c r="B291" s="1777" t="s">
        <v>1477</v>
      </c>
      <c r="C291" s="1075" t="s">
        <v>5292</v>
      </c>
    </row>
    <row r="292" spans="1:3" ht="15" customHeight="1" x14ac:dyDescent="0.3">
      <c r="A292" s="6234">
        <v>29101522</v>
      </c>
      <c r="B292" s="1776" t="s">
        <v>1476</v>
      </c>
      <c r="C292" s="1075" t="s">
        <v>5292</v>
      </c>
    </row>
    <row r="293" spans="1:3" ht="15" customHeight="1" x14ac:dyDescent="0.3">
      <c r="A293" s="6234">
        <v>29101523</v>
      </c>
      <c r="B293" s="1776" t="s">
        <v>1475</v>
      </c>
      <c r="C293" s="1075" t="s">
        <v>5292</v>
      </c>
    </row>
    <row r="294" spans="1:3" ht="15" customHeight="1" x14ac:dyDescent="0.3">
      <c r="A294" s="6234">
        <v>29101524</v>
      </c>
      <c r="B294" s="1776" t="s">
        <v>1474</v>
      </c>
      <c r="C294" s="1075" t="s">
        <v>5292</v>
      </c>
    </row>
    <row r="295" spans="1:3" ht="15" customHeight="1" x14ac:dyDescent="0.3">
      <c r="A295" s="6234">
        <v>29101525</v>
      </c>
      <c r="B295" s="1776" t="s">
        <v>1473</v>
      </c>
      <c r="C295" s="1075" t="s">
        <v>5292</v>
      </c>
    </row>
    <row r="296" spans="1:3" ht="15" customHeight="1" x14ac:dyDescent="0.3">
      <c r="A296" s="6234">
        <v>29101526</v>
      </c>
      <c r="B296" s="1775" t="s">
        <v>1472</v>
      </c>
      <c r="C296" s="1075" t="s">
        <v>5292</v>
      </c>
    </row>
    <row r="297" spans="1:3" ht="15" customHeight="1" x14ac:dyDescent="0.3">
      <c r="A297" s="6235"/>
      <c r="B297" s="1774" t="s">
        <v>24</v>
      </c>
      <c r="C297" s="1773">
        <f>+SUM(C291:C296)</f>
        <v>0</v>
      </c>
    </row>
    <row r="320" spans="2:3" hidden="1" x14ac:dyDescent="0.3">
      <c r="B320" s="4428" t="e">
        <f>SUM(E12:G15,E16:E17,E22:E28,F31:F61,C66,D69:D81,D90:I90,D100:I100,D104:D109,D113:D118,C122:C126,C129:C133,D136:D141,D153:I153,D156:D157,G160:G185,C190:C200,C206:E206,D234:F234,D237:D239,D269:E269,C275:E275,D288,C297)</f>
        <v>#VALUE!</v>
      </c>
      <c r="C320" s="4427"/>
    </row>
  </sheetData>
  <mergeCells count="217">
    <mergeCell ref="B230:B231"/>
    <mergeCell ref="B232:C232"/>
    <mergeCell ref="B233:C233"/>
    <mergeCell ref="B234:C234"/>
    <mergeCell ref="B236:C236"/>
    <mergeCell ref="B237:C237"/>
    <mergeCell ref="B235:F235"/>
    <mergeCell ref="B238:C238"/>
    <mergeCell ref="B239:C239"/>
    <mergeCell ref="B285:C285"/>
    <mergeCell ref="B286:C286"/>
    <mergeCell ref="B287:C287"/>
    <mergeCell ref="B242:B255"/>
    <mergeCell ref="B256:B259"/>
    <mergeCell ref="B260:B264"/>
    <mergeCell ref="B265:B268"/>
    <mergeCell ref="B240:E240"/>
    <mergeCell ref="B269:C269"/>
    <mergeCell ref="B278:C278"/>
    <mergeCell ref="B279:C279"/>
    <mergeCell ref="B280:C280"/>
    <mergeCell ref="B288:C288"/>
    <mergeCell ref="C175:C184"/>
    <mergeCell ref="D175:F175"/>
    <mergeCell ref="D176:F176"/>
    <mergeCell ref="D177:F177"/>
    <mergeCell ref="D178:F178"/>
    <mergeCell ref="D179:F179"/>
    <mergeCell ref="D180:F180"/>
    <mergeCell ref="B224:B225"/>
    <mergeCell ref="B226:B227"/>
    <mergeCell ref="B228:B229"/>
    <mergeCell ref="B171:B184"/>
    <mergeCell ref="C171:C174"/>
    <mergeCell ref="D171:F171"/>
    <mergeCell ref="D172:F172"/>
    <mergeCell ref="D173:F173"/>
    <mergeCell ref="D183:F183"/>
    <mergeCell ref="D184:F184"/>
    <mergeCell ref="B281:C281"/>
    <mergeCell ref="B282:C282"/>
    <mergeCell ref="B277:D277"/>
    <mergeCell ref="B270:E270"/>
    <mergeCell ref="B283:C283"/>
    <mergeCell ref="B284:C284"/>
    <mergeCell ref="B214:B218"/>
    <mergeCell ref="B219:B220"/>
    <mergeCell ref="B221:B223"/>
    <mergeCell ref="B209:B212"/>
    <mergeCell ref="B207:F207"/>
    <mergeCell ref="B188:E188"/>
    <mergeCell ref="D174:F174"/>
    <mergeCell ref="D181:F181"/>
    <mergeCell ref="D182:F182"/>
    <mergeCell ref="B152:C152"/>
    <mergeCell ref="B153:C153"/>
    <mergeCell ref="B155:C155"/>
    <mergeCell ref="B156:B157"/>
    <mergeCell ref="B154:D154"/>
    <mergeCell ref="B160:B170"/>
    <mergeCell ref="C160:C167"/>
    <mergeCell ref="D160:F160"/>
    <mergeCell ref="D161:F161"/>
    <mergeCell ref="D162:F162"/>
    <mergeCell ref="D159:F159"/>
    <mergeCell ref="D167:F167"/>
    <mergeCell ref="C168:C170"/>
    <mergeCell ref="D168:F168"/>
    <mergeCell ref="D169:F169"/>
    <mergeCell ref="D170:F170"/>
    <mergeCell ref="D163:F163"/>
    <mergeCell ref="D164:F164"/>
    <mergeCell ref="D165:F165"/>
    <mergeCell ref="D166:F166"/>
    <mergeCell ref="B158:J158"/>
    <mergeCell ref="B151:C151"/>
    <mergeCell ref="B135:C135"/>
    <mergeCell ref="B136:C136"/>
    <mergeCell ref="B137:B139"/>
    <mergeCell ref="B140:C140"/>
    <mergeCell ref="B141:C141"/>
    <mergeCell ref="B145:C146"/>
    <mergeCell ref="B93:C94"/>
    <mergeCell ref="B104:C104"/>
    <mergeCell ref="B105:B107"/>
    <mergeCell ref="B108:C108"/>
    <mergeCell ref="B109:C109"/>
    <mergeCell ref="G145:I145"/>
    <mergeCell ref="B147:C147"/>
    <mergeCell ref="B148:B150"/>
    <mergeCell ref="B95:C95"/>
    <mergeCell ref="B96:C96"/>
    <mergeCell ref="B97:C97"/>
    <mergeCell ref="B98:C98"/>
    <mergeCell ref="B99:C99"/>
    <mergeCell ref="B100:C100"/>
    <mergeCell ref="B127:C127"/>
    <mergeCell ref="B120:C120"/>
    <mergeCell ref="B144:I144"/>
    <mergeCell ref="B111:J111"/>
    <mergeCell ref="B102:J102"/>
    <mergeCell ref="B117:C117"/>
    <mergeCell ref="B118:C118"/>
    <mergeCell ref="B112:C112"/>
    <mergeCell ref="B113:C113"/>
    <mergeCell ref="B114:B116"/>
    <mergeCell ref="B103:C103"/>
    <mergeCell ref="D145:F145"/>
    <mergeCell ref="B82:I82"/>
    <mergeCell ref="B67:D67"/>
    <mergeCell ref="B69:B72"/>
    <mergeCell ref="B73:B77"/>
    <mergeCell ref="E93:E94"/>
    <mergeCell ref="F93:H93"/>
    <mergeCell ref="I93:I94"/>
    <mergeCell ref="B85:C85"/>
    <mergeCell ref="B86:C86"/>
    <mergeCell ref="B78:B80"/>
    <mergeCell ref="B81:C81"/>
    <mergeCell ref="B83:C84"/>
    <mergeCell ref="D83:D84"/>
    <mergeCell ref="E83:E84"/>
    <mergeCell ref="F83:H83"/>
    <mergeCell ref="B92:I92"/>
    <mergeCell ref="B87:C87"/>
    <mergeCell ref="B88:C88"/>
    <mergeCell ref="B89:C89"/>
    <mergeCell ref="B90:C90"/>
    <mergeCell ref="D93:D94"/>
    <mergeCell ref="I83:I84"/>
    <mergeCell ref="B42:B48"/>
    <mergeCell ref="C42:C48"/>
    <mergeCell ref="D42:E42"/>
    <mergeCell ref="D43:D44"/>
    <mergeCell ref="D45:E45"/>
    <mergeCell ref="B8:D8"/>
    <mergeCell ref="D38:E38"/>
    <mergeCell ref="D39:E39"/>
    <mergeCell ref="D40:E40"/>
    <mergeCell ref="D41:E41"/>
    <mergeCell ref="B18:D18"/>
    <mergeCell ref="C34:C35"/>
    <mergeCell ref="D46:E46"/>
    <mergeCell ref="D47:E47"/>
    <mergeCell ref="D48:E48"/>
    <mergeCell ref="D34:E34"/>
    <mergeCell ref="D35:E35"/>
    <mergeCell ref="C36:C37"/>
    <mergeCell ref="D36:E36"/>
    <mergeCell ref="D37:E37"/>
    <mergeCell ref="C38:C41"/>
    <mergeCell ref="B26:C27"/>
    <mergeCell ref="B28:D28"/>
    <mergeCell ref="B29:G29"/>
    <mergeCell ref="B62:E62"/>
    <mergeCell ref="B55:B60"/>
    <mergeCell ref="C55:E55"/>
    <mergeCell ref="C56:E56"/>
    <mergeCell ref="C57:E57"/>
    <mergeCell ref="C58:E58"/>
    <mergeCell ref="C59:E59"/>
    <mergeCell ref="C60:E60"/>
    <mergeCell ref="B49:B52"/>
    <mergeCell ref="C61:E61"/>
    <mergeCell ref="C49:E49"/>
    <mergeCell ref="C50:E50"/>
    <mergeCell ref="C51:E51"/>
    <mergeCell ref="C52:E52"/>
    <mergeCell ref="B53:B54"/>
    <mergeCell ref="C53:E53"/>
    <mergeCell ref="C54:E54"/>
    <mergeCell ref="D30:E30"/>
    <mergeCell ref="B31:B41"/>
    <mergeCell ref="C31:C33"/>
    <mergeCell ref="D31:E31"/>
    <mergeCell ref="D32:E32"/>
    <mergeCell ref="D33:E33"/>
    <mergeCell ref="AB20:AC20"/>
    <mergeCell ref="AD20:AE20"/>
    <mergeCell ref="B22:B25"/>
    <mergeCell ref="C22:C23"/>
    <mergeCell ref="C24:C25"/>
    <mergeCell ref="E19:G20"/>
    <mergeCell ref="H19:AE19"/>
    <mergeCell ref="H20:I20"/>
    <mergeCell ref="V20:W20"/>
    <mergeCell ref="J20:K20"/>
    <mergeCell ref="L20:M20"/>
    <mergeCell ref="N20:O20"/>
    <mergeCell ref="P20:Q20"/>
    <mergeCell ref="R20:S20"/>
    <mergeCell ref="T20:U20"/>
    <mergeCell ref="B15:D15"/>
    <mergeCell ref="B16:D16"/>
    <mergeCell ref="B17:D17"/>
    <mergeCell ref="B19:B21"/>
    <mergeCell ref="C19:D21"/>
    <mergeCell ref="H10:I10"/>
    <mergeCell ref="V10:W10"/>
    <mergeCell ref="X10:Y10"/>
    <mergeCell ref="Z10:AA10"/>
    <mergeCell ref="X20:Y20"/>
    <mergeCell ref="Z20:AA20"/>
    <mergeCell ref="AB10:AC10"/>
    <mergeCell ref="B12:B13"/>
    <mergeCell ref="B14:C14"/>
    <mergeCell ref="J10:K10"/>
    <mergeCell ref="L10:M10"/>
    <mergeCell ref="N10:O10"/>
    <mergeCell ref="P10:Q10"/>
    <mergeCell ref="R10:S10"/>
    <mergeCell ref="B6:W6"/>
    <mergeCell ref="B9:B11"/>
    <mergeCell ref="C9:D11"/>
    <mergeCell ref="E9:G10"/>
    <mergeCell ref="H9:AC9"/>
    <mergeCell ref="T10:U10"/>
  </mergeCells>
  <dataValidations count="2">
    <dataValidation type="whole" allowBlank="1" showInputMessage="1" showErrorMessage="1" sqref="B186" xr:uid="{00000000-0002-0000-1100-000000000000}">
      <formula1>0</formula1>
      <formula2>1E+28</formula2>
    </dataValidation>
    <dataValidation type="whole" operator="greaterThanOrEqual" allowBlank="1" showInputMessage="1" showErrorMessage="1" sqref="C291:C296 H12:AC14 E16:E17 H22:AE27 G31:H61 D85:I89 D95:I99 E104:J109 E113:J118 C122:C126 C129:C133 E136:G141 D147:I152 D156:D157 H160:J184 D190:E199 C203:E205 D209:F233 E237:F238 D242:E254 D256:E258 D260:E263 D265:E267 C272:E274 D279:D287 C64:C65 D69:D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B364"/>
  <sheetViews>
    <sheetView showGridLines="0" workbookViewId="0"/>
  </sheetViews>
  <sheetFormatPr baseColWidth="10" defaultRowHeight="14.4" x14ac:dyDescent="0.3"/>
  <cols>
    <col min="1" max="1" width="15" customWidth="1"/>
    <col min="2" max="2" width="40.44140625" customWidth="1"/>
    <col min="3" max="3" width="32.6640625" customWidth="1"/>
    <col min="4" max="4" width="18.33203125" customWidth="1"/>
    <col min="5" max="10" width="16" customWidth="1"/>
    <col min="11" max="11" width="16.6640625" customWidth="1"/>
    <col min="12" max="12" width="15.33203125" customWidth="1"/>
    <col min="13" max="13" width="14.5546875" customWidth="1"/>
    <col min="14" max="14" width="15.109375" customWidth="1"/>
    <col min="16" max="16" width="10.88671875" customWidth="1"/>
    <col min="17" max="17" width="11" customWidth="1"/>
    <col min="69" max="69" width="11.44140625" customWidth="1"/>
    <col min="70" max="74" width="11.44140625" style="1723" hidden="1" customWidth="1"/>
    <col min="75" max="75" width="11.44140625" hidden="1" customWidth="1"/>
    <col min="76" max="79" width="11.44140625" style="1725" hidden="1" customWidth="1"/>
    <col min="80" max="80" width="11.44140625" hidden="1" customWidth="1"/>
    <col min="81" max="81" width="11.44140625" customWidth="1"/>
  </cols>
  <sheetData>
    <row r="1" spans="1:80" x14ac:dyDescent="0.3">
      <c r="B1" s="774" t="s">
        <v>3879</v>
      </c>
      <c r="BR1"/>
      <c r="BS1"/>
      <c r="BT1"/>
      <c r="BU1"/>
      <c r="BV1"/>
      <c r="BX1"/>
      <c r="BY1"/>
      <c r="BZ1"/>
      <c r="CA1"/>
    </row>
    <row r="2" spans="1:80" x14ac:dyDescent="0.3">
      <c r="B2" s="774" t="str">
        <f>CONCATENATE("COMUNA: ",NOMBRE!B2," - ","( ",NOMBRE!C2,NOMBRE!D2,NOMBRE!E2,NOMBRE!F2,NOMBRE!G2," )")</f>
        <v>COMUNA:  - (  )</v>
      </c>
      <c r="BR2"/>
      <c r="BS2"/>
      <c r="BT2"/>
      <c r="BU2"/>
      <c r="BV2"/>
      <c r="BX2"/>
      <c r="BY2"/>
      <c r="BZ2"/>
      <c r="CA2"/>
    </row>
    <row r="3" spans="1:80" x14ac:dyDescent="0.3">
      <c r="B3" s="774" t="str">
        <f>CONCATENATE("ESTABLECIMIENTO/ESTRATEGIA: ",NOMBRE!B3," - ","( ",NOMBRE!C3,NOMBRE!D3,NOMBRE!E3,NOMBRE!F3,NOMBRE!G3,NOMBRE!H3," )")</f>
        <v>ESTABLECIMIENTO/ESTRATEGIA:  - (  )</v>
      </c>
      <c r="BR3"/>
      <c r="BS3"/>
      <c r="BT3"/>
      <c r="BU3"/>
      <c r="BV3"/>
      <c r="BX3"/>
      <c r="BY3"/>
      <c r="BZ3"/>
      <c r="CA3"/>
    </row>
    <row r="4" spans="1:80" x14ac:dyDescent="0.3">
      <c r="B4" s="774" t="str">
        <f>CONCATENATE("MES: ",NOMBRE!B6," - ","( ",NOMBRE!C6,NOMBRE!D6," )")</f>
        <v>MES:  - (  )</v>
      </c>
      <c r="BR4"/>
      <c r="BS4"/>
      <c r="BT4"/>
      <c r="BU4"/>
      <c r="BV4"/>
      <c r="BX4"/>
      <c r="BY4"/>
      <c r="BZ4"/>
      <c r="CA4"/>
    </row>
    <row r="5" spans="1:80" x14ac:dyDescent="0.3">
      <c r="B5" s="774" t="str">
        <f>CONCATENATE("AÑO: ",NOMBRE!B7)</f>
        <v>AÑO: 2024</v>
      </c>
      <c r="BR5"/>
      <c r="BS5"/>
      <c r="BT5"/>
      <c r="BU5"/>
      <c r="BV5"/>
      <c r="BX5"/>
      <c r="BY5"/>
      <c r="BZ5"/>
      <c r="CA5"/>
    </row>
    <row r="6" spans="1:80" ht="18" customHeight="1" x14ac:dyDescent="0.3">
      <c r="B6" s="8147" t="s">
        <v>1124</v>
      </c>
      <c r="C6" s="8147"/>
      <c r="D6" s="8147"/>
      <c r="E6" s="8147"/>
      <c r="F6" s="8147"/>
      <c r="G6" s="8147"/>
      <c r="H6" s="8147"/>
      <c r="I6" s="8147"/>
      <c r="J6" s="8147"/>
      <c r="K6" s="8147"/>
      <c r="L6" s="8147"/>
      <c r="M6" s="8147"/>
      <c r="N6" s="8147"/>
      <c r="O6" s="8147"/>
      <c r="P6" s="8147"/>
      <c r="Q6" s="8147"/>
      <c r="BR6"/>
      <c r="BS6"/>
      <c r="BT6"/>
      <c r="BU6"/>
      <c r="BV6"/>
      <c r="BX6"/>
      <c r="BY6"/>
      <c r="BZ6"/>
      <c r="CA6"/>
    </row>
    <row r="7" spans="1:80" x14ac:dyDescent="0.3">
      <c r="BR7"/>
      <c r="BS7"/>
      <c r="BT7"/>
      <c r="BU7"/>
      <c r="BV7"/>
      <c r="BX7"/>
      <c r="BY7"/>
      <c r="BZ7"/>
      <c r="CA7"/>
    </row>
    <row r="8" spans="1:80" s="1116" customFormat="1" ht="18" customHeight="1" x14ac:dyDescent="0.2">
      <c r="B8" s="14" t="s">
        <v>1125</v>
      </c>
      <c r="C8" s="15"/>
      <c r="D8" s="15"/>
      <c r="E8" s="15"/>
      <c r="F8" s="15"/>
      <c r="G8" s="15"/>
      <c r="H8" s="14"/>
      <c r="I8" s="15"/>
      <c r="J8" s="15"/>
      <c r="K8" s="15"/>
      <c r="L8" s="15"/>
      <c r="M8" s="15"/>
      <c r="N8" s="15"/>
      <c r="O8" s="15"/>
      <c r="P8" s="15"/>
      <c r="Q8" s="15"/>
    </row>
    <row r="9" spans="1:80" s="170" customFormat="1" ht="30.6" x14ac:dyDescent="0.2">
      <c r="B9" s="7756" t="s">
        <v>1087</v>
      </c>
      <c r="C9" s="7771"/>
      <c r="D9" s="1406" t="s">
        <v>24</v>
      </c>
      <c r="E9" s="1407" t="s">
        <v>1126</v>
      </c>
      <c r="F9" s="1408" t="s">
        <v>1127</v>
      </c>
      <c r="G9" s="1408" t="s">
        <v>1128</v>
      </c>
      <c r="H9" s="4323" t="s">
        <v>1129</v>
      </c>
      <c r="I9" s="4324" t="s">
        <v>1130</v>
      </c>
      <c r="J9" s="4324" t="s">
        <v>1131</v>
      </c>
      <c r="K9" s="4325" t="s">
        <v>1132</v>
      </c>
      <c r="L9" s="2477" t="s">
        <v>1133</v>
      </c>
      <c r="M9" s="2475" t="s">
        <v>1134</v>
      </c>
      <c r="N9" s="2478" t="s">
        <v>3924</v>
      </c>
      <c r="O9" s="1267" t="s">
        <v>2</v>
      </c>
      <c r="P9" s="1267" t="s">
        <v>3</v>
      </c>
      <c r="Q9" s="1267" t="s">
        <v>3923</v>
      </c>
    </row>
    <row r="10" spans="1:80" s="170" customFormat="1" ht="15" customHeight="1" x14ac:dyDescent="0.2">
      <c r="A10" s="6285">
        <v>26261000</v>
      </c>
      <c r="B10" s="7812" t="s">
        <v>1135</v>
      </c>
      <c r="C10" s="7813"/>
      <c r="D10" s="1140" t="s">
        <v>5292</v>
      </c>
      <c r="E10" s="1414" t="s">
        <v>5293</v>
      </c>
      <c r="F10" s="1414" t="s">
        <v>5294</v>
      </c>
      <c r="G10" s="1414" t="s">
        <v>5295</v>
      </c>
      <c r="H10" s="1414" t="s">
        <v>5296</v>
      </c>
      <c r="I10" s="1409" t="s">
        <v>5297</v>
      </c>
      <c r="J10" s="1409" t="s">
        <v>5298</v>
      </c>
      <c r="K10" s="1414" t="s">
        <v>5299</v>
      </c>
      <c r="L10" s="1414" t="s">
        <v>5300</v>
      </c>
      <c r="M10" s="1414" t="s">
        <v>5301</v>
      </c>
      <c r="N10" s="1410" t="s">
        <v>5302</v>
      </c>
      <c r="O10" s="62" t="s">
        <v>5303</v>
      </c>
      <c r="P10" s="62" t="s">
        <v>5304</v>
      </c>
      <c r="Q10" s="62" t="s">
        <v>5305</v>
      </c>
      <c r="R10" s="170" t="e">
        <f t="shared" ref="R10:R17" si="0">BR10&amp;BT10&amp;BU10&amp;BV10&amp;BW10</f>
        <v>#VALUE!</v>
      </c>
      <c r="BR10" s="2465" t="e">
        <f>IF((K10+L10+M10)&lt;&gt;D10," * La suma del N° de Primera visita, Segunda visita y Tercera o más visitas de seguimiento debe coincidir con el Total.","")</f>
        <v>#VALUE!</v>
      </c>
      <c r="BS10" s="2466"/>
      <c r="BT10" s="2465" t="str">
        <f t="shared" ref="BT10:BT18" si="1">IF(AND(D10&gt;0,O10="")," * No olvide digitar la variable Pueblos Originarios. Digite Cero si no tiene..",IF(O10&gt;D10," * La variable Pueblos Originarios no puede ser mayor al Total.",""))</f>
        <v xml:space="preserve"> * La variable Pueblos Originarios no puede ser mayor al Total.</v>
      </c>
      <c r="BU10" s="2465" t="str">
        <f t="shared" ref="BU10:BU18" si="2">IF(AND(D10&gt;0,P10="")," * No olvide digitar la variable Migrantes. Digite Cero si no tiene.",IF(P10&gt;D10," * La variable Migrantes no puede ser mayor al Total.",""))</f>
        <v xml:space="preserve"> * La variable Migrantes no puede ser mayor al Total.</v>
      </c>
      <c r="BV10" s="2465" t="str">
        <f t="shared" ref="BV10:BV18" si="3">IF(AND(D10&gt;0,Q10="")," * No olvide digitar la variable Espacio Amigable/Adolescente. Digite Cero si no tiene.",IF(Q10&gt;D10," * La variable Espacio Amigable/Adolescente no puede ser mayor al Total.",""))</f>
        <v xml:space="preserve"> * La variable Espacio Amigable/Adolescente no puede ser mayor al Total.</v>
      </c>
      <c r="BX10" s="2466" t="e">
        <f t="shared" ref="BX10:BX18" si="4">IF((K10+L10+M10)&lt;&gt;D10,1,0)</f>
        <v>#VALUE!</v>
      </c>
      <c r="BY10" s="2465"/>
      <c r="BZ10" s="2466">
        <f t="shared" ref="BZ10:BZ18" si="5">IF(AND(D10&gt;0,O10=""),1,IF(O10&gt;D10,1,0))</f>
        <v>1</v>
      </c>
      <c r="CA10" s="2466">
        <f t="shared" ref="CA10:CA18" si="6">IF(AND(D10&gt;0,P10=""),1,IF(P10&gt;D10,1,0))</f>
        <v>1</v>
      </c>
      <c r="CB10" s="2466">
        <f t="shared" ref="CB10:CB18" si="7">IF(AND(D10&gt;0,Q10=""),1,IF(Q10&gt;D10,1,0))</f>
        <v>1</v>
      </c>
    </row>
    <row r="11" spans="1:80" s="170" customFormat="1" ht="15" customHeight="1" x14ac:dyDescent="0.2">
      <c r="A11" s="6234">
        <v>26260100</v>
      </c>
      <c r="B11" s="7814" t="s">
        <v>1136</v>
      </c>
      <c r="C11" s="6946"/>
      <c r="D11" s="1140" t="s">
        <v>5292</v>
      </c>
      <c r="E11" s="1414" t="s">
        <v>5293</v>
      </c>
      <c r="F11" s="1414" t="s">
        <v>5294</v>
      </c>
      <c r="G11" s="1414" t="s">
        <v>5295</v>
      </c>
      <c r="H11" s="1414" t="s">
        <v>5296</v>
      </c>
      <c r="I11" s="1409" t="s">
        <v>5297</v>
      </c>
      <c r="J11" s="1409" t="s">
        <v>5298</v>
      </c>
      <c r="K11" s="1414" t="s">
        <v>5299</v>
      </c>
      <c r="L11" s="1414" t="s">
        <v>5300</v>
      </c>
      <c r="M11" s="1414" t="s">
        <v>5301</v>
      </c>
      <c r="N11" s="1412" t="s">
        <v>5302</v>
      </c>
      <c r="O11" s="62" t="s">
        <v>5303</v>
      </c>
      <c r="P11" s="62" t="s">
        <v>5304</v>
      </c>
      <c r="Q11" s="62" t="s">
        <v>5305</v>
      </c>
      <c r="R11" s="170" t="e">
        <f t="shared" si="0"/>
        <v>#VALUE!</v>
      </c>
      <c r="BR11" s="2465" t="e">
        <f t="shared" ref="BR11:BR35" si="8">IF((K11+L11+M11)&lt;&gt;D11," * La suma del N° de Primera visita, Segunda visita y Tercera o más visitas de seguimiento debe coincidir con el Total.","")</f>
        <v>#VALUE!</v>
      </c>
      <c r="BS11" s="2466"/>
      <c r="BT11" s="2465" t="str">
        <f t="shared" si="1"/>
        <v xml:space="preserve"> * La variable Pueblos Originarios no puede ser mayor al Total.</v>
      </c>
      <c r="BU11" s="2465" t="str">
        <f t="shared" si="2"/>
        <v xml:space="preserve"> * La variable Migrantes no puede ser mayor al Total.</v>
      </c>
      <c r="BV11" s="2465" t="str">
        <f t="shared" si="3"/>
        <v xml:space="preserve"> * La variable Espacio Amigable/Adolescente no puede ser mayor al Total.</v>
      </c>
      <c r="BX11" s="2466" t="e">
        <f t="shared" si="4"/>
        <v>#VALUE!</v>
      </c>
      <c r="BY11" s="2465"/>
      <c r="BZ11" s="2466">
        <f t="shared" si="5"/>
        <v>1</v>
      </c>
      <c r="CA11" s="2466">
        <f t="shared" si="6"/>
        <v>1</v>
      </c>
      <c r="CB11" s="2466">
        <f t="shared" si="7"/>
        <v>1</v>
      </c>
    </row>
    <row r="12" spans="1:80" s="170" customFormat="1" ht="15" customHeight="1" x14ac:dyDescent="0.2">
      <c r="A12" s="6234">
        <v>26273101</v>
      </c>
      <c r="B12" s="7814" t="s">
        <v>1137</v>
      </c>
      <c r="C12" s="6946"/>
      <c r="D12" s="1140" t="s">
        <v>5292</v>
      </c>
      <c r="E12" s="1414" t="s">
        <v>5293</v>
      </c>
      <c r="F12" s="1414" t="s">
        <v>5294</v>
      </c>
      <c r="G12" s="1414" t="s">
        <v>5295</v>
      </c>
      <c r="H12" s="1414" t="s">
        <v>5296</v>
      </c>
      <c r="I12" s="1409" t="s">
        <v>5297</v>
      </c>
      <c r="J12" s="1409" t="s">
        <v>5298</v>
      </c>
      <c r="K12" s="1414" t="s">
        <v>5299</v>
      </c>
      <c r="L12" s="1414" t="s">
        <v>5300</v>
      </c>
      <c r="M12" s="1414" t="s">
        <v>5301</v>
      </c>
      <c r="N12" s="1412" t="s">
        <v>5302</v>
      </c>
      <c r="O12" s="62" t="s">
        <v>5303</v>
      </c>
      <c r="P12" s="62" t="s">
        <v>5304</v>
      </c>
      <c r="Q12" s="62" t="s">
        <v>5305</v>
      </c>
      <c r="R12" s="170" t="e">
        <f t="shared" si="0"/>
        <v>#VALUE!</v>
      </c>
      <c r="BR12" s="2465" t="e">
        <f t="shared" si="8"/>
        <v>#VALUE!</v>
      </c>
      <c r="BS12" s="2466"/>
      <c r="BT12" s="2465" t="str">
        <f t="shared" si="1"/>
        <v xml:space="preserve"> * La variable Pueblos Originarios no puede ser mayor al Total.</v>
      </c>
      <c r="BU12" s="2465" t="str">
        <f t="shared" si="2"/>
        <v xml:space="preserve"> * La variable Migrantes no puede ser mayor al Total.</v>
      </c>
      <c r="BV12" s="2465" t="str">
        <f t="shared" si="3"/>
        <v xml:space="preserve"> * La variable Espacio Amigable/Adolescente no puede ser mayor al Total.</v>
      </c>
      <c r="BX12" s="2466" t="e">
        <f t="shared" si="4"/>
        <v>#VALUE!</v>
      </c>
      <c r="BY12" s="2465"/>
      <c r="BZ12" s="2466">
        <f t="shared" si="5"/>
        <v>1</v>
      </c>
      <c r="CA12" s="2466">
        <f t="shared" si="6"/>
        <v>1</v>
      </c>
      <c r="CB12" s="2466">
        <f t="shared" si="7"/>
        <v>1</v>
      </c>
    </row>
    <row r="13" spans="1:80" s="170" customFormat="1" ht="15" customHeight="1" x14ac:dyDescent="0.2">
      <c r="A13" s="6285">
        <v>26274000</v>
      </c>
      <c r="B13" s="7814" t="s">
        <v>1138</v>
      </c>
      <c r="C13" s="6946"/>
      <c r="D13" s="1140" t="s">
        <v>5292</v>
      </c>
      <c r="E13" s="1414" t="s">
        <v>5293</v>
      </c>
      <c r="F13" s="1414" t="s">
        <v>5294</v>
      </c>
      <c r="G13" s="1414" t="s">
        <v>5295</v>
      </c>
      <c r="H13" s="1414" t="s">
        <v>5296</v>
      </c>
      <c r="I13" s="1409" t="s">
        <v>5297</v>
      </c>
      <c r="J13" s="1409" t="s">
        <v>5298</v>
      </c>
      <c r="K13" s="1414" t="s">
        <v>5299</v>
      </c>
      <c r="L13" s="1414" t="s">
        <v>5300</v>
      </c>
      <c r="M13" s="1414" t="s">
        <v>5301</v>
      </c>
      <c r="N13" s="1412" t="s">
        <v>5302</v>
      </c>
      <c r="O13" s="62" t="s">
        <v>5303</v>
      </c>
      <c r="P13" s="62" t="s">
        <v>5304</v>
      </c>
      <c r="Q13" s="62" t="s">
        <v>5305</v>
      </c>
      <c r="R13" s="170" t="e">
        <f t="shared" si="0"/>
        <v>#VALUE!</v>
      </c>
      <c r="BR13" s="2465" t="e">
        <f t="shared" si="8"/>
        <v>#VALUE!</v>
      </c>
      <c r="BS13" s="2466"/>
      <c r="BT13" s="2465" t="str">
        <f t="shared" si="1"/>
        <v xml:space="preserve"> * La variable Pueblos Originarios no puede ser mayor al Total.</v>
      </c>
      <c r="BU13" s="2465" t="str">
        <f t="shared" si="2"/>
        <v xml:space="preserve"> * La variable Migrantes no puede ser mayor al Total.</v>
      </c>
      <c r="BV13" s="2465" t="str">
        <f t="shared" si="3"/>
        <v xml:space="preserve"> * La variable Espacio Amigable/Adolescente no puede ser mayor al Total.</v>
      </c>
      <c r="BX13" s="2466" t="e">
        <f t="shared" si="4"/>
        <v>#VALUE!</v>
      </c>
      <c r="BY13" s="2465"/>
      <c r="BZ13" s="2466">
        <f t="shared" si="5"/>
        <v>1</v>
      </c>
      <c r="CA13" s="2466">
        <f t="shared" si="6"/>
        <v>1</v>
      </c>
      <c r="CB13" s="2466">
        <f t="shared" si="7"/>
        <v>1</v>
      </c>
    </row>
    <row r="14" spans="1:80" s="170" customFormat="1" ht="15" customHeight="1" x14ac:dyDescent="0.2">
      <c r="A14" s="6286">
        <v>26401010</v>
      </c>
      <c r="B14" s="7814" t="s">
        <v>3908</v>
      </c>
      <c r="C14" s="6946"/>
      <c r="D14" s="1140" t="s">
        <v>5292</v>
      </c>
      <c r="E14" s="1414" t="s">
        <v>5293</v>
      </c>
      <c r="F14" s="1414" t="s">
        <v>5294</v>
      </c>
      <c r="G14" s="1414" t="s">
        <v>5295</v>
      </c>
      <c r="H14" s="1414" t="s">
        <v>5296</v>
      </c>
      <c r="I14" s="1409" t="s">
        <v>5297</v>
      </c>
      <c r="J14" s="1409" t="s">
        <v>5298</v>
      </c>
      <c r="K14" s="1414" t="s">
        <v>5299</v>
      </c>
      <c r="L14" s="1414" t="s">
        <v>5300</v>
      </c>
      <c r="M14" s="1414" t="s">
        <v>5301</v>
      </c>
      <c r="N14" s="1412" t="s">
        <v>5302</v>
      </c>
      <c r="O14" s="62" t="s">
        <v>5303</v>
      </c>
      <c r="P14" s="62" t="s">
        <v>5304</v>
      </c>
      <c r="Q14" s="62" t="s">
        <v>5305</v>
      </c>
      <c r="R14" s="170" t="e">
        <f t="shared" si="0"/>
        <v>#VALUE!</v>
      </c>
      <c r="BR14" s="2465" t="e">
        <f t="shared" si="8"/>
        <v>#VALUE!</v>
      </c>
      <c r="BS14" s="2466"/>
      <c r="BT14" s="2465" t="str">
        <f t="shared" si="1"/>
        <v xml:space="preserve"> * La variable Pueblos Originarios no puede ser mayor al Total.</v>
      </c>
      <c r="BU14" s="2465" t="str">
        <f t="shared" si="2"/>
        <v xml:space="preserve"> * La variable Migrantes no puede ser mayor al Total.</v>
      </c>
      <c r="BV14" s="2465" t="str">
        <f t="shared" si="3"/>
        <v xml:space="preserve"> * La variable Espacio Amigable/Adolescente no puede ser mayor al Total.</v>
      </c>
      <c r="BX14" s="2466" t="e">
        <f t="shared" si="4"/>
        <v>#VALUE!</v>
      </c>
      <c r="BY14" s="2465"/>
      <c r="BZ14" s="2466">
        <f t="shared" si="5"/>
        <v>1</v>
      </c>
      <c r="CA14" s="2466">
        <f t="shared" si="6"/>
        <v>1</v>
      </c>
      <c r="CB14" s="2466">
        <f t="shared" si="7"/>
        <v>1</v>
      </c>
    </row>
    <row r="15" spans="1:80" s="170" customFormat="1" ht="15" customHeight="1" x14ac:dyDescent="0.2">
      <c r="A15" s="6286">
        <v>26401011</v>
      </c>
      <c r="B15" s="7814" t="s">
        <v>3909</v>
      </c>
      <c r="C15" s="6946"/>
      <c r="D15" s="1140" t="s">
        <v>5292</v>
      </c>
      <c r="E15" s="1414" t="s">
        <v>5293</v>
      </c>
      <c r="F15" s="1414" t="s">
        <v>5294</v>
      </c>
      <c r="G15" s="1414" t="s">
        <v>5295</v>
      </c>
      <c r="H15" s="1414" t="s">
        <v>5296</v>
      </c>
      <c r="I15" s="1409" t="s">
        <v>5297</v>
      </c>
      <c r="J15" s="1409" t="s">
        <v>5298</v>
      </c>
      <c r="K15" s="1414" t="s">
        <v>5299</v>
      </c>
      <c r="L15" s="1414" t="s">
        <v>5300</v>
      </c>
      <c r="M15" s="1414" t="s">
        <v>5301</v>
      </c>
      <c r="N15" s="1412" t="s">
        <v>5302</v>
      </c>
      <c r="O15" s="62" t="s">
        <v>5303</v>
      </c>
      <c r="P15" s="62" t="s">
        <v>5304</v>
      </c>
      <c r="Q15" s="62" t="s">
        <v>5305</v>
      </c>
      <c r="R15" s="170" t="e">
        <f t="shared" si="0"/>
        <v>#VALUE!</v>
      </c>
      <c r="BR15" s="2465" t="e">
        <f t="shared" si="8"/>
        <v>#VALUE!</v>
      </c>
      <c r="BS15" s="2466"/>
      <c r="BT15" s="2465" t="str">
        <f t="shared" si="1"/>
        <v xml:space="preserve"> * La variable Pueblos Originarios no puede ser mayor al Total.</v>
      </c>
      <c r="BU15" s="2465" t="str">
        <f t="shared" si="2"/>
        <v xml:space="preserve"> * La variable Migrantes no puede ser mayor al Total.</v>
      </c>
      <c r="BV15" s="2465" t="str">
        <f t="shared" si="3"/>
        <v xml:space="preserve"> * La variable Espacio Amigable/Adolescente no puede ser mayor al Total.</v>
      </c>
      <c r="BX15" s="2466" t="e">
        <f t="shared" si="4"/>
        <v>#VALUE!</v>
      </c>
      <c r="BY15" s="2465"/>
      <c r="BZ15" s="2466">
        <f t="shared" si="5"/>
        <v>1</v>
      </c>
      <c r="CA15" s="2466">
        <f t="shared" si="6"/>
        <v>1</v>
      </c>
      <c r="CB15" s="2466">
        <f t="shared" si="7"/>
        <v>1</v>
      </c>
    </row>
    <row r="16" spans="1:80" s="170" customFormat="1" ht="15" customHeight="1" x14ac:dyDescent="0.2">
      <c r="A16" s="6285">
        <v>26291100</v>
      </c>
      <c r="B16" s="7814" t="s">
        <v>1139</v>
      </c>
      <c r="C16" s="6946"/>
      <c r="D16" s="1140" t="s">
        <v>5292</v>
      </c>
      <c r="E16" s="1414" t="s">
        <v>5293</v>
      </c>
      <c r="F16" s="1414" t="s">
        <v>5294</v>
      </c>
      <c r="G16" s="1414" t="s">
        <v>5295</v>
      </c>
      <c r="H16" s="1414" t="s">
        <v>5296</v>
      </c>
      <c r="I16" s="1409" t="s">
        <v>5297</v>
      </c>
      <c r="J16" s="1409" t="s">
        <v>5298</v>
      </c>
      <c r="K16" s="1414" t="s">
        <v>5299</v>
      </c>
      <c r="L16" s="1414" t="s">
        <v>5300</v>
      </c>
      <c r="M16" s="1414" t="s">
        <v>5301</v>
      </c>
      <c r="N16" s="1412" t="s">
        <v>5302</v>
      </c>
      <c r="O16" s="62" t="s">
        <v>5303</v>
      </c>
      <c r="P16" s="62" t="s">
        <v>5304</v>
      </c>
      <c r="Q16" s="62" t="s">
        <v>5305</v>
      </c>
      <c r="R16" s="170" t="e">
        <f t="shared" si="0"/>
        <v>#VALUE!</v>
      </c>
      <c r="BR16" s="2465" t="e">
        <f t="shared" si="8"/>
        <v>#VALUE!</v>
      </c>
      <c r="BS16" s="2466"/>
      <c r="BT16" s="2465" t="str">
        <f t="shared" si="1"/>
        <v xml:space="preserve"> * La variable Pueblos Originarios no puede ser mayor al Total.</v>
      </c>
      <c r="BU16" s="2465" t="str">
        <f t="shared" si="2"/>
        <v xml:space="preserve"> * La variable Migrantes no puede ser mayor al Total.</v>
      </c>
      <c r="BV16" s="2465" t="str">
        <f t="shared" si="3"/>
        <v xml:space="preserve"> * La variable Espacio Amigable/Adolescente no puede ser mayor al Total.</v>
      </c>
      <c r="BX16" s="2466" t="e">
        <f t="shared" si="4"/>
        <v>#VALUE!</v>
      </c>
      <c r="BY16" s="2465"/>
      <c r="BZ16" s="2466">
        <f t="shared" si="5"/>
        <v>1</v>
      </c>
      <c r="CA16" s="2466">
        <f t="shared" si="6"/>
        <v>1</v>
      </c>
      <c r="CB16" s="2466">
        <f t="shared" si="7"/>
        <v>1</v>
      </c>
    </row>
    <row r="17" spans="1:80" s="170" customFormat="1" ht="15" customHeight="1" x14ac:dyDescent="0.2">
      <c r="A17" s="6285">
        <v>26273102</v>
      </c>
      <c r="B17" s="7814" t="s">
        <v>1140</v>
      </c>
      <c r="C17" s="6946"/>
      <c r="D17" s="1140" t="s">
        <v>5292</v>
      </c>
      <c r="E17" s="1414" t="s">
        <v>5293</v>
      </c>
      <c r="F17" s="1414" t="s">
        <v>5294</v>
      </c>
      <c r="G17" s="1414" t="s">
        <v>5295</v>
      </c>
      <c r="H17" s="1414" t="s">
        <v>5296</v>
      </c>
      <c r="I17" s="1409" t="s">
        <v>5297</v>
      </c>
      <c r="J17" s="1409" t="s">
        <v>5298</v>
      </c>
      <c r="K17" s="1414" t="s">
        <v>5299</v>
      </c>
      <c r="L17" s="1414" t="s">
        <v>5300</v>
      </c>
      <c r="M17" s="1414" t="s">
        <v>5301</v>
      </c>
      <c r="N17" s="1412" t="s">
        <v>5302</v>
      </c>
      <c r="O17" s="62" t="s">
        <v>5303</v>
      </c>
      <c r="P17" s="62" t="s">
        <v>5304</v>
      </c>
      <c r="Q17" s="62" t="s">
        <v>5305</v>
      </c>
      <c r="R17" s="170" t="e">
        <f t="shared" si="0"/>
        <v>#VALUE!</v>
      </c>
      <c r="BR17" s="2465" t="e">
        <f t="shared" si="8"/>
        <v>#VALUE!</v>
      </c>
      <c r="BS17" s="2466"/>
      <c r="BT17" s="2465" t="str">
        <f t="shared" si="1"/>
        <v xml:space="preserve"> * La variable Pueblos Originarios no puede ser mayor al Total.</v>
      </c>
      <c r="BU17" s="2465" t="str">
        <f t="shared" si="2"/>
        <v xml:space="preserve"> * La variable Migrantes no puede ser mayor al Total.</v>
      </c>
      <c r="BV17" s="2465" t="str">
        <f t="shared" si="3"/>
        <v xml:space="preserve"> * La variable Espacio Amigable/Adolescente no puede ser mayor al Total.</v>
      </c>
      <c r="BX17" s="2466" t="e">
        <f t="shared" si="4"/>
        <v>#VALUE!</v>
      </c>
      <c r="BY17" s="2465"/>
      <c r="BZ17" s="2466">
        <f t="shared" si="5"/>
        <v>1</v>
      </c>
      <c r="CA17" s="2466">
        <f t="shared" si="6"/>
        <v>1</v>
      </c>
      <c r="CB17" s="2466">
        <f t="shared" si="7"/>
        <v>1</v>
      </c>
    </row>
    <row r="18" spans="1:80" s="170" customFormat="1" ht="15" customHeight="1" x14ac:dyDescent="0.2">
      <c r="A18" s="6234">
        <v>26274600</v>
      </c>
      <c r="B18" s="7814" t="s">
        <v>1141</v>
      </c>
      <c r="C18" s="6946"/>
      <c r="D18" s="1140" t="s">
        <v>5292</v>
      </c>
      <c r="E18" s="1414" t="s">
        <v>5293</v>
      </c>
      <c r="F18" s="1414" t="s">
        <v>5294</v>
      </c>
      <c r="G18" s="1414" t="s">
        <v>5295</v>
      </c>
      <c r="H18" s="1414" t="s">
        <v>5296</v>
      </c>
      <c r="I18" s="1409" t="s">
        <v>5297</v>
      </c>
      <c r="J18" s="1409" t="s">
        <v>5298</v>
      </c>
      <c r="K18" s="1414" t="s">
        <v>5299</v>
      </c>
      <c r="L18" s="1414" t="s">
        <v>5300</v>
      </c>
      <c r="M18" s="1414" t="s">
        <v>5301</v>
      </c>
      <c r="N18" s="1327" t="s">
        <v>5302</v>
      </c>
      <c r="O18" s="62" t="s">
        <v>5303</v>
      </c>
      <c r="P18" s="62" t="s">
        <v>5304</v>
      </c>
      <c r="Q18" s="62" t="s">
        <v>5305</v>
      </c>
      <c r="R18" s="170" t="e">
        <f>BR18&amp;BS18&amp;BT18&amp;BU18&amp;BV18&amp;BW18</f>
        <v>#VALUE!</v>
      </c>
      <c r="BR18" s="2465" t="e">
        <f t="shared" si="8"/>
        <v>#VALUE!</v>
      </c>
      <c r="BS18" s="2465" t="str">
        <f>IF(AND(D18&gt;0,N18="")," * No olvide digitar la variable Programa de Acompañamiento Psicosocial en APS. Si no tiene digite Cero.",IF(N18&gt;D18," * La variable Programa de Acompañamiento Psicosocial en APS no puede ser mayor al Total.",""))</f>
        <v xml:space="preserve"> * La variable Programa de Acompañamiento Psicosocial en APS no puede ser mayor al Total.</v>
      </c>
      <c r="BT18" s="2465" t="str">
        <f t="shared" si="1"/>
        <v xml:space="preserve"> * La variable Pueblos Originarios no puede ser mayor al Total.</v>
      </c>
      <c r="BU18" s="2465" t="str">
        <f t="shared" si="2"/>
        <v xml:space="preserve"> * La variable Migrantes no puede ser mayor al Total.</v>
      </c>
      <c r="BV18" s="2465" t="str">
        <f t="shared" si="3"/>
        <v xml:space="preserve"> * La variable Espacio Amigable/Adolescente no puede ser mayor al Total.</v>
      </c>
      <c r="BX18" s="2466" t="e">
        <f t="shared" si="4"/>
        <v>#VALUE!</v>
      </c>
      <c r="BY18" s="2466">
        <f>IF(AND(D18&gt;0,N18=""),1,IF(N18&gt;D18,1,0))</f>
        <v>1</v>
      </c>
      <c r="BZ18" s="2466">
        <f t="shared" si="5"/>
        <v>1</v>
      </c>
      <c r="CA18" s="2466">
        <f t="shared" si="6"/>
        <v>1</v>
      </c>
      <c r="CB18" s="2466">
        <f t="shared" si="7"/>
        <v>1</v>
      </c>
    </row>
    <row r="19" spans="1:80" s="170" customFormat="1" ht="15" customHeight="1" x14ac:dyDescent="0.2">
      <c r="A19" s="6234">
        <v>26262300</v>
      </c>
      <c r="B19" s="7814" t="s">
        <v>1142</v>
      </c>
      <c r="C19" s="6946"/>
      <c r="D19" s="1140" t="s">
        <v>5292</v>
      </c>
      <c r="E19" s="1414" t="s">
        <v>5293</v>
      </c>
      <c r="F19" s="1414" t="s">
        <v>5294</v>
      </c>
      <c r="G19" s="1414" t="s">
        <v>5295</v>
      </c>
      <c r="H19" s="1414" t="s">
        <v>5296</v>
      </c>
      <c r="I19" s="1409" t="s">
        <v>5297</v>
      </c>
      <c r="J19" s="1409" t="s">
        <v>5298</v>
      </c>
      <c r="K19" s="1414" t="s">
        <v>5299</v>
      </c>
      <c r="L19" s="1414" t="s">
        <v>5300</v>
      </c>
      <c r="M19" s="1414" t="s">
        <v>5301</v>
      </c>
      <c r="N19" s="1327" t="s">
        <v>5302</v>
      </c>
      <c r="O19" s="62" t="s">
        <v>5303</v>
      </c>
      <c r="P19" s="62" t="s">
        <v>5304</v>
      </c>
      <c r="Q19" s="62" t="s">
        <v>5305</v>
      </c>
      <c r="R19" s="170" t="e">
        <f t="shared" ref="R19:R35" si="9">BR19&amp;BS19&amp;BT19&amp;BU19&amp;BV19&amp;BW19</f>
        <v>#VALUE!</v>
      </c>
      <c r="BR19" s="2465" t="e">
        <f t="shared" si="8"/>
        <v>#VALUE!</v>
      </c>
      <c r="BS19" s="2465" t="str">
        <f t="shared" ref="BS19:BS20" si="10">IF(AND(D19&gt;0,N19="")," * No olvide digitar la variable Programa de Acompañamiento Psicosocial en APS. Si no tiene digite Cero.",IF(N19&gt;D19," * La variable Programa de Acompañamiento Psicosocial en APS no puede ser mayor al Total.",""))</f>
        <v xml:space="preserve"> * La variable Programa de Acompañamiento Psicosocial en APS no puede ser mayor al Total.</v>
      </c>
      <c r="BT19" s="2465" t="str">
        <f t="shared" ref="BT19:BT20" si="11">IF(AND(D19&gt;0,O19="")," * No olvide digitar la variable Pueblos Originarios. Digite Cero si no tiene..",IF(O19&gt;D19," * La variable Pueblos Originarios no puede ser mayor al Total.",""))</f>
        <v xml:space="preserve"> * La variable Pueblos Originarios no puede ser mayor al Total.</v>
      </c>
      <c r="BU19" s="2465" t="str">
        <f t="shared" ref="BU19:BU20" si="12">IF(AND(D19&gt;0,P19="")," * No olvide digitar la variable Migrantes. Digite Cero si no tiene.",IF(P19&gt;D19," * La variable Migrantes no puede ser mayor al Total.",""))</f>
        <v xml:space="preserve"> * La variable Migrantes no puede ser mayor al Total.</v>
      </c>
      <c r="BV19" s="2465" t="str">
        <f t="shared" ref="BV19:BV20" si="13">IF(AND(D19&gt;0,Q19="")," * No olvide digitar la variable Espacio Amigable/Adolescente. Digite Cero si no tiene.",IF(Q19&gt;D19," * La variable Espacio Amigable/Adolescente no puede ser mayor al Total.",""))</f>
        <v xml:space="preserve"> * La variable Espacio Amigable/Adolescente no puede ser mayor al Total.</v>
      </c>
      <c r="BX19" s="2466" t="e">
        <f t="shared" ref="BX19:BX35" si="14">IF((K19+L19+M19)&lt;&gt;D19,1,0)</f>
        <v>#VALUE!</v>
      </c>
      <c r="BY19" s="2466">
        <f t="shared" ref="BY19:BY20" si="15">IF(AND(D19&gt;0,N19=""),1,IF(N19&gt;D19,1,0))</f>
        <v>1</v>
      </c>
      <c r="BZ19" s="2466">
        <f t="shared" ref="BZ19:BZ35" si="16">IF(AND(D19&gt;0,O19=""),1,IF(O19&gt;D19,1,0))</f>
        <v>1</v>
      </c>
      <c r="CA19" s="2466">
        <f t="shared" ref="CA19:CA35" si="17">IF(AND(D19&gt;0,P19=""),1,IF(P19&gt;D19,1,0))</f>
        <v>1</v>
      </c>
      <c r="CB19" s="2466">
        <f t="shared" ref="CB19:CB35" si="18">IF(AND(D19&gt;0,Q19=""),1,IF(Q19&gt;D19,1,0))</f>
        <v>1</v>
      </c>
    </row>
    <row r="20" spans="1:80" s="170" customFormat="1" ht="15" customHeight="1" x14ac:dyDescent="0.2">
      <c r="A20" s="6285">
        <v>26273103</v>
      </c>
      <c r="B20" s="7814" t="s">
        <v>1143</v>
      </c>
      <c r="C20" s="6946"/>
      <c r="D20" s="1140" t="s">
        <v>5292</v>
      </c>
      <c r="E20" s="1414" t="s">
        <v>5293</v>
      </c>
      <c r="F20" s="1414" t="s">
        <v>5294</v>
      </c>
      <c r="G20" s="1414" t="s">
        <v>5295</v>
      </c>
      <c r="H20" s="1414" t="s">
        <v>5296</v>
      </c>
      <c r="I20" s="1409" t="s">
        <v>5297</v>
      </c>
      <c r="J20" s="1409" t="s">
        <v>5298</v>
      </c>
      <c r="K20" s="1414" t="s">
        <v>5299</v>
      </c>
      <c r="L20" s="1414" t="s">
        <v>5300</v>
      </c>
      <c r="M20" s="1414" t="s">
        <v>5301</v>
      </c>
      <c r="N20" s="1327" t="s">
        <v>5302</v>
      </c>
      <c r="O20" s="62" t="s">
        <v>5303</v>
      </c>
      <c r="P20" s="62" t="s">
        <v>5304</v>
      </c>
      <c r="Q20" s="62" t="s">
        <v>5305</v>
      </c>
      <c r="R20" s="170" t="e">
        <f t="shared" si="9"/>
        <v>#VALUE!</v>
      </c>
      <c r="BR20" s="2465" t="e">
        <f t="shared" si="8"/>
        <v>#VALUE!</v>
      </c>
      <c r="BS20" s="2465" t="str">
        <f t="shared" si="10"/>
        <v xml:space="preserve"> * La variable Programa de Acompañamiento Psicosocial en APS no puede ser mayor al Total.</v>
      </c>
      <c r="BT20" s="2465" t="str">
        <f t="shared" si="11"/>
        <v xml:space="preserve"> * La variable Pueblos Originarios no puede ser mayor al Total.</v>
      </c>
      <c r="BU20" s="2465" t="str">
        <f t="shared" si="12"/>
        <v xml:space="preserve"> * La variable Migrantes no puede ser mayor al Total.</v>
      </c>
      <c r="BV20" s="2465" t="str">
        <f t="shared" si="13"/>
        <v xml:space="preserve"> * La variable Espacio Amigable/Adolescente no puede ser mayor al Total.</v>
      </c>
      <c r="BX20" s="2466" t="e">
        <f t="shared" si="14"/>
        <v>#VALUE!</v>
      </c>
      <c r="BY20" s="2466">
        <f t="shared" si="15"/>
        <v>1</v>
      </c>
      <c r="BZ20" s="2466">
        <f t="shared" si="16"/>
        <v>1</v>
      </c>
      <c r="CA20" s="2466">
        <f t="shared" si="17"/>
        <v>1</v>
      </c>
      <c r="CB20" s="2466">
        <f t="shared" si="18"/>
        <v>1</v>
      </c>
    </row>
    <row r="21" spans="1:80" s="170" customFormat="1" ht="15" customHeight="1" x14ac:dyDescent="0.2">
      <c r="A21" s="6285">
        <v>26273105</v>
      </c>
      <c r="B21" s="7814" t="s">
        <v>1144</v>
      </c>
      <c r="C21" s="6946"/>
      <c r="D21" s="1140" t="s">
        <v>5292</v>
      </c>
      <c r="E21" s="1414" t="s">
        <v>5293</v>
      </c>
      <c r="F21" s="1414" t="s">
        <v>5294</v>
      </c>
      <c r="G21" s="1414" t="s">
        <v>5295</v>
      </c>
      <c r="H21" s="1414" t="s">
        <v>5296</v>
      </c>
      <c r="I21" s="1409" t="s">
        <v>5297</v>
      </c>
      <c r="J21" s="1409" t="s">
        <v>5298</v>
      </c>
      <c r="K21" s="1414" t="s">
        <v>5299</v>
      </c>
      <c r="L21" s="1414" t="s">
        <v>5300</v>
      </c>
      <c r="M21" s="1414" t="s">
        <v>5301</v>
      </c>
      <c r="N21" s="1412" t="s">
        <v>5302</v>
      </c>
      <c r="O21" s="62" t="s">
        <v>5303</v>
      </c>
      <c r="P21" s="62" t="s">
        <v>5304</v>
      </c>
      <c r="Q21" s="62" t="s">
        <v>5305</v>
      </c>
      <c r="R21" s="170" t="e">
        <f t="shared" si="9"/>
        <v>#VALUE!</v>
      </c>
      <c r="BR21" s="2465" t="e">
        <f t="shared" si="8"/>
        <v>#VALUE!</v>
      </c>
      <c r="BS21" s="2466"/>
      <c r="BT21" s="2465" t="str">
        <f t="shared" ref="BT21:BT35" si="19">IF(AND(D21&gt;0,O21="")," * No olvide digitar la variable Pueblos Originarios. Digite Cero si no tiene..",IF(O21&gt;D21," * La variable Pueblos Originarios no puede ser mayor al Total.",""))</f>
        <v xml:space="preserve"> * La variable Pueblos Originarios no puede ser mayor al Total.</v>
      </c>
      <c r="BU21" s="2465" t="str">
        <f t="shared" ref="BU21:BU35" si="20">IF(AND(D21&gt;0,P21="")," * No olvide digitar la variable Migrantes. Digite Cero si no tiene.",IF(P21&gt;D21," * La variable Migrantes no puede ser mayor al Total.",""))</f>
        <v xml:space="preserve"> * La variable Migrantes no puede ser mayor al Total.</v>
      </c>
      <c r="BV21" s="2465" t="str">
        <f t="shared" ref="BV21:BV35" si="21">IF(AND(D21&gt;0,Q21="")," * No olvide digitar la variable Espacio Amigable/Adolescente. Digite Cero si no tiene.",IF(Q21&gt;D21," * La variable Espacio Amigable/Adolescente no puede ser mayor al Total.",""))</f>
        <v xml:space="preserve"> * La variable Espacio Amigable/Adolescente no puede ser mayor al Total.</v>
      </c>
      <c r="BX21" s="2466" t="e">
        <f t="shared" si="14"/>
        <v>#VALUE!</v>
      </c>
      <c r="BY21" s="2465"/>
      <c r="BZ21" s="2466">
        <f t="shared" si="16"/>
        <v>1</v>
      </c>
      <c r="CA21" s="2466">
        <f t="shared" si="17"/>
        <v>1</v>
      </c>
      <c r="CB21" s="2466">
        <f t="shared" si="18"/>
        <v>1</v>
      </c>
    </row>
    <row r="22" spans="1:80" s="170" customFormat="1" ht="15" customHeight="1" x14ac:dyDescent="0.2">
      <c r="A22" s="6285">
        <v>26280010</v>
      </c>
      <c r="B22" s="7814" t="s">
        <v>1145</v>
      </c>
      <c r="C22" s="6946"/>
      <c r="D22" s="1140" t="s">
        <v>5292</v>
      </c>
      <c r="E22" s="1414" t="s">
        <v>5293</v>
      </c>
      <c r="F22" s="1414" t="s">
        <v>5294</v>
      </c>
      <c r="G22" s="1414" t="s">
        <v>5295</v>
      </c>
      <c r="H22" s="1414" t="s">
        <v>5296</v>
      </c>
      <c r="I22" s="1409" t="s">
        <v>5297</v>
      </c>
      <c r="J22" s="1409" t="s">
        <v>5298</v>
      </c>
      <c r="K22" s="1414" t="s">
        <v>5299</v>
      </c>
      <c r="L22" s="1414" t="s">
        <v>5300</v>
      </c>
      <c r="M22" s="1414" t="s">
        <v>5301</v>
      </c>
      <c r="N22" s="1412" t="s">
        <v>5302</v>
      </c>
      <c r="O22" s="62" t="s">
        <v>5303</v>
      </c>
      <c r="P22" s="62" t="s">
        <v>5304</v>
      </c>
      <c r="Q22" s="62" t="s">
        <v>5305</v>
      </c>
      <c r="R22" s="170" t="e">
        <f t="shared" si="9"/>
        <v>#VALUE!</v>
      </c>
      <c r="BR22" s="2465" t="e">
        <f t="shared" si="8"/>
        <v>#VALUE!</v>
      </c>
      <c r="BS22" s="2466"/>
      <c r="BT22" s="2465" t="str">
        <f t="shared" si="19"/>
        <v xml:space="preserve"> * La variable Pueblos Originarios no puede ser mayor al Total.</v>
      </c>
      <c r="BU22" s="2465" t="str">
        <f t="shared" si="20"/>
        <v xml:space="preserve"> * La variable Migrantes no puede ser mayor al Total.</v>
      </c>
      <c r="BV22" s="2465" t="str">
        <f t="shared" si="21"/>
        <v xml:space="preserve"> * La variable Espacio Amigable/Adolescente no puede ser mayor al Total.</v>
      </c>
      <c r="BX22" s="2466" t="e">
        <f t="shared" si="14"/>
        <v>#VALUE!</v>
      </c>
      <c r="BY22" s="2465"/>
      <c r="BZ22" s="2466">
        <f t="shared" si="16"/>
        <v>1</v>
      </c>
      <c r="CA22" s="2466">
        <f t="shared" si="17"/>
        <v>1</v>
      </c>
      <c r="CB22" s="2466">
        <f t="shared" si="18"/>
        <v>1</v>
      </c>
    </row>
    <row r="23" spans="1:80" s="170" customFormat="1" ht="15" customHeight="1" x14ac:dyDescent="0.2">
      <c r="A23" s="6285">
        <v>26291150</v>
      </c>
      <c r="B23" s="7814" t="s">
        <v>1146</v>
      </c>
      <c r="C23" s="6946"/>
      <c r="D23" s="1140" t="s">
        <v>5292</v>
      </c>
      <c r="E23" s="1414" t="s">
        <v>5293</v>
      </c>
      <c r="F23" s="1414" t="s">
        <v>5294</v>
      </c>
      <c r="G23" s="1414" t="s">
        <v>5295</v>
      </c>
      <c r="H23" s="1414" t="s">
        <v>5296</v>
      </c>
      <c r="I23" s="1409" t="s">
        <v>5297</v>
      </c>
      <c r="J23" s="1409" t="s">
        <v>5298</v>
      </c>
      <c r="K23" s="1414" t="s">
        <v>5299</v>
      </c>
      <c r="L23" s="1414" t="s">
        <v>5300</v>
      </c>
      <c r="M23" s="1414" t="s">
        <v>5301</v>
      </c>
      <c r="N23" s="1327" t="s">
        <v>5302</v>
      </c>
      <c r="O23" s="62" t="s">
        <v>5303</v>
      </c>
      <c r="P23" s="62" t="s">
        <v>5304</v>
      </c>
      <c r="Q23" s="62" t="s">
        <v>5305</v>
      </c>
      <c r="R23" s="170" t="e">
        <f t="shared" si="9"/>
        <v>#VALUE!</v>
      </c>
      <c r="BR23" s="2465" t="e">
        <f t="shared" si="8"/>
        <v>#VALUE!</v>
      </c>
      <c r="BS23" s="2465" t="str">
        <f t="shared" ref="BS23:BS25" si="22">IF(AND(D23&gt;0,N23="")," * No olvide digitar la variable Programa de Acompañamiento Psicosocial en APS. Si no tiene digite Cero.",IF(N23&gt;D23," * La variable Programa de Acompañamiento Psicosocial en APS no puede ser mayor al Total.",""))</f>
        <v xml:space="preserve"> * La variable Programa de Acompañamiento Psicosocial en APS no puede ser mayor al Total.</v>
      </c>
      <c r="BT23" s="2465" t="str">
        <f t="shared" si="19"/>
        <v xml:space="preserve"> * La variable Pueblos Originarios no puede ser mayor al Total.</v>
      </c>
      <c r="BU23" s="2465" t="str">
        <f t="shared" si="20"/>
        <v xml:space="preserve"> * La variable Migrantes no puede ser mayor al Total.</v>
      </c>
      <c r="BV23" s="2465" t="str">
        <f t="shared" si="21"/>
        <v xml:space="preserve"> * La variable Espacio Amigable/Adolescente no puede ser mayor al Total.</v>
      </c>
      <c r="BX23" s="2466" t="e">
        <f t="shared" si="14"/>
        <v>#VALUE!</v>
      </c>
      <c r="BY23" s="2466">
        <f t="shared" ref="BY23:BY25" si="23">IF(AND(D23&gt;0,N23=""),1,IF(N23&gt;D23,1,0))</f>
        <v>1</v>
      </c>
      <c r="BZ23" s="2466">
        <f t="shared" si="16"/>
        <v>1</v>
      </c>
      <c r="CA23" s="2466">
        <f t="shared" si="17"/>
        <v>1</v>
      </c>
      <c r="CB23" s="2466">
        <f t="shared" si="18"/>
        <v>1</v>
      </c>
    </row>
    <row r="24" spans="1:80" s="170" customFormat="1" ht="15" customHeight="1" x14ac:dyDescent="0.2">
      <c r="A24" s="6285">
        <v>26262400</v>
      </c>
      <c r="B24" s="7814" t="s">
        <v>1147</v>
      </c>
      <c r="C24" s="6946"/>
      <c r="D24" s="1140" t="s">
        <v>5292</v>
      </c>
      <c r="E24" s="1414" t="s">
        <v>5293</v>
      </c>
      <c r="F24" s="1414" t="s">
        <v>5294</v>
      </c>
      <c r="G24" s="1414" t="s">
        <v>5295</v>
      </c>
      <c r="H24" s="1414" t="s">
        <v>5296</v>
      </c>
      <c r="I24" s="1409" t="s">
        <v>5297</v>
      </c>
      <c r="J24" s="1409" t="s">
        <v>5298</v>
      </c>
      <c r="K24" s="1414" t="s">
        <v>5299</v>
      </c>
      <c r="L24" s="1414" t="s">
        <v>5300</v>
      </c>
      <c r="M24" s="1414" t="s">
        <v>5301</v>
      </c>
      <c r="N24" s="1327" t="s">
        <v>5302</v>
      </c>
      <c r="O24" s="62" t="s">
        <v>5303</v>
      </c>
      <c r="P24" s="62" t="s">
        <v>5304</v>
      </c>
      <c r="Q24" s="62" t="s">
        <v>5305</v>
      </c>
      <c r="R24" s="170" t="e">
        <f t="shared" si="9"/>
        <v>#VALUE!</v>
      </c>
      <c r="BR24" s="2465" t="e">
        <f t="shared" si="8"/>
        <v>#VALUE!</v>
      </c>
      <c r="BS24" s="2465" t="str">
        <f t="shared" si="22"/>
        <v xml:space="preserve"> * La variable Programa de Acompañamiento Psicosocial en APS no puede ser mayor al Total.</v>
      </c>
      <c r="BT24" s="2465" t="str">
        <f t="shared" si="19"/>
        <v xml:space="preserve"> * La variable Pueblos Originarios no puede ser mayor al Total.</v>
      </c>
      <c r="BU24" s="2465" t="str">
        <f t="shared" si="20"/>
        <v xml:space="preserve"> * La variable Migrantes no puede ser mayor al Total.</v>
      </c>
      <c r="BV24" s="2465" t="str">
        <f t="shared" si="21"/>
        <v xml:space="preserve"> * La variable Espacio Amigable/Adolescente no puede ser mayor al Total.</v>
      </c>
      <c r="BX24" s="2466" t="e">
        <f t="shared" si="14"/>
        <v>#VALUE!</v>
      </c>
      <c r="BY24" s="2466">
        <f t="shared" si="23"/>
        <v>1</v>
      </c>
      <c r="BZ24" s="2466">
        <f t="shared" si="16"/>
        <v>1</v>
      </c>
      <c r="CA24" s="2466">
        <f t="shared" si="17"/>
        <v>1</v>
      </c>
      <c r="CB24" s="2466">
        <f t="shared" si="18"/>
        <v>1</v>
      </c>
    </row>
    <row r="25" spans="1:80" s="170" customFormat="1" ht="15" customHeight="1" x14ac:dyDescent="0.2">
      <c r="A25" s="6285">
        <v>26291200</v>
      </c>
      <c r="B25" s="7814" t="s">
        <v>1148</v>
      </c>
      <c r="C25" s="6946"/>
      <c r="D25" s="1140" t="s">
        <v>5292</v>
      </c>
      <c r="E25" s="1414" t="s">
        <v>5293</v>
      </c>
      <c r="F25" s="1414" t="s">
        <v>5294</v>
      </c>
      <c r="G25" s="1414" t="s">
        <v>5295</v>
      </c>
      <c r="H25" s="1414" t="s">
        <v>5296</v>
      </c>
      <c r="I25" s="1409" t="s">
        <v>5297</v>
      </c>
      <c r="J25" s="1409" t="s">
        <v>5298</v>
      </c>
      <c r="K25" s="1414" t="s">
        <v>5299</v>
      </c>
      <c r="L25" s="1414" t="s">
        <v>5300</v>
      </c>
      <c r="M25" s="1414" t="s">
        <v>5301</v>
      </c>
      <c r="N25" s="1327" t="s">
        <v>5302</v>
      </c>
      <c r="O25" s="62" t="s">
        <v>5303</v>
      </c>
      <c r="P25" s="62" t="s">
        <v>5304</v>
      </c>
      <c r="Q25" s="62" t="s">
        <v>5305</v>
      </c>
      <c r="R25" s="170" t="e">
        <f t="shared" si="9"/>
        <v>#VALUE!</v>
      </c>
      <c r="BR25" s="2465" t="e">
        <f t="shared" si="8"/>
        <v>#VALUE!</v>
      </c>
      <c r="BS25" s="2465" t="str">
        <f t="shared" si="22"/>
        <v xml:space="preserve"> * La variable Programa de Acompañamiento Psicosocial en APS no puede ser mayor al Total.</v>
      </c>
      <c r="BT25" s="2465" t="str">
        <f t="shared" si="19"/>
        <v xml:space="preserve"> * La variable Pueblos Originarios no puede ser mayor al Total.</v>
      </c>
      <c r="BU25" s="2465" t="str">
        <f t="shared" si="20"/>
        <v xml:space="preserve"> * La variable Migrantes no puede ser mayor al Total.</v>
      </c>
      <c r="BV25" s="2465" t="str">
        <f t="shared" si="21"/>
        <v xml:space="preserve"> * La variable Espacio Amigable/Adolescente no puede ser mayor al Total.</v>
      </c>
      <c r="BX25" s="2466" t="e">
        <f t="shared" si="14"/>
        <v>#VALUE!</v>
      </c>
      <c r="BY25" s="2466">
        <f t="shared" si="23"/>
        <v>1</v>
      </c>
      <c r="BZ25" s="2466">
        <f t="shared" si="16"/>
        <v>1</v>
      </c>
      <c r="CA25" s="2466">
        <f t="shared" si="17"/>
        <v>1</v>
      </c>
      <c r="CB25" s="2466">
        <f t="shared" si="18"/>
        <v>1</v>
      </c>
    </row>
    <row r="26" spans="1:80" s="170" customFormat="1" ht="15" customHeight="1" x14ac:dyDescent="0.2">
      <c r="A26" s="6285">
        <v>26291250</v>
      </c>
      <c r="B26" s="7814" t="s">
        <v>1149</v>
      </c>
      <c r="C26" s="6946"/>
      <c r="D26" s="1140" t="s">
        <v>5292</v>
      </c>
      <c r="E26" s="1414" t="s">
        <v>5293</v>
      </c>
      <c r="F26" s="1414" t="s">
        <v>5294</v>
      </c>
      <c r="G26" s="1414" t="s">
        <v>5295</v>
      </c>
      <c r="H26" s="1414" t="s">
        <v>5296</v>
      </c>
      <c r="I26" s="1409" t="s">
        <v>5297</v>
      </c>
      <c r="J26" s="1409" t="s">
        <v>5298</v>
      </c>
      <c r="K26" s="1414" t="s">
        <v>5299</v>
      </c>
      <c r="L26" s="1414" t="s">
        <v>5300</v>
      </c>
      <c r="M26" s="1414" t="s">
        <v>5301</v>
      </c>
      <c r="N26" s="1412" t="s">
        <v>5302</v>
      </c>
      <c r="O26" s="62" t="s">
        <v>5303</v>
      </c>
      <c r="P26" s="62" t="s">
        <v>5304</v>
      </c>
      <c r="Q26" s="62" t="s">
        <v>5305</v>
      </c>
      <c r="R26" s="170" t="e">
        <f t="shared" si="9"/>
        <v>#VALUE!</v>
      </c>
      <c r="BR26" s="2465" t="e">
        <f t="shared" si="8"/>
        <v>#VALUE!</v>
      </c>
      <c r="BS26" s="2466"/>
      <c r="BT26" s="2465" t="str">
        <f t="shared" si="19"/>
        <v xml:space="preserve"> * La variable Pueblos Originarios no puede ser mayor al Total.</v>
      </c>
      <c r="BU26" s="2465" t="str">
        <f t="shared" si="20"/>
        <v xml:space="preserve"> * La variable Migrantes no puede ser mayor al Total.</v>
      </c>
      <c r="BV26" s="2465" t="str">
        <f t="shared" si="21"/>
        <v xml:space="preserve"> * La variable Espacio Amigable/Adolescente no puede ser mayor al Total.</v>
      </c>
      <c r="BX26" s="2466" t="e">
        <f t="shared" si="14"/>
        <v>#VALUE!</v>
      </c>
      <c r="BY26" s="2465"/>
      <c r="BZ26" s="2466">
        <f t="shared" si="16"/>
        <v>1</v>
      </c>
      <c r="CA26" s="2466">
        <f t="shared" si="17"/>
        <v>1</v>
      </c>
      <c r="CB26" s="2466">
        <f t="shared" si="18"/>
        <v>1</v>
      </c>
    </row>
    <row r="27" spans="1:80" s="170" customFormat="1" ht="15" customHeight="1" x14ac:dyDescent="0.2">
      <c r="A27" s="6285">
        <v>26291300</v>
      </c>
      <c r="B27" s="7814" t="s">
        <v>1150</v>
      </c>
      <c r="C27" s="6946"/>
      <c r="D27" s="1140" t="s">
        <v>5292</v>
      </c>
      <c r="E27" s="1414" t="s">
        <v>5293</v>
      </c>
      <c r="F27" s="1414" t="s">
        <v>5294</v>
      </c>
      <c r="G27" s="1414" t="s">
        <v>5295</v>
      </c>
      <c r="H27" s="1414" t="s">
        <v>5296</v>
      </c>
      <c r="I27" s="1409" t="s">
        <v>5297</v>
      </c>
      <c r="J27" s="1409" t="s">
        <v>5298</v>
      </c>
      <c r="K27" s="1414" t="s">
        <v>5299</v>
      </c>
      <c r="L27" s="1414" t="s">
        <v>5300</v>
      </c>
      <c r="M27" s="1414" t="s">
        <v>5301</v>
      </c>
      <c r="N27" s="1412" t="s">
        <v>5302</v>
      </c>
      <c r="O27" s="62" t="s">
        <v>5303</v>
      </c>
      <c r="P27" s="62" t="s">
        <v>5304</v>
      </c>
      <c r="Q27" s="62" t="s">
        <v>5305</v>
      </c>
      <c r="R27" s="170" t="e">
        <f t="shared" si="9"/>
        <v>#VALUE!</v>
      </c>
      <c r="BR27" s="2465" t="e">
        <f t="shared" si="8"/>
        <v>#VALUE!</v>
      </c>
      <c r="BS27" s="2466"/>
      <c r="BT27" s="2465" t="str">
        <f t="shared" si="19"/>
        <v xml:space="preserve"> * La variable Pueblos Originarios no puede ser mayor al Total.</v>
      </c>
      <c r="BU27" s="2465" t="str">
        <f t="shared" si="20"/>
        <v xml:space="preserve"> * La variable Migrantes no puede ser mayor al Total.</v>
      </c>
      <c r="BV27" s="2465" t="str">
        <f t="shared" si="21"/>
        <v xml:space="preserve"> * La variable Espacio Amigable/Adolescente no puede ser mayor al Total.</v>
      </c>
      <c r="BX27" s="2466" t="e">
        <f t="shared" si="14"/>
        <v>#VALUE!</v>
      </c>
      <c r="BY27" s="2465"/>
      <c r="BZ27" s="2466">
        <f t="shared" si="16"/>
        <v>1</v>
      </c>
      <c r="CA27" s="2466">
        <f t="shared" si="17"/>
        <v>1</v>
      </c>
      <c r="CB27" s="2466">
        <f t="shared" si="18"/>
        <v>1</v>
      </c>
    </row>
    <row r="28" spans="1:80" s="170" customFormat="1" ht="15" customHeight="1" x14ac:dyDescent="0.2">
      <c r="A28" s="6285">
        <v>26280020</v>
      </c>
      <c r="B28" s="7814" t="s">
        <v>1151</v>
      </c>
      <c r="C28" s="6946"/>
      <c r="D28" s="1140" t="s">
        <v>5292</v>
      </c>
      <c r="E28" s="1414" t="s">
        <v>5293</v>
      </c>
      <c r="F28" s="1414" t="s">
        <v>5294</v>
      </c>
      <c r="G28" s="1414" t="s">
        <v>5295</v>
      </c>
      <c r="H28" s="1414" t="s">
        <v>5296</v>
      </c>
      <c r="I28" s="1409" t="s">
        <v>5297</v>
      </c>
      <c r="J28" s="1409" t="s">
        <v>5298</v>
      </c>
      <c r="K28" s="1414" t="s">
        <v>5299</v>
      </c>
      <c r="L28" s="1414" t="s">
        <v>5300</v>
      </c>
      <c r="M28" s="1414" t="s">
        <v>5301</v>
      </c>
      <c r="N28" s="1412" t="s">
        <v>5302</v>
      </c>
      <c r="O28" s="62" t="s">
        <v>5303</v>
      </c>
      <c r="P28" s="62" t="s">
        <v>5304</v>
      </c>
      <c r="Q28" s="62" t="s">
        <v>5305</v>
      </c>
      <c r="R28" s="170" t="e">
        <f t="shared" si="9"/>
        <v>#VALUE!</v>
      </c>
      <c r="BR28" s="2465" t="e">
        <f t="shared" si="8"/>
        <v>#VALUE!</v>
      </c>
      <c r="BS28" s="2466"/>
      <c r="BT28" s="2465" t="str">
        <f t="shared" si="19"/>
        <v xml:space="preserve"> * La variable Pueblos Originarios no puede ser mayor al Total.</v>
      </c>
      <c r="BU28" s="2465" t="str">
        <f t="shared" si="20"/>
        <v xml:space="preserve"> * La variable Migrantes no puede ser mayor al Total.</v>
      </c>
      <c r="BV28" s="2465" t="str">
        <f t="shared" si="21"/>
        <v xml:space="preserve"> * La variable Espacio Amigable/Adolescente no puede ser mayor al Total.</v>
      </c>
      <c r="BX28" s="2466" t="e">
        <f t="shared" si="14"/>
        <v>#VALUE!</v>
      </c>
      <c r="BY28" s="2465"/>
      <c r="BZ28" s="2466">
        <f t="shared" si="16"/>
        <v>1</v>
      </c>
      <c r="CA28" s="2466">
        <f t="shared" si="17"/>
        <v>1</v>
      </c>
      <c r="CB28" s="2466">
        <f t="shared" si="18"/>
        <v>1</v>
      </c>
    </row>
    <row r="29" spans="1:80" s="170" customFormat="1" ht="15" customHeight="1" x14ac:dyDescent="0.2">
      <c r="A29" s="6285">
        <v>26273107</v>
      </c>
      <c r="B29" s="7814" t="s">
        <v>1152</v>
      </c>
      <c r="C29" s="6946"/>
      <c r="D29" s="1140" t="s">
        <v>5292</v>
      </c>
      <c r="E29" s="1414" t="s">
        <v>5293</v>
      </c>
      <c r="F29" s="1414" t="s">
        <v>5294</v>
      </c>
      <c r="G29" s="1414" t="s">
        <v>5295</v>
      </c>
      <c r="H29" s="1414" t="s">
        <v>5296</v>
      </c>
      <c r="I29" s="1409" t="s">
        <v>5297</v>
      </c>
      <c r="J29" s="1409" t="s">
        <v>5298</v>
      </c>
      <c r="K29" s="1414" t="s">
        <v>5299</v>
      </c>
      <c r="L29" s="1414" t="s">
        <v>5300</v>
      </c>
      <c r="M29" s="1414" t="s">
        <v>5301</v>
      </c>
      <c r="N29" s="1327" t="s">
        <v>5302</v>
      </c>
      <c r="O29" s="62" t="s">
        <v>5303</v>
      </c>
      <c r="P29" s="62" t="s">
        <v>5304</v>
      </c>
      <c r="Q29" s="62" t="s">
        <v>5305</v>
      </c>
      <c r="R29" s="170" t="e">
        <f t="shared" si="9"/>
        <v>#VALUE!</v>
      </c>
      <c r="BR29" s="2465" t="e">
        <f t="shared" si="8"/>
        <v>#VALUE!</v>
      </c>
      <c r="BS29" s="2465" t="str">
        <f t="shared" ref="BS29:BS35" si="24">IF(AND(D29&gt;0,N29="")," * No olvide digitar la variable Programa de Acompañamiento Psicosocial en APS. Si no tiene digite Cero.",IF(N29&gt;D29," * La variable Programa de Acompañamiento Psicosocial en APS no puede ser mayor al Total.",""))</f>
        <v xml:space="preserve"> * La variable Programa de Acompañamiento Psicosocial en APS no puede ser mayor al Total.</v>
      </c>
      <c r="BT29" s="2465" t="str">
        <f t="shared" si="19"/>
        <v xml:space="preserve"> * La variable Pueblos Originarios no puede ser mayor al Total.</v>
      </c>
      <c r="BU29" s="2465" t="str">
        <f t="shared" si="20"/>
        <v xml:space="preserve"> * La variable Migrantes no puede ser mayor al Total.</v>
      </c>
      <c r="BV29" s="2465" t="str">
        <f t="shared" si="21"/>
        <v xml:space="preserve"> * La variable Espacio Amigable/Adolescente no puede ser mayor al Total.</v>
      </c>
      <c r="BX29" s="2466" t="e">
        <f t="shared" si="14"/>
        <v>#VALUE!</v>
      </c>
      <c r="BY29" s="2466">
        <f t="shared" ref="BY29:BY35" si="25">IF(AND(D29&gt;0,N29=""),1,IF(N29&gt;D29,1,0))</f>
        <v>1</v>
      </c>
      <c r="BZ29" s="2466">
        <f t="shared" si="16"/>
        <v>1</v>
      </c>
      <c r="CA29" s="2466">
        <f t="shared" si="17"/>
        <v>1</v>
      </c>
      <c r="CB29" s="2466">
        <f t="shared" si="18"/>
        <v>1</v>
      </c>
    </row>
    <row r="30" spans="1:80" s="170" customFormat="1" ht="15" customHeight="1" x14ac:dyDescent="0.2">
      <c r="A30" s="6285">
        <v>26274601</v>
      </c>
      <c r="B30" s="7814" t="s">
        <v>1153</v>
      </c>
      <c r="C30" s="6946"/>
      <c r="D30" s="1140" t="s">
        <v>5292</v>
      </c>
      <c r="E30" s="1414" t="s">
        <v>5293</v>
      </c>
      <c r="F30" s="1414" t="s">
        <v>5294</v>
      </c>
      <c r="G30" s="1414" t="s">
        <v>5295</v>
      </c>
      <c r="H30" s="1414" t="s">
        <v>5296</v>
      </c>
      <c r="I30" s="1409" t="s">
        <v>5297</v>
      </c>
      <c r="J30" s="1409" t="s">
        <v>5298</v>
      </c>
      <c r="K30" s="1414" t="s">
        <v>5299</v>
      </c>
      <c r="L30" s="1414" t="s">
        <v>5300</v>
      </c>
      <c r="M30" s="1414" t="s">
        <v>5301</v>
      </c>
      <c r="N30" s="1327" t="s">
        <v>5302</v>
      </c>
      <c r="O30" s="62" t="s">
        <v>5303</v>
      </c>
      <c r="P30" s="62" t="s">
        <v>5304</v>
      </c>
      <c r="Q30" s="62" t="s">
        <v>5305</v>
      </c>
      <c r="R30" s="170" t="e">
        <f t="shared" si="9"/>
        <v>#VALUE!</v>
      </c>
      <c r="BR30" s="2465" t="e">
        <f t="shared" si="8"/>
        <v>#VALUE!</v>
      </c>
      <c r="BS30" s="2465" t="str">
        <f t="shared" si="24"/>
        <v xml:space="preserve"> * La variable Programa de Acompañamiento Psicosocial en APS no puede ser mayor al Total.</v>
      </c>
      <c r="BT30" s="2465" t="str">
        <f t="shared" si="19"/>
        <v xml:space="preserve"> * La variable Pueblos Originarios no puede ser mayor al Total.</v>
      </c>
      <c r="BU30" s="2465" t="str">
        <f t="shared" si="20"/>
        <v xml:space="preserve"> * La variable Migrantes no puede ser mayor al Total.</v>
      </c>
      <c r="BV30" s="2465" t="str">
        <f t="shared" si="21"/>
        <v xml:space="preserve"> * La variable Espacio Amigable/Adolescente no puede ser mayor al Total.</v>
      </c>
      <c r="BX30" s="2466" t="e">
        <f t="shared" si="14"/>
        <v>#VALUE!</v>
      </c>
      <c r="BY30" s="2466">
        <f t="shared" si="25"/>
        <v>1</v>
      </c>
      <c r="BZ30" s="2466">
        <f t="shared" si="16"/>
        <v>1</v>
      </c>
      <c r="CA30" s="2466">
        <f t="shared" si="17"/>
        <v>1</v>
      </c>
      <c r="CB30" s="2466">
        <f t="shared" si="18"/>
        <v>1</v>
      </c>
    </row>
    <row r="31" spans="1:80" s="170" customFormat="1" ht="15" customHeight="1" x14ac:dyDescent="0.2">
      <c r="A31" s="6277">
        <v>26300110</v>
      </c>
      <c r="B31" s="8144" t="s">
        <v>1154</v>
      </c>
      <c r="C31" s="8145"/>
      <c r="D31" s="1140" t="s">
        <v>5292</v>
      </c>
      <c r="E31" s="1414" t="s">
        <v>5293</v>
      </c>
      <c r="F31" s="1414" t="s">
        <v>5294</v>
      </c>
      <c r="G31" s="1414" t="s">
        <v>5295</v>
      </c>
      <c r="H31" s="1414" t="s">
        <v>5296</v>
      </c>
      <c r="I31" s="1409" t="s">
        <v>5297</v>
      </c>
      <c r="J31" s="1409" t="s">
        <v>5298</v>
      </c>
      <c r="K31" s="1414" t="s">
        <v>5299</v>
      </c>
      <c r="L31" s="1414" t="s">
        <v>5300</v>
      </c>
      <c r="M31" s="1414" t="s">
        <v>5301</v>
      </c>
      <c r="N31" s="1327" t="s">
        <v>5302</v>
      </c>
      <c r="O31" s="62" t="s">
        <v>5303</v>
      </c>
      <c r="P31" s="62" t="s">
        <v>5304</v>
      </c>
      <c r="Q31" s="62" t="s">
        <v>5305</v>
      </c>
      <c r="R31" s="170" t="e">
        <f t="shared" si="9"/>
        <v>#VALUE!</v>
      </c>
      <c r="BR31" s="2465" t="e">
        <f t="shared" si="8"/>
        <v>#VALUE!</v>
      </c>
      <c r="BS31" s="2465" t="str">
        <f t="shared" si="24"/>
        <v xml:space="preserve"> * La variable Programa de Acompañamiento Psicosocial en APS no puede ser mayor al Total.</v>
      </c>
      <c r="BT31" s="2465" t="str">
        <f t="shared" si="19"/>
        <v xml:space="preserve"> * La variable Pueblos Originarios no puede ser mayor al Total.</v>
      </c>
      <c r="BU31" s="2465" t="str">
        <f t="shared" si="20"/>
        <v xml:space="preserve"> * La variable Migrantes no puede ser mayor al Total.</v>
      </c>
      <c r="BV31" s="2465" t="str">
        <f t="shared" si="21"/>
        <v xml:space="preserve"> * La variable Espacio Amigable/Adolescente no puede ser mayor al Total.</v>
      </c>
      <c r="BX31" s="2466" t="e">
        <f t="shared" si="14"/>
        <v>#VALUE!</v>
      </c>
      <c r="BY31" s="2466">
        <f t="shared" si="25"/>
        <v>1</v>
      </c>
      <c r="BZ31" s="2466">
        <f t="shared" si="16"/>
        <v>1</v>
      </c>
      <c r="CA31" s="2466">
        <f t="shared" si="17"/>
        <v>1</v>
      </c>
      <c r="CB31" s="2466">
        <f t="shared" si="18"/>
        <v>1</v>
      </c>
    </row>
    <row r="32" spans="1:80" s="170" customFormat="1" ht="15" customHeight="1" x14ac:dyDescent="0.2">
      <c r="A32" s="6277">
        <v>29101527</v>
      </c>
      <c r="B32" s="8144" t="s">
        <v>1155</v>
      </c>
      <c r="C32" s="8145"/>
      <c r="D32" s="1140" t="s">
        <v>5292</v>
      </c>
      <c r="E32" s="1414" t="s">
        <v>5293</v>
      </c>
      <c r="F32" s="1414" t="s">
        <v>5294</v>
      </c>
      <c r="G32" s="1414" t="s">
        <v>5295</v>
      </c>
      <c r="H32" s="1414" t="s">
        <v>5296</v>
      </c>
      <c r="I32" s="1409" t="s">
        <v>5297</v>
      </c>
      <c r="J32" s="1409" t="s">
        <v>5298</v>
      </c>
      <c r="K32" s="1414" t="s">
        <v>5299</v>
      </c>
      <c r="L32" s="1414" t="s">
        <v>5300</v>
      </c>
      <c r="M32" s="1414" t="s">
        <v>5301</v>
      </c>
      <c r="N32" s="1327" t="s">
        <v>5302</v>
      </c>
      <c r="O32" s="62" t="s">
        <v>5303</v>
      </c>
      <c r="P32" s="62" t="s">
        <v>5304</v>
      </c>
      <c r="Q32" s="62" t="s">
        <v>5305</v>
      </c>
      <c r="R32" s="170" t="e">
        <f t="shared" si="9"/>
        <v>#VALUE!</v>
      </c>
      <c r="BR32" s="2465" t="e">
        <f t="shared" si="8"/>
        <v>#VALUE!</v>
      </c>
      <c r="BS32" s="2465" t="str">
        <f t="shared" si="24"/>
        <v xml:space="preserve"> * La variable Programa de Acompañamiento Psicosocial en APS no puede ser mayor al Total.</v>
      </c>
      <c r="BT32" s="2465" t="str">
        <f t="shared" si="19"/>
        <v xml:space="preserve"> * La variable Pueblos Originarios no puede ser mayor al Total.</v>
      </c>
      <c r="BU32" s="2465" t="str">
        <f t="shared" si="20"/>
        <v xml:space="preserve"> * La variable Migrantes no puede ser mayor al Total.</v>
      </c>
      <c r="BV32" s="2465" t="str">
        <f t="shared" si="21"/>
        <v xml:space="preserve"> * La variable Espacio Amigable/Adolescente no puede ser mayor al Total.</v>
      </c>
      <c r="BX32" s="2466" t="e">
        <f t="shared" si="14"/>
        <v>#VALUE!</v>
      </c>
      <c r="BY32" s="2466">
        <f t="shared" si="25"/>
        <v>1</v>
      </c>
      <c r="BZ32" s="2466">
        <f t="shared" si="16"/>
        <v>1</v>
      </c>
      <c r="CA32" s="2466">
        <f t="shared" si="17"/>
        <v>1</v>
      </c>
      <c r="CB32" s="2466">
        <f t="shared" si="18"/>
        <v>1</v>
      </c>
    </row>
    <row r="33" spans="1:80" s="170" customFormat="1" ht="15" customHeight="1" x14ac:dyDescent="0.2">
      <c r="A33" s="6277">
        <v>29101528</v>
      </c>
      <c r="B33" s="8144" t="s">
        <v>1156</v>
      </c>
      <c r="C33" s="8145"/>
      <c r="D33" s="1140" t="s">
        <v>5292</v>
      </c>
      <c r="E33" s="1414" t="s">
        <v>5293</v>
      </c>
      <c r="F33" s="1414" t="s">
        <v>5294</v>
      </c>
      <c r="G33" s="1414" t="s">
        <v>5295</v>
      </c>
      <c r="H33" s="1414" t="s">
        <v>5296</v>
      </c>
      <c r="I33" s="1409" t="s">
        <v>5297</v>
      </c>
      <c r="J33" s="1409" t="s">
        <v>5298</v>
      </c>
      <c r="K33" s="1414" t="s">
        <v>5299</v>
      </c>
      <c r="L33" s="1414" t="s">
        <v>5300</v>
      </c>
      <c r="M33" s="1414" t="s">
        <v>5301</v>
      </c>
      <c r="N33" s="1327" t="s">
        <v>5302</v>
      </c>
      <c r="O33" s="62" t="s">
        <v>5303</v>
      </c>
      <c r="P33" s="62" t="s">
        <v>5304</v>
      </c>
      <c r="Q33" s="62" t="s">
        <v>5305</v>
      </c>
      <c r="R33" s="170" t="e">
        <f>BR33&amp;BS33&amp;BT33&amp;BU33&amp;BV33</f>
        <v>#VALUE!</v>
      </c>
      <c r="BR33" s="2465" t="e">
        <f t="shared" si="8"/>
        <v>#VALUE!</v>
      </c>
      <c r="BS33" s="2465" t="str">
        <f t="shared" si="24"/>
        <v xml:space="preserve"> * La variable Programa de Acompañamiento Psicosocial en APS no puede ser mayor al Total.</v>
      </c>
      <c r="BT33" s="2465" t="str">
        <f t="shared" si="19"/>
        <v xml:space="preserve"> * La variable Pueblos Originarios no puede ser mayor al Total.</v>
      </c>
      <c r="BU33" s="2465" t="str">
        <f t="shared" si="20"/>
        <v xml:space="preserve"> * La variable Migrantes no puede ser mayor al Total.</v>
      </c>
      <c r="BV33" s="2465" t="str">
        <f t="shared" si="21"/>
        <v xml:space="preserve"> * La variable Espacio Amigable/Adolescente no puede ser mayor al Total.</v>
      </c>
      <c r="BX33" s="2466" t="e">
        <f t="shared" si="14"/>
        <v>#VALUE!</v>
      </c>
      <c r="BY33" s="2466">
        <f t="shared" si="25"/>
        <v>1</v>
      </c>
      <c r="BZ33" s="2466">
        <f t="shared" si="16"/>
        <v>1</v>
      </c>
      <c r="CA33" s="2466">
        <f t="shared" si="17"/>
        <v>1</v>
      </c>
      <c r="CB33" s="2466">
        <f t="shared" si="18"/>
        <v>1</v>
      </c>
    </row>
    <row r="34" spans="1:80" s="170" customFormat="1" ht="15" customHeight="1" x14ac:dyDescent="0.2">
      <c r="A34" s="6277">
        <v>29101529</v>
      </c>
      <c r="B34" s="8144" t="s">
        <v>1157</v>
      </c>
      <c r="C34" s="8145"/>
      <c r="D34" s="1413" t="s">
        <v>5292</v>
      </c>
      <c r="E34" s="1414" t="s">
        <v>5293</v>
      </c>
      <c r="F34" s="1414" t="s">
        <v>5294</v>
      </c>
      <c r="G34" s="1414" t="s">
        <v>5295</v>
      </c>
      <c r="H34" s="1414" t="s">
        <v>5296</v>
      </c>
      <c r="I34" s="1409" t="s">
        <v>5297</v>
      </c>
      <c r="J34" s="1409" t="s">
        <v>5298</v>
      </c>
      <c r="K34" s="1414" t="s">
        <v>5299</v>
      </c>
      <c r="L34" s="1414" t="s">
        <v>5300</v>
      </c>
      <c r="M34" s="1414" t="s">
        <v>5301</v>
      </c>
      <c r="N34" s="1327" t="s">
        <v>5302</v>
      </c>
      <c r="O34" s="69" t="s">
        <v>5303</v>
      </c>
      <c r="P34" s="69" t="s">
        <v>5304</v>
      </c>
      <c r="Q34" s="69" t="s">
        <v>5305</v>
      </c>
      <c r="R34" s="170" t="e">
        <f t="shared" si="9"/>
        <v>#VALUE!</v>
      </c>
      <c r="BR34" s="2465" t="e">
        <f t="shared" si="8"/>
        <v>#VALUE!</v>
      </c>
      <c r="BS34" s="2465" t="str">
        <f t="shared" si="24"/>
        <v xml:space="preserve"> * La variable Programa de Acompañamiento Psicosocial en APS no puede ser mayor al Total.</v>
      </c>
      <c r="BT34" s="2465" t="str">
        <f t="shared" si="19"/>
        <v xml:space="preserve"> * La variable Pueblos Originarios no puede ser mayor al Total.</v>
      </c>
      <c r="BU34" s="2465" t="str">
        <f t="shared" si="20"/>
        <v xml:space="preserve"> * La variable Migrantes no puede ser mayor al Total.</v>
      </c>
      <c r="BV34" s="2465" t="str">
        <f t="shared" si="21"/>
        <v xml:space="preserve"> * La variable Espacio Amigable/Adolescente no puede ser mayor al Total.</v>
      </c>
      <c r="BX34" s="2466" t="e">
        <f t="shared" si="14"/>
        <v>#VALUE!</v>
      </c>
      <c r="BY34" s="2466">
        <f t="shared" si="25"/>
        <v>1</v>
      </c>
      <c r="BZ34" s="2466">
        <f t="shared" si="16"/>
        <v>1</v>
      </c>
      <c r="CA34" s="2466">
        <f t="shared" si="17"/>
        <v>1</v>
      </c>
      <c r="CB34" s="2466">
        <f t="shared" si="18"/>
        <v>1</v>
      </c>
    </row>
    <row r="35" spans="1:80" s="170" customFormat="1" ht="15" customHeight="1" x14ac:dyDescent="0.2">
      <c r="A35" s="6277">
        <v>29101530</v>
      </c>
      <c r="B35" s="8146" t="s">
        <v>1158</v>
      </c>
      <c r="C35" s="8131"/>
      <c r="D35" s="51" t="s">
        <v>5292</v>
      </c>
      <c r="E35" s="1414" t="s">
        <v>5293</v>
      </c>
      <c r="F35" s="1414" t="s">
        <v>5294</v>
      </c>
      <c r="G35" s="1414" t="s">
        <v>5295</v>
      </c>
      <c r="H35" s="1414" t="s">
        <v>5296</v>
      </c>
      <c r="I35" s="4326" t="s">
        <v>5297</v>
      </c>
      <c r="J35" s="4326" t="s">
        <v>5298</v>
      </c>
      <c r="K35" s="1414" t="s">
        <v>5299</v>
      </c>
      <c r="L35" s="1414" t="s">
        <v>5300</v>
      </c>
      <c r="M35" s="1414" t="s">
        <v>5301</v>
      </c>
      <c r="N35" s="1329" t="s">
        <v>5302</v>
      </c>
      <c r="O35" s="65" t="s">
        <v>5303</v>
      </c>
      <c r="P35" s="65" t="s">
        <v>5304</v>
      </c>
      <c r="Q35" s="65" t="s">
        <v>5305</v>
      </c>
      <c r="R35" s="170" t="e">
        <f t="shared" si="9"/>
        <v>#VALUE!</v>
      </c>
      <c r="BR35" s="2465" t="e">
        <f t="shared" si="8"/>
        <v>#VALUE!</v>
      </c>
      <c r="BS35" s="2465" t="str">
        <f t="shared" si="24"/>
        <v xml:space="preserve"> * La variable Programa de Acompañamiento Psicosocial en APS no puede ser mayor al Total.</v>
      </c>
      <c r="BT35" s="2465" t="str">
        <f t="shared" si="19"/>
        <v xml:space="preserve"> * La variable Pueblos Originarios no puede ser mayor al Total.</v>
      </c>
      <c r="BU35" s="2465" t="str">
        <f t="shared" si="20"/>
        <v xml:space="preserve"> * La variable Migrantes no puede ser mayor al Total.</v>
      </c>
      <c r="BV35" s="2465" t="str">
        <f t="shared" si="21"/>
        <v xml:space="preserve"> * La variable Espacio Amigable/Adolescente no puede ser mayor al Total.</v>
      </c>
      <c r="BX35" s="2466" t="e">
        <f t="shared" si="14"/>
        <v>#VALUE!</v>
      </c>
      <c r="BY35" s="2466">
        <f t="shared" si="25"/>
        <v>1</v>
      </c>
      <c r="BZ35" s="2466">
        <f t="shared" si="16"/>
        <v>1</v>
      </c>
      <c r="CA35" s="2466">
        <f t="shared" si="17"/>
        <v>1</v>
      </c>
      <c r="CB35" s="2466">
        <f t="shared" si="18"/>
        <v>1</v>
      </c>
    </row>
    <row r="36" spans="1:80" s="1116" customFormat="1" ht="18" customHeight="1" x14ac:dyDescent="0.2">
      <c r="B36" s="7775" t="s">
        <v>1159</v>
      </c>
      <c r="C36" s="7775"/>
      <c r="D36" s="7775"/>
      <c r="E36" s="7775"/>
      <c r="F36" s="7775"/>
      <c r="G36" s="7775"/>
      <c r="H36" s="7775"/>
      <c r="I36" s="7775"/>
      <c r="J36" s="7775"/>
      <c r="K36" s="7775"/>
      <c r="L36" s="7775"/>
      <c r="M36" s="7775"/>
      <c r="N36" s="7775"/>
      <c r="O36" s="7775"/>
    </row>
    <row r="37" spans="1:80" s="170" customFormat="1" ht="40.799999999999997" x14ac:dyDescent="0.2">
      <c r="B37" s="7756" t="s">
        <v>1087</v>
      </c>
      <c r="C37" s="7757"/>
      <c r="D37" s="1268" t="s">
        <v>1160</v>
      </c>
      <c r="E37" s="1408" t="s">
        <v>1161</v>
      </c>
      <c r="F37" s="1408" t="s">
        <v>1162</v>
      </c>
      <c r="G37" s="1408" t="s">
        <v>1163</v>
      </c>
      <c r="H37" s="1408" t="s">
        <v>1164</v>
      </c>
      <c r="I37" s="1408" t="s">
        <v>1165</v>
      </c>
      <c r="J37" s="1408" t="s">
        <v>1166</v>
      </c>
      <c r="K37" s="2477" t="s">
        <v>1167</v>
      </c>
      <c r="L37" s="2476" t="s">
        <v>3</v>
      </c>
      <c r="M37" s="1408" t="s">
        <v>546</v>
      </c>
      <c r="N37" s="1408" t="s">
        <v>1168</v>
      </c>
      <c r="O37" s="1267" t="s">
        <v>1169</v>
      </c>
    </row>
    <row r="38" spans="1:80" s="170" customFormat="1" ht="15" customHeight="1" x14ac:dyDescent="0.2">
      <c r="A38" s="6277">
        <v>29101531</v>
      </c>
      <c r="B38" s="8132" t="s">
        <v>1170</v>
      </c>
      <c r="C38" s="5848" t="s">
        <v>1171</v>
      </c>
      <c r="D38" s="5849" t="s">
        <v>5292</v>
      </c>
      <c r="E38" s="5850" t="s">
        <v>5293</v>
      </c>
      <c r="F38" s="5850" t="s">
        <v>5294</v>
      </c>
      <c r="G38" s="5850" t="s">
        <v>5295</v>
      </c>
      <c r="H38" s="5850" t="s">
        <v>5296</v>
      </c>
      <c r="I38" s="5850" t="s">
        <v>5297</v>
      </c>
      <c r="J38" s="5850" t="s">
        <v>5298</v>
      </c>
      <c r="K38" s="5851" t="s">
        <v>5299</v>
      </c>
      <c r="L38" s="5852" t="s">
        <v>5300</v>
      </c>
      <c r="M38" s="5850" t="s">
        <v>5301</v>
      </c>
      <c r="N38" s="5850" t="s">
        <v>5302</v>
      </c>
      <c r="O38" s="5853" t="s">
        <v>5303</v>
      </c>
      <c r="P38" s="170" t="str">
        <f>BR38&amp;BS38</f>
        <v xml:space="preserve"> * La variable Migrantes no puede ser mayor al Total. * La variable Pueblos Originarios no puede ser mayor al Total.</v>
      </c>
      <c r="BR38" s="2465" t="str">
        <f>IF(AND(SUM(D38:K38)&gt;0,L38="")," * No olvide digitar la variable Migrantes. Digite Cero si no tiene.",IF(L38&gt;SUM(D38:K38)," * La variable Migrantes no puede ser mayor al Total.",""))</f>
        <v xml:space="preserve"> * La variable Migrantes no puede ser mayor al Total.</v>
      </c>
      <c r="BS38" s="2465" t="str">
        <f>IF(AND(SUM(D38:K38)&gt;0,M38="")," * No olvide digitar la variable Pueblos Originarios. Digite Cero si no tiene.",IF(M38&gt;SUM(D38:K38)," * La variable Pueblos Originarios no puede ser mayor al Total.",""))</f>
        <v xml:space="preserve"> * La variable Pueblos Originarios no puede ser mayor al Total.</v>
      </c>
      <c r="BX38" s="2466">
        <f>IF(AND(SUM(D38:K38)&gt;0,L38=""),1,IF(L38&gt;SUM(D38:K38),1,0))</f>
        <v>1</v>
      </c>
      <c r="BY38" s="2466">
        <f>IF(AND(SUM(D38:K38)&gt;0,M38=""),1,IF(M38&gt;SUM(D38:K38),1,0))</f>
        <v>1</v>
      </c>
    </row>
    <row r="39" spans="1:80" s="170" customFormat="1" ht="21" thickBot="1" x14ac:dyDescent="0.25">
      <c r="A39" s="6285">
        <v>26273106</v>
      </c>
      <c r="B39" s="8132"/>
      <c r="C39" s="5854" t="s">
        <v>1172</v>
      </c>
      <c r="D39" s="5855" t="s">
        <v>5292</v>
      </c>
      <c r="E39" s="5856" t="s">
        <v>5293</v>
      </c>
      <c r="F39" s="5856" t="s">
        <v>5294</v>
      </c>
      <c r="G39" s="5856" t="s">
        <v>5295</v>
      </c>
      <c r="H39" s="5856" t="s">
        <v>5296</v>
      </c>
      <c r="I39" s="5856" t="s">
        <v>5297</v>
      </c>
      <c r="J39" s="5856" t="s">
        <v>5298</v>
      </c>
      <c r="K39" s="5857" t="s">
        <v>5299</v>
      </c>
      <c r="L39" s="5858" t="s">
        <v>5300</v>
      </c>
      <c r="M39" s="5856" t="s">
        <v>5301</v>
      </c>
      <c r="N39" s="5856" t="s">
        <v>5302</v>
      </c>
      <c r="O39" s="5859" t="s">
        <v>5303</v>
      </c>
      <c r="P39" s="170" t="str">
        <f t="shared" ref="P39:P41" si="26">BR39&amp;BS39</f>
        <v xml:space="preserve"> * La variable Migrantes no puede ser mayor al Total. * La variable Pueblos Originarios no puede ser mayor al Total.</v>
      </c>
      <c r="BR39" s="2465" t="str">
        <f t="shared" ref="BR39:BR41" si="27">IF(AND(SUM(D39:K39)&gt;0,L39="")," * No olvide digitar la variable Migrantes. Digite Cero si no tiene.",IF(L39&gt;SUM(D39:K39)," * La variable Migrantes no puede ser mayor al Total.",""))</f>
        <v xml:space="preserve"> * La variable Migrantes no puede ser mayor al Total.</v>
      </c>
      <c r="BS39" s="2465" t="str">
        <f t="shared" ref="BS39:BS41" si="28">IF(AND(SUM(D39:K39)&gt;0,M39="")," * No olvide digitar la variable Pueblos Originarios. Digite Cero si no tiene.",IF(M39&gt;SUM(D39:K39)," * La variable Pueblos Originarios no puede ser mayor al Total.",""))</f>
        <v xml:space="preserve"> * La variable Pueblos Originarios no puede ser mayor al Total.</v>
      </c>
      <c r="BX39" s="2466">
        <f t="shared" ref="BX39:BX41" si="29">IF(AND(SUM(D39:K39)&gt;0,L39=""),1,IF(L39&gt;SUM(D39:K39),1,0))</f>
        <v>1</v>
      </c>
      <c r="BY39" s="2466">
        <f t="shared" ref="BY39:BY41" si="30">IF(AND(SUM(D39:K39)&gt;0,M39=""),1,IF(M39&gt;SUM(D39:K39),1,0))</f>
        <v>1</v>
      </c>
    </row>
    <row r="40" spans="1:80" s="170" customFormat="1" ht="21" thickTop="1" x14ac:dyDescent="0.2">
      <c r="A40" s="6285">
        <v>26261400</v>
      </c>
      <c r="B40" s="8132"/>
      <c r="C40" s="5842" t="s">
        <v>1173</v>
      </c>
      <c r="D40" s="5843" t="s">
        <v>5292</v>
      </c>
      <c r="E40" s="5844" t="s">
        <v>5293</v>
      </c>
      <c r="F40" s="5844" t="s">
        <v>5294</v>
      </c>
      <c r="G40" s="5844" t="s">
        <v>5295</v>
      </c>
      <c r="H40" s="5844" t="s">
        <v>5296</v>
      </c>
      <c r="I40" s="5844" t="s">
        <v>5297</v>
      </c>
      <c r="J40" s="5844" t="s">
        <v>5298</v>
      </c>
      <c r="K40" s="5845" t="s">
        <v>5299</v>
      </c>
      <c r="L40" s="5846" t="s">
        <v>5300</v>
      </c>
      <c r="M40" s="5844" t="s">
        <v>5301</v>
      </c>
      <c r="N40" s="5844" t="s">
        <v>5302</v>
      </c>
      <c r="O40" s="5847" t="s">
        <v>5303</v>
      </c>
      <c r="P40" s="170" t="str">
        <f t="shared" si="26"/>
        <v xml:space="preserve"> * La variable Migrantes no puede ser mayor al Total. * La variable Pueblos Originarios no puede ser mayor al Total.</v>
      </c>
      <c r="BR40" s="2465" t="str">
        <f t="shared" si="27"/>
        <v xml:space="preserve"> * La variable Migrantes no puede ser mayor al Total.</v>
      </c>
      <c r="BS40" s="2465" t="str">
        <f t="shared" si="28"/>
        <v xml:space="preserve"> * La variable Pueblos Originarios no puede ser mayor al Total.</v>
      </c>
      <c r="BX40" s="2466">
        <f t="shared" si="29"/>
        <v>1</v>
      </c>
      <c r="BY40" s="2466">
        <f t="shared" si="30"/>
        <v>1</v>
      </c>
    </row>
    <row r="41" spans="1:80" s="170" customFormat="1" ht="20.399999999999999" x14ac:dyDescent="0.2">
      <c r="A41" s="6285">
        <v>26300100</v>
      </c>
      <c r="B41" s="8132"/>
      <c r="C41" s="1415" t="s">
        <v>1174</v>
      </c>
      <c r="D41" s="1416" t="s">
        <v>5292</v>
      </c>
      <c r="E41" s="1417" t="s">
        <v>5293</v>
      </c>
      <c r="F41" s="1417" t="s">
        <v>5294</v>
      </c>
      <c r="G41" s="1417" t="s">
        <v>5295</v>
      </c>
      <c r="H41" s="1417" t="s">
        <v>5296</v>
      </c>
      <c r="I41" s="1417" t="s">
        <v>5297</v>
      </c>
      <c r="J41" s="1417" t="s">
        <v>5298</v>
      </c>
      <c r="K41" s="1418" t="s">
        <v>5299</v>
      </c>
      <c r="L41" s="1419" t="s">
        <v>5300</v>
      </c>
      <c r="M41" s="1417" t="s">
        <v>5301</v>
      </c>
      <c r="N41" s="1417" t="s">
        <v>5302</v>
      </c>
      <c r="O41" s="1420" t="s">
        <v>5303</v>
      </c>
      <c r="P41" s="170" t="str">
        <f t="shared" si="26"/>
        <v xml:space="preserve"> * La variable Migrantes no puede ser mayor al Total. * La variable Pueblos Originarios no puede ser mayor al Total.</v>
      </c>
      <c r="BR41" s="2465" t="str">
        <f t="shared" si="27"/>
        <v xml:space="preserve"> * La variable Migrantes no puede ser mayor al Total.</v>
      </c>
      <c r="BS41" s="2465" t="str">
        <f t="shared" si="28"/>
        <v xml:space="preserve"> * La variable Pueblos Originarios no puede ser mayor al Total.</v>
      </c>
      <c r="BX41" s="2466">
        <f t="shared" si="29"/>
        <v>1</v>
      </c>
      <c r="BY41" s="2466">
        <f t="shared" si="30"/>
        <v>1</v>
      </c>
    </row>
    <row r="42" spans="1:80" s="1116" customFormat="1" ht="18" customHeight="1" x14ac:dyDescent="0.2">
      <c r="B42" s="5925" t="s">
        <v>1175</v>
      </c>
      <c r="C42" s="5926"/>
      <c r="D42" s="5926"/>
      <c r="E42" s="5926"/>
      <c r="F42" s="5926"/>
      <c r="G42" s="5926"/>
      <c r="H42" s="5926"/>
      <c r="I42" s="5926"/>
      <c r="J42" s="5926"/>
      <c r="K42" s="5926"/>
      <c r="L42" s="5926"/>
      <c r="M42" s="5926"/>
      <c r="N42" s="5926"/>
      <c r="O42" s="5926"/>
      <c r="P42" s="5926"/>
      <c r="Q42" s="5926"/>
      <c r="R42" s="5926"/>
      <c r="S42" s="5926"/>
      <c r="T42" s="5926"/>
      <c r="U42" s="5926"/>
      <c r="V42" s="5926"/>
      <c r="W42" s="5926"/>
      <c r="X42" s="5926"/>
      <c r="Y42" s="5926"/>
      <c r="Z42" s="5926"/>
      <c r="AA42" s="5926"/>
      <c r="AB42" s="5926"/>
      <c r="AC42" s="5926"/>
      <c r="AD42" s="5926"/>
      <c r="AE42" s="5926"/>
      <c r="AF42" s="5926"/>
      <c r="AG42" s="5926"/>
      <c r="AH42" s="5926"/>
      <c r="AI42" s="5926"/>
      <c r="AJ42" s="5926"/>
      <c r="AK42" s="5926"/>
      <c r="AL42" s="5926"/>
      <c r="AM42" s="5926"/>
      <c r="AN42" s="5926"/>
      <c r="AO42" s="5926"/>
      <c r="AP42" s="5926"/>
    </row>
    <row r="43" spans="1:80" s="170" customFormat="1" ht="15" customHeight="1" x14ac:dyDescent="0.2">
      <c r="A43" s="6282"/>
      <c r="B43" s="8133" t="s">
        <v>1087</v>
      </c>
      <c r="C43" s="8136" t="s">
        <v>24</v>
      </c>
      <c r="D43" s="8137"/>
      <c r="E43" s="8133"/>
      <c r="F43" s="8140" t="s">
        <v>30</v>
      </c>
      <c r="G43" s="8141"/>
      <c r="H43" s="8141"/>
      <c r="I43" s="8141"/>
      <c r="J43" s="8141"/>
      <c r="K43" s="8141"/>
      <c r="L43" s="8141"/>
      <c r="M43" s="8141"/>
      <c r="N43" s="8141"/>
      <c r="O43" s="8141"/>
      <c r="P43" s="8141"/>
      <c r="Q43" s="8141"/>
      <c r="R43" s="8141"/>
      <c r="S43" s="8141"/>
      <c r="T43" s="8141"/>
      <c r="U43" s="8141"/>
      <c r="V43" s="8141"/>
      <c r="W43" s="8141"/>
      <c r="X43" s="8141"/>
      <c r="Y43" s="8141"/>
      <c r="Z43" s="8141"/>
      <c r="AA43" s="8141"/>
      <c r="AB43" s="8141"/>
      <c r="AC43" s="8141"/>
      <c r="AD43" s="8141"/>
      <c r="AE43" s="8141"/>
      <c r="AF43" s="8141"/>
      <c r="AG43" s="8141"/>
      <c r="AH43" s="8141"/>
      <c r="AI43" s="8141"/>
      <c r="AJ43" s="8141"/>
      <c r="AK43" s="8141"/>
      <c r="AL43" s="8141"/>
      <c r="AM43" s="8142"/>
      <c r="AN43" s="8136" t="s">
        <v>1033</v>
      </c>
      <c r="AO43" s="8137"/>
      <c r="AP43" s="8133"/>
    </row>
    <row r="44" spans="1:80" s="170" customFormat="1" ht="15" customHeight="1" x14ac:dyDescent="0.2">
      <c r="A44" s="6282"/>
      <c r="B44" s="8134"/>
      <c r="C44" s="8138"/>
      <c r="D44" s="8139"/>
      <c r="E44" s="8135"/>
      <c r="F44" s="8140" t="s">
        <v>36</v>
      </c>
      <c r="G44" s="8142"/>
      <c r="H44" s="8140" t="s">
        <v>1003</v>
      </c>
      <c r="I44" s="8142"/>
      <c r="J44" s="8140" t="s">
        <v>38</v>
      </c>
      <c r="K44" s="8142"/>
      <c r="L44" s="8140" t="s">
        <v>1176</v>
      </c>
      <c r="M44" s="8142"/>
      <c r="N44" s="8143" t="s">
        <v>5</v>
      </c>
      <c r="O44" s="8142"/>
      <c r="P44" s="8140" t="s">
        <v>6</v>
      </c>
      <c r="Q44" s="8142"/>
      <c r="R44" s="8140" t="s">
        <v>7</v>
      </c>
      <c r="S44" s="8142"/>
      <c r="T44" s="8140" t="s">
        <v>8</v>
      </c>
      <c r="U44" s="8142"/>
      <c r="V44" s="8140" t="s">
        <v>9</v>
      </c>
      <c r="W44" s="8142"/>
      <c r="X44" s="8140" t="s">
        <v>10</v>
      </c>
      <c r="Y44" s="8142"/>
      <c r="Z44" s="8140" t="s">
        <v>11</v>
      </c>
      <c r="AA44" s="8142"/>
      <c r="AB44" s="8140" t="s">
        <v>18</v>
      </c>
      <c r="AC44" s="8142"/>
      <c r="AD44" s="8140" t="s">
        <v>19</v>
      </c>
      <c r="AE44" s="8142"/>
      <c r="AF44" s="8140" t="s">
        <v>20</v>
      </c>
      <c r="AG44" s="8142"/>
      <c r="AH44" s="8140" t="s">
        <v>70</v>
      </c>
      <c r="AI44" s="8142"/>
      <c r="AJ44" s="8140" t="s">
        <v>71</v>
      </c>
      <c r="AK44" s="8142"/>
      <c r="AL44" s="8140" t="s">
        <v>72</v>
      </c>
      <c r="AM44" s="8142"/>
      <c r="AN44" s="8138"/>
      <c r="AO44" s="8139"/>
      <c r="AP44" s="8135"/>
    </row>
    <row r="45" spans="1:80" s="170" customFormat="1" ht="15" customHeight="1" x14ac:dyDescent="0.2">
      <c r="A45" s="6282"/>
      <c r="B45" s="8135"/>
      <c r="C45" s="5929" t="s">
        <v>26</v>
      </c>
      <c r="D45" s="5930" t="s">
        <v>22</v>
      </c>
      <c r="E45" s="5927" t="s">
        <v>27</v>
      </c>
      <c r="F45" s="5930" t="s">
        <v>22</v>
      </c>
      <c r="G45" s="5927" t="s">
        <v>27</v>
      </c>
      <c r="H45" s="5930" t="s">
        <v>22</v>
      </c>
      <c r="I45" s="5927" t="s">
        <v>27</v>
      </c>
      <c r="J45" s="5930" t="s">
        <v>22</v>
      </c>
      <c r="K45" s="5927" t="s">
        <v>27</v>
      </c>
      <c r="L45" s="5930" t="s">
        <v>22</v>
      </c>
      <c r="M45" s="5927" t="s">
        <v>27</v>
      </c>
      <c r="N45" s="5930" t="s">
        <v>22</v>
      </c>
      <c r="O45" s="5927" t="s">
        <v>27</v>
      </c>
      <c r="P45" s="5930" t="s">
        <v>22</v>
      </c>
      <c r="Q45" s="5927" t="s">
        <v>27</v>
      </c>
      <c r="R45" s="5930" t="s">
        <v>22</v>
      </c>
      <c r="S45" s="5927" t="s">
        <v>27</v>
      </c>
      <c r="T45" s="5930" t="s">
        <v>22</v>
      </c>
      <c r="U45" s="5927" t="s">
        <v>27</v>
      </c>
      <c r="V45" s="5930" t="s">
        <v>22</v>
      </c>
      <c r="W45" s="5927" t="s">
        <v>27</v>
      </c>
      <c r="X45" s="5930" t="s">
        <v>22</v>
      </c>
      <c r="Y45" s="5927" t="s">
        <v>27</v>
      </c>
      <c r="Z45" s="5930" t="s">
        <v>22</v>
      </c>
      <c r="AA45" s="5927" t="s">
        <v>27</v>
      </c>
      <c r="AB45" s="5930" t="s">
        <v>22</v>
      </c>
      <c r="AC45" s="5927" t="s">
        <v>27</v>
      </c>
      <c r="AD45" s="5930" t="s">
        <v>22</v>
      </c>
      <c r="AE45" s="5927" t="s">
        <v>27</v>
      </c>
      <c r="AF45" s="5930" t="s">
        <v>22</v>
      </c>
      <c r="AG45" s="5927" t="s">
        <v>27</v>
      </c>
      <c r="AH45" s="5930" t="s">
        <v>22</v>
      </c>
      <c r="AI45" s="5927" t="s">
        <v>27</v>
      </c>
      <c r="AJ45" s="5930" t="s">
        <v>22</v>
      </c>
      <c r="AK45" s="5927" t="s">
        <v>27</v>
      </c>
      <c r="AL45" s="5930" t="s">
        <v>22</v>
      </c>
      <c r="AM45" s="5927" t="s">
        <v>27</v>
      </c>
      <c r="AN45" s="5928" t="s">
        <v>1177</v>
      </c>
      <c r="AO45" s="5931" t="s">
        <v>1035</v>
      </c>
      <c r="AP45" s="5931" t="s">
        <v>194</v>
      </c>
    </row>
    <row r="46" spans="1:80" s="170" customFormat="1" ht="15" customHeight="1" x14ac:dyDescent="0.2">
      <c r="A46" s="6285"/>
      <c r="B46" s="5932" t="s">
        <v>1110</v>
      </c>
      <c r="C46" s="5933">
        <f>SUM(D46:E46)</f>
        <v>0</v>
      </c>
      <c r="D46" s="5933">
        <f t="shared" ref="D46:E49" si="31">+F46+H46+J46+L46+N46+P46+R46+T46+V46+X46+Z46+AB46+AD46+AF46+AH46+AJ46+AL46</f>
        <v>0</v>
      </c>
      <c r="E46" s="5934">
        <f t="shared" si="31"/>
        <v>0</v>
      </c>
      <c r="F46" s="5933"/>
      <c r="G46" s="5934"/>
      <c r="H46" s="5933"/>
      <c r="I46" s="5934"/>
      <c r="J46" s="5933"/>
      <c r="K46" s="5934"/>
      <c r="L46" s="5933"/>
      <c r="M46" s="5934"/>
      <c r="N46" s="5933"/>
      <c r="O46" s="5934"/>
      <c r="P46" s="5933"/>
      <c r="Q46" s="5934"/>
      <c r="R46" s="5933"/>
      <c r="S46" s="5934"/>
      <c r="T46" s="5933"/>
      <c r="U46" s="5934"/>
      <c r="V46" s="5933"/>
      <c r="W46" s="5934"/>
      <c r="X46" s="5933"/>
      <c r="Y46" s="5934"/>
      <c r="Z46" s="5933"/>
      <c r="AA46" s="5934"/>
      <c r="AB46" s="5933"/>
      <c r="AC46" s="5934"/>
      <c r="AD46" s="5933"/>
      <c r="AE46" s="5934"/>
      <c r="AF46" s="5933"/>
      <c r="AG46" s="5934"/>
      <c r="AH46" s="5933"/>
      <c r="AI46" s="5934"/>
      <c r="AJ46" s="5933"/>
      <c r="AK46" s="5934"/>
      <c r="AL46" s="5933"/>
      <c r="AM46" s="5934"/>
      <c r="AN46" s="5935"/>
      <c r="AO46" s="5935"/>
      <c r="AP46" s="5935"/>
    </row>
    <row r="47" spans="1:80" s="170" customFormat="1" ht="15" customHeight="1" x14ac:dyDescent="0.2">
      <c r="A47" s="6285"/>
      <c r="B47" s="5936" t="s">
        <v>944</v>
      </c>
      <c r="C47" s="5937">
        <f>SUM(D47:E47)</f>
        <v>0</v>
      </c>
      <c r="D47" s="5937">
        <f t="shared" si="31"/>
        <v>0</v>
      </c>
      <c r="E47" s="5938">
        <f t="shared" si="31"/>
        <v>0</v>
      </c>
      <c r="F47" s="5937"/>
      <c r="G47" s="5938"/>
      <c r="H47" s="5937"/>
      <c r="I47" s="5938"/>
      <c r="J47" s="5937"/>
      <c r="K47" s="5938"/>
      <c r="L47" s="5937"/>
      <c r="M47" s="5938"/>
      <c r="N47" s="5937"/>
      <c r="O47" s="5938"/>
      <c r="P47" s="5937"/>
      <c r="Q47" s="5938"/>
      <c r="R47" s="5937"/>
      <c r="S47" s="5938"/>
      <c r="T47" s="5937"/>
      <c r="U47" s="5938"/>
      <c r="V47" s="5937"/>
      <c r="W47" s="5938"/>
      <c r="X47" s="5937"/>
      <c r="Y47" s="5938"/>
      <c r="Z47" s="5937"/>
      <c r="AA47" s="5938"/>
      <c r="AB47" s="5937"/>
      <c r="AC47" s="5938"/>
      <c r="AD47" s="5937"/>
      <c r="AE47" s="5938"/>
      <c r="AF47" s="5937"/>
      <c r="AG47" s="5938"/>
      <c r="AH47" s="5937"/>
      <c r="AI47" s="5938"/>
      <c r="AJ47" s="5937"/>
      <c r="AK47" s="5938"/>
      <c r="AL47" s="5937"/>
      <c r="AM47" s="5938"/>
      <c r="AN47" s="5939"/>
      <c r="AO47" s="5939"/>
      <c r="AP47" s="5939"/>
    </row>
    <row r="48" spans="1:80" s="170" customFormat="1" ht="15" customHeight="1" x14ac:dyDescent="0.2">
      <c r="A48" s="6285"/>
      <c r="B48" s="5936" t="s">
        <v>1178</v>
      </c>
      <c r="C48" s="5937">
        <f>SUM(D48:E48)</f>
        <v>0</v>
      </c>
      <c r="D48" s="5937">
        <f t="shared" si="31"/>
        <v>0</v>
      </c>
      <c r="E48" s="5938">
        <f t="shared" si="31"/>
        <v>0</v>
      </c>
      <c r="F48" s="5937"/>
      <c r="G48" s="5938"/>
      <c r="H48" s="5937"/>
      <c r="I48" s="5938"/>
      <c r="J48" s="5937"/>
      <c r="K48" s="5938"/>
      <c r="L48" s="5937"/>
      <c r="M48" s="5938"/>
      <c r="N48" s="5937"/>
      <c r="O48" s="5938"/>
      <c r="P48" s="5937"/>
      <c r="Q48" s="5938"/>
      <c r="R48" s="5937"/>
      <c r="S48" s="5938"/>
      <c r="T48" s="5937"/>
      <c r="U48" s="5938"/>
      <c r="V48" s="5937"/>
      <c r="W48" s="5938"/>
      <c r="X48" s="5937"/>
      <c r="Y48" s="5938"/>
      <c r="Z48" s="5937"/>
      <c r="AA48" s="5938"/>
      <c r="AB48" s="5937"/>
      <c r="AC48" s="5938"/>
      <c r="AD48" s="5937"/>
      <c r="AE48" s="5938"/>
      <c r="AF48" s="5937"/>
      <c r="AG48" s="5938"/>
      <c r="AH48" s="5937"/>
      <c r="AI48" s="5938"/>
      <c r="AJ48" s="5937"/>
      <c r="AK48" s="5938"/>
      <c r="AL48" s="5937"/>
      <c r="AM48" s="5938"/>
      <c r="AN48" s="5938"/>
      <c r="AO48" s="5938"/>
      <c r="AP48" s="5938"/>
      <c r="AQ48" s="170" t="str">
        <f>BR48&amp;BS48</f>
        <v/>
      </c>
      <c r="BR48" s="2465" t="str">
        <f>IF((AN48+AO48+AP48)&lt;&gt;C48," * Egresos por causal debe ser igual al total de Egresos","")</f>
        <v/>
      </c>
      <c r="BS48" s="2465"/>
      <c r="BT48" s="2465"/>
      <c r="BU48" s="2465"/>
      <c r="BV48" s="2465"/>
      <c r="BX48" s="2466">
        <f>IF((AN48+AO48+AP48)&lt;&gt;C48,1,0)</f>
        <v>0</v>
      </c>
      <c r="BY48" s="2466"/>
      <c r="BZ48" s="2466"/>
      <c r="CA48" s="2466"/>
    </row>
    <row r="49" spans="1:80" s="170" customFormat="1" ht="15" customHeight="1" x14ac:dyDescent="0.2">
      <c r="A49" s="6285"/>
      <c r="B49" s="5940" t="s">
        <v>1179</v>
      </c>
      <c r="C49" s="5941">
        <f>SUM(D49:E49)</f>
        <v>0</v>
      </c>
      <c r="D49" s="5941">
        <f t="shared" si="31"/>
        <v>0</v>
      </c>
      <c r="E49" s="5942">
        <f t="shared" si="31"/>
        <v>0</v>
      </c>
      <c r="F49" s="5941"/>
      <c r="G49" s="5942"/>
      <c r="H49" s="5941"/>
      <c r="I49" s="5942"/>
      <c r="J49" s="5941"/>
      <c r="K49" s="5942"/>
      <c r="L49" s="5941"/>
      <c r="M49" s="5942"/>
      <c r="N49" s="5941"/>
      <c r="O49" s="5942"/>
      <c r="P49" s="5941"/>
      <c r="Q49" s="5942"/>
      <c r="R49" s="5941"/>
      <c r="S49" s="5942"/>
      <c r="T49" s="5941"/>
      <c r="U49" s="5942"/>
      <c r="V49" s="5941"/>
      <c r="W49" s="5942"/>
      <c r="X49" s="5941"/>
      <c r="Y49" s="5942"/>
      <c r="Z49" s="5941"/>
      <c r="AA49" s="5942"/>
      <c r="AB49" s="5941"/>
      <c r="AC49" s="5942"/>
      <c r="AD49" s="5941"/>
      <c r="AE49" s="5942"/>
      <c r="AF49" s="5941"/>
      <c r="AG49" s="5942"/>
      <c r="AH49" s="5941"/>
      <c r="AI49" s="5942"/>
      <c r="AJ49" s="5941"/>
      <c r="AK49" s="5942"/>
      <c r="AL49" s="5941"/>
      <c r="AM49" s="5942"/>
      <c r="AN49" s="5943"/>
      <c r="AO49" s="5943"/>
      <c r="AP49" s="5943"/>
    </row>
    <row r="50" spans="1:80" s="1116" customFormat="1" ht="18" customHeight="1" x14ac:dyDescent="0.2">
      <c r="B50" s="2479" t="s">
        <v>1180</v>
      </c>
    </row>
    <row r="51" spans="1:80" s="170" customFormat="1" ht="40.799999999999997" x14ac:dyDescent="0.2">
      <c r="B51" s="7756" t="s">
        <v>1087</v>
      </c>
      <c r="C51" s="7757"/>
      <c r="D51" s="2455" t="s">
        <v>24</v>
      </c>
      <c r="E51" s="2455" t="s">
        <v>1126</v>
      </c>
      <c r="F51" s="2463" t="s">
        <v>1181</v>
      </c>
      <c r="G51" s="1408" t="s">
        <v>1182</v>
      </c>
      <c r="H51" s="1407" t="s">
        <v>1129</v>
      </c>
      <c r="I51" s="2478" t="s">
        <v>1130</v>
      </c>
      <c r="J51" s="2480" t="s">
        <v>1131</v>
      </c>
      <c r="K51" s="1267" t="s">
        <v>2</v>
      </c>
      <c r="L51" s="1267" t="s">
        <v>3</v>
      </c>
      <c r="M51" s="1267" t="s">
        <v>3899</v>
      </c>
      <c r="N51" s="1267" t="s">
        <v>1183</v>
      </c>
    </row>
    <row r="52" spans="1:80" s="170" customFormat="1" ht="15" customHeight="1" x14ac:dyDescent="0.2">
      <c r="A52" s="6234">
        <v>26260600</v>
      </c>
      <c r="B52" s="7812" t="s">
        <v>1184</v>
      </c>
      <c r="C52" s="7813"/>
      <c r="D52" s="1421" t="s">
        <v>5292</v>
      </c>
      <c r="E52" s="1245" t="s">
        <v>5293</v>
      </c>
      <c r="F52" s="1422" t="s">
        <v>5294</v>
      </c>
      <c r="G52" s="1248" t="s">
        <v>5295</v>
      </c>
      <c r="H52" s="1423" t="s">
        <v>5296</v>
      </c>
      <c r="I52" s="1424" t="s">
        <v>5297</v>
      </c>
      <c r="J52" s="1093" t="s">
        <v>5298</v>
      </c>
      <c r="K52" s="8" t="s">
        <v>5299</v>
      </c>
      <c r="L52" s="8" t="s">
        <v>5300</v>
      </c>
      <c r="M52" s="8" t="s">
        <v>5301</v>
      </c>
      <c r="N52" s="8" t="s">
        <v>5302</v>
      </c>
      <c r="O52" s="170" t="str">
        <f>BR52&amp;BS52&amp;BT52&amp;BU52&amp;BV52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2" s="2465" t="str">
        <f>IF(AND(D52&gt;0,K52="")," * No olvide digitar la variable Pueblos Originarios. Digite Cero si no tiene.",IF(K52&gt;D52," * La variable Pueblos Originarios No puede ser mayor al Total.",""))</f>
        <v xml:space="preserve"> * La variable Pueblos Originarios No puede ser mayor al Total.</v>
      </c>
      <c r="BS52" s="2465" t="str">
        <f>IF(AND(D52&gt;0,L52="")," * No olvide digitar la variable Migrantes. Digite Cero si no tiene.",IF(L52&gt;D52," * La variable Migrantes No puede ser mayor al Total.",""))</f>
        <v xml:space="preserve"> * La variable Migrantes No puede ser mayor al Total.</v>
      </c>
      <c r="BT52" s="2465" t="str">
        <f>IF(AND(D52&gt;0,M52="")," * No olvide digitar la variable Niños, niñas, adolescentes y jóvenes SENAME. Digite Cero si no tiene.",IF(M52&gt;D52," * La variable Niños, niñas, adolescentes y jóvenes SENAME No puede ser mayor al Total.",""))</f>
        <v xml:space="preserve"> * La variable Niños, niñas, adolescentes y jóvenes SENAME No puede ser mayor al Total.</v>
      </c>
      <c r="BU52" s="2465" t="str">
        <f>IF(AND(D52&gt;0,N52="")," * No olvide digitar la variable Niños, niñas, adolescentes y jóvenes Mejor Niñez. Digite Cero si no tiene.",IF(N52&gt;D52," * La variable Niños, niñas, adolescentes y jóvenes Mejor Niñez No puede ser mayor al Total.",""))</f>
        <v xml:space="preserve"> * La variable Niños, niñas, adolescentes y jóvenes Mejor Niñez No puede ser mayor al Total.</v>
      </c>
      <c r="BV52" s="2465"/>
      <c r="BX52" s="2466">
        <f>IF(AND(D52&gt;0,K52=""),1,IF(K52&gt;D52,1,0))</f>
        <v>1</v>
      </c>
      <c r="BY52" s="2466">
        <f>IF(AND(D52&gt;0,L52=""),1,IF(L52&gt;D52,1,0))</f>
        <v>1</v>
      </c>
      <c r="BZ52" s="2466">
        <f>IF(AND(D52&gt;0,M52=""),1,IF(M52&gt;D52,1,0))</f>
        <v>1</v>
      </c>
      <c r="CA52" s="2466">
        <f>IF(AND(D52&gt;0,N52=""),1,IF(N52&gt;D52,1,0))</f>
        <v>1</v>
      </c>
      <c r="CB52" s="2466"/>
    </row>
    <row r="53" spans="1:80" s="170" customFormat="1" ht="15" customHeight="1" x14ac:dyDescent="0.2">
      <c r="A53" s="6234">
        <v>26261800</v>
      </c>
      <c r="B53" s="7814" t="s">
        <v>1185</v>
      </c>
      <c r="C53" s="6946"/>
      <c r="D53" s="1425" t="s">
        <v>5292</v>
      </c>
      <c r="E53" s="1095" t="s">
        <v>5293</v>
      </c>
      <c r="F53" s="1426" t="s">
        <v>5294</v>
      </c>
      <c r="G53" s="1254" t="s">
        <v>5295</v>
      </c>
      <c r="H53" s="1427" t="s">
        <v>5296</v>
      </c>
      <c r="I53" s="1424" t="s">
        <v>5297</v>
      </c>
      <c r="J53" s="1093" t="s">
        <v>5298</v>
      </c>
      <c r="K53" s="8" t="s">
        <v>5299</v>
      </c>
      <c r="L53" s="8" t="s">
        <v>5300</v>
      </c>
      <c r="M53" s="8" t="s">
        <v>5301</v>
      </c>
      <c r="N53" s="8" t="s">
        <v>5302</v>
      </c>
      <c r="O53" s="170" t="str">
        <f t="shared" ref="O53:O60" si="32">BR53&amp;BS53&amp;BT53&amp;BU53&amp;BV53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3" s="2465" t="str">
        <f t="shared" ref="BR53:BR60" si="33">IF(AND(D53&gt;0,K53="")," * No olvide digitar la variable Pueblos Originarios. Digite Cero si no tiene.",IF(K53&gt;D53," * La variable Pueblos Originarios No puede ser mayor al Total.",""))</f>
        <v xml:space="preserve"> * La variable Pueblos Originarios No puede ser mayor al Total.</v>
      </c>
      <c r="BS53" s="2465" t="str">
        <f t="shared" ref="BS53:BS60" si="34">IF(AND(D53&gt;0,L53="")," * No olvide digitar la variable Migrantes. Digite Cero si no tiene.",IF(L53&gt;D53," * La variable Migrantes No puede ser mayor al Total.",""))</f>
        <v xml:space="preserve"> * La variable Migrantes No puede ser mayor al Total.</v>
      </c>
      <c r="BT53" s="2465" t="str">
        <f t="shared" ref="BT53:BT60" si="35">IF(AND(D53&gt;0,M53="")," * No olvide digitar la variable Niños, niñas, adolescentes y jóvenes SENAME. Digite Cero si no tiene.",IF(M53&gt;D53," * La variable Niños, niñas, adolescentes y jóvenes SENAME No puede ser mayor al Total.",""))</f>
        <v xml:space="preserve"> * La variable Niños, niñas, adolescentes y jóvenes SENAME No puede ser mayor al Total.</v>
      </c>
      <c r="BU53" s="2465" t="str">
        <f t="shared" ref="BU53:BU60" si="36">IF(AND(D53&gt;0,N53="")," * No olvide digitar la variable Niños, niñas, adolescentes y jóvenes Mejor Niñez. Digite Cero si no tiene.",IF(N53&gt;D53," * La variable Niños, niñas, adolescentes y jóvenes Mejor Niñez No puede ser mayor al Total.",""))</f>
        <v xml:space="preserve"> * La variable Niños, niñas, adolescentes y jóvenes Mejor Niñez No puede ser mayor al Total.</v>
      </c>
      <c r="BV53" s="2465"/>
      <c r="BX53" s="2466">
        <f t="shared" ref="BX53:BX60" si="37">IF(AND(D53&gt;0,K53=""),1,IF(K53&gt;D53,1,0))</f>
        <v>1</v>
      </c>
      <c r="BY53" s="2466">
        <f t="shared" ref="BY53:BY60" si="38">IF(AND(D53&gt;0,L53=""),1,IF(L53&gt;D53,1,0))</f>
        <v>1</v>
      </c>
      <c r="BZ53" s="2466">
        <f t="shared" ref="BZ53:BZ60" si="39">IF(AND(D53&gt;0,M53=""),1,IF(M53&gt;D53,1,0))</f>
        <v>1</v>
      </c>
      <c r="CA53" s="2466">
        <f t="shared" ref="CA53:CA60" si="40">IF(AND(D53&gt;0,N53=""),1,IF(N53&gt;D53,1,0))</f>
        <v>1</v>
      </c>
      <c r="CB53" s="2466"/>
    </row>
    <row r="54" spans="1:80" s="170" customFormat="1" ht="15" customHeight="1" x14ac:dyDescent="0.2">
      <c r="A54" s="6234">
        <v>26261900</v>
      </c>
      <c r="B54" s="7814" t="s">
        <v>1186</v>
      </c>
      <c r="C54" s="6946"/>
      <c r="D54" s="1140" t="s">
        <v>5292</v>
      </c>
      <c r="E54" s="1095" t="s">
        <v>5293</v>
      </c>
      <c r="F54" s="1426" t="s">
        <v>5294</v>
      </c>
      <c r="G54" s="1254" t="s">
        <v>5295</v>
      </c>
      <c r="H54" s="1427" t="s">
        <v>5296</v>
      </c>
      <c r="I54" s="1424" t="s">
        <v>5297</v>
      </c>
      <c r="J54" s="1093" t="s">
        <v>5298</v>
      </c>
      <c r="K54" s="8" t="s">
        <v>5299</v>
      </c>
      <c r="L54" s="8" t="s">
        <v>5300</v>
      </c>
      <c r="M54" s="8" t="s">
        <v>5301</v>
      </c>
      <c r="N54" s="8" t="s">
        <v>5302</v>
      </c>
      <c r="O54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4" s="2465" t="str">
        <f t="shared" si="33"/>
        <v xml:space="preserve"> * La variable Pueblos Originarios No puede ser mayor al Total.</v>
      </c>
      <c r="BS54" s="2465" t="str">
        <f t="shared" si="34"/>
        <v xml:space="preserve"> * La variable Migrantes No puede ser mayor al Total.</v>
      </c>
      <c r="BT54" s="2465" t="str">
        <f t="shared" si="35"/>
        <v xml:space="preserve"> * La variable Niños, niñas, adolescentes y jóvenes SENAME No puede ser mayor al Total.</v>
      </c>
      <c r="BU54" s="2465" t="str">
        <f t="shared" si="36"/>
        <v xml:space="preserve"> * La variable Niños, niñas, adolescentes y jóvenes Mejor Niñez No puede ser mayor al Total.</v>
      </c>
      <c r="BV54" s="2465"/>
      <c r="BX54" s="2466">
        <f t="shared" si="37"/>
        <v>1</v>
      </c>
      <c r="BY54" s="2466">
        <f t="shared" si="38"/>
        <v>1</v>
      </c>
      <c r="BZ54" s="2466">
        <f t="shared" si="39"/>
        <v>1</v>
      </c>
      <c r="CA54" s="2466">
        <f t="shared" si="40"/>
        <v>1</v>
      </c>
      <c r="CB54" s="2466"/>
    </row>
    <row r="55" spans="1:80" s="170" customFormat="1" ht="15" customHeight="1" x14ac:dyDescent="0.2">
      <c r="A55" s="6285">
        <v>26273109</v>
      </c>
      <c r="B55" s="8127" t="s">
        <v>1187</v>
      </c>
      <c r="C55" s="8128"/>
      <c r="D55" s="1140" t="s">
        <v>5292</v>
      </c>
      <c r="E55" s="1095" t="s">
        <v>5293</v>
      </c>
      <c r="F55" s="10" t="s">
        <v>5294</v>
      </c>
      <c r="G55" s="1254" t="s">
        <v>5295</v>
      </c>
      <c r="H55" s="1428" t="s">
        <v>5296</v>
      </c>
      <c r="I55" s="29" t="s">
        <v>5297</v>
      </c>
      <c r="J55" s="1103" t="s">
        <v>5298</v>
      </c>
      <c r="K55" s="12" t="s">
        <v>5299</v>
      </c>
      <c r="L55" s="12" t="s">
        <v>5300</v>
      </c>
      <c r="M55" s="12" t="s">
        <v>5301</v>
      </c>
      <c r="N55" s="12" t="s">
        <v>5302</v>
      </c>
      <c r="O55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5" s="2465" t="str">
        <f t="shared" si="33"/>
        <v xml:space="preserve"> * La variable Pueblos Originarios No puede ser mayor al Total.</v>
      </c>
      <c r="BS55" s="2465" t="str">
        <f t="shared" si="34"/>
        <v xml:space="preserve"> * La variable Migrantes No puede ser mayor al Total.</v>
      </c>
      <c r="BT55" s="2465" t="str">
        <f t="shared" si="35"/>
        <v xml:space="preserve"> * La variable Niños, niñas, adolescentes y jóvenes SENAME No puede ser mayor al Total.</v>
      </c>
      <c r="BU55" s="2465" t="str">
        <f t="shared" si="36"/>
        <v xml:space="preserve"> * La variable Niños, niñas, adolescentes y jóvenes Mejor Niñez No puede ser mayor al Total.</v>
      </c>
      <c r="BV55" s="2465"/>
      <c r="BX55" s="2466">
        <f t="shared" si="37"/>
        <v>1</v>
      </c>
      <c r="BY55" s="2466">
        <f t="shared" si="38"/>
        <v>1</v>
      </c>
      <c r="BZ55" s="2466">
        <f t="shared" si="39"/>
        <v>1</v>
      </c>
      <c r="CA55" s="2466">
        <f t="shared" si="40"/>
        <v>1</v>
      </c>
      <c r="CB55" s="2466"/>
    </row>
    <row r="56" spans="1:80" s="170" customFormat="1" ht="15" customHeight="1" x14ac:dyDescent="0.2">
      <c r="A56" s="6285">
        <v>26275400</v>
      </c>
      <c r="B56" s="7669" t="s">
        <v>1188</v>
      </c>
      <c r="C56" s="1169" t="s">
        <v>1189</v>
      </c>
      <c r="D56" s="1429" t="s">
        <v>5292</v>
      </c>
      <c r="E56" s="1245" t="s">
        <v>5293</v>
      </c>
      <c r="F56" s="1422" t="s">
        <v>5294</v>
      </c>
      <c r="G56" s="1248" t="s">
        <v>5295</v>
      </c>
      <c r="H56" s="1423" t="s">
        <v>5296</v>
      </c>
      <c r="I56" s="1430" t="s">
        <v>5297</v>
      </c>
      <c r="J56" s="1431" t="s">
        <v>5298</v>
      </c>
      <c r="K56" s="1089" t="s">
        <v>5299</v>
      </c>
      <c r="L56" s="1089" t="s">
        <v>5300</v>
      </c>
      <c r="M56" s="1089" t="s">
        <v>5301</v>
      </c>
      <c r="N56" s="1089" t="s">
        <v>5302</v>
      </c>
      <c r="O56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6" s="2465" t="str">
        <f t="shared" si="33"/>
        <v xml:space="preserve"> * La variable Pueblos Originarios No puede ser mayor al Total.</v>
      </c>
      <c r="BS56" s="2465" t="str">
        <f t="shared" si="34"/>
        <v xml:space="preserve"> * La variable Migrantes No puede ser mayor al Total.</v>
      </c>
      <c r="BT56" s="2465" t="str">
        <f t="shared" si="35"/>
        <v xml:space="preserve"> * La variable Niños, niñas, adolescentes y jóvenes SENAME No puede ser mayor al Total.</v>
      </c>
      <c r="BU56" s="2465" t="str">
        <f t="shared" si="36"/>
        <v xml:space="preserve"> * La variable Niños, niñas, adolescentes y jóvenes Mejor Niñez No puede ser mayor al Total.</v>
      </c>
      <c r="BV56" s="2465"/>
      <c r="BX56" s="2466">
        <f t="shared" si="37"/>
        <v>1</v>
      </c>
      <c r="BY56" s="2466">
        <f t="shared" si="38"/>
        <v>1</v>
      </c>
      <c r="BZ56" s="2466">
        <f t="shared" si="39"/>
        <v>1</v>
      </c>
      <c r="CA56" s="2466">
        <f t="shared" si="40"/>
        <v>1</v>
      </c>
      <c r="CB56" s="2466"/>
    </row>
    <row r="57" spans="1:80" s="170" customFormat="1" ht="15" customHeight="1" x14ac:dyDescent="0.2">
      <c r="A57" s="6285">
        <v>26275500</v>
      </c>
      <c r="B57" s="7781"/>
      <c r="C57" s="1108" t="s">
        <v>1190</v>
      </c>
      <c r="D57" s="1140" t="s">
        <v>5292</v>
      </c>
      <c r="E57" s="1095" t="s">
        <v>5293</v>
      </c>
      <c r="F57" s="1426" t="s">
        <v>5294</v>
      </c>
      <c r="G57" s="1254" t="s">
        <v>5295</v>
      </c>
      <c r="H57" s="1427" t="s">
        <v>5296</v>
      </c>
      <c r="I57" s="1430" t="s">
        <v>5297</v>
      </c>
      <c r="J57" s="1431" t="s">
        <v>5298</v>
      </c>
      <c r="K57" s="1089" t="s">
        <v>5299</v>
      </c>
      <c r="L57" s="1089" t="s">
        <v>5300</v>
      </c>
      <c r="M57" s="1089" t="s">
        <v>5301</v>
      </c>
      <c r="N57" s="1089" t="s">
        <v>5302</v>
      </c>
      <c r="O57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7" s="2465" t="str">
        <f t="shared" si="33"/>
        <v xml:space="preserve"> * La variable Pueblos Originarios No puede ser mayor al Total.</v>
      </c>
      <c r="BS57" s="2465" t="str">
        <f t="shared" si="34"/>
        <v xml:space="preserve"> * La variable Migrantes No puede ser mayor al Total.</v>
      </c>
      <c r="BT57" s="2465" t="str">
        <f t="shared" si="35"/>
        <v xml:space="preserve"> * La variable Niños, niñas, adolescentes y jóvenes SENAME No puede ser mayor al Total.</v>
      </c>
      <c r="BU57" s="2465" t="str">
        <f t="shared" si="36"/>
        <v xml:space="preserve"> * La variable Niños, niñas, adolescentes y jóvenes Mejor Niñez No puede ser mayor al Total.</v>
      </c>
      <c r="BV57" s="2465"/>
      <c r="BX57" s="2466">
        <f t="shared" si="37"/>
        <v>1</v>
      </c>
      <c r="BY57" s="2466">
        <f t="shared" si="38"/>
        <v>1</v>
      </c>
      <c r="BZ57" s="2466">
        <f t="shared" si="39"/>
        <v>1</v>
      </c>
      <c r="CA57" s="2466">
        <f t="shared" si="40"/>
        <v>1</v>
      </c>
      <c r="CB57" s="2466"/>
    </row>
    <row r="58" spans="1:80" s="170" customFormat="1" ht="15" customHeight="1" x14ac:dyDescent="0.2">
      <c r="A58" s="6285">
        <v>26275600</v>
      </c>
      <c r="B58" s="8129"/>
      <c r="C58" s="1200" t="s">
        <v>1191</v>
      </c>
      <c r="D58" s="51" t="s">
        <v>5292</v>
      </c>
      <c r="E58" s="3" t="s">
        <v>5293</v>
      </c>
      <c r="F58" s="4" t="s">
        <v>5294</v>
      </c>
      <c r="G58" s="21" t="s">
        <v>5295</v>
      </c>
      <c r="H58" s="41" t="s">
        <v>5296</v>
      </c>
      <c r="I58" s="1424" t="s">
        <v>5297</v>
      </c>
      <c r="J58" s="1093" t="s">
        <v>5298</v>
      </c>
      <c r="K58" s="8" t="s">
        <v>5299</v>
      </c>
      <c r="L58" s="8" t="s">
        <v>5300</v>
      </c>
      <c r="M58" s="8" t="s">
        <v>5301</v>
      </c>
      <c r="N58" s="8" t="s">
        <v>5302</v>
      </c>
      <c r="O58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8" s="2465" t="str">
        <f t="shared" si="33"/>
        <v xml:space="preserve"> * La variable Pueblos Originarios No puede ser mayor al Total.</v>
      </c>
      <c r="BS58" s="2465" t="str">
        <f t="shared" si="34"/>
        <v xml:space="preserve"> * La variable Migrantes No puede ser mayor al Total.</v>
      </c>
      <c r="BT58" s="2465" t="str">
        <f t="shared" si="35"/>
        <v xml:space="preserve"> * La variable Niños, niñas, adolescentes y jóvenes SENAME No puede ser mayor al Total.</v>
      </c>
      <c r="BU58" s="2465" t="str">
        <f t="shared" si="36"/>
        <v xml:space="preserve"> * La variable Niños, niñas, adolescentes y jóvenes Mejor Niñez No puede ser mayor al Total.</v>
      </c>
      <c r="BV58" s="2465"/>
      <c r="BX58" s="2466">
        <f t="shared" si="37"/>
        <v>1</v>
      </c>
      <c r="BY58" s="2466">
        <f t="shared" si="38"/>
        <v>1</v>
      </c>
      <c r="BZ58" s="2466">
        <f t="shared" si="39"/>
        <v>1</v>
      </c>
      <c r="CA58" s="2466">
        <f t="shared" si="40"/>
        <v>1</v>
      </c>
      <c r="CB58" s="2466"/>
    </row>
    <row r="59" spans="1:80" s="170" customFormat="1" ht="15" customHeight="1" x14ac:dyDescent="0.2">
      <c r="A59" s="6285">
        <v>26273110</v>
      </c>
      <c r="B59" s="7812" t="s">
        <v>1192</v>
      </c>
      <c r="C59" s="7813"/>
      <c r="D59" s="1429" t="s">
        <v>5292</v>
      </c>
      <c r="E59" s="1245" t="s">
        <v>5293</v>
      </c>
      <c r="F59" s="1422" t="s">
        <v>5294</v>
      </c>
      <c r="G59" s="1248" t="s">
        <v>5295</v>
      </c>
      <c r="H59" s="1432" t="s">
        <v>5296</v>
      </c>
      <c r="I59" s="1433" t="s">
        <v>5297</v>
      </c>
      <c r="J59" s="1432" t="s">
        <v>5298</v>
      </c>
      <c r="K59" s="1246" t="s">
        <v>5299</v>
      </c>
      <c r="L59" s="1246" t="s">
        <v>5300</v>
      </c>
      <c r="M59" s="1246" t="s">
        <v>5301</v>
      </c>
      <c r="N59" s="1246" t="s">
        <v>5302</v>
      </c>
      <c r="O59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9" s="2465" t="str">
        <f t="shared" si="33"/>
        <v xml:space="preserve"> * La variable Pueblos Originarios No puede ser mayor al Total.</v>
      </c>
      <c r="BS59" s="2465" t="str">
        <f t="shared" si="34"/>
        <v xml:space="preserve"> * La variable Migrantes No puede ser mayor al Total.</v>
      </c>
      <c r="BT59" s="2465" t="str">
        <f t="shared" si="35"/>
        <v xml:space="preserve"> * La variable Niños, niñas, adolescentes y jóvenes SENAME No puede ser mayor al Total.</v>
      </c>
      <c r="BU59" s="2465" t="str">
        <f t="shared" si="36"/>
        <v xml:space="preserve"> * La variable Niños, niñas, adolescentes y jóvenes Mejor Niñez No puede ser mayor al Total.</v>
      </c>
      <c r="BV59" s="2465"/>
      <c r="BX59" s="2466">
        <f t="shared" si="37"/>
        <v>1</v>
      </c>
      <c r="BY59" s="2466">
        <f t="shared" si="38"/>
        <v>1</v>
      </c>
      <c r="BZ59" s="2466">
        <f t="shared" si="39"/>
        <v>1</v>
      </c>
      <c r="CA59" s="2466">
        <f t="shared" si="40"/>
        <v>1</v>
      </c>
      <c r="CB59" s="2466"/>
    </row>
    <row r="60" spans="1:80" s="170" customFormat="1" ht="15" customHeight="1" x14ac:dyDescent="0.2">
      <c r="A60" s="6234">
        <v>26262100</v>
      </c>
      <c r="B60" s="8130" t="s">
        <v>44</v>
      </c>
      <c r="C60" s="8131"/>
      <c r="D60" s="51" t="s">
        <v>5292</v>
      </c>
      <c r="E60" s="3" t="s">
        <v>5293</v>
      </c>
      <c r="F60" s="4" t="s">
        <v>5294</v>
      </c>
      <c r="G60" s="1291" t="s">
        <v>5295</v>
      </c>
      <c r="H60" s="1103" t="s">
        <v>5296</v>
      </c>
      <c r="I60" s="29" t="s">
        <v>5297</v>
      </c>
      <c r="J60" s="1103" t="s">
        <v>5298</v>
      </c>
      <c r="K60" s="12" t="s">
        <v>5299</v>
      </c>
      <c r="L60" s="12" t="s">
        <v>5300</v>
      </c>
      <c r="M60" s="12" t="s">
        <v>5301</v>
      </c>
      <c r="N60" s="12" t="s">
        <v>5302</v>
      </c>
      <c r="O60" s="170" t="str">
        <f t="shared" si="32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60" s="2465" t="str">
        <f t="shared" si="33"/>
        <v xml:space="preserve"> * La variable Pueblos Originarios No puede ser mayor al Total.</v>
      </c>
      <c r="BS60" s="2465" t="str">
        <f t="shared" si="34"/>
        <v xml:space="preserve"> * La variable Migrantes No puede ser mayor al Total.</v>
      </c>
      <c r="BT60" s="2465" t="str">
        <f t="shared" si="35"/>
        <v xml:space="preserve"> * La variable Niños, niñas, adolescentes y jóvenes SENAME No puede ser mayor al Total.</v>
      </c>
      <c r="BU60" s="2465" t="str">
        <f t="shared" si="36"/>
        <v xml:space="preserve"> * La variable Niños, niñas, adolescentes y jóvenes Mejor Niñez No puede ser mayor al Total.</v>
      </c>
      <c r="BV60" s="2465"/>
      <c r="BX60" s="2466">
        <f t="shared" si="37"/>
        <v>1</v>
      </c>
      <c r="BY60" s="2466">
        <f t="shared" si="38"/>
        <v>1</v>
      </c>
      <c r="BZ60" s="2466">
        <f t="shared" si="39"/>
        <v>1</v>
      </c>
      <c r="CA60" s="2466">
        <f t="shared" si="40"/>
        <v>1</v>
      </c>
      <c r="CB60" s="2466"/>
    </row>
    <row r="61" spans="1:80" s="170" customFormat="1" ht="15" customHeight="1" x14ac:dyDescent="0.25">
      <c r="A61" s="6287"/>
      <c r="B61" s="7809" t="s">
        <v>24</v>
      </c>
      <c r="C61" s="7811"/>
      <c r="D61" s="1159">
        <f t="shared" ref="D61:K61" si="41">SUM(D52:D60)</f>
        <v>0</v>
      </c>
      <c r="E61" s="1159">
        <f>SUM(E52:E60)</f>
        <v>0</v>
      </c>
      <c r="F61" s="2467">
        <f t="shared" si="41"/>
        <v>0</v>
      </c>
      <c r="G61" s="1161">
        <f t="shared" si="41"/>
        <v>0</v>
      </c>
      <c r="H61" s="2481">
        <f>SUM(H59:H60)</f>
        <v>0</v>
      </c>
      <c r="I61" s="2473">
        <f t="shared" si="41"/>
        <v>0</v>
      </c>
      <c r="J61" s="2481">
        <f t="shared" si="41"/>
        <v>0</v>
      </c>
      <c r="K61" s="1160">
        <f t="shared" si="41"/>
        <v>0</v>
      </c>
      <c r="L61" s="1160">
        <f>SUM(L52:L60)</f>
        <v>0</v>
      </c>
      <c r="M61" s="1160">
        <f>SUM(M52:M60)</f>
        <v>0</v>
      </c>
      <c r="N61" s="1160">
        <f>SUM(N52:N60)</f>
        <v>0</v>
      </c>
    </row>
    <row r="62" spans="1:80" s="2482" customFormat="1" ht="15" customHeight="1" x14ac:dyDescent="0.2">
      <c r="B62" s="2482" t="s">
        <v>1193</v>
      </c>
    </row>
    <row r="63" spans="1:80" s="1116" customFormat="1" ht="18" customHeight="1" x14ac:dyDescent="0.2">
      <c r="B63" s="2483" t="s">
        <v>1194</v>
      </c>
    </row>
    <row r="64" spans="1:80" s="170" customFormat="1" ht="20.399999999999999" x14ac:dyDescent="0.2">
      <c r="B64" s="7756" t="s">
        <v>1087</v>
      </c>
      <c r="C64" s="7757"/>
      <c r="D64" s="1406" t="s">
        <v>24</v>
      </c>
      <c r="E64" s="1266" t="s">
        <v>191</v>
      </c>
      <c r="F64" s="1408" t="s">
        <v>192</v>
      </c>
      <c r="G64" s="2475" t="s">
        <v>194</v>
      </c>
      <c r="H64" s="1268" t="s">
        <v>2</v>
      </c>
      <c r="I64" s="1408" t="s">
        <v>3</v>
      </c>
      <c r="J64" s="1408" t="s">
        <v>1195</v>
      </c>
      <c r="K64" s="1267" t="s">
        <v>1196</v>
      </c>
    </row>
    <row r="65" spans="1:77" s="170" customFormat="1" ht="15" customHeight="1" x14ac:dyDescent="0.2">
      <c r="A65" s="6285">
        <v>26280030</v>
      </c>
      <c r="B65" s="7812" t="s">
        <v>1197</v>
      </c>
      <c r="C65" s="7813"/>
      <c r="D65" s="1434" t="s">
        <v>5292</v>
      </c>
      <c r="E65" s="1245" t="s">
        <v>5293</v>
      </c>
      <c r="F65" s="1422" t="s">
        <v>5294</v>
      </c>
      <c r="G65" s="1251" t="s">
        <v>5295</v>
      </c>
      <c r="H65" s="6090" t="s">
        <v>5296</v>
      </c>
      <c r="I65" s="6091" t="s">
        <v>5297</v>
      </c>
      <c r="J65" s="6091" t="s">
        <v>5298</v>
      </c>
      <c r="K65" s="6092" t="s">
        <v>5299</v>
      </c>
      <c r="L65" s="170" t="str">
        <f>BR65&amp;BS65</f>
        <v xml:space="preserve"> * La variable Pueblos originarios No puede ser mayor al Total. * La variable Migrantes No puede ser mayor al Total.</v>
      </c>
      <c r="BR65" s="2465" t="str">
        <f>IF(AND(D65&gt;0,H65="")," * No olvide digitar la variable Pueblos originarios. Digite Cero si no tiene.",IF(H65&gt;D65," * La variable Pueblos originarios No puede ser mayor al Total.",""))</f>
        <v xml:space="preserve"> * La variable Pueblos originarios No puede ser mayor al Total.</v>
      </c>
      <c r="BS65" s="2465" t="str">
        <f>IF(AND(D65&gt;0,I65="")," * No olvide digitar la variable Migrantes. Digite Cero si no tiene.",IF(I65&gt;D65," * La variable Migrantes No puede ser mayor al Total.",""))</f>
        <v xml:space="preserve"> * La variable Migrantes No puede ser mayor al Total.</v>
      </c>
      <c r="BX65" s="2466">
        <f>IF(AND(D65&gt;0,H65=""),1,IF(H65&gt;D65,1,0))</f>
        <v>1</v>
      </c>
      <c r="BY65" s="2466">
        <f>IF(AND(D65&gt;0,I65=""),1,IF(I65&gt;D65,1,0))</f>
        <v>1</v>
      </c>
    </row>
    <row r="66" spans="1:77" s="170" customFormat="1" ht="15" customHeight="1" x14ac:dyDescent="0.2">
      <c r="A66" s="6285">
        <v>26280040</v>
      </c>
      <c r="B66" s="8127" t="s">
        <v>1198</v>
      </c>
      <c r="C66" s="8128"/>
      <c r="D66" s="1435" t="s">
        <v>5292</v>
      </c>
      <c r="E66" s="3" t="s">
        <v>5293</v>
      </c>
      <c r="F66" s="4" t="s">
        <v>5294</v>
      </c>
      <c r="G66" s="5" t="s">
        <v>5295</v>
      </c>
      <c r="H66" s="6093" t="s">
        <v>5296</v>
      </c>
      <c r="I66" s="6094" t="s">
        <v>5297</v>
      </c>
      <c r="J66" s="6094" t="s">
        <v>5298</v>
      </c>
      <c r="K66" s="6095" t="s">
        <v>5299</v>
      </c>
      <c r="L66" s="170" t="str">
        <f t="shared" ref="L66:L77" si="42">BR66&amp;BS66</f>
        <v xml:space="preserve"> * La variable Pueblos originarios No puede ser mayor al Total. * La variable Migrantes No puede ser mayor al Total.</v>
      </c>
      <c r="BR66" s="2465" t="str">
        <f t="shared" ref="BR66:BR77" si="43">IF(AND(D66&gt;0,H66="")," * No olvide digitar la variable Pueblos originarios. Digite Cero si no tiene.",IF(H66&gt;D66," * La variable Pueblos originarios No puede ser mayor al Total.",""))</f>
        <v xml:space="preserve"> * La variable Pueblos originarios No puede ser mayor al Total.</v>
      </c>
      <c r="BS66" s="2465" t="str">
        <f t="shared" ref="BS66:BS77" si="44">IF(AND(D66&gt;0,I66="")," * No olvide digitar la variable Migrantes. Digite Cero si no tiene.",IF(I66&gt;D66," * La variable Migrantes No puede ser mayor al Total.",""))</f>
        <v xml:space="preserve"> * La variable Migrantes No puede ser mayor al Total.</v>
      </c>
      <c r="BX66" s="2466">
        <f t="shared" ref="BX66:BX77" si="45">IF(AND(D66&gt;0,H66=""),1,IF(H66&gt;D66,1,0))</f>
        <v>1</v>
      </c>
      <c r="BY66" s="2466">
        <f t="shared" ref="BY66:BY77" si="46">IF(AND(D66&gt;0,I66=""),1,IF(I66&gt;D66,1,0))</f>
        <v>1</v>
      </c>
    </row>
    <row r="67" spans="1:77" s="170" customFormat="1" ht="11.4" x14ac:dyDescent="0.2">
      <c r="A67" s="6285">
        <v>26275700</v>
      </c>
      <c r="B67" s="8132" t="s">
        <v>1199</v>
      </c>
      <c r="C67" s="1436" t="s">
        <v>1200</v>
      </c>
      <c r="D67" s="1434" t="s">
        <v>5292</v>
      </c>
      <c r="E67" s="1271" t="s">
        <v>5293</v>
      </c>
      <c r="F67" s="1437" t="s">
        <v>5294</v>
      </c>
      <c r="G67" s="1275" t="s">
        <v>5295</v>
      </c>
      <c r="H67" s="6096" t="s">
        <v>5296</v>
      </c>
      <c r="I67" s="6097" t="s">
        <v>5297</v>
      </c>
      <c r="J67" s="6097" t="s">
        <v>5298</v>
      </c>
      <c r="K67" s="6098" t="s">
        <v>5299</v>
      </c>
      <c r="L67" s="170" t="str">
        <f t="shared" si="42"/>
        <v xml:space="preserve"> * La variable Pueblos originarios No puede ser mayor al Total. * La variable Migrantes No puede ser mayor al Total.</v>
      </c>
      <c r="BR67" s="2465" t="str">
        <f t="shared" si="43"/>
        <v xml:space="preserve"> * La variable Pueblos originarios No puede ser mayor al Total.</v>
      </c>
      <c r="BS67" s="2465" t="str">
        <f t="shared" si="44"/>
        <v xml:space="preserve"> * La variable Migrantes No puede ser mayor al Total.</v>
      </c>
      <c r="BX67" s="2466">
        <f t="shared" si="45"/>
        <v>1</v>
      </c>
      <c r="BY67" s="2466">
        <f t="shared" si="46"/>
        <v>1</v>
      </c>
    </row>
    <row r="68" spans="1:77" s="170" customFormat="1" ht="15" customHeight="1" x14ac:dyDescent="0.2">
      <c r="A68" s="6285">
        <v>26275800</v>
      </c>
      <c r="B68" s="8132"/>
      <c r="C68" s="1108" t="s">
        <v>1201</v>
      </c>
      <c r="D68" s="1438" t="s">
        <v>5292</v>
      </c>
      <c r="E68" s="1095" t="s">
        <v>5293</v>
      </c>
      <c r="F68" s="1426" t="s">
        <v>5294</v>
      </c>
      <c r="G68" s="1100" t="s">
        <v>5295</v>
      </c>
      <c r="H68" s="6099" t="s">
        <v>5296</v>
      </c>
      <c r="I68" s="1414" t="s">
        <v>5297</v>
      </c>
      <c r="J68" s="1414" t="s">
        <v>5298</v>
      </c>
      <c r="K68" s="6100" t="s">
        <v>5299</v>
      </c>
      <c r="L68" s="170" t="str">
        <f t="shared" si="42"/>
        <v xml:space="preserve"> * La variable Pueblos originarios No puede ser mayor al Total. * La variable Migrantes No puede ser mayor al Total.</v>
      </c>
      <c r="BR68" s="2465" t="str">
        <f t="shared" si="43"/>
        <v xml:space="preserve"> * La variable Pueblos originarios No puede ser mayor al Total.</v>
      </c>
      <c r="BS68" s="2465" t="str">
        <f t="shared" si="44"/>
        <v xml:space="preserve"> * La variable Migrantes No puede ser mayor al Total.</v>
      </c>
      <c r="BX68" s="2466">
        <f t="shared" si="45"/>
        <v>1</v>
      </c>
      <c r="BY68" s="2466">
        <f t="shared" si="46"/>
        <v>1</v>
      </c>
    </row>
    <row r="69" spans="1:77" s="170" customFormat="1" ht="15" customHeight="1" x14ac:dyDescent="0.2">
      <c r="A69" s="6285">
        <v>29101536</v>
      </c>
      <c r="B69" s="8132"/>
      <c r="C69" s="1369" t="s">
        <v>1202</v>
      </c>
      <c r="D69" s="1439" t="s">
        <v>5292</v>
      </c>
      <c r="E69" s="1095" t="s">
        <v>5293</v>
      </c>
      <c r="F69" s="1440" t="s">
        <v>5294</v>
      </c>
      <c r="G69" s="1441" t="s">
        <v>5295</v>
      </c>
      <c r="H69" s="6099" t="s">
        <v>5296</v>
      </c>
      <c r="I69" s="1414" t="s">
        <v>5297</v>
      </c>
      <c r="J69" s="1414" t="s">
        <v>5298</v>
      </c>
      <c r="K69" s="6100" t="s">
        <v>5299</v>
      </c>
      <c r="L69" s="170" t="str">
        <f t="shared" si="42"/>
        <v xml:space="preserve"> * La variable Pueblos originarios No puede ser mayor al Total. * La variable Migrantes No puede ser mayor al Total.</v>
      </c>
      <c r="BR69" s="2465" t="str">
        <f t="shared" si="43"/>
        <v xml:space="preserve"> * La variable Pueblos originarios No puede ser mayor al Total.</v>
      </c>
      <c r="BS69" s="2465" t="str">
        <f t="shared" si="44"/>
        <v xml:space="preserve"> * La variable Migrantes No puede ser mayor al Total.</v>
      </c>
      <c r="BX69" s="2466">
        <f t="shared" si="45"/>
        <v>1</v>
      </c>
      <c r="BY69" s="2466">
        <f t="shared" si="46"/>
        <v>1</v>
      </c>
    </row>
    <row r="70" spans="1:77" s="170" customFormat="1" ht="15" customHeight="1" x14ac:dyDescent="0.2">
      <c r="A70" s="6285">
        <v>29101537</v>
      </c>
      <c r="B70" s="8132"/>
      <c r="C70" s="1369" t="s">
        <v>1203</v>
      </c>
      <c r="D70" s="1438" t="s">
        <v>5292</v>
      </c>
      <c r="E70" s="1095" t="s">
        <v>5293</v>
      </c>
      <c r="F70" s="1426" t="s">
        <v>5294</v>
      </c>
      <c r="G70" s="1100" t="s">
        <v>5295</v>
      </c>
      <c r="H70" s="6099" t="s">
        <v>5296</v>
      </c>
      <c r="I70" s="1414" t="s">
        <v>5297</v>
      </c>
      <c r="J70" s="1414" t="s">
        <v>5298</v>
      </c>
      <c r="K70" s="6100" t="s">
        <v>5299</v>
      </c>
      <c r="L70" s="170" t="str">
        <f t="shared" si="42"/>
        <v xml:space="preserve"> * La variable Pueblos originarios No puede ser mayor al Total. * La variable Migrantes No puede ser mayor al Total.</v>
      </c>
      <c r="BR70" s="2465" t="str">
        <f t="shared" si="43"/>
        <v xml:space="preserve"> * La variable Pueblos originarios No puede ser mayor al Total.</v>
      </c>
      <c r="BS70" s="2465" t="str">
        <f t="shared" si="44"/>
        <v xml:space="preserve"> * La variable Migrantes No puede ser mayor al Total.</v>
      </c>
      <c r="BX70" s="2466">
        <f t="shared" si="45"/>
        <v>1</v>
      </c>
      <c r="BY70" s="2466">
        <f t="shared" si="46"/>
        <v>1</v>
      </c>
    </row>
    <row r="71" spans="1:77" s="170" customFormat="1" ht="15" customHeight="1" x14ac:dyDescent="0.2">
      <c r="A71" s="6285">
        <v>29101538</v>
      </c>
      <c r="B71" s="8132"/>
      <c r="C71" s="1369" t="s">
        <v>1204</v>
      </c>
      <c r="D71" s="1108" t="s">
        <v>5292</v>
      </c>
      <c r="E71" s="1095" t="s">
        <v>5293</v>
      </c>
      <c r="F71" s="1440" t="s">
        <v>5294</v>
      </c>
      <c r="G71" s="1441" t="s">
        <v>5295</v>
      </c>
      <c r="H71" s="6099" t="s">
        <v>5296</v>
      </c>
      <c r="I71" s="1414" t="s">
        <v>5297</v>
      </c>
      <c r="J71" s="1414" t="s">
        <v>5298</v>
      </c>
      <c r="K71" s="6100" t="s">
        <v>5299</v>
      </c>
      <c r="L71" s="170" t="str">
        <f t="shared" si="42"/>
        <v xml:space="preserve"> * La variable Pueblos originarios No puede ser mayor al Total. * La variable Migrantes No puede ser mayor al Total.</v>
      </c>
      <c r="BR71" s="2465" t="str">
        <f t="shared" si="43"/>
        <v xml:space="preserve"> * La variable Pueblos originarios No puede ser mayor al Total.</v>
      </c>
      <c r="BS71" s="2465" t="str">
        <f t="shared" si="44"/>
        <v xml:space="preserve"> * La variable Migrantes No puede ser mayor al Total.</v>
      </c>
      <c r="BX71" s="2466">
        <f t="shared" si="45"/>
        <v>1</v>
      </c>
      <c r="BY71" s="2466">
        <f t="shared" si="46"/>
        <v>1</v>
      </c>
    </row>
    <row r="72" spans="1:77" s="170" customFormat="1" ht="20.399999999999999" x14ac:dyDescent="0.2">
      <c r="A72" s="6285">
        <v>29101539</v>
      </c>
      <c r="B72" s="8132"/>
      <c r="C72" s="1369" t="s">
        <v>1205</v>
      </c>
      <c r="D72" s="1108" t="s">
        <v>5292</v>
      </c>
      <c r="E72" s="1095" t="s">
        <v>5293</v>
      </c>
      <c r="F72" s="1440" t="s">
        <v>5294</v>
      </c>
      <c r="G72" s="1441" t="s">
        <v>5295</v>
      </c>
      <c r="H72" s="6099" t="s">
        <v>5296</v>
      </c>
      <c r="I72" s="1414" t="s">
        <v>5297</v>
      </c>
      <c r="J72" s="1414" t="s">
        <v>5298</v>
      </c>
      <c r="K72" s="6100" t="s">
        <v>5299</v>
      </c>
      <c r="L72" s="170" t="str">
        <f t="shared" si="42"/>
        <v xml:space="preserve"> * La variable Pueblos originarios No puede ser mayor al Total. * La variable Migrantes No puede ser mayor al Total.</v>
      </c>
      <c r="BR72" s="2465" t="str">
        <f t="shared" si="43"/>
        <v xml:space="preserve"> * La variable Pueblos originarios No puede ser mayor al Total.</v>
      </c>
      <c r="BS72" s="2465" t="str">
        <f t="shared" si="44"/>
        <v xml:space="preserve"> * La variable Migrantes No puede ser mayor al Total.</v>
      </c>
      <c r="BX72" s="2466">
        <f t="shared" si="45"/>
        <v>1</v>
      </c>
      <c r="BY72" s="2466">
        <f t="shared" si="46"/>
        <v>1</v>
      </c>
    </row>
    <row r="73" spans="1:77" s="170" customFormat="1" ht="15" customHeight="1" x14ac:dyDescent="0.2">
      <c r="A73" s="6285">
        <v>29101540</v>
      </c>
      <c r="B73" s="8132"/>
      <c r="C73" s="1369" t="s">
        <v>1206</v>
      </c>
      <c r="D73" s="1108" t="s">
        <v>5292</v>
      </c>
      <c r="E73" s="1442" t="s">
        <v>5293</v>
      </c>
      <c r="F73" s="1440" t="s">
        <v>5294</v>
      </c>
      <c r="G73" s="1100" t="s">
        <v>5295</v>
      </c>
      <c r="H73" s="6099" t="s">
        <v>5296</v>
      </c>
      <c r="I73" s="1414" t="s">
        <v>5297</v>
      </c>
      <c r="J73" s="1414" t="s">
        <v>5298</v>
      </c>
      <c r="K73" s="6100" t="s">
        <v>5299</v>
      </c>
      <c r="L73" s="170" t="str">
        <f t="shared" si="42"/>
        <v xml:space="preserve"> * La variable Pueblos originarios No puede ser mayor al Total. * La variable Migrantes No puede ser mayor al Total.</v>
      </c>
      <c r="BR73" s="2465" t="str">
        <f t="shared" si="43"/>
        <v xml:space="preserve"> * La variable Pueblos originarios No puede ser mayor al Total.</v>
      </c>
      <c r="BS73" s="2465" t="str">
        <f t="shared" si="44"/>
        <v xml:space="preserve"> * La variable Migrantes No puede ser mayor al Total.</v>
      </c>
      <c r="BX73" s="2466">
        <f t="shared" si="45"/>
        <v>1</v>
      </c>
      <c r="BY73" s="2466">
        <f t="shared" si="46"/>
        <v>1</v>
      </c>
    </row>
    <row r="74" spans="1:77" s="170" customFormat="1" ht="15" customHeight="1" x14ac:dyDescent="0.2">
      <c r="A74" s="6285">
        <v>29101541</v>
      </c>
      <c r="B74" s="8132"/>
      <c r="C74" s="1369" t="s">
        <v>1207</v>
      </c>
      <c r="D74" s="1438" t="s">
        <v>5292</v>
      </c>
      <c r="E74" s="1095" t="s">
        <v>5293</v>
      </c>
      <c r="F74" s="1426" t="s">
        <v>5294</v>
      </c>
      <c r="G74" s="1100" t="s">
        <v>5295</v>
      </c>
      <c r="H74" s="6099" t="s">
        <v>5296</v>
      </c>
      <c r="I74" s="1414" t="s">
        <v>5297</v>
      </c>
      <c r="J74" s="1414" t="s">
        <v>5298</v>
      </c>
      <c r="K74" s="6100" t="s">
        <v>5299</v>
      </c>
      <c r="L74" s="170" t="str">
        <f t="shared" si="42"/>
        <v xml:space="preserve"> * La variable Pueblos originarios No puede ser mayor al Total. * La variable Migrantes No puede ser mayor al Total.</v>
      </c>
      <c r="BR74" s="2465" t="str">
        <f t="shared" si="43"/>
        <v xml:space="preserve"> * La variable Pueblos originarios No puede ser mayor al Total.</v>
      </c>
      <c r="BS74" s="2465" t="str">
        <f t="shared" si="44"/>
        <v xml:space="preserve"> * La variable Migrantes No puede ser mayor al Total.</v>
      </c>
      <c r="BX74" s="2466">
        <f t="shared" si="45"/>
        <v>1</v>
      </c>
      <c r="BY74" s="2466">
        <f t="shared" si="46"/>
        <v>1</v>
      </c>
    </row>
    <row r="75" spans="1:77" s="170" customFormat="1" ht="15" customHeight="1" x14ac:dyDescent="0.2">
      <c r="A75" s="6285">
        <v>26291350</v>
      </c>
      <c r="B75" s="8132"/>
      <c r="C75" s="1369" t="s">
        <v>1208</v>
      </c>
      <c r="D75" s="1438" t="s">
        <v>5292</v>
      </c>
      <c r="E75" s="1095" t="s">
        <v>5293</v>
      </c>
      <c r="F75" s="1426" t="s">
        <v>5294</v>
      </c>
      <c r="G75" s="1100" t="s">
        <v>5295</v>
      </c>
      <c r="H75" s="6099" t="s">
        <v>5296</v>
      </c>
      <c r="I75" s="1414" t="s">
        <v>5297</v>
      </c>
      <c r="J75" s="1414" t="s">
        <v>5298</v>
      </c>
      <c r="K75" s="6100" t="s">
        <v>5299</v>
      </c>
      <c r="L75" s="170" t="str">
        <f t="shared" si="42"/>
        <v xml:space="preserve"> * La variable Pueblos originarios No puede ser mayor al Total. * La variable Migrantes No puede ser mayor al Total.</v>
      </c>
      <c r="BR75" s="2465" t="str">
        <f t="shared" si="43"/>
        <v xml:space="preserve"> * La variable Pueblos originarios No puede ser mayor al Total.</v>
      </c>
      <c r="BS75" s="2465" t="str">
        <f t="shared" si="44"/>
        <v xml:space="preserve"> * La variable Migrantes No puede ser mayor al Total.</v>
      </c>
      <c r="BX75" s="2466">
        <f t="shared" si="45"/>
        <v>1</v>
      </c>
      <c r="BY75" s="2466">
        <f t="shared" si="46"/>
        <v>1</v>
      </c>
    </row>
    <row r="76" spans="1:77" s="170" customFormat="1" ht="15" customHeight="1" x14ac:dyDescent="0.2">
      <c r="A76" s="6285">
        <v>29101542</v>
      </c>
      <c r="B76" s="8132"/>
      <c r="C76" s="1369" t="s">
        <v>1209</v>
      </c>
      <c r="D76" s="1438" t="s">
        <v>5292</v>
      </c>
      <c r="E76" s="1095" t="s">
        <v>5293</v>
      </c>
      <c r="F76" s="1426" t="s">
        <v>5294</v>
      </c>
      <c r="G76" s="1100" t="s">
        <v>5295</v>
      </c>
      <c r="H76" s="6099" t="s">
        <v>5296</v>
      </c>
      <c r="I76" s="1414" t="s">
        <v>5297</v>
      </c>
      <c r="J76" s="1414" t="s">
        <v>5298</v>
      </c>
      <c r="K76" s="6100" t="s">
        <v>5299</v>
      </c>
      <c r="L76" s="170" t="str">
        <f t="shared" si="42"/>
        <v xml:space="preserve"> * La variable Pueblos originarios No puede ser mayor al Total. * La variable Migrantes No puede ser mayor al Total.</v>
      </c>
      <c r="BR76" s="2465" t="str">
        <f t="shared" si="43"/>
        <v xml:space="preserve"> * La variable Pueblos originarios No puede ser mayor al Total.</v>
      </c>
      <c r="BS76" s="2465" t="str">
        <f t="shared" si="44"/>
        <v xml:space="preserve"> * La variable Migrantes No puede ser mayor al Total.</v>
      </c>
      <c r="BX76" s="2466">
        <f t="shared" si="45"/>
        <v>1</v>
      </c>
      <c r="BY76" s="2466">
        <f t="shared" si="46"/>
        <v>1</v>
      </c>
    </row>
    <row r="77" spans="1:77" s="170" customFormat="1" ht="15" customHeight="1" x14ac:dyDescent="0.2">
      <c r="A77" s="6285">
        <v>29101543</v>
      </c>
      <c r="B77" s="8132"/>
      <c r="C77" s="1443" t="s">
        <v>1210</v>
      </c>
      <c r="D77" s="1435" t="s">
        <v>5292</v>
      </c>
      <c r="E77" s="1444" t="s">
        <v>5293</v>
      </c>
      <c r="F77" s="1445" t="s">
        <v>5294</v>
      </c>
      <c r="G77" s="1446" t="s">
        <v>5295</v>
      </c>
      <c r="H77" s="6101" t="s">
        <v>5296</v>
      </c>
      <c r="I77" s="1417" t="s">
        <v>5297</v>
      </c>
      <c r="J77" s="1417" t="s">
        <v>5298</v>
      </c>
      <c r="K77" s="1420" t="s">
        <v>5299</v>
      </c>
      <c r="L77" s="170" t="str">
        <f t="shared" si="42"/>
        <v xml:space="preserve"> * La variable Pueblos originarios No puede ser mayor al Total. * La variable Migrantes No puede ser mayor al Total.</v>
      </c>
      <c r="BR77" s="2465" t="str">
        <f t="shared" si="43"/>
        <v xml:space="preserve"> * La variable Pueblos originarios No puede ser mayor al Total.</v>
      </c>
      <c r="BS77" s="2465" t="str">
        <f t="shared" si="44"/>
        <v xml:space="preserve"> * La variable Migrantes No puede ser mayor al Total.</v>
      </c>
      <c r="BX77" s="2466">
        <f t="shared" si="45"/>
        <v>1</v>
      </c>
      <c r="BY77" s="2466">
        <f t="shared" si="46"/>
        <v>1</v>
      </c>
    </row>
    <row r="78" spans="1:77" s="1116" customFormat="1" ht="18" customHeight="1" x14ac:dyDescent="0.2">
      <c r="B78" s="2483" t="s">
        <v>1211</v>
      </c>
    </row>
    <row r="79" spans="1:77" s="170" customFormat="1" ht="15" customHeight="1" x14ac:dyDescent="0.2">
      <c r="B79" s="7754" t="s">
        <v>12</v>
      </c>
      <c r="C79" s="7755"/>
      <c r="D79" s="7807" t="s">
        <v>189</v>
      </c>
      <c r="E79" s="7807"/>
      <c r="F79" s="7807"/>
      <c r="G79" s="7807"/>
      <c r="H79" s="8121"/>
      <c r="I79" s="6983" t="s">
        <v>190</v>
      </c>
      <c r="J79" s="8122"/>
    </row>
    <row r="80" spans="1:77" s="170" customFormat="1" ht="15" customHeight="1" x14ac:dyDescent="0.2">
      <c r="B80" s="7822"/>
      <c r="C80" s="6762"/>
      <c r="D80" s="7754" t="s">
        <v>24</v>
      </c>
      <c r="E80" s="7756" t="s">
        <v>1212</v>
      </c>
      <c r="F80" s="7771"/>
      <c r="G80" s="7757"/>
      <c r="H80" s="8123" t="s">
        <v>196</v>
      </c>
      <c r="I80" s="7801"/>
      <c r="J80" s="8122"/>
    </row>
    <row r="81" spans="1:10" s="170" customFormat="1" ht="20.399999999999999" x14ac:dyDescent="0.2">
      <c r="B81" s="7808"/>
      <c r="C81" s="7795"/>
      <c r="D81" s="7808"/>
      <c r="E81" s="1266" t="s">
        <v>1213</v>
      </c>
      <c r="F81" s="1408" t="s">
        <v>193</v>
      </c>
      <c r="G81" s="1447" t="s">
        <v>194</v>
      </c>
      <c r="H81" s="8124"/>
      <c r="I81" s="1267" t="s">
        <v>195</v>
      </c>
      <c r="J81" s="1406" t="s">
        <v>196</v>
      </c>
    </row>
    <row r="82" spans="1:10" s="170" customFormat="1" ht="15" customHeight="1" x14ac:dyDescent="0.2">
      <c r="A82" s="6234">
        <v>26280050</v>
      </c>
      <c r="B82" s="8125" t="s">
        <v>3759</v>
      </c>
      <c r="C82" s="8126"/>
      <c r="D82" s="1421" t="s">
        <v>5292</v>
      </c>
      <c r="E82" s="1125" t="s">
        <v>5293</v>
      </c>
      <c r="F82" s="646" t="s">
        <v>5294</v>
      </c>
      <c r="G82" s="1127" t="s">
        <v>5295</v>
      </c>
      <c r="H82" s="1195" t="s">
        <v>5296</v>
      </c>
      <c r="I82" s="1322" t="s">
        <v>5297</v>
      </c>
      <c r="J82" s="1448" t="s">
        <v>5298</v>
      </c>
    </row>
    <row r="83" spans="1:10" s="170" customFormat="1" ht="15" customHeight="1" x14ac:dyDescent="0.2">
      <c r="A83" s="6234">
        <v>26280060</v>
      </c>
      <c r="B83" s="8116" t="s">
        <v>3727</v>
      </c>
      <c r="C83" s="8112"/>
      <c r="D83" s="1425" t="s">
        <v>5292</v>
      </c>
      <c r="E83" s="1134" t="s">
        <v>5293</v>
      </c>
      <c r="F83" s="1411" t="s">
        <v>5294</v>
      </c>
      <c r="G83" s="1135" t="s">
        <v>5295</v>
      </c>
      <c r="H83" s="1213" t="s">
        <v>5296</v>
      </c>
      <c r="I83" s="1327" t="s">
        <v>5297</v>
      </c>
      <c r="J83" s="1449" t="s">
        <v>5298</v>
      </c>
    </row>
    <row r="84" spans="1:10" s="170" customFormat="1" ht="15" customHeight="1" x14ac:dyDescent="0.2">
      <c r="A84" s="6234">
        <v>26280070</v>
      </c>
      <c r="B84" s="8116" t="s">
        <v>37</v>
      </c>
      <c r="C84" s="8112"/>
      <c r="D84" s="1425" t="s">
        <v>5292</v>
      </c>
      <c r="E84" s="1134" t="s">
        <v>5293</v>
      </c>
      <c r="F84" s="1411" t="s">
        <v>5294</v>
      </c>
      <c r="G84" s="1135" t="s">
        <v>5295</v>
      </c>
      <c r="H84" s="1213" t="s">
        <v>5296</v>
      </c>
      <c r="I84" s="1327" t="s">
        <v>5297</v>
      </c>
      <c r="J84" s="1449" t="s">
        <v>5298</v>
      </c>
    </row>
    <row r="85" spans="1:10" s="170" customFormat="1" ht="15" customHeight="1" x14ac:dyDescent="0.2">
      <c r="A85" s="6234">
        <v>29101544</v>
      </c>
      <c r="B85" s="8111" t="s">
        <v>3750</v>
      </c>
      <c r="C85" s="8112"/>
      <c r="D85" s="1425" t="s">
        <v>5292</v>
      </c>
      <c r="E85" s="1134" t="s">
        <v>5293</v>
      </c>
      <c r="F85" s="1411" t="s">
        <v>5294</v>
      </c>
      <c r="G85" s="1135" t="s">
        <v>5295</v>
      </c>
      <c r="H85" s="1213" t="s">
        <v>5296</v>
      </c>
      <c r="I85" s="1327" t="s">
        <v>5297</v>
      </c>
      <c r="J85" s="1449" t="s">
        <v>5298</v>
      </c>
    </row>
    <row r="86" spans="1:10" s="170" customFormat="1" ht="15" customHeight="1" x14ac:dyDescent="0.2">
      <c r="A86" s="6234">
        <v>29101545</v>
      </c>
      <c r="B86" s="8111" t="s">
        <v>4</v>
      </c>
      <c r="C86" s="8112"/>
      <c r="D86" s="1425" t="s">
        <v>5292</v>
      </c>
      <c r="E86" s="1134" t="s">
        <v>5293</v>
      </c>
      <c r="F86" s="1411" t="s">
        <v>5294</v>
      </c>
      <c r="G86" s="1135" t="s">
        <v>5295</v>
      </c>
      <c r="H86" s="1213" t="s">
        <v>5296</v>
      </c>
      <c r="I86" s="1327" t="s">
        <v>5297</v>
      </c>
      <c r="J86" s="1449" t="s">
        <v>5298</v>
      </c>
    </row>
    <row r="87" spans="1:10" s="170" customFormat="1" ht="15" customHeight="1" x14ac:dyDescent="0.2">
      <c r="A87" s="6234">
        <v>29101546</v>
      </c>
      <c r="B87" s="8116" t="s">
        <v>5</v>
      </c>
      <c r="C87" s="8112"/>
      <c r="D87" s="1425" t="s">
        <v>5292</v>
      </c>
      <c r="E87" s="1134" t="s">
        <v>5293</v>
      </c>
      <c r="F87" s="1411" t="s">
        <v>5294</v>
      </c>
      <c r="G87" s="1135" t="s">
        <v>5295</v>
      </c>
      <c r="H87" s="1213" t="s">
        <v>5296</v>
      </c>
      <c r="I87" s="1327" t="s">
        <v>5297</v>
      </c>
      <c r="J87" s="1449" t="s">
        <v>5298</v>
      </c>
    </row>
    <row r="88" spans="1:10" s="170" customFormat="1" ht="15" customHeight="1" x14ac:dyDescent="0.2">
      <c r="A88" s="6234">
        <v>26280090</v>
      </c>
      <c r="B88" s="8116" t="s">
        <v>3720</v>
      </c>
      <c r="C88" s="8112"/>
      <c r="D88" s="1425" t="s">
        <v>5292</v>
      </c>
      <c r="E88" s="1134" t="s">
        <v>5293</v>
      </c>
      <c r="F88" s="1411" t="s">
        <v>5294</v>
      </c>
      <c r="G88" s="1135" t="s">
        <v>5295</v>
      </c>
      <c r="H88" s="1213" t="s">
        <v>5296</v>
      </c>
      <c r="I88" s="1327" t="s">
        <v>5297</v>
      </c>
      <c r="J88" s="1449" t="s">
        <v>5298</v>
      </c>
    </row>
    <row r="89" spans="1:10" s="170" customFormat="1" ht="15" customHeight="1" x14ac:dyDescent="0.2">
      <c r="A89" s="6234">
        <v>26280100</v>
      </c>
      <c r="B89" s="8117" t="s">
        <v>946</v>
      </c>
      <c r="C89" s="8118"/>
      <c r="D89" s="1450" t="s">
        <v>5292</v>
      </c>
      <c r="E89" s="64" t="s">
        <v>5293</v>
      </c>
      <c r="F89" s="651" t="s">
        <v>5294</v>
      </c>
      <c r="G89" s="1154" t="s">
        <v>5295</v>
      </c>
      <c r="H89" s="1202" t="s">
        <v>5296</v>
      </c>
      <c r="I89" s="1329" t="s">
        <v>5297</v>
      </c>
      <c r="J89" s="655" t="s">
        <v>5298</v>
      </c>
    </row>
    <row r="90" spans="1:10" s="170" customFormat="1" ht="15" customHeight="1" x14ac:dyDescent="0.2">
      <c r="B90" s="1451" t="s">
        <v>1214</v>
      </c>
    </row>
    <row r="91" spans="1:10" s="1116" customFormat="1" ht="18" customHeight="1" x14ac:dyDescent="0.2">
      <c r="B91" s="14" t="s">
        <v>1215</v>
      </c>
    </row>
    <row r="92" spans="1:10" s="170" customFormat="1" ht="15" customHeight="1" x14ac:dyDescent="0.2">
      <c r="B92" s="8119" t="s">
        <v>1216</v>
      </c>
      <c r="C92" s="8119" t="s">
        <v>1217</v>
      </c>
      <c r="D92" s="7756" t="s">
        <v>558</v>
      </c>
      <c r="E92" s="7771"/>
      <c r="F92" s="7771"/>
      <c r="G92" s="7771"/>
      <c r="H92" s="7757"/>
    </row>
    <row r="93" spans="1:10" s="170" customFormat="1" ht="15" customHeight="1" x14ac:dyDescent="0.2">
      <c r="B93" s="8120"/>
      <c r="C93" s="8120"/>
      <c r="D93" s="1266" t="s">
        <v>36</v>
      </c>
      <c r="E93" s="1268" t="s">
        <v>37</v>
      </c>
      <c r="F93" s="1408" t="s">
        <v>38</v>
      </c>
      <c r="G93" s="1408" t="s">
        <v>4</v>
      </c>
      <c r="H93" s="1447" t="s">
        <v>5</v>
      </c>
    </row>
    <row r="94" spans="1:10" s="170" customFormat="1" ht="15" customHeight="1" x14ac:dyDescent="0.2">
      <c r="A94" s="6240">
        <v>26280200</v>
      </c>
      <c r="B94" s="1452" t="s">
        <v>1218</v>
      </c>
      <c r="C94" s="1242" t="s">
        <v>5292</v>
      </c>
      <c r="D94" s="1125" t="s">
        <v>5293</v>
      </c>
      <c r="E94" s="1128" t="s">
        <v>5294</v>
      </c>
      <c r="F94" s="1128" t="s">
        <v>5295</v>
      </c>
      <c r="G94" s="1128" t="s">
        <v>5296</v>
      </c>
      <c r="H94" s="1126" t="s">
        <v>5297</v>
      </c>
    </row>
    <row r="95" spans="1:10" s="170" customFormat="1" ht="15" customHeight="1" x14ac:dyDescent="0.2">
      <c r="A95" s="6240">
        <v>26280210</v>
      </c>
      <c r="B95" s="60" t="s">
        <v>1190</v>
      </c>
      <c r="C95" s="1453" t="s">
        <v>5292</v>
      </c>
      <c r="D95" s="64" t="s">
        <v>5293</v>
      </c>
      <c r="E95" s="654" t="s">
        <v>5294</v>
      </c>
      <c r="F95" s="654" t="s">
        <v>5295</v>
      </c>
      <c r="G95" s="654" t="s">
        <v>5296</v>
      </c>
      <c r="H95" s="65" t="s">
        <v>5297</v>
      </c>
    </row>
    <row r="96" spans="1:10" s="17" customFormat="1" ht="18" customHeight="1" x14ac:dyDescent="0.25">
      <c r="A96" s="6240"/>
      <c r="B96" s="14" t="s">
        <v>1219</v>
      </c>
    </row>
    <row r="97" spans="1:76" s="170" customFormat="1" ht="20.399999999999999" x14ac:dyDescent="0.2">
      <c r="A97" s="6240"/>
      <c r="B97" s="4756" t="s">
        <v>23</v>
      </c>
      <c r="C97" s="3007" t="s">
        <v>1220</v>
      </c>
      <c r="D97" s="3007" t="s">
        <v>3902</v>
      </c>
    </row>
    <row r="98" spans="1:76" s="170" customFormat="1" ht="15" customHeight="1" x14ac:dyDescent="0.2">
      <c r="A98" s="6240">
        <v>26300160</v>
      </c>
      <c r="B98" s="1454" t="s">
        <v>1218</v>
      </c>
      <c r="C98" s="1455" t="s">
        <v>5292</v>
      </c>
      <c r="D98" s="1455" t="s">
        <v>5293</v>
      </c>
    </row>
    <row r="99" spans="1:76" s="1116" customFormat="1" ht="18" customHeight="1" x14ac:dyDescent="0.2">
      <c r="B99" s="14" t="s">
        <v>1221</v>
      </c>
    </row>
    <row r="100" spans="1:76" s="170" customFormat="1" ht="15" customHeight="1" x14ac:dyDescent="0.2">
      <c r="B100" s="8113" t="s">
        <v>137</v>
      </c>
      <c r="C100" s="8113" t="s">
        <v>24</v>
      </c>
      <c r="D100" s="8114" t="s">
        <v>1222</v>
      </c>
      <c r="E100" s="8115"/>
      <c r="F100" s="8115"/>
      <c r="G100" s="8115"/>
      <c r="H100" s="8115"/>
      <c r="I100" s="8115"/>
      <c r="J100" s="8115"/>
      <c r="K100" s="8115"/>
      <c r="L100" s="8115"/>
      <c r="M100" s="8115"/>
      <c r="N100" s="8115"/>
      <c r="O100" s="8115"/>
      <c r="P100" s="8115"/>
      <c r="Q100" s="8115"/>
      <c r="R100" s="8115"/>
      <c r="S100" s="8115"/>
      <c r="T100" s="8115"/>
      <c r="U100" s="8105" t="s">
        <v>523</v>
      </c>
      <c r="V100" s="8106"/>
    </row>
    <row r="101" spans="1:76" s="170" customFormat="1" ht="15" customHeight="1" x14ac:dyDescent="0.2">
      <c r="B101" s="8113"/>
      <c r="C101" s="8113"/>
      <c r="D101" s="8109" t="s">
        <v>12</v>
      </c>
      <c r="E101" s="8110"/>
      <c r="F101" s="8110"/>
      <c r="G101" s="8110"/>
      <c r="H101" s="8110"/>
      <c r="I101" s="8110"/>
      <c r="J101" s="8110"/>
      <c r="K101" s="8110"/>
      <c r="L101" s="8110"/>
      <c r="M101" s="8110"/>
      <c r="N101" s="8110"/>
      <c r="O101" s="8110"/>
      <c r="P101" s="8110"/>
      <c r="Q101" s="8110"/>
      <c r="R101" s="8110"/>
      <c r="S101" s="8110"/>
      <c r="T101" s="8110"/>
      <c r="U101" s="8107"/>
      <c r="V101" s="8108"/>
    </row>
    <row r="102" spans="1:76" s="170" customFormat="1" ht="24.9" customHeight="1" x14ac:dyDescent="0.2">
      <c r="B102" s="8113"/>
      <c r="C102" s="8113"/>
      <c r="D102" s="1266" t="s">
        <v>36</v>
      </c>
      <c r="E102" s="1408" t="s">
        <v>37</v>
      </c>
      <c r="F102" s="1408" t="s">
        <v>38</v>
      </c>
      <c r="G102" s="1408" t="s">
        <v>4</v>
      </c>
      <c r="H102" s="1408" t="s">
        <v>5</v>
      </c>
      <c r="I102" s="1408" t="s">
        <v>6</v>
      </c>
      <c r="J102" s="1408" t="s">
        <v>7</v>
      </c>
      <c r="K102" s="1408" t="s">
        <v>8</v>
      </c>
      <c r="L102" s="1408" t="s">
        <v>9</v>
      </c>
      <c r="M102" s="1408" t="s">
        <v>10</v>
      </c>
      <c r="N102" s="1408" t="s">
        <v>11</v>
      </c>
      <c r="O102" s="1408" t="s">
        <v>18</v>
      </c>
      <c r="P102" s="1166" t="s">
        <v>19</v>
      </c>
      <c r="Q102" s="1408" t="s">
        <v>20</v>
      </c>
      <c r="R102" s="1408" t="s">
        <v>70</v>
      </c>
      <c r="S102" s="1408" t="s">
        <v>71</v>
      </c>
      <c r="T102" s="1447" t="s">
        <v>32</v>
      </c>
      <c r="U102" s="1538" t="s">
        <v>22</v>
      </c>
      <c r="V102" s="2485" t="s">
        <v>27</v>
      </c>
    </row>
    <row r="103" spans="1:76" s="170" customFormat="1" ht="21" customHeight="1" x14ac:dyDescent="0.2">
      <c r="A103" s="6240">
        <v>29101547</v>
      </c>
      <c r="B103" s="1456" t="s">
        <v>1223</v>
      </c>
      <c r="C103" s="1457" t="s">
        <v>5292</v>
      </c>
      <c r="D103" s="1125" t="s">
        <v>5293</v>
      </c>
      <c r="E103" s="646" t="s">
        <v>5294</v>
      </c>
      <c r="F103" s="646" t="s">
        <v>5295</v>
      </c>
      <c r="G103" s="646" t="s">
        <v>5296</v>
      </c>
      <c r="H103" s="646" t="s">
        <v>5297</v>
      </c>
      <c r="I103" s="646" t="s">
        <v>5298</v>
      </c>
      <c r="J103" s="646" t="s">
        <v>5299</v>
      </c>
      <c r="K103" s="646" t="s">
        <v>5300</v>
      </c>
      <c r="L103" s="646" t="s">
        <v>5301</v>
      </c>
      <c r="M103" s="646" t="s">
        <v>5302</v>
      </c>
      <c r="N103" s="646" t="s">
        <v>5303</v>
      </c>
      <c r="O103" s="646" t="s">
        <v>5304</v>
      </c>
      <c r="P103" s="646" t="s">
        <v>5305</v>
      </c>
      <c r="Q103" s="646" t="s">
        <v>5306</v>
      </c>
      <c r="R103" s="646" t="s">
        <v>5307</v>
      </c>
      <c r="S103" s="646" t="s">
        <v>5308</v>
      </c>
      <c r="T103" s="1127" t="s">
        <v>5309</v>
      </c>
      <c r="U103" s="1448" t="s">
        <v>5310</v>
      </c>
      <c r="V103" s="1126" t="s">
        <v>5311</v>
      </c>
      <c r="W103" s="170" t="e">
        <f>BR103&amp;BS103</f>
        <v>#VALUE!</v>
      </c>
      <c r="BR103" s="2465" t="e">
        <f>IF((U103+V103)&lt;&gt;C103," * El total de Consultas por Sexo debe ser igual al Total de Consultas por grupo de Edad","")</f>
        <v>#VALUE!</v>
      </c>
      <c r="BX103" s="2466" t="e">
        <f>IF((U103+V103)&lt;&gt;C103,1,0)</f>
        <v>#VALUE!</v>
      </c>
    </row>
    <row r="104" spans="1:76" s="170" customFormat="1" ht="15" customHeight="1" x14ac:dyDescent="0.2">
      <c r="A104" s="6240">
        <v>29101548</v>
      </c>
      <c r="B104" s="1458" t="s">
        <v>225</v>
      </c>
      <c r="C104" s="1457" t="s">
        <v>5292</v>
      </c>
      <c r="D104" s="1134" t="s">
        <v>5293</v>
      </c>
      <c r="E104" s="1411" t="s">
        <v>5294</v>
      </c>
      <c r="F104" s="1411" t="s">
        <v>5295</v>
      </c>
      <c r="G104" s="1411" t="s">
        <v>5296</v>
      </c>
      <c r="H104" s="1411" t="s">
        <v>5297</v>
      </c>
      <c r="I104" s="1411" t="s">
        <v>5298</v>
      </c>
      <c r="J104" s="1411" t="s">
        <v>5299</v>
      </c>
      <c r="K104" s="1411" t="s">
        <v>5300</v>
      </c>
      <c r="L104" s="1411" t="s">
        <v>5301</v>
      </c>
      <c r="M104" s="1411" t="s">
        <v>5302</v>
      </c>
      <c r="N104" s="1411" t="s">
        <v>5303</v>
      </c>
      <c r="O104" s="1411" t="s">
        <v>5304</v>
      </c>
      <c r="P104" s="1411" t="s">
        <v>5305</v>
      </c>
      <c r="Q104" s="1411" t="s">
        <v>5306</v>
      </c>
      <c r="R104" s="1411" t="s">
        <v>5307</v>
      </c>
      <c r="S104" s="1411" t="s">
        <v>5308</v>
      </c>
      <c r="T104" s="1135" t="s">
        <v>5309</v>
      </c>
      <c r="U104" s="1449" t="s">
        <v>5310</v>
      </c>
      <c r="V104" s="62" t="s">
        <v>5311</v>
      </c>
      <c r="W104" s="170" t="e">
        <f t="shared" ref="W104:W117" si="47">BR104&amp;BS104</f>
        <v>#VALUE!</v>
      </c>
      <c r="BR104" s="2465" t="e">
        <f t="shared" ref="BR104:BR117" si="48">IF((U104+V104)&lt;&gt;C104," * El total de Consultas por Sexo debe ser igual al Total de Consultas por grupo de Edad","")</f>
        <v>#VALUE!</v>
      </c>
      <c r="BX104" s="2466" t="e">
        <f t="shared" ref="BX104:BX117" si="49">IF((U104+V104)&lt;&gt;C104,1,0)</f>
        <v>#VALUE!</v>
      </c>
    </row>
    <row r="105" spans="1:76" s="170" customFormat="1" ht="15" customHeight="1" x14ac:dyDescent="0.2">
      <c r="A105" s="6240">
        <v>29101549</v>
      </c>
      <c r="B105" s="1458" t="s">
        <v>1224</v>
      </c>
      <c r="C105" s="1457" t="s">
        <v>5292</v>
      </c>
      <c r="D105" s="1134" t="s">
        <v>5293</v>
      </c>
      <c r="E105" s="1411" t="s">
        <v>5294</v>
      </c>
      <c r="F105" s="1411" t="s">
        <v>5295</v>
      </c>
      <c r="G105" s="1411" t="s">
        <v>5296</v>
      </c>
      <c r="H105" s="1411" t="s">
        <v>5297</v>
      </c>
      <c r="I105" s="1411" t="s">
        <v>5298</v>
      </c>
      <c r="J105" s="1411" t="s">
        <v>5299</v>
      </c>
      <c r="K105" s="1411" t="s">
        <v>5300</v>
      </c>
      <c r="L105" s="1411" t="s">
        <v>5301</v>
      </c>
      <c r="M105" s="1411" t="s">
        <v>5302</v>
      </c>
      <c r="N105" s="1411" t="s">
        <v>5303</v>
      </c>
      <c r="O105" s="1411" t="s">
        <v>5304</v>
      </c>
      <c r="P105" s="1411" t="s">
        <v>5305</v>
      </c>
      <c r="Q105" s="1411" t="s">
        <v>5306</v>
      </c>
      <c r="R105" s="1411" t="s">
        <v>5307</v>
      </c>
      <c r="S105" s="1411" t="s">
        <v>5308</v>
      </c>
      <c r="T105" s="1135" t="s">
        <v>5309</v>
      </c>
      <c r="U105" s="1449" t="s">
        <v>5310</v>
      </c>
      <c r="V105" s="62" t="s">
        <v>5311</v>
      </c>
      <c r="W105" s="170" t="e">
        <f t="shared" si="47"/>
        <v>#VALUE!</v>
      </c>
      <c r="BR105" s="2465" t="e">
        <f t="shared" si="48"/>
        <v>#VALUE!</v>
      </c>
      <c r="BX105" s="2466" t="e">
        <f t="shared" si="49"/>
        <v>#VALUE!</v>
      </c>
    </row>
    <row r="106" spans="1:76" s="170" customFormat="1" ht="11.4" x14ac:dyDescent="0.2">
      <c r="A106" s="6240">
        <v>29101550</v>
      </c>
      <c r="B106" s="1456" t="s">
        <v>953</v>
      </c>
      <c r="C106" s="1457" t="s">
        <v>5292</v>
      </c>
      <c r="D106" s="1134" t="s">
        <v>5293</v>
      </c>
      <c r="E106" s="1411" t="s">
        <v>5294</v>
      </c>
      <c r="F106" s="1411" t="s">
        <v>5295</v>
      </c>
      <c r="G106" s="1411" t="s">
        <v>5296</v>
      </c>
      <c r="H106" s="1411" t="s">
        <v>5297</v>
      </c>
      <c r="I106" s="1411" t="s">
        <v>5298</v>
      </c>
      <c r="J106" s="1411" t="s">
        <v>5299</v>
      </c>
      <c r="K106" s="1411" t="s">
        <v>5300</v>
      </c>
      <c r="L106" s="1411" t="s">
        <v>5301</v>
      </c>
      <c r="M106" s="1411" t="s">
        <v>5302</v>
      </c>
      <c r="N106" s="1411" t="s">
        <v>5303</v>
      </c>
      <c r="O106" s="1411" t="s">
        <v>5304</v>
      </c>
      <c r="P106" s="1411" t="s">
        <v>5305</v>
      </c>
      <c r="Q106" s="1411" t="s">
        <v>5306</v>
      </c>
      <c r="R106" s="1411" t="s">
        <v>5307</v>
      </c>
      <c r="S106" s="1411" t="s">
        <v>5308</v>
      </c>
      <c r="T106" s="1135" t="s">
        <v>5309</v>
      </c>
      <c r="U106" s="1449" t="s">
        <v>5310</v>
      </c>
      <c r="V106" s="62" t="s">
        <v>5311</v>
      </c>
      <c r="W106" s="170" t="e">
        <f t="shared" si="47"/>
        <v>#VALUE!</v>
      </c>
      <c r="BR106" s="2465" t="e">
        <f t="shared" si="48"/>
        <v>#VALUE!</v>
      </c>
      <c r="BX106" s="2466" t="e">
        <f t="shared" si="49"/>
        <v>#VALUE!</v>
      </c>
    </row>
    <row r="107" spans="1:76" s="170" customFormat="1" ht="15" customHeight="1" x14ac:dyDescent="0.2">
      <c r="A107" s="6240">
        <v>29101551</v>
      </c>
      <c r="B107" s="1458" t="s">
        <v>955</v>
      </c>
      <c r="C107" s="1457" t="s">
        <v>5292</v>
      </c>
      <c r="D107" s="1134" t="s">
        <v>5293</v>
      </c>
      <c r="E107" s="1411" t="s">
        <v>5294</v>
      </c>
      <c r="F107" s="1411" t="s">
        <v>5295</v>
      </c>
      <c r="G107" s="1411" t="s">
        <v>5296</v>
      </c>
      <c r="H107" s="1411" t="s">
        <v>5297</v>
      </c>
      <c r="I107" s="1411" t="s">
        <v>5298</v>
      </c>
      <c r="J107" s="1411" t="s">
        <v>5299</v>
      </c>
      <c r="K107" s="1411" t="s">
        <v>5300</v>
      </c>
      <c r="L107" s="1411" t="s">
        <v>5301</v>
      </c>
      <c r="M107" s="1411" t="s">
        <v>5302</v>
      </c>
      <c r="N107" s="1411" t="s">
        <v>5303</v>
      </c>
      <c r="O107" s="1411" t="s">
        <v>5304</v>
      </c>
      <c r="P107" s="1411" t="s">
        <v>5305</v>
      </c>
      <c r="Q107" s="1411" t="s">
        <v>5306</v>
      </c>
      <c r="R107" s="1411" t="s">
        <v>5307</v>
      </c>
      <c r="S107" s="1411" t="s">
        <v>5308</v>
      </c>
      <c r="T107" s="1135" t="s">
        <v>5309</v>
      </c>
      <c r="U107" s="1449" t="s">
        <v>5310</v>
      </c>
      <c r="V107" s="62" t="s">
        <v>5311</v>
      </c>
      <c r="W107" s="170" t="e">
        <f t="shared" si="47"/>
        <v>#VALUE!</v>
      </c>
      <c r="BR107" s="2465" t="e">
        <f t="shared" si="48"/>
        <v>#VALUE!</v>
      </c>
      <c r="BX107" s="2466" t="e">
        <f t="shared" si="49"/>
        <v>#VALUE!</v>
      </c>
    </row>
    <row r="108" spans="1:76" s="170" customFormat="1" ht="15" customHeight="1" x14ac:dyDescent="0.2">
      <c r="A108" s="6240">
        <v>29101552</v>
      </c>
      <c r="B108" s="1458" t="s">
        <v>957</v>
      </c>
      <c r="C108" s="1457" t="s">
        <v>5292</v>
      </c>
      <c r="D108" s="1134" t="s">
        <v>5293</v>
      </c>
      <c r="E108" s="1411" t="s">
        <v>5294</v>
      </c>
      <c r="F108" s="1411" t="s">
        <v>5295</v>
      </c>
      <c r="G108" s="1411" t="s">
        <v>5296</v>
      </c>
      <c r="H108" s="1411" t="s">
        <v>5297</v>
      </c>
      <c r="I108" s="1411" t="s">
        <v>5298</v>
      </c>
      <c r="J108" s="1411" t="s">
        <v>5299</v>
      </c>
      <c r="K108" s="1411" t="s">
        <v>5300</v>
      </c>
      <c r="L108" s="1411" t="s">
        <v>5301</v>
      </c>
      <c r="M108" s="1411" t="s">
        <v>5302</v>
      </c>
      <c r="N108" s="1411" t="s">
        <v>5303</v>
      </c>
      <c r="O108" s="1411" t="s">
        <v>5304</v>
      </c>
      <c r="P108" s="1411" t="s">
        <v>5305</v>
      </c>
      <c r="Q108" s="1411" t="s">
        <v>5306</v>
      </c>
      <c r="R108" s="1411" t="s">
        <v>5307</v>
      </c>
      <c r="S108" s="1411" t="s">
        <v>5308</v>
      </c>
      <c r="T108" s="1135" t="s">
        <v>5309</v>
      </c>
      <c r="U108" s="1449" t="s">
        <v>5310</v>
      </c>
      <c r="V108" s="62" t="s">
        <v>5311</v>
      </c>
      <c r="W108" s="170" t="e">
        <f t="shared" si="47"/>
        <v>#VALUE!</v>
      </c>
      <c r="BR108" s="2465" t="e">
        <f t="shared" si="48"/>
        <v>#VALUE!</v>
      </c>
      <c r="BX108" s="2466" t="e">
        <f t="shared" si="49"/>
        <v>#VALUE!</v>
      </c>
    </row>
    <row r="109" spans="1:76" s="170" customFormat="1" ht="15" customHeight="1" x14ac:dyDescent="0.2">
      <c r="A109" s="6240">
        <v>29101553</v>
      </c>
      <c r="B109" s="1458" t="s">
        <v>968</v>
      </c>
      <c r="C109" s="1457" t="s">
        <v>5292</v>
      </c>
      <c r="D109" s="1134" t="s">
        <v>5293</v>
      </c>
      <c r="E109" s="1411" t="s">
        <v>5294</v>
      </c>
      <c r="F109" s="1411" t="s">
        <v>5295</v>
      </c>
      <c r="G109" s="1411" t="s">
        <v>5296</v>
      </c>
      <c r="H109" s="1411" t="s">
        <v>5297</v>
      </c>
      <c r="I109" s="1411" t="s">
        <v>5298</v>
      </c>
      <c r="J109" s="1411" t="s">
        <v>5299</v>
      </c>
      <c r="K109" s="1411" t="s">
        <v>5300</v>
      </c>
      <c r="L109" s="1411" t="s">
        <v>5301</v>
      </c>
      <c r="M109" s="1411" t="s">
        <v>5302</v>
      </c>
      <c r="N109" s="1411" t="s">
        <v>5303</v>
      </c>
      <c r="O109" s="1411" t="s">
        <v>5304</v>
      </c>
      <c r="P109" s="1411" t="s">
        <v>5305</v>
      </c>
      <c r="Q109" s="1411" t="s">
        <v>5306</v>
      </c>
      <c r="R109" s="1411" t="s">
        <v>5307</v>
      </c>
      <c r="S109" s="1411" t="s">
        <v>5308</v>
      </c>
      <c r="T109" s="1135" t="s">
        <v>5309</v>
      </c>
      <c r="U109" s="1449" t="s">
        <v>5310</v>
      </c>
      <c r="V109" s="62" t="s">
        <v>5311</v>
      </c>
      <c r="W109" s="170" t="e">
        <f t="shared" si="47"/>
        <v>#VALUE!</v>
      </c>
      <c r="BR109" s="2465" t="e">
        <f t="shared" si="48"/>
        <v>#VALUE!</v>
      </c>
      <c r="BX109" s="2466" t="e">
        <f t="shared" si="49"/>
        <v>#VALUE!</v>
      </c>
    </row>
    <row r="110" spans="1:76" s="170" customFormat="1" ht="15" customHeight="1" x14ac:dyDescent="0.2">
      <c r="A110" s="6240">
        <v>29101554</v>
      </c>
      <c r="B110" s="1458" t="s">
        <v>970</v>
      </c>
      <c r="C110" s="1457" t="s">
        <v>5292</v>
      </c>
      <c r="D110" s="1134" t="s">
        <v>5293</v>
      </c>
      <c r="E110" s="1411" t="s">
        <v>5294</v>
      </c>
      <c r="F110" s="1411" t="s">
        <v>5295</v>
      </c>
      <c r="G110" s="1411" t="s">
        <v>5296</v>
      </c>
      <c r="H110" s="1411" t="s">
        <v>5297</v>
      </c>
      <c r="I110" s="1411" t="s">
        <v>5298</v>
      </c>
      <c r="J110" s="1411" t="s">
        <v>5299</v>
      </c>
      <c r="K110" s="1411" t="s">
        <v>5300</v>
      </c>
      <c r="L110" s="1411" t="s">
        <v>5301</v>
      </c>
      <c r="M110" s="1411" t="s">
        <v>5302</v>
      </c>
      <c r="N110" s="1411" t="s">
        <v>5303</v>
      </c>
      <c r="O110" s="1411" t="s">
        <v>5304</v>
      </c>
      <c r="P110" s="1411" t="s">
        <v>5305</v>
      </c>
      <c r="Q110" s="1411" t="s">
        <v>5306</v>
      </c>
      <c r="R110" s="1411" t="s">
        <v>5307</v>
      </c>
      <c r="S110" s="1411" t="s">
        <v>5308</v>
      </c>
      <c r="T110" s="1135" t="s">
        <v>5309</v>
      </c>
      <c r="U110" s="1449" t="s">
        <v>5310</v>
      </c>
      <c r="V110" s="62" t="s">
        <v>5311</v>
      </c>
      <c r="W110" s="170" t="e">
        <f t="shared" si="47"/>
        <v>#VALUE!</v>
      </c>
      <c r="BR110" s="2465" t="e">
        <f t="shared" si="48"/>
        <v>#VALUE!</v>
      </c>
      <c r="BX110" s="2466" t="e">
        <f t="shared" si="49"/>
        <v>#VALUE!</v>
      </c>
    </row>
    <row r="111" spans="1:76" s="170" customFormat="1" ht="15" customHeight="1" x14ac:dyDescent="0.2">
      <c r="A111" s="6240">
        <v>29101555</v>
      </c>
      <c r="B111" s="1458" t="s">
        <v>240</v>
      </c>
      <c r="C111" s="1457" t="s">
        <v>5292</v>
      </c>
      <c r="D111" s="1134" t="s">
        <v>5293</v>
      </c>
      <c r="E111" s="1411" t="s">
        <v>5294</v>
      </c>
      <c r="F111" s="1411" t="s">
        <v>5295</v>
      </c>
      <c r="G111" s="1411" t="s">
        <v>5296</v>
      </c>
      <c r="H111" s="1411" t="s">
        <v>5297</v>
      </c>
      <c r="I111" s="1411" t="s">
        <v>5298</v>
      </c>
      <c r="J111" s="1411" t="s">
        <v>5299</v>
      </c>
      <c r="K111" s="1411" t="s">
        <v>5300</v>
      </c>
      <c r="L111" s="1411" t="s">
        <v>5301</v>
      </c>
      <c r="M111" s="1411" t="s">
        <v>5302</v>
      </c>
      <c r="N111" s="1411" t="s">
        <v>5303</v>
      </c>
      <c r="O111" s="1411" t="s">
        <v>5304</v>
      </c>
      <c r="P111" s="1411" t="s">
        <v>5305</v>
      </c>
      <c r="Q111" s="1411" t="s">
        <v>5306</v>
      </c>
      <c r="R111" s="1411" t="s">
        <v>5307</v>
      </c>
      <c r="S111" s="1411" t="s">
        <v>5308</v>
      </c>
      <c r="T111" s="1135" t="s">
        <v>5309</v>
      </c>
      <c r="U111" s="1449" t="s">
        <v>5310</v>
      </c>
      <c r="V111" s="62" t="s">
        <v>5311</v>
      </c>
      <c r="W111" s="170" t="e">
        <f t="shared" si="47"/>
        <v>#VALUE!</v>
      </c>
      <c r="BR111" s="2465" t="e">
        <f t="shared" si="48"/>
        <v>#VALUE!</v>
      </c>
      <c r="BX111" s="2466" t="e">
        <f t="shared" si="49"/>
        <v>#VALUE!</v>
      </c>
    </row>
    <row r="112" spans="1:76" s="170" customFormat="1" ht="15" customHeight="1" x14ac:dyDescent="0.2">
      <c r="A112" s="6240">
        <v>29101556</v>
      </c>
      <c r="B112" s="1458" t="s">
        <v>526</v>
      </c>
      <c r="C112" s="1457" t="s">
        <v>5292</v>
      </c>
      <c r="D112" s="1134" t="s">
        <v>5293</v>
      </c>
      <c r="E112" s="1411" t="s">
        <v>5294</v>
      </c>
      <c r="F112" s="1411" t="s">
        <v>5295</v>
      </c>
      <c r="G112" s="1411" t="s">
        <v>5296</v>
      </c>
      <c r="H112" s="1411" t="s">
        <v>5297</v>
      </c>
      <c r="I112" s="1411" t="s">
        <v>5298</v>
      </c>
      <c r="J112" s="1411" t="s">
        <v>5299</v>
      </c>
      <c r="K112" s="1411" t="s">
        <v>5300</v>
      </c>
      <c r="L112" s="1411" t="s">
        <v>5301</v>
      </c>
      <c r="M112" s="1411" t="s">
        <v>5302</v>
      </c>
      <c r="N112" s="1411" t="s">
        <v>5303</v>
      </c>
      <c r="O112" s="1411" t="s">
        <v>5304</v>
      </c>
      <c r="P112" s="1411" t="s">
        <v>5305</v>
      </c>
      <c r="Q112" s="1411" t="s">
        <v>5306</v>
      </c>
      <c r="R112" s="1411" t="s">
        <v>5307</v>
      </c>
      <c r="S112" s="1411" t="s">
        <v>5308</v>
      </c>
      <c r="T112" s="1135" t="s">
        <v>5309</v>
      </c>
      <c r="U112" s="1449" t="s">
        <v>5310</v>
      </c>
      <c r="V112" s="62" t="s">
        <v>5311</v>
      </c>
      <c r="W112" s="170" t="e">
        <f t="shared" si="47"/>
        <v>#VALUE!</v>
      </c>
      <c r="BR112" s="2465" t="e">
        <f t="shared" si="48"/>
        <v>#VALUE!</v>
      </c>
      <c r="BX112" s="2466" t="e">
        <f t="shared" si="49"/>
        <v>#VALUE!</v>
      </c>
    </row>
    <row r="113" spans="1:79" s="170" customFormat="1" ht="15" customHeight="1" x14ac:dyDescent="0.2">
      <c r="A113" s="6240">
        <v>29101557</v>
      </c>
      <c r="B113" s="1458" t="s">
        <v>238</v>
      </c>
      <c r="C113" s="1457" t="s">
        <v>5292</v>
      </c>
      <c r="D113" s="1134" t="s">
        <v>5293</v>
      </c>
      <c r="E113" s="1411" t="s">
        <v>5294</v>
      </c>
      <c r="F113" s="1411" t="s">
        <v>5295</v>
      </c>
      <c r="G113" s="1411" t="s">
        <v>5296</v>
      </c>
      <c r="H113" s="1411" t="s">
        <v>5297</v>
      </c>
      <c r="I113" s="1411" t="s">
        <v>5298</v>
      </c>
      <c r="J113" s="1411" t="s">
        <v>5299</v>
      </c>
      <c r="K113" s="1411" t="s">
        <v>5300</v>
      </c>
      <c r="L113" s="1411" t="s">
        <v>5301</v>
      </c>
      <c r="M113" s="1411" t="s">
        <v>5302</v>
      </c>
      <c r="N113" s="1411" t="s">
        <v>5303</v>
      </c>
      <c r="O113" s="1411" t="s">
        <v>5304</v>
      </c>
      <c r="P113" s="1411" t="s">
        <v>5305</v>
      </c>
      <c r="Q113" s="1411" t="s">
        <v>5306</v>
      </c>
      <c r="R113" s="1411" t="s">
        <v>5307</v>
      </c>
      <c r="S113" s="1411" t="s">
        <v>5308</v>
      </c>
      <c r="T113" s="1135" t="s">
        <v>5309</v>
      </c>
      <c r="U113" s="1449" t="s">
        <v>5310</v>
      </c>
      <c r="V113" s="62" t="s">
        <v>5311</v>
      </c>
      <c r="W113" s="170" t="e">
        <f t="shared" si="47"/>
        <v>#VALUE!</v>
      </c>
      <c r="BR113" s="2465" t="e">
        <f t="shared" si="48"/>
        <v>#VALUE!</v>
      </c>
      <c r="BX113" s="2466" t="e">
        <f t="shared" si="49"/>
        <v>#VALUE!</v>
      </c>
    </row>
    <row r="114" spans="1:79" s="170" customFormat="1" ht="15" customHeight="1" x14ac:dyDescent="0.2">
      <c r="A114" s="6240">
        <v>29101558</v>
      </c>
      <c r="B114" s="1458" t="s">
        <v>239</v>
      </c>
      <c r="C114" s="1457" t="s">
        <v>5292</v>
      </c>
      <c r="D114" s="1134" t="s">
        <v>5293</v>
      </c>
      <c r="E114" s="1411" t="s">
        <v>5294</v>
      </c>
      <c r="F114" s="1411" t="s">
        <v>5295</v>
      </c>
      <c r="G114" s="1411" t="s">
        <v>5296</v>
      </c>
      <c r="H114" s="1411" t="s">
        <v>5297</v>
      </c>
      <c r="I114" s="1411" t="s">
        <v>5298</v>
      </c>
      <c r="J114" s="1411" t="s">
        <v>5299</v>
      </c>
      <c r="K114" s="1411" t="s">
        <v>5300</v>
      </c>
      <c r="L114" s="1411" t="s">
        <v>5301</v>
      </c>
      <c r="M114" s="1411" t="s">
        <v>5302</v>
      </c>
      <c r="N114" s="1411" t="s">
        <v>5303</v>
      </c>
      <c r="O114" s="1411" t="s">
        <v>5304</v>
      </c>
      <c r="P114" s="1411" t="s">
        <v>5305</v>
      </c>
      <c r="Q114" s="1411" t="s">
        <v>5306</v>
      </c>
      <c r="R114" s="1411" t="s">
        <v>5307</v>
      </c>
      <c r="S114" s="1411" t="s">
        <v>5308</v>
      </c>
      <c r="T114" s="1135" t="s">
        <v>5309</v>
      </c>
      <c r="U114" s="1449" t="s">
        <v>5310</v>
      </c>
      <c r="V114" s="62" t="s">
        <v>5311</v>
      </c>
      <c r="W114" s="170" t="e">
        <f t="shared" si="47"/>
        <v>#VALUE!</v>
      </c>
      <c r="BR114" s="2465" t="e">
        <f t="shared" si="48"/>
        <v>#VALUE!</v>
      </c>
      <c r="BX114" s="2466" t="e">
        <f t="shared" si="49"/>
        <v>#VALUE!</v>
      </c>
    </row>
    <row r="115" spans="1:79" s="170" customFormat="1" ht="15" customHeight="1" x14ac:dyDescent="0.2">
      <c r="A115" s="6240">
        <v>29101559</v>
      </c>
      <c r="B115" s="1458" t="s">
        <v>293</v>
      </c>
      <c r="C115" s="1457" t="s">
        <v>5292</v>
      </c>
      <c r="D115" s="1134" t="s">
        <v>5293</v>
      </c>
      <c r="E115" s="1411" t="s">
        <v>5294</v>
      </c>
      <c r="F115" s="1411" t="s">
        <v>5295</v>
      </c>
      <c r="G115" s="1411" t="s">
        <v>5296</v>
      </c>
      <c r="H115" s="1411" t="s">
        <v>5297</v>
      </c>
      <c r="I115" s="1411" t="s">
        <v>5298</v>
      </c>
      <c r="J115" s="1411" t="s">
        <v>5299</v>
      </c>
      <c r="K115" s="1411" t="s">
        <v>5300</v>
      </c>
      <c r="L115" s="1411" t="s">
        <v>5301</v>
      </c>
      <c r="M115" s="1411" t="s">
        <v>5302</v>
      </c>
      <c r="N115" s="1411" t="s">
        <v>5303</v>
      </c>
      <c r="O115" s="1411" t="s">
        <v>5304</v>
      </c>
      <c r="P115" s="1411" t="s">
        <v>5305</v>
      </c>
      <c r="Q115" s="1411" t="s">
        <v>5306</v>
      </c>
      <c r="R115" s="1411" t="s">
        <v>5307</v>
      </c>
      <c r="S115" s="1411" t="s">
        <v>5308</v>
      </c>
      <c r="T115" s="1135" t="s">
        <v>5309</v>
      </c>
      <c r="U115" s="1449" t="s">
        <v>5310</v>
      </c>
      <c r="V115" s="62" t="s">
        <v>5311</v>
      </c>
      <c r="W115" s="170" t="e">
        <f t="shared" si="47"/>
        <v>#VALUE!</v>
      </c>
      <c r="BR115" s="2465" t="e">
        <f t="shared" si="48"/>
        <v>#VALUE!</v>
      </c>
      <c r="BX115" s="2466" t="e">
        <f t="shared" si="49"/>
        <v>#VALUE!</v>
      </c>
    </row>
    <row r="116" spans="1:79" s="170" customFormat="1" ht="15" customHeight="1" x14ac:dyDescent="0.2">
      <c r="A116" s="6240">
        <v>29101560</v>
      </c>
      <c r="B116" s="1458" t="s">
        <v>507</v>
      </c>
      <c r="C116" s="1457" t="s">
        <v>5292</v>
      </c>
      <c r="D116" s="1134" t="s">
        <v>5293</v>
      </c>
      <c r="E116" s="1411" t="s">
        <v>5294</v>
      </c>
      <c r="F116" s="1411" t="s">
        <v>5295</v>
      </c>
      <c r="G116" s="1411" t="s">
        <v>5296</v>
      </c>
      <c r="H116" s="1411" t="s">
        <v>5297</v>
      </c>
      <c r="I116" s="1411" t="s">
        <v>5298</v>
      </c>
      <c r="J116" s="1411" t="s">
        <v>5299</v>
      </c>
      <c r="K116" s="1411" t="s">
        <v>5300</v>
      </c>
      <c r="L116" s="1411" t="s">
        <v>5301</v>
      </c>
      <c r="M116" s="1411" t="s">
        <v>5302</v>
      </c>
      <c r="N116" s="1411" t="s">
        <v>5303</v>
      </c>
      <c r="O116" s="1411" t="s">
        <v>5304</v>
      </c>
      <c r="P116" s="1411" t="s">
        <v>5305</v>
      </c>
      <c r="Q116" s="1411" t="s">
        <v>5306</v>
      </c>
      <c r="R116" s="1411" t="s">
        <v>5307</v>
      </c>
      <c r="S116" s="1411" t="s">
        <v>5308</v>
      </c>
      <c r="T116" s="1135" t="s">
        <v>5309</v>
      </c>
      <c r="U116" s="1449" t="s">
        <v>5310</v>
      </c>
      <c r="V116" s="62" t="s">
        <v>5311</v>
      </c>
      <c r="W116" s="170" t="e">
        <f t="shared" si="47"/>
        <v>#VALUE!</v>
      </c>
      <c r="BR116" s="2465" t="e">
        <f t="shared" si="48"/>
        <v>#VALUE!</v>
      </c>
      <c r="BX116" s="2466" t="e">
        <f t="shared" si="49"/>
        <v>#VALUE!</v>
      </c>
    </row>
    <row r="117" spans="1:79" s="170" customFormat="1" ht="15" customHeight="1" x14ac:dyDescent="0.2">
      <c r="A117" s="6240">
        <v>29101561</v>
      </c>
      <c r="B117" s="1458" t="s">
        <v>1225</v>
      </c>
      <c r="C117" s="1457" t="s">
        <v>5292</v>
      </c>
      <c r="D117" s="64" t="s">
        <v>5293</v>
      </c>
      <c r="E117" s="651" t="s">
        <v>5294</v>
      </c>
      <c r="F117" s="651" t="s">
        <v>5295</v>
      </c>
      <c r="G117" s="651" t="s">
        <v>5296</v>
      </c>
      <c r="H117" s="651" t="s">
        <v>5297</v>
      </c>
      <c r="I117" s="651" t="s">
        <v>5298</v>
      </c>
      <c r="J117" s="651" t="s">
        <v>5299</v>
      </c>
      <c r="K117" s="651" t="s">
        <v>5300</v>
      </c>
      <c r="L117" s="651" t="s">
        <v>5301</v>
      </c>
      <c r="M117" s="651" t="s">
        <v>5302</v>
      </c>
      <c r="N117" s="651" t="s">
        <v>5303</v>
      </c>
      <c r="O117" s="651" t="s">
        <v>5304</v>
      </c>
      <c r="P117" s="651" t="s">
        <v>5305</v>
      </c>
      <c r="Q117" s="651" t="s">
        <v>5306</v>
      </c>
      <c r="R117" s="651" t="s">
        <v>5307</v>
      </c>
      <c r="S117" s="651" t="s">
        <v>5308</v>
      </c>
      <c r="T117" s="1154" t="s">
        <v>5309</v>
      </c>
      <c r="U117" s="655" t="s">
        <v>5310</v>
      </c>
      <c r="V117" s="65" t="s">
        <v>5311</v>
      </c>
      <c r="W117" s="170" t="e">
        <f t="shared" si="47"/>
        <v>#VALUE!</v>
      </c>
      <c r="BR117" s="2465" t="e">
        <f t="shared" si="48"/>
        <v>#VALUE!</v>
      </c>
      <c r="BX117" s="2466" t="e">
        <f t="shared" si="49"/>
        <v>#VALUE!</v>
      </c>
    </row>
    <row r="118" spans="1:79" s="170" customFormat="1" ht="15" customHeight="1" x14ac:dyDescent="0.25">
      <c r="A118" s="6267"/>
      <c r="B118" s="2484" t="s">
        <v>24</v>
      </c>
      <c r="C118" s="2486">
        <f>SUM(D118:T118)</f>
        <v>0</v>
      </c>
      <c r="D118" s="2487">
        <f>SUM(D103:D117)</f>
        <v>0</v>
      </c>
      <c r="E118" s="2488">
        <f t="shared" ref="E118:V118" si="50">SUM(E103:E117)</f>
        <v>0</v>
      </c>
      <c r="F118" s="2488">
        <f t="shared" si="50"/>
        <v>0</v>
      </c>
      <c r="G118" s="2488">
        <f t="shared" si="50"/>
        <v>0</v>
      </c>
      <c r="H118" s="2488">
        <f t="shared" si="50"/>
        <v>0</v>
      </c>
      <c r="I118" s="2489">
        <f t="shared" si="50"/>
        <v>0</v>
      </c>
      <c r="J118" s="2488">
        <f t="shared" si="50"/>
        <v>0</v>
      </c>
      <c r="K118" s="2488">
        <f t="shared" si="50"/>
        <v>0</v>
      </c>
      <c r="L118" s="2488">
        <f t="shared" si="50"/>
        <v>0</v>
      </c>
      <c r="M118" s="2488">
        <f t="shared" si="50"/>
        <v>0</v>
      </c>
      <c r="N118" s="2488">
        <f t="shared" si="50"/>
        <v>0</v>
      </c>
      <c r="O118" s="2488">
        <f t="shared" si="50"/>
        <v>0</v>
      </c>
      <c r="P118" s="2488">
        <f t="shared" si="50"/>
        <v>0</v>
      </c>
      <c r="Q118" s="2488">
        <f t="shared" si="50"/>
        <v>0</v>
      </c>
      <c r="R118" s="2488">
        <f t="shared" si="50"/>
        <v>0</v>
      </c>
      <c r="S118" s="2488">
        <f t="shared" si="50"/>
        <v>0</v>
      </c>
      <c r="T118" s="1536">
        <f t="shared" si="50"/>
        <v>0</v>
      </c>
      <c r="U118" s="2486">
        <f t="shared" si="50"/>
        <v>0</v>
      </c>
      <c r="V118" s="1536">
        <f t="shared" si="50"/>
        <v>0</v>
      </c>
    </row>
    <row r="119" spans="1:79" x14ac:dyDescent="0.3">
      <c r="BR119"/>
      <c r="BS119"/>
      <c r="BT119"/>
      <c r="BU119"/>
      <c r="BV119"/>
      <c r="BX119"/>
      <c r="BY119"/>
      <c r="BZ119"/>
      <c r="CA119"/>
    </row>
    <row r="120" spans="1:79" x14ac:dyDescent="0.3">
      <c r="A120" t="s">
        <v>4625</v>
      </c>
      <c r="BR120"/>
      <c r="BS120"/>
      <c r="BT120"/>
      <c r="BU120"/>
      <c r="BV120"/>
      <c r="BX120"/>
      <c r="BY120"/>
      <c r="BZ120"/>
      <c r="CA120"/>
    </row>
    <row r="121" spans="1:79" x14ac:dyDescent="0.3">
      <c r="A121" s="6285">
        <v>29101532</v>
      </c>
      <c r="BR121"/>
      <c r="BS121"/>
      <c r="BT121"/>
      <c r="BU121"/>
      <c r="BV121"/>
      <c r="BX121"/>
      <c r="BY121"/>
      <c r="BZ121"/>
      <c r="CA121"/>
    </row>
    <row r="122" spans="1:79" x14ac:dyDescent="0.3">
      <c r="A122" s="6285">
        <v>29101533</v>
      </c>
      <c r="BR122"/>
      <c r="BS122"/>
      <c r="BT122"/>
      <c r="BU122"/>
      <c r="BV122"/>
      <c r="BX122"/>
      <c r="BY122"/>
      <c r="BZ122"/>
      <c r="CA122"/>
    </row>
    <row r="123" spans="1:79" x14ac:dyDescent="0.3">
      <c r="A123" s="6285">
        <v>29101534</v>
      </c>
      <c r="BR123"/>
      <c r="BS123"/>
      <c r="BT123"/>
      <c r="BU123"/>
      <c r="BV123"/>
      <c r="BX123"/>
      <c r="BY123"/>
      <c r="BZ123"/>
      <c r="CA123"/>
    </row>
    <row r="124" spans="1:79" x14ac:dyDescent="0.3">
      <c r="A124" s="6285">
        <v>29101535</v>
      </c>
      <c r="BR124"/>
      <c r="BS124"/>
      <c r="BT124"/>
      <c r="BU124"/>
      <c r="BV124"/>
      <c r="BX124"/>
      <c r="BY124"/>
      <c r="BZ124"/>
      <c r="CA124"/>
    </row>
    <row r="125" spans="1:79" x14ac:dyDescent="0.3">
      <c r="A125" s="6285">
        <v>26291000</v>
      </c>
      <c r="BR125"/>
      <c r="BS125"/>
      <c r="BT125"/>
      <c r="BU125"/>
      <c r="BV125"/>
      <c r="BX125"/>
      <c r="BY125"/>
      <c r="BZ125"/>
      <c r="CA125"/>
    </row>
    <row r="126" spans="1:79" x14ac:dyDescent="0.3">
      <c r="A126" s="6285">
        <v>26291050</v>
      </c>
      <c r="BR126"/>
      <c r="BS126"/>
      <c r="BT126"/>
      <c r="BU126"/>
      <c r="BV126"/>
      <c r="BX126"/>
      <c r="BY126"/>
      <c r="BZ126"/>
      <c r="CA126"/>
    </row>
    <row r="127" spans="1:79" x14ac:dyDescent="0.3">
      <c r="BR127"/>
      <c r="BS127"/>
      <c r="BT127"/>
      <c r="BU127"/>
      <c r="BV127"/>
      <c r="BX127"/>
      <c r="BY127"/>
      <c r="BZ127"/>
      <c r="CA127"/>
    </row>
    <row r="128" spans="1:79" x14ac:dyDescent="0.3">
      <c r="A128" t="s">
        <v>4637</v>
      </c>
      <c r="BR128"/>
      <c r="BS128"/>
      <c r="BT128"/>
      <c r="BU128"/>
      <c r="BV128"/>
      <c r="BX128"/>
      <c r="BY128"/>
      <c r="BZ128"/>
      <c r="CA128"/>
    </row>
    <row r="129" spans="1:79" x14ac:dyDescent="0.3">
      <c r="A129" s="6288">
        <v>26401010</v>
      </c>
      <c r="BR129"/>
      <c r="BS129"/>
      <c r="BT129"/>
      <c r="BU129"/>
      <c r="BV129"/>
      <c r="BX129"/>
      <c r="BY129"/>
      <c r="BZ129"/>
      <c r="CA129"/>
    </row>
    <row r="130" spans="1:79" x14ac:dyDescent="0.3">
      <c r="A130" s="6288">
        <v>26401011</v>
      </c>
      <c r="BR130"/>
      <c r="BS130"/>
      <c r="BT130"/>
      <c r="BU130"/>
      <c r="BV130"/>
      <c r="BX130"/>
      <c r="BY130"/>
      <c r="BZ130"/>
      <c r="CA130"/>
    </row>
    <row r="131" spans="1:79" x14ac:dyDescent="0.3">
      <c r="BR131"/>
      <c r="BS131"/>
      <c r="BT131"/>
      <c r="BU131"/>
      <c r="BV131"/>
      <c r="BX131"/>
      <c r="BY131"/>
      <c r="BZ131"/>
      <c r="CA131"/>
    </row>
    <row r="132" spans="1:79" x14ac:dyDescent="0.3">
      <c r="BR132"/>
      <c r="BS132"/>
      <c r="BT132"/>
      <c r="BU132"/>
      <c r="BV132"/>
      <c r="BX132"/>
      <c r="BY132"/>
      <c r="BZ132"/>
      <c r="CA132"/>
    </row>
    <row r="133" spans="1:79" x14ac:dyDescent="0.3">
      <c r="BR133"/>
      <c r="BS133"/>
      <c r="BT133"/>
      <c r="BU133"/>
      <c r="BV133"/>
      <c r="BX133"/>
      <c r="BY133"/>
      <c r="BZ133"/>
      <c r="CA133"/>
    </row>
    <row r="134" spans="1:79" x14ac:dyDescent="0.3">
      <c r="BR134"/>
      <c r="BS134"/>
      <c r="BT134"/>
      <c r="BU134"/>
      <c r="BV134"/>
      <c r="BX134"/>
      <c r="BY134"/>
      <c r="BZ134"/>
      <c r="CA134"/>
    </row>
    <row r="135" spans="1:79" x14ac:dyDescent="0.3">
      <c r="BR135"/>
      <c r="BS135"/>
      <c r="BT135"/>
      <c r="BU135"/>
      <c r="BV135"/>
      <c r="BX135"/>
      <c r="BY135"/>
      <c r="BZ135"/>
      <c r="CA135"/>
    </row>
    <row r="136" spans="1:79" x14ac:dyDescent="0.3">
      <c r="BR136"/>
      <c r="BS136"/>
      <c r="BT136"/>
      <c r="BU136"/>
      <c r="BV136"/>
      <c r="BX136"/>
      <c r="BY136"/>
      <c r="BZ136"/>
      <c r="CA136"/>
    </row>
    <row r="137" spans="1:79" x14ac:dyDescent="0.3">
      <c r="BR137"/>
      <c r="BS137"/>
      <c r="BT137"/>
      <c r="BU137"/>
      <c r="BV137"/>
      <c r="BX137"/>
      <c r="BY137"/>
      <c r="BZ137"/>
      <c r="CA137"/>
    </row>
    <row r="138" spans="1:79" x14ac:dyDescent="0.3">
      <c r="BR138"/>
      <c r="BS138"/>
      <c r="BT138"/>
      <c r="BU138"/>
      <c r="BV138"/>
      <c r="BX138"/>
      <c r="BY138"/>
      <c r="BZ138"/>
      <c r="CA138"/>
    </row>
    <row r="139" spans="1:79" x14ac:dyDescent="0.3">
      <c r="BR139"/>
      <c r="BS139"/>
      <c r="BT139"/>
      <c r="BU139"/>
      <c r="BV139"/>
      <c r="BX139"/>
      <c r="BY139"/>
      <c r="BZ139"/>
      <c r="CA139"/>
    </row>
    <row r="140" spans="1:79" x14ac:dyDescent="0.3">
      <c r="BR140"/>
      <c r="BS140"/>
      <c r="BT140"/>
      <c r="BU140"/>
      <c r="BV140"/>
      <c r="BX140"/>
      <c r="BY140"/>
      <c r="BZ140"/>
      <c r="CA140"/>
    </row>
    <row r="141" spans="1:79" x14ac:dyDescent="0.3">
      <c r="BR141"/>
      <c r="BS141"/>
      <c r="BT141"/>
      <c r="BU141"/>
      <c r="BV141"/>
      <c r="BX141"/>
      <c r="BY141"/>
      <c r="BZ141"/>
      <c r="CA141"/>
    </row>
    <row r="142" spans="1:79" x14ac:dyDescent="0.3">
      <c r="BR142"/>
      <c r="BS142"/>
      <c r="BT142"/>
      <c r="BU142"/>
      <c r="BV142"/>
      <c r="BX142"/>
      <c r="BY142"/>
      <c r="BZ142"/>
      <c r="CA142"/>
    </row>
    <row r="143" spans="1:79" x14ac:dyDescent="0.3">
      <c r="BR143"/>
      <c r="BS143"/>
      <c r="BT143"/>
      <c r="BU143"/>
      <c r="BV143"/>
      <c r="BX143"/>
      <c r="BY143"/>
      <c r="BZ143"/>
      <c r="CA143"/>
    </row>
    <row r="144" spans="1:79" x14ac:dyDescent="0.3">
      <c r="BR144"/>
      <c r="BS144"/>
      <c r="BT144"/>
      <c r="BU144"/>
      <c r="BV144"/>
      <c r="BX144"/>
      <c r="BY144"/>
      <c r="BZ144"/>
      <c r="CA144"/>
    </row>
    <row r="145" spans="2:79" x14ac:dyDescent="0.3">
      <c r="BR145"/>
      <c r="BS145"/>
      <c r="BT145"/>
      <c r="BU145"/>
      <c r="BV145"/>
      <c r="BX145"/>
      <c r="BY145"/>
      <c r="BZ145"/>
      <c r="CA145"/>
    </row>
    <row r="146" spans="2:79" x14ac:dyDescent="0.3">
      <c r="BR146"/>
      <c r="BS146"/>
      <c r="BT146"/>
      <c r="BU146"/>
      <c r="BV146"/>
      <c r="BX146"/>
      <c r="BY146"/>
      <c r="BZ146"/>
      <c r="CA146"/>
    </row>
    <row r="147" spans="2:79" x14ac:dyDescent="0.3">
      <c r="BR147"/>
      <c r="BS147"/>
      <c r="BT147"/>
      <c r="BU147"/>
      <c r="BV147"/>
      <c r="BX147"/>
      <c r="BY147"/>
      <c r="BZ147"/>
      <c r="CA147"/>
    </row>
    <row r="148" spans="2:79" x14ac:dyDescent="0.3">
      <c r="BR148"/>
      <c r="BS148"/>
      <c r="BT148"/>
      <c r="BU148"/>
      <c r="BV148"/>
      <c r="BX148"/>
      <c r="BY148"/>
      <c r="BZ148"/>
      <c r="CA148"/>
    </row>
    <row r="149" spans="2:79" hidden="1" x14ac:dyDescent="0.3">
      <c r="B149" s="4428">
        <f>SUM(D10:D35,D38:K41,C46:C49,D52:D61,D65:D77,D82:D89,C94:C95,C98:D98,C103:C118)</f>
        <v>0</v>
      </c>
      <c r="C149" s="4427" t="e">
        <f>SUM(BX10:CB117)</f>
        <v>#VALUE!</v>
      </c>
      <c r="BR149"/>
      <c r="BS149"/>
      <c r="BT149"/>
      <c r="BU149"/>
      <c r="BV149"/>
      <c r="BX149"/>
      <c r="BY149"/>
      <c r="BZ149"/>
      <c r="CA149"/>
    </row>
    <row r="150" spans="2:79" x14ac:dyDescent="0.3">
      <c r="BR150"/>
      <c r="BS150"/>
      <c r="BT150"/>
      <c r="BU150"/>
      <c r="BV150"/>
      <c r="BX150"/>
      <c r="BY150"/>
      <c r="BZ150"/>
      <c r="CA150"/>
    </row>
    <row r="151" spans="2:79" x14ac:dyDescent="0.3">
      <c r="BR151"/>
      <c r="BS151"/>
      <c r="BT151"/>
      <c r="BU151"/>
      <c r="BV151"/>
      <c r="BX151"/>
      <c r="BY151"/>
      <c r="BZ151"/>
      <c r="CA151"/>
    </row>
    <row r="152" spans="2:79" x14ac:dyDescent="0.3">
      <c r="BR152"/>
      <c r="BS152"/>
      <c r="BT152"/>
      <c r="BU152"/>
      <c r="BV152"/>
      <c r="BX152"/>
      <c r="BY152"/>
      <c r="BZ152"/>
      <c r="CA152"/>
    </row>
    <row r="153" spans="2:79" x14ac:dyDescent="0.3">
      <c r="BR153"/>
      <c r="BS153"/>
      <c r="BT153"/>
      <c r="BU153"/>
      <c r="BV153"/>
      <c r="BX153"/>
      <c r="BY153"/>
      <c r="BZ153"/>
      <c r="CA153"/>
    </row>
    <row r="154" spans="2:79" x14ac:dyDescent="0.3">
      <c r="BR154"/>
      <c r="BS154"/>
      <c r="BT154"/>
      <c r="BU154"/>
      <c r="BV154"/>
      <c r="BX154"/>
      <c r="BY154"/>
      <c r="BZ154"/>
      <c r="CA154"/>
    </row>
    <row r="155" spans="2:79" x14ac:dyDescent="0.3">
      <c r="BR155"/>
      <c r="BS155"/>
      <c r="BT155"/>
      <c r="BU155"/>
      <c r="BV155"/>
      <c r="BX155"/>
      <c r="BY155"/>
      <c r="BZ155"/>
      <c r="CA155"/>
    </row>
    <row r="156" spans="2:79" x14ac:dyDescent="0.3">
      <c r="BR156"/>
      <c r="BS156"/>
      <c r="BT156"/>
      <c r="BU156"/>
      <c r="BV156"/>
      <c r="BX156"/>
      <c r="BY156"/>
      <c r="BZ156"/>
      <c r="CA156"/>
    </row>
    <row r="157" spans="2:79" x14ac:dyDescent="0.3">
      <c r="BR157"/>
      <c r="BS157"/>
      <c r="BT157"/>
      <c r="BU157"/>
      <c r="BV157"/>
      <c r="BX157"/>
      <c r="BY157"/>
      <c r="BZ157"/>
      <c r="CA157"/>
    </row>
    <row r="158" spans="2:79" x14ac:dyDescent="0.3">
      <c r="BR158"/>
      <c r="BS158"/>
      <c r="BT158"/>
      <c r="BU158"/>
      <c r="BV158"/>
      <c r="BX158"/>
      <c r="BY158"/>
      <c r="BZ158"/>
      <c r="CA158"/>
    </row>
    <row r="159" spans="2:79" x14ac:dyDescent="0.3">
      <c r="BR159"/>
      <c r="BS159"/>
      <c r="BT159"/>
      <c r="BU159"/>
      <c r="BV159"/>
      <c r="BX159"/>
      <c r="BY159"/>
      <c r="BZ159"/>
      <c r="CA159"/>
    </row>
    <row r="160" spans="2:79" x14ac:dyDescent="0.3">
      <c r="BR160"/>
      <c r="BS160"/>
      <c r="BT160"/>
      <c r="BU160"/>
      <c r="BV160"/>
      <c r="BX160"/>
      <c r="BY160"/>
      <c r="BZ160"/>
      <c r="CA160"/>
    </row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</sheetData>
  <mergeCells count="87">
    <mergeCell ref="B13:C13"/>
    <mergeCell ref="B6:Q6"/>
    <mergeCell ref="B9:C9"/>
    <mergeCell ref="B10:C10"/>
    <mergeCell ref="B11:C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O36"/>
    <mergeCell ref="AN43:AP44"/>
    <mergeCell ref="F44:G44"/>
    <mergeCell ref="H44:I44"/>
    <mergeCell ref="J44:K44"/>
    <mergeCell ref="L44:M44"/>
    <mergeCell ref="N44:O44"/>
    <mergeCell ref="AL44:AM44"/>
    <mergeCell ref="P44:Q44"/>
    <mergeCell ref="R44:S44"/>
    <mergeCell ref="T44:U44"/>
    <mergeCell ref="V44:W44"/>
    <mergeCell ref="X44:Y44"/>
    <mergeCell ref="AF44:AG44"/>
    <mergeCell ref="AH44:AI44"/>
    <mergeCell ref="B38:B41"/>
    <mergeCell ref="B43:B45"/>
    <mergeCell ref="C43:E44"/>
    <mergeCell ref="F43:AM43"/>
    <mergeCell ref="AJ44:AK44"/>
    <mergeCell ref="Z44:AA44"/>
    <mergeCell ref="AB44:AC44"/>
    <mergeCell ref="AD44:AE44"/>
    <mergeCell ref="B82:C82"/>
    <mergeCell ref="B83:C83"/>
    <mergeCell ref="B84:C84"/>
    <mergeCell ref="B66:C66"/>
    <mergeCell ref="B51:C51"/>
    <mergeCell ref="B52:C52"/>
    <mergeCell ref="B53:C53"/>
    <mergeCell ref="B54:C54"/>
    <mergeCell ref="B55:C55"/>
    <mergeCell ref="B56:B58"/>
    <mergeCell ref="B59:C59"/>
    <mergeCell ref="B60:C60"/>
    <mergeCell ref="B61:C61"/>
    <mergeCell ref="B64:C64"/>
    <mergeCell ref="B65:C65"/>
    <mergeCell ref="B67:B77"/>
    <mergeCell ref="B79:C81"/>
    <mergeCell ref="D79:H79"/>
    <mergeCell ref="I79:J80"/>
    <mergeCell ref="D80:D81"/>
    <mergeCell ref="E80:G80"/>
    <mergeCell ref="H80:H81"/>
    <mergeCell ref="U100:V101"/>
    <mergeCell ref="D101:T101"/>
    <mergeCell ref="B85:C85"/>
    <mergeCell ref="B86:C86"/>
    <mergeCell ref="B100:B102"/>
    <mergeCell ref="C100:C102"/>
    <mergeCell ref="D100:T100"/>
    <mergeCell ref="D92:H92"/>
    <mergeCell ref="B87:C87"/>
    <mergeCell ref="B88:C88"/>
    <mergeCell ref="B89:C89"/>
    <mergeCell ref="B92:B93"/>
    <mergeCell ref="C92:C93"/>
  </mergeCells>
  <dataValidations count="1">
    <dataValidation type="whole" operator="greaterThanOrEqual" allowBlank="1" showInputMessage="1" showErrorMessage="1" sqref="E65:K77 D38:O41 F46:AP49 E10:Q35 E52:N60 E82:J89 D94:H95 C98:D98 D103:V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29"/>
  <sheetViews>
    <sheetView showGridLines="0" workbookViewId="0"/>
  </sheetViews>
  <sheetFormatPr baseColWidth="10" defaultRowHeight="14.4" x14ac:dyDescent="0.3"/>
  <cols>
    <col min="1" max="1" width="16.33203125" customWidth="1"/>
    <col min="2" max="2" width="52.109375" customWidth="1"/>
    <col min="3" max="3" width="26.6640625" customWidth="1"/>
    <col min="4" max="4" width="28.44140625" customWidth="1"/>
    <col min="5" max="5" width="17.44140625" customWidth="1"/>
    <col min="6" max="7" width="14.109375" customWidth="1"/>
    <col min="8" max="8" width="14.6640625" customWidth="1"/>
    <col min="9" max="9" width="14.109375" customWidth="1"/>
    <col min="10" max="10" width="13.5546875" customWidth="1"/>
    <col min="11" max="14" width="14.6640625" customWidth="1"/>
    <col min="27" max="27" width="10" customWidth="1"/>
    <col min="30" max="30" width="10.33203125" customWidth="1"/>
    <col min="79" max="94" width="11.44140625" hidden="1" customWidth="1"/>
    <col min="95" max="95" width="11.44140625" customWidth="1"/>
  </cols>
  <sheetData>
    <row r="1" spans="1:97" x14ac:dyDescent="0.3">
      <c r="B1" s="774" t="s">
        <v>3879</v>
      </c>
    </row>
    <row r="2" spans="1:97" x14ac:dyDescent="0.3">
      <c r="B2" s="774" t="str">
        <f>CONCATENATE("COMUNA: ",NOMBRE!B2," - ","( ",NOMBRE!C2,NOMBRE!D2,NOMBRE!E2,NOMBRE!F2,NOMBRE!G2," )")</f>
        <v>COMUNA:  - (  )</v>
      </c>
    </row>
    <row r="3" spans="1:97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97" x14ac:dyDescent="0.3">
      <c r="B4" s="774" t="str">
        <f>CONCATENATE("MES: ",NOMBRE!B6," - ","( ",NOMBRE!C6,NOMBRE!D6," )")</f>
        <v>MES:  - (  )</v>
      </c>
    </row>
    <row r="5" spans="1:97" x14ac:dyDescent="0.3">
      <c r="B5" s="774" t="str">
        <f>CONCATENATE("AÑO: ",NOMBRE!B7)</f>
        <v>AÑO: 2024</v>
      </c>
    </row>
    <row r="6" spans="1:97" ht="18" customHeight="1" x14ac:dyDescent="0.3">
      <c r="B6" s="6671" t="s">
        <v>2241</v>
      </c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Q6" s="6671"/>
      <c r="R6" s="6671"/>
      <c r="S6" s="6671"/>
      <c r="T6" s="6671"/>
      <c r="U6" s="6671"/>
      <c r="V6" s="6671"/>
      <c r="W6" s="6671"/>
      <c r="X6" s="6671"/>
      <c r="Y6" s="6671"/>
    </row>
    <row r="8" spans="1:97" s="17" customFormat="1" ht="18" customHeight="1" x14ac:dyDescent="0.25">
      <c r="B8" s="2763" t="s">
        <v>2242</v>
      </c>
      <c r="C8" s="2764"/>
      <c r="D8" s="2764"/>
      <c r="E8" s="2764"/>
      <c r="F8" s="2764"/>
      <c r="G8" s="2764"/>
      <c r="H8" s="2764"/>
      <c r="I8" s="2764"/>
      <c r="J8" s="2764"/>
      <c r="K8" s="2764"/>
      <c r="L8" s="2764"/>
      <c r="M8" s="2764"/>
      <c r="N8" s="2764"/>
      <c r="O8" s="2764"/>
      <c r="P8" s="2764"/>
      <c r="Q8" s="123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643"/>
      <c r="AF8" s="643"/>
      <c r="AG8" s="643"/>
    </row>
    <row r="9" spans="1:97" s="170" customFormat="1" ht="15" customHeight="1" x14ac:dyDescent="0.2">
      <c r="B9" s="8154" t="s">
        <v>2243</v>
      </c>
      <c r="C9" s="6611"/>
      <c r="D9" s="8155"/>
      <c r="E9" s="6393" t="s">
        <v>24</v>
      </c>
      <c r="F9" s="8148" t="s">
        <v>2244</v>
      </c>
      <c r="G9" s="6389"/>
      <c r="H9" s="6389"/>
      <c r="I9" s="6389"/>
      <c r="J9" s="6848"/>
      <c r="K9" s="6749" t="s">
        <v>12</v>
      </c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8156"/>
      <c r="Z9" s="6750" t="s">
        <v>39</v>
      </c>
      <c r="AA9" s="6386"/>
      <c r="AB9" s="8157"/>
      <c r="AC9" s="6395" t="s">
        <v>2245</v>
      </c>
      <c r="AD9" s="6393" t="s">
        <v>2</v>
      </c>
      <c r="AE9" s="6393" t="s">
        <v>3</v>
      </c>
      <c r="AF9" s="6393" t="s">
        <v>17</v>
      </c>
      <c r="AG9" s="8148" t="s">
        <v>48</v>
      </c>
      <c r="AH9" s="6848"/>
    </row>
    <row r="10" spans="1:97" s="170" customFormat="1" ht="24" customHeight="1" x14ac:dyDescent="0.2">
      <c r="B10" s="6628"/>
      <c r="C10" s="6753"/>
      <c r="D10" s="6629"/>
      <c r="E10" s="6362"/>
      <c r="F10" s="2766" t="s">
        <v>682</v>
      </c>
      <c r="G10" s="2767" t="s">
        <v>3733</v>
      </c>
      <c r="H10" s="2767" t="s">
        <v>3770</v>
      </c>
      <c r="I10" s="2768" t="s">
        <v>3771</v>
      </c>
      <c r="J10" s="2769" t="s">
        <v>3772</v>
      </c>
      <c r="K10" s="4570" t="s">
        <v>38</v>
      </c>
      <c r="L10" s="4500" t="s">
        <v>4</v>
      </c>
      <c r="M10" s="4500" t="s">
        <v>5</v>
      </c>
      <c r="N10" s="4500" t="s">
        <v>6</v>
      </c>
      <c r="O10" s="4500" t="s">
        <v>7</v>
      </c>
      <c r="P10" s="4500" t="s">
        <v>8</v>
      </c>
      <c r="Q10" s="4500" t="s">
        <v>9</v>
      </c>
      <c r="R10" s="4500" t="s">
        <v>10</v>
      </c>
      <c r="S10" s="4500" t="s">
        <v>11</v>
      </c>
      <c r="T10" s="4500" t="s">
        <v>18</v>
      </c>
      <c r="U10" s="4500" t="s">
        <v>19</v>
      </c>
      <c r="V10" s="4500" t="s">
        <v>20</v>
      </c>
      <c r="W10" s="4500" t="s">
        <v>70</v>
      </c>
      <c r="X10" s="4500" t="s">
        <v>71</v>
      </c>
      <c r="Y10" s="4571" t="s">
        <v>72</v>
      </c>
      <c r="Z10" s="4558" t="s">
        <v>220</v>
      </c>
      <c r="AA10" s="2746" t="s">
        <v>2246</v>
      </c>
      <c r="AB10" s="2771" t="s">
        <v>2247</v>
      </c>
      <c r="AC10" s="6362"/>
      <c r="AD10" s="6362"/>
      <c r="AE10" s="6362"/>
      <c r="AF10" s="6362"/>
      <c r="AG10" s="2391" t="s">
        <v>41</v>
      </c>
      <c r="AH10" s="2391" t="s">
        <v>42</v>
      </c>
    </row>
    <row r="11" spans="1:97" s="170" customFormat="1" ht="15" customHeight="1" x14ac:dyDescent="0.3">
      <c r="A11" s="6234">
        <v>27280100</v>
      </c>
      <c r="B11" s="8149" t="s">
        <v>2248</v>
      </c>
      <c r="C11" s="8150" t="s">
        <v>2249</v>
      </c>
      <c r="D11" s="8151"/>
      <c r="E11" s="2772" t="s">
        <v>5292</v>
      </c>
      <c r="F11" s="2773" t="s">
        <v>5293</v>
      </c>
      <c r="G11" s="2774" t="s">
        <v>5294</v>
      </c>
      <c r="H11" s="2774" t="s">
        <v>5295</v>
      </c>
      <c r="I11" s="2775" t="s">
        <v>5296</v>
      </c>
      <c r="J11" s="2776" t="s">
        <v>5297</v>
      </c>
      <c r="K11" s="2775" t="s">
        <v>5298</v>
      </c>
      <c r="L11" s="2777" t="s">
        <v>5299</v>
      </c>
      <c r="M11" s="2777" t="s">
        <v>5300</v>
      </c>
      <c r="N11" s="2778" t="s">
        <v>5301</v>
      </c>
      <c r="O11" s="2778" t="s">
        <v>5302</v>
      </c>
      <c r="P11" s="2778" t="s">
        <v>5303</v>
      </c>
      <c r="Q11" s="2778" t="s">
        <v>5304</v>
      </c>
      <c r="R11" s="2778" t="s">
        <v>5305</v>
      </c>
      <c r="S11" s="2778" t="s">
        <v>5306</v>
      </c>
      <c r="T11" s="2778" t="s">
        <v>5307</v>
      </c>
      <c r="U11" s="2778" t="s">
        <v>5308</v>
      </c>
      <c r="V11" s="2778" t="s">
        <v>5309</v>
      </c>
      <c r="W11" s="2778" t="s">
        <v>5310</v>
      </c>
      <c r="X11" s="2778" t="s">
        <v>5311</v>
      </c>
      <c r="Y11" s="2778" t="s">
        <v>5312</v>
      </c>
      <c r="Z11" s="2779" t="s">
        <v>5313</v>
      </c>
      <c r="AA11" s="2777" t="s">
        <v>5314</v>
      </c>
      <c r="AB11" s="2780" t="s">
        <v>5315</v>
      </c>
      <c r="AC11" s="2781" t="s">
        <v>5316</v>
      </c>
      <c r="AD11" s="2782" t="s">
        <v>5317</v>
      </c>
      <c r="AE11" s="2782" t="s">
        <v>5318</v>
      </c>
      <c r="AF11" s="2782" t="s">
        <v>5319</v>
      </c>
      <c r="AG11" s="2782" t="s">
        <v>5320</v>
      </c>
      <c r="AH11" s="2782" t="s">
        <v>5321</v>
      </c>
      <c r="AI11" s="1687" t="e">
        <f>$CC11&amp;CD11&amp;CE11&amp;CF11</f>
        <v>#VALUE!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783"/>
      <c r="CC11" s="2784" t="str">
        <f>IF(AND($E11&lt;&gt;0,AD11=""),"* No olvide ingresar la variable "&amp;AD$9&amp;""&amp;" (Digite CERO si no tiene).  ",IF(AD11&gt;$E11,"* La variable Pueblos Originarios no puede superar el Total. ",""))</f>
        <v xml:space="preserve">* La variable Pueblos Originarios no puede superar el Total. </v>
      </c>
      <c r="CD11" s="2784" t="str">
        <f>IF(AND($E11&lt;&gt;0,AE11=""),"* No olvide ingresar la variable "&amp;AE$9&amp;""&amp;" (Digite CERO si no tiene).  ",IF(AE11&gt;$E11,"* La variable Migrantes no puede superar el Total. ",""))</f>
        <v xml:space="preserve">* La variable Migrantes no puede superar el Total. </v>
      </c>
      <c r="CE11" s="2784" t="str">
        <f>IF(AND($E11&lt;&gt;0,AF11=""),"* No olvide ingresar la variable "&amp;AF$9&amp;""&amp;" (Digite CERO si no tiene).  ",IF(AF11&gt;$E11,"* La variable Espacios Amigables/ Adolescentes no puede superar el Total. ",""))</f>
        <v xml:space="preserve">* La variable Espacios Amigables/ Adolescentes no puede superar el Total. </v>
      </c>
      <c r="CF11" s="2784" t="e">
        <f>IF(AND(E11&gt;0,OR(AG11="",AH11="",))," * No olvide digitar la variable TRANS Masculino/Femenino (Digite CERO si no tiene). ",IF(AG11+AH11&gt;$E11,"* La suma de TRANS Masculino + Femenino no puede superar el Total. ",""))</f>
        <v>#VALUE!</v>
      </c>
      <c r="CG11" s="2630"/>
      <c r="CK11" s="600"/>
      <c r="CL11" s="2783"/>
      <c r="CM11" s="1725">
        <f>IF(AND($E11&lt;&gt;0,AD11=""),1,IF(AD11&gt;$E11,1,0))</f>
        <v>1</v>
      </c>
      <c r="CN11" s="1725">
        <f>IF(AND($E11&lt;&gt;0,AE11=""),1,IF(AE11&gt;$E11,1,0))</f>
        <v>1</v>
      </c>
      <c r="CO11" s="1725">
        <f>IF(AND($E11&lt;&gt;0,AF11=""),1,IF(AF11&gt;$E11,1,0))</f>
        <v>1</v>
      </c>
      <c r="CP11" s="1725" t="e">
        <f>IF(AND(E11&gt;0,OR(AG11="",AH11="",)),1,IF(AG11+AH11&gt;$E11,1,0))</f>
        <v>#VALUE!</v>
      </c>
      <c r="CQ11"/>
      <c r="CR11"/>
      <c r="CS11"/>
    </row>
    <row r="12" spans="1:97" s="170" customFormat="1" x14ac:dyDescent="0.3">
      <c r="A12" s="6234">
        <v>27280315</v>
      </c>
      <c r="B12" s="6398"/>
      <c r="C12" s="8149" t="s">
        <v>2250</v>
      </c>
      <c r="D12" s="2785" t="s">
        <v>2251</v>
      </c>
      <c r="E12" s="2786" t="s">
        <v>5292</v>
      </c>
      <c r="F12" s="2408" t="s">
        <v>5293</v>
      </c>
      <c r="G12" s="320" t="s">
        <v>5294</v>
      </c>
      <c r="H12" s="320" t="s">
        <v>5295</v>
      </c>
      <c r="I12" s="320" t="s">
        <v>5296</v>
      </c>
      <c r="J12" s="2400" t="s">
        <v>5297</v>
      </c>
      <c r="K12" s="320" t="s">
        <v>5298</v>
      </c>
      <c r="L12" s="320" t="s">
        <v>5299</v>
      </c>
      <c r="M12" s="320" t="s">
        <v>5300</v>
      </c>
      <c r="N12" s="320" t="s">
        <v>5301</v>
      </c>
      <c r="O12" s="320" t="s">
        <v>5302</v>
      </c>
      <c r="P12" s="320" t="s">
        <v>5303</v>
      </c>
      <c r="Q12" s="320" t="s">
        <v>5304</v>
      </c>
      <c r="R12" s="320" t="s">
        <v>5305</v>
      </c>
      <c r="S12" s="320" t="s">
        <v>5306</v>
      </c>
      <c r="T12" s="320" t="s">
        <v>5307</v>
      </c>
      <c r="U12" s="320" t="s">
        <v>5308</v>
      </c>
      <c r="V12" s="320" t="s">
        <v>5309</v>
      </c>
      <c r="W12" s="320" t="s">
        <v>5310</v>
      </c>
      <c r="X12" s="320" t="s">
        <v>5311</v>
      </c>
      <c r="Y12" s="2409" t="s">
        <v>5312</v>
      </c>
      <c r="Z12" s="2787" t="s">
        <v>5313</v>
      </c>
      <c r="AA12" s="1394" t="s">
        <v>5314</v>
      </c>
      <c r="AB12" s="2788" t="s">
        <v>5315</v>
      </c>
      <c r="AC12" s="2782" t="s">
        <v>5316</v>
      </c>
      <c r="AD12" s="2782" t="s">
        <v>5317</v>
      </c>
      <c r="AE12" s="2782" t="s">
        <v>5318</v>
      </c>
      <c r="AF12" s="2782" t="s">
        <v>5319</v>
      </c>
      <c r="AG12" s="2782" t="s">
        <v>5320</v>
      </c>
      <c r="AH12" s="2782" t="s">
        <v>5321</v>
      </c>
      <c r="AI12" s="1687" t="e">
        <f>$CB12&amp;CC12&amp;CD12&amp;CE12&amp;CF12</f>
        <v>#VALUE!</v>
      </c>
      <c r="CB12" s="2784" t="str">
        <f>IF(AND($E12&lt;&gt;0,AC12=""),"* No olvide ingresar la columna "&amp;AC$9&amp;""&amp;" (Digite CERO si no tiene).  ",IF(AC12&gt;$E12,"* El Número de Familias en Riesgo no puede superar el Total. ",""))</f>
        <v xml:space="preserve">* El Número de Familias en Riesgo no puede superar el Total. </v>
      </c>
      <c r="CC12" s="2784" t="str">
        <f t="shared" ref="CC12:CC45" si="0">IF(AND($E12&lt;&gt;0,AD12=""),"* No olvide ingresar la variable "&amp;AD$9&amp;""&amp;" (Digite CERO si no tiene).  ",IF(AD12&gt;$E12,"* La variable Pueblos Originarios no puede superar el Total. ",""))</f>
        <v xml:space="preserve">* La variable Pueblos Originarios no puede superar el Total. </v>
      </c>
      <c r="CD12" s="2784" t="str">
        <f t="shared" ref="CD12:CD45" si="1">IF(AND($E12&lt;&gt;0,AE12=""),"* No olvide ingresar la variable "&amp;AE$9&amp;""&amp;" (Digite CERO si no tiene).  ",IF(AE12&gt;$E12,"* La variable Migrantes no puede superar el Total. ",""))</f>
        <v xml:space="preserve">* La variable Migrantes no puede superar el Total. </v>
      </c>
      <c r="CE12" s="2784" t="str">
        <f t="shared" ref="CE12:CE45" si="2">IF(AND($E12&lt;&gt;0,AF12=""),"* No olvide ingresar la variable "&amp;AF$9&amp;""&amp;" (Digite CERO si no tiene).  ",IF(AF12&gt;$E12,"* La variable Espacios Amigables/ Adolescentes no puede superar el Total. ",""))</f>
        <v xml:space="preserve">* La variable Espacios Amigables/ Adolescentes no puede superar el Total. </v>
      </c>
      <c r="CF12" s="2784" t="e">
        <f t="shared" ref="CF12:CF45" si="3">IF(AND(E12&gt;0,OR(AG12="",AH12="",))," * No olvide digitar la variable TRANS Masculino/Femenino (Digite CERO si no tiene). ",IF(AG12+AH12&gt;$E12,"* La suma de TRANS Masculino + Femenino no puede superar el Total. ",""))</f>
        <v>#VALUE!</v>
      </c>
      <c r="CG12" s="2630"/>
      <c r="CK12" s="600"/>
      <c r="CL12" s="1725">
        <f>IF(AND($E12&lt;&gt;0,AC12=""),1,IF(AC12&gt;$E12,1,0))</f>
        <v>1</v>
      </c>
      <c r="CM12" s="1725">
        <f t="shared" ref="CM12:CM45" si="4">IF(AND($E12&lt;&gt;0,AD12=""),1,IF(AD12&gt;$E12,1,0))</f>
        <v>1</v>
      </c>
      <c r="CN12" s="1725">
        <f t="shared" ref="CN12:CN45" si="5">IF(AND($E12&lt;&gt;0,AE12=""),1,IF(AE12&gt;$E12,1,0))</f>
        <v>1</v>
      </c>
      <c r="CO12" s="1725">
        <f t="shared" ref="CO12:CO45" si="6">IF(AND($E12&lt;&gt;0,AF12=""),1,IF(AF12&gt;$E12,1,0))</f>
        <v>1</v>
      </c>
      <c r="CP12" s="1725" t="e">
        <f t="shared" ref="CP12:CP45" si="7">IF(AND(E12&gt;0,OR(AG12="",AH12="",)),1,IF(AG12+AH12&gt;$E12,1,0))</f>
        <v>#VALUE!</v>
      </c>
    </row>
    <row r="13" spans="1:97" s="170" customFormat="1" ht="15" customHeight="1" x14ac:dyDescent="0.3">
      <c r="A13" s="6234">
        <v>27280325</v>
      </c>
      <c r="B13" s="6398"/>
      <c r="C13" s="6398"/>
      <c r="D13" s="1674" t="s">
        <v>2252</v>
      </c>
      <c r="E13" s="1058" t="s">
        <v>5292</v>
      </c>
      <c r="F13" s="106" t="s">
        <v>5293</v>
      </c>
      <c r="G13" s="1069" t="s">
        <v>5294</v>
      </c>
      <c r="H13" s="1069" t="s">
        <v>5295</v>
      </c>
      <c r="I13" s="1069" t="s">
        <v>5296</v>
      </c>
      <c r="J13" s="587" t="s">
        <v>5297</v>
      </c>
      <c r="K13" s="1069" t="s">
        <v>5298</v>
      </c>
      <c r="L13" s="1069" t="s">
        <v>5299</v>
      </c>
      <c r="M13" s="1069" t="s">
        <v>5300</v>
      </c>
      <c r="N13" s="1069" t="s">
        <v>5301</v>
      </c>
      <c r="O13" s="1069" t="s">
        <v>5302</v>
      </c>
      <c r="P13" s="1069" t="s">
        <v>5303</v>
      </c>
      <c r="Q13" s="1069" t="s">
        <v>5304</v>
      </c>
      <c r="R13" s="1069" t="s">
        <v>5305</v>
      </c>
      <c r="S13" s="1069" t="s">
        <v>5306</v>
      </c>
      <c r="T13" s="1069" t="s">
        <v>5307</v>
      </c>
      <c r="U13" s="1069" t="s">
        <v>5308</v>
      </c>
      <c r="V13" s="1069" t="s">
        <v>5309</v>
      </c>
      <c r="W13" s="1069" t="s">
        <v>5310</v>
      </c>
      <c r="X13" s="1069" t="s">
        <v>5311</v>
      </c>
      <c r="Y13" s="1061" t="s">
        <v>5312</v>
      </c>
      <c r="Z13" s="888" t="s">
        <v>5313</v>
      </c>
      <c r="AA13" s="2789" t="s">
        <v>5314</v>
      </c>
      <c r="AB13" s="2790" t="s">
        <v>5315</v>
      </c>
      <c r="AC13" s="105" t="s">
        <v>5316</v>
      </c>
      <c r="AD13" s="105" t="s">
        <v>5317</v>
      </c>
      <c r="AE13" s="105" t="s">
        <v>5318</v>
      </c>
      <c r="AF13" s="105" t="s">
        <v>5319</v>
      </c>
      <c r="AG13" s="105" t="s">
        <v>5320</v>
      </c>
      <c r="AH13" s="105" t="s">
        <v>5321</v>
      </c>
      <c r="AI13" s="1687" t="e">
        <f t="shared" ref="AI13:AI45" si="8">$CB13&amp;CC13&amp;CD13&amp;CE13&amp;CF13</f>
        <v>#VALUE!</v>
      </c>
      <c r="CB13" s="2784" t="str">
        <f t="shared" ref="CB13:CB45" si="9">IF(AND($E13&lt;&gt;0,AC13=""),"* No olvide ingresar la columna "&amp;AC$9&amp;""&amp;" (Digite CERO si no tiene).  ",IF(AC13&gt;$E13,"* El Número de Familias en Riesgo no puede superar el Total. ",""))</f>
        <v xml:space="preserve">* El Número de Familias en Riesgo no puede superar el Total. </v>
      </c>
      <c r="CC13" s="2784" t="str">
        <f t="shared" si="0"/>
        <v xml:space="preserve">* La variable Pueblos Originarios no puede superar el Total. </v>
      </c>
      <c r="CD13" s="2784" t="str">
        <f t="shared" si="1"/>
        <v xml:space="preserve">* La variable Migrantes no puede superar el Total. </v>
      </c>
      <c r="CE13" s="2784" t="str">
        <f t="shared" si="2"/>
        <v xml:space="preserve">* La variable Espacios Amigables/ Adolescentes no puede superar el Total. </v>
      </c>
      <c r="CF13" s="2784" t="e">
        <f t="shared" si="3"/>
        <v>#VALUE!</v>
      </c>
      <c r="CG13" s="2630"/>
      <c r="CK13" s="600"/>
      <c r="CL13" s="1725">
        <f t="shared" ref="CL13:CL45" si="10">IF(AND($E13&lt;&gt;0,AC13=""),1,IF(AC13&gt;$E13,1,0))</f>
        <v>1</v>
      </c>
      <c r="CM13" s="1725">
        <f t="shared" si="4"/>
        <v>1</v>
      </c>
      <c r="CN13" s="1725">
        <f t="shared" si="5"/>
        <v>1</v>
      </c>
      <c r="CO13" s="1725">
        <f t="shared" si="6"/>
        <v>1</v>
      </c>
      <c r="CP13" s="1725" t="e">
        <f t="shared" si="7"/>
        <v>#VALUE!</v>
      </c>
    </row>
    <row r="14" spans="1:97" s="170" customFormat="1" ht="15" customHeight="1" x14ac:dyDescent="0.3">
      <c r="A14" s="6234">
        <v>27280335</v>
      </c>
      <c r="B14" s="6398"/>
      <c r="C14" s="6398"/>
      <c r="D14" s="1082" t="s">
        <v>2253</v>
      </c>
      <c r="E14" s="1058" t="s">
        <v>5292</v>
      </c>
      <c r="F14" s="1072" t="s">
        <v>5293</v>
      </c>
      <c r="G14" s="1073" t="s">
        <v>5294</v>
      </c>
      <c r="H14" s="1073" t="s">
        <v>5295</v>
      </c>
      <c r="I14" s="1073" t="s">
        <v>5296</v>
      </c>
      <c r="J14" s="1060" t="s">
        <v>5297</v>
      </c>
      <c r="K14" s="1073" t="s">
        <v>5298</v>
      </c>
      <c r="L14" s="1073" t="s">
        <v>5299</v>
      </c>
      <c r="M14" s="1073" t="s">
        <v>5300</v>
      </c>
      <c r="N14" s="1073" t="s">
        <v>5301</v>
      </c>
      <c r="O14" s="1073" t="s">
        <v>5302</v>
      </c>
      <c r="P14" s="1073" t="s">
        <v>5303</v>
      </c>
      <c r="Q14" s="1073" t="s">
        <v>5304</v>
      </c>
      <c r="R14" s="1073" t="s">
        <v>5305</v>
      </c>
      <c r="S14" s="1073" t="s">
        <v>5306</v>
      </c>
      <c r="T14" s="1073" t="s">
        <v>5307</v>
      </c>
      <c r="U14" s="1073" t="s">
        <v>5308</v>
      </c>
      <c r="V14" s="1073" t="s">
        <v>5309</v>
      </c>
      <c r="W14" s="1073" t="s">
        <v>5310</v>
      </c>
      <c r="X14" s="1073" t="s">
        <v>5311</v>
      </c>
      <c r="Y14" s="1061" t="s">
        <v>5312</v>
      </c>
      <c r="Z14" s="2791" t="s">
        <v>5313</v>
      </c>
      <c r="AA14" s="2789" t="s">
        <v>5314</v>
      </c>
      <c r="AB14" s="2790" t="s">
        <v>5315</v>
      </c>
      <c r="AC14" s="83" t="s">
        <v>5316</v>
      </c>
      <c r="AD14" s="83" t="s">
        <v>5317</v>
      </c>
      <c r="AE14" s="83" t="s">
        <v>5318</v>
      </c>
      <c r="AF14" s="83" t="s">
        <v>5319</v>
      </c>
      <c r="AG14" s="83" t="s">
        <v>5320</v>
      </c>
      <c r="AH14" s="83" t="s">
        <v>5321</v>
      </c>
      <c r="AI14" s="1687" t="e">
        <f t="shared" si="8"/>
        <v>#VALUE!</v>
      </c>
      <c r="CB14" s="2784" t="str">
        <f t="shared" si="9"/>
        <v xml:space="preserve">* El Número de Familias en Riesgo no puede superar el Total. </v>
      </c>
      <c r="CC14" s="2784" t="str">
        <f t="shared" si="0"/>
        <v xml:space="preserve">* La variable Pueblos Originarios no puede superar el Total. </v>
      </c>
      <c r="CD14" s="2784" t="str">
        <f t="shared" si="1"/>
        <v xml:space="preserve">* La variable Migrantes no puede superar el Total. </v>
      </c>
      <c r="CE14" s="2784" t="str">
        <f t="shared" si="2"/>
        <v xml:space="preserve">* La variable Espacios Amigables/ Adolescentes no puede superar el Total. </v>
      </c>
      <c r="CF14" s="2784" t="e">
        <f t="shared" si="3"/>
        <v>#VALUE!</v>
      </c>
      <c r="CG14" s="2630"/>
      <c r="CK14" s="600"/>
      <c r="CL14" s="1725">
        <f t="shared" si="10"/>
        <v>1</v>
      </c>
      <c r="CM14" s="1725">
        <f t="shared" si="4"/>
        <v>1</v>
      </c>
      <c r="CN14" s="1725">
        <f t="shared" si="5"/>
        <v>1</v>
      </c>
      <c r="CO14" s="1725">
        <f t="shared" si="6"/>
        <v>1</v>
      </c>
      <c r="CP14" s="1725" t="e">
        <f t="shared" si="7"/>
        <v>#VALUE!</v>
      </c>
    </row>
    <row r="15" spans="1:97" s="170" customFormat="1" ht="15" customHeight="1" x14ac:dyDescent="0.3">
      <c r="A15" s="6234">
        <v>27500100</v>
      </c>
      <c r="B15" s="6398"/>
      <c r="C15" s="6394"/>
      <c r="D15" s="2792" t="s">
        <v>2254</v>
      </c>
      <c r="E15" s="2724" t="s">
        <v>5292</v>
      </c>
      <c r="F15" s="2410" t="s">
        <v>5293</v>
      </c>
      <c r="G15" s="2411" t="s">
        <v>5294</v>
      </c>
      <c r="H15" s="2411" t="s">
        <v>5295</v>
      </c>
      <c r="I15" s="2411" t="s">
        <v>5296</v>
      </c>
      <c r="J15" s="2793" t="s">
        <v>5297</v>
      </c>
      <c r="K15" s="2411" t="s">
        <v>5298</v>
      </c>
      <c r="L15" s="2411" t="s">
        <v>5299</v>
      </c>
      <c r="M15" s="2411" t="s">
        <v>5300</v>
      </c>
      <c r="N15" s="2411" t="s">
        <v>5301</v>
      </c>
      <c r="O15" s="2411" t="s">
        <v>5302</v>
      </c>
      <c r="P15" s="2411" t="s">
        <v>5303</v>
      </c>
      <c r="Q15" s="2411" t="s">
        <v>5304</v>
      </c>
      <c r="R15" s="2411" t="s">
        <v>5305</v>
      </c>
      <c r="S15" s="2411" t="s">
        <v>5306</v>
      </c>
      <c r="T15" s="2411" t="s">
        <v>5307</v>
      </c>
      <c r="U15" s="2411" t="s">
        <v>5308</v>
      </c>
      <c r="V15" s="2411" t="s">
        <v>5309</v>
      </c>
      <c r="W15" s="2411" t="s">
        <v>5310</v>
      </c>
      <c r="X15" s="2411" t="s">
        <v>5311</v>
      </c>
      <c r="Y15" s="2412" t="s">
        <v>5312</v>
      </c>
      <c r="Z15" s="2794" t="s">
        <v>5313</v>
      </c>
      <c r="AA15" s="1832" t="s">
        <v>5314</v>
      </c>
      <c r="AB15" s="2795" t="s">
        <v>5315</v>
      </c>
      <c r="AC15" s="2413" t="s">
        <v>5316</v>
      </c>
      <c r="AD15" s="2413" t="s">
        <v>5317</v>
      </c>
      <c r="AE15" s="2413" t="s">
        <v>5318</v>
      </c>
      <c r="AF15" s="2413" t="s">
        <v>5319</v>
      </c>
      <c r="AG15" s="2413" t="s">
        <v>5320</v>
      </c>
      <c r="AH15" s="2413" t="s">
        <v>5321</v>
      </c>
      <c r="AI15" s="1687" t="e">
        <f t="shared" si="8"/>
        <v>#VALUE!</v>
      </c>
      <c r="CB15" s="2784" t="str">
        <f t="shared" si="9"/>
        <v xml:space="preserve">* El Número de Familias en Riesgo no puede superar el Total. </v>
      </c>
      <c r="CC15" s="2784" t="str">
        <f t="shared" si="0"/>
        <v xml:space="preserve">* La variable Pueblos Originarios no puede superar el Total. </v>
      </c>
      <c r="CD15" s="2784" t="str">
        <f t="shared" si="1"/>
        <v xml:space="preserve">* La variable Migrantes no puede superar el Total. </v>
      </c>
      <c r="CE15" s="2784" t="str">
        <f t="shared" si="2"/>
        <v xml:space="preserve">* La variable Espacios Amigables/ Adolescentes no puede superar el Total. </v>
      </c>
      <c r="CF15" s="2784" t="e">
        <f t="shared" si="3"/>
        <v>#VALUE!</v>
      </c>
      <c r="CG15" s="2630"/>
      <c r="CK15" s="600"/>
      <c r="CL15" s="1725">
        <f t="shared" si="10"/>
        <v>1</v>
      </c>
      <c r="CM15" s="1725">
        <f t="shared" si="4"/>
        <v>1</v>
      </c>
      <c r="CN15" s="1725">
        <f t="shared" si="5"/>
        <v>1</v>
      </c>
      <c r="CO15" s="1725">
        <f t="shared" si="6"/>
        <v>1</v>
      </c>
      <c r="CP15" s="1725" t="e">
        <f t="shared" si="7"/>
        <v>#VALUE!</v>
      </c>
    </row>
    <row r="16" spans="1:97" s="170" customFormat="1" ht="15" customHeight="1" x14ac:dyDescent="0.3">
      <c r="A16" s="6234">
        <v>27280400</v>
      </c>
      <c r="B16" s="6398"/>
      <c r="C16" s="7234" t="s">
        <v>2255</v>
      </c>
      <c r="D16" s="8152"/>
      <c r="E16" s="1692" t="s">
        <v>5292</v>
      </c>
      <c r="F16" s="106" t="s">
        <v>5293</v>
      </c>
      <c r="G16" s="1069" t="s">
        <v>5294</v>
      </c>
      <c r="H16" s="1069" t="s">
        <v>5295</v>
      </c>
      <c r="I16" s="1069" t="s">
        <v>5296</v>
      </c>
      <c r="J16" s="105" t="s">
        <v>5297</v>
      </c>
      <c r="K16" s="588" t="s">
        <v>5298</v>
      </c>
      <c r="L16" s="1069" t="s">
        <v>5299</v>
      </c>
      <c r="M16" s="1069" t="s">
        <v>5300</v>
      </c>
      <c r="N16" s="839" t="s">
        <v>5301</v>
      </c>
      <c r="O16" s="839" t="s">
        <v>5302</v>
      </c>
      <c r="P16" s="839" t="s">
        <v>5303</v>
      </c>
      <c r="Q16" s="839" t="s">
        <v>5304</v>
      </c>
      <c r="R16" s="839" t="s">
        <v>5305</v>
      </c>
      <c r="S16" s="839" t="s">
        <v>5306</v>
      </c>
      <c r="T16" s="839" t="s">
        <v>5307</v>
      </c>
      <c r="U16" s="839" t="s">
        <v>5308</v>
      </c>
      <c r="V16" s="839" t="s">
        <v>5309</v>
      </c>
      <c r="W16" s="839" t="s">
        <v>5310</v>
      </c>
      <c r="X16" s="839" t="s">
        <v>5311</v>
      </c>
      <c r="Y16" s="839" t="s">
        <v>5312</v>
      </c>
      <c r="Z16" s="2796" t="s">
        <v>5313</v>
      </c>
      <c r="AA16" s="891" t="s">
        <v>5314</v>
      </c>
      <c r="AB16" s="2797" t="s">
        <v>5315</v>
      </c>
      <c r="AC16" s="105" t="s">
        <v>5316</v>
      </c>
      <c r="AD16" s="105" t="s">
        <v>5317</v>
      </c>
      <c r="AE16" s="105" t="s">
        <v>5318</v>
      </c>
      <c r="AF16" s="105" t="s">
        <v>5319</v>
      </c>
      <c r="AG16" s="105" t="s">
        <v>5320</v>
      </c>
      <c r="AH16" s="105" t="s">
        <v>5321</v>
      </c>
      <c r="AI16" s="1687" t="e">
        <f t="shared" si="8"/>
        <v>#VALUE!</v>
      </c>
      <c r="CB16" s="2784" t="str">
        <f t="shared" si="9"/>
        <v xml:space="preserve">* El Número de Familias en Riesgo no puede superar el Total. </v>
      </c>
      <c r="CC16" s="2784" t="str">
        <f t="shared" si="0"/>
        <v xml:space="preserve">* La variable Pueblos Originarios no puede superar el Total. </v>
      </c>
      <c r="CD16" s="2784" t="str">
        <f t="shared" si="1"/>
        <v xml:space="preserve">* La variable Migrantes no puede superar el Total. </v>
      </c>
      <c r="CE16" s="2784" t="str">
        <f t="shared" si="2"/>
        <v xml:space="preserve">* La variable Espacios Amigables/ Adolescentes no puede superar el Total. </v>
      </c>
      <c r="CF16" s="2784" t="e">
        <f t="shared" si="3"/>
        <v>#VALUE!</v>
      </c>
      <c r="CG16" s="2630"/>
      <c r="CK16" s="600"/>
      <c r="CL16" s="1725">
        <f t="shared" si="10"/>
        <v>1</v>
      </c>
      <c r="CM16" s="1725">
        <f t="shared" si="4"/>
        <v>1</v>
      </c>
      <c r="CN16" s="1725">
        <f t="shared" si="5"/>
        <v>1</v>
      </c>
      <c r="CO16" s="1725">
        <f t="shared" si="6"/>
        <v>1</v>
      </c>
      <c r="CP16" s="1725" t="e">
        <f t="shared" si="7"/>
        <v>#VALUE!</v>
      </c>
    </row>
    <row r="17" spans="1:94" s="170" customFormat="1" ht="15" customHeight="1" x14ac:dyDescent="0.3">
      <c r="A17" s="6234">
        <v>27280500</v>
      </c>
      <c r="B17" s="6398"/>
      <c r="C17" s="8153" t="s">
        <v>2256</v>
      </c>
      <c r="D17" s="7237"/>
      <c r="E17" s="1058" t="s">
        <v>5292</v>
      </c>
      <c r="F17" s="1072" t="s">
        <v>5293</v>
      </c>
      <c r="G17" s="1073" t="s">
        <v>5294</v>
      </c>
      <c r="H17" s="1073" t="s">
        <v>5295</v>
      </c>
      <c r="I17" s="1073" t="s">
        <v>5296</v>
      </c>
      <c r="J17" s="83" t="s">
        <v>5297</v>
      </c>
      <c r="K17" s="2092" t="s">
        <v>5298</v>
      </c>
      <c r="L17" s="1073" t="s">
        <v>5299</v>
      </c>
      <c r="M17" s="1073" t="s">
        <v>5300</v>
      </c>
      <c r="N17" s="1080" t="s">
        <v>5301</v>
      </c>
      <c r="O17" s="1080" t="s">
        <v>5302</v>
      </c>
      <c r="P17" s="1080" t="s">
        <v>5303</v>
      </c>
      <c r="Q17" s="1080" t="s">
        <v>5304</v>
      </c>
      <c r="R17" s="1080" t="s">
        <v>5305</v>
      </c>
      <c r="S17" s="1080" t="s">
        <v>5306</v>
      </c>
      <c r="T17" s="1080" t="s">
        <v>5307</v>
      </c>
      <c r="U17" s="1080" t="s">
        <v>5308</v>
      </c>
      <c r="V17" s="1080" t="s">
        <v>5309</v>
      </c>
      <c r="W17" s="1080" t="s">
        <v>5310</v>
      </c>
      <c r="X17" s="1080" t="s">
        <v>5311</v>
      </c>
      <c r="Y17" s="1080" t="s">
        <v>5312</v>
      </c>
      <c r="Z17" s="2798" t="s">
        <v>5313</v>
      </c>
      <c r="AA17" s="2789" t="s">
        <v>5314</v>
      </c>
      <c r="AB17" s="2790" t="s">
        <v>5315</v>
      </c>
      <c r="AC17" s="83" t="s">
        <v>5316</v>
      </c>
      <c r="AD17" s="83" t="s">
        <v>5317</v>
      </c>
      <c r="AE17" s="83" t="s">
        <v>5318</v>
      </c>
      <c r="AF17" s="83" t="s">
        <v>5319</v>
      </c>
      <c r="AG17" s="83" t="s">
        <v>5320</v>
      </c>
      <c r="AH17" s="83" t="s">
        <v>5321</v>
      </c>
      <c r="AI17" s="1687" t="e">
        <f t="shared" si="8"/>
        <v>#VALUE!</v>
      </c>
      <c r="CB17" s="2784" t="str">
        <f t="shared" si="9"/>
        <v xml:space="preserve">* El Número de Familias en Riesgo no puede superar el Total. </v>
      </c>
      <c r="CC17" s="2784" t="str">
        <f t="shared" si="0"/>
        <v xml:space="preserve">* La variable Pueblos Originarios no puede superar el Total. </v>
      </c>
      <c r="CD17" s="2784" t="str">
        <f t="shared" si="1"/>
        <v xml:space="preserve">* La variable Migrantes no puede superar el Total. </v>
      </c>
      <c r="CE17" s="2784" t="str">
        <f t="shared" si="2"/>
        <v xml:space="preserve">* La variable Espacios Amigables/ Adolescentes no puede superar el Total. </v>
      </c>
      <c r="CF17" s="2784" t="e">
        <f t="shared" si="3"/>
        <v>#VALUE!</v>
      </c>
      <c r="CG17" s="2630"/>
      <c r="CK17" s="600"/>
      <c r="CL17" s="1725">
        <f t="shared" si="10"/>
        <v>1</v>
      </c>
      <c r="CM17" s="1725">
        <f t="shared" si="4"/>
        <v>1</v>
      </c>
      <c r="CN17" s="1725">
        <f t="shared" si="5"/>
        <v>1</v>
      </c>
      <c r="CO17" s="1725">
        <f t="shared" si="6"/>
        <v>1</v>
      </c>
      <c r="CP17" s="1725" t="e">
        <f t="shared" si="7"/>
        <v>#VALUE!</v>
      </c>
    </row>
    <row r="18" spans="1:94" s="170" customFormat="1" ht="15" customHeight="1" x14ac:dyDescent="0.3">
      <c r="A18" s="6234">
        <v>27280600</v>
      </c>
      <c r="B18" s="6398"/>
      <c r="C18" s="8153" t="s">
        <v>2257</v>
      </c>
      <c r="D18" s="7237"/>
      <c r="E18" s="1058" t="s">
        <v>5292</v>
      </c>
      <c r="F18" s="1072" t="s">
        <v>5293</v>
      </c>
      <c r="G18" s="1073" t="s">
        <v>5294</v>
      </c>
      <c r="H18" s="1073" t="s">
        <v>5295</v>
      </c>
      <c r="I18" s="1073" t="s">
        <v>5296</v>
      </c>
      <c r="J18" s="83" t="s">
        <v>5297</v>
      </c>
      <c r="K18" s="2092" t="s">
        <v>5298</v>
      </c>
      <c r="L18" s="1073" t="s">
        <v>5299</v>
      </c>
      <c r="M18" s="1073" t="s">
        <v>5300</v>
      </c>
      <c r="N18" s="1080" t="s">
        <v>5301</v>
      </c>
      <c r="O18" s="1080" t="s">
        <v>5302</v>
      </c>
      <c r="P18" s="1080" t="s">
        <v>5303</v>
      </c>
      <c r="Q18" s="1080" t="s">
        <v>5304</v>
      </c>
      <c r="R18" s="1080" t="s">
        <v>5305</v>
      </c>
      <c r="S18" s="1080" t="s">
        <v>5306</v>
      </c>
      <c r="T18" s="1080" t="s">
        <v>5307</v>
      </c>
      <c r="U18" s="1080" t="s">
        <v>5308</v>
      </c>
      <c r="V18" s="1080" t="s">
        <v>5309</v>
      </c>
      <c r="W18" s="1080" t="s">
        <v>5310</v>
      </c>
      <c r="X18" s="1080" t="s">
        <v>5311</v>
      </c>
      <c r="Y18" s="1080" t="s">
        <v>5312</v>
      </c>
      <c r="Z18" s="2798" t="s">
        <v>5313</v>
      </c>
      <c r="AA18" s="2789" t="s">
        <v>5314</v>
      </c>
      <c r="AB18" s="2790" t="s">
        <v>5315</v>
      </c>
      <c r="AC18" s="83" t="s">
        <v>5316</v>
      </c>
      <c r="AD18" s="83" t="s">
        <v>5317</v>
      </c>
      <c r="AE18" s="83" t="s">
        <v>5318</v>
      </c>
      <c r="AF18" s="83" t="s">
        <v>5319</v>
      </c>
      <c r="AG18" s="83" t="s">
        <v>5320</v>
      </c>
      <c r="AH18" s="83" t="s">
        <v>5321</v>
      </c>
      <c r="AI18" s="1687" t="e">
        <f t="shared" si="8"/>
        <v>#VALUE!</v>
      </c>
      <c r="CB18" s="2784" t="str">
        <f t="shared" si="9"/>
        <v xml:space="preserve">* El Número de Familias en Riesgo no puede superar el Total. </v>
      </c>
      <c r="CC18" s="2784" t="str">
        <f t="shared" si="0"/>
        <v xml:space="preserve">* La variable Pueblos Originarios no puede superar el Total. </v>
      </c>
      <c r="CD18" s="2784" t="str">
        <f t="shared" si="1"/>
        <v xml:space="preserve">* La variable Migrantes no puede superar el Total. </v>
      </c>
      <c r="CE18" s="2784" t="str">
        <f t="shared" si="2"/>
        <v xml:space="preserve">* La variable Espacios Amigables/ Adolescentes no puede superar el Total. </v>
      </c>
      <c r="CF18" s="2784" t="e">
        <f t="shared" si="3"/>
        <v>#VALUE!</v>
      </c>
      <c r="CG18" s="2630"/>
      <c r="CK18" s="600"/>
      <c r="CL18" s="1725">
        <f t="shared" si="10"/>
        <v>1</v>
      </c>
      <c r="CM18" s="1725">
        <f t="shared" si="4"/>
        <v>1</v>
      </c>
      <c r="CN18" s="1725">
        <f t="shared" si="5"/>
        <v>1</v>
      </c>
      <c r="CO18" s="1725">
        <f t="shared" si="6"/>
        <v>1</v>
      </c>
      <c r="CP18" s="1725" t="e">
        <f t="shared" si="7"/>
        <v>#VALUE!</v>
      </c>
    </row>
    <row r="19" spans="1:94" s="170" customFormat="1" ht="15" customHeight="1" x14ac:dyDescent="0.3">
      <c r="A19" s="6234">
        <v>27280700</v>
      </c>
      <c r="B19" s="6398"/>
      <c r="C19" s="8158" t="s">
        <v>2258</v>
      </c>
      <c r="D19" s="8159"/>
      <c r="E19" s="150" t="s">
        <v>5292</v>
      </c>
      <c r="F19" s="114" t="s">
        <v>5293</v>
      </c>
      <c r="G19" s="115" t="s">
        <v>5294</v>
      </c>
      <c r="H19" s="115" t="s">
        <v>5295</v>
      </c>
      <c r="I19" s="115" t="s">
        <v>5296</v>
      </c>
      <c r="J19" s="2800" t="s">
        <v>5297</v>
      </c>
      <c r="K19" s="121" t="s">
        <v>5298</v>
      </c>
      <c r="L19" s="115" t="s">
        <v>5299</v>
      </c>
      <c r="M19" s="115" t="s">
        <v>5300</v>
      </c>
      <c r="N19" s="137" t="s">
        <v>5301</v>
      </c>
      <c r="O19" s="137" t="s">
        <v>5302</v>
      </c>
      <c r="P19" s="137" t="s">
        <v>5303</v>
      </c>
      <c r="Q19" s="137" t="s">
        <v>5304</v>
      </c>
      <c r="R19" s="137" t="s">
        <v>5305</v>
      </c>
      <c r="S19" s="137" t="s">
        <v>5306</v>
      </c>
      <c r="T19" s="137" t="s">
        <v>5307</v>
      </c>
      <c r="U19" s="137" t="s">
        <v>5308</v>
      </c>
      <c r="V19" s="137" t="s">
        <v>5309</v>
      </c>
      <c r="W19" s="137" t="s">
        <v>5310</v>
      </c>
      <c r="X19" s="137" t="s">
        <v>5311</v>
      </c>
      <c r="Y19" s="137" t="s">
        <v>5312</v>
      </c>
      <c r="Z19" s="561" t="s">
        <v>5313</v>
      </c>
      <c r="AA19" s="115" t="s">
        <v>5314</v>
      </c>
      <c r="AB19" s="162" t="s">
        <v>5315</v>
      </c>
      <c r="AC19" s="2800" t="s">
        <v>5316</v>
      </c>
      <c r="AD19" s="2800" t="s">
        <v>5317</v>
      </c>
      <c r="AE19" s="2800" t="s">
        <v>5318</v>
      </c>
      <c r="AF19" s="2800" t="s">
        <v>5319</v>
      </c>
      <c r="AG19" s="2800" t="s">
        <v>5320</v>
      </c>
      <c r="AH19" s="2800" t="s">
        <v>5321</v>
      </c>
      <c r="AI19" s="1687" t="e">
        <f t="shared" si="8"/>
        <v>#VALUE!</v>
      </c>
      <c r="CB19" s="2784" t="str">
        <f t="shared" si="9"/>
        <v xml:space="preserve">* El Número de Familias en Riesgo no puede superar el Total. </v>
      </c>
      <c r="CC19" s="2784" t="str">
        <f t="shared" si="0"/>
        <v xml:space="preserve">* La variable Pueblos Originarios no puede superar el Total. </v>
      </c>
      <c r="CD19" s="2784" t="str">
        <f t="shared" si="1"/>
        <v xml:space="preserve">* La variable Migrantes no puede superar el Total. </v>
      </c>
      <c r="CE19" s="2784" t="str">
        <f t="shared" si="2"/>
        <v xml:space="preserve">* La variable Espacios Amigables/ Adolescentes no puede superar el Total. </v>
      </c>
      <c r="CF19" s="2784" t="e">
        <f t="shared" si="3"/>
        <v>#VALUE!</v>
      </c>
      <c r="CG19" s="2630"/>
      <c r="CK19" s="600"/>
      <c r="CL19" s="1725">
        <f t="shared" si="10"/>
        <v>1</v>
      </c>
      <c r="CM19" s="1725">
        <f t="shared" si="4"/>
        <v>1</v>
      </c>
      <c r="CN19" s="1725">
        <f t="shared" si="5"/>
        <v>1</v>
      </c>
      <c r="CO19" s="1725">
        <f t="shared" si="6"/>
        <v>1</v>
      </c>
      <c r="CP19" s="1725" t="e">
        <f t="shared" si="7"/>
        <v>#VALUE!</v>
      </c>
    </row>
    <row r="20" spans="1:94" s="170" customFormat="1" ht="15" customHeight="1" x14ac:dyDescent="0.3">
      <c r="A20" s="6234">
        <v>27500270</v>
      </c>
      <c r="B20" s="6398"/>
      <c r="C20" s="7232" t="s">
        <v>2259</v>
      </c>
      <c r="D20" s="5686" t="s">
        <v>27</v>
      </c>
      <c r="E20" s="5680" t="s">
        <v>5292</v>
      </c>
      <c r="F20" s="5687" t="s">
        <v>5293</v>
      </c>
      <c r="G20" s="5228" t="s">
        <v>5294</v>
      </c>
      <c r="H20" s="5228" t="s">
        <v>5295</v>
      </c>
      <c r="I20" s="5228" t="s">
        <v>5296</v>
      </c>
      <c r="J20" s="5688" t="s">
        <v>5297</v>
      </c>
      <c r="K20" s="5689" t="s">
        <v>5298</v>
      </c>
      <c r="L20" s="5228" t="s">
        <v>5299</v>
      </c>
      <c r="M20" s="5228" t="s">
        <v>5300</v>
      </c>
      <c r="N20" s="5690" t="s">
        <v>5301</v>
      </c>
      <c r="O20" s="5690" t="s">
        <v>5302</v>
      </c>
      <c r="P20" s="5690" t="s">
        <v>5303</v>
      </c>
      <c r="Q20" s="5690" t="s">
        <v>5304</v>
      </c>
      <c r="R20" s="5690" t="s">
        <v>5305</v>
      </c>
      <c r="S20" s="5690" t="s">
        <v>5306</v>
      </c>
      <c r="T20" s="5690" t="s">
        <v>5307</v>
      </c>
      <c r="U20" s="5690" t="s">
        <v>5308</v>
      </c>
      <c r="V20" s="5690" t="s">
        <v>5309</v>
      </c>
      <c r="W20" s="5690" t="s">
        <v>5310</v>
      </c>
      <c r="X20" s="5690" t="s">
        <v>5311</v>
      </c>
      <c r="Y20" s="5690" t="s">
        <v>5312</v>
      </c>
      <c r="Z20" s="5691" t="s">
        <v>5313</v>
      </c>
      <c r="AA20" s="5228" t="s">
        <v>5314</v>
      </c>
      <c r="AB20" s="5408" t="s">
        <v>5315</v>
      </c>
      <c r="AC20" s="5231" t="s">
        <v>5316</v>
      </c>
      <c r="AD20" s="5231" t="s">
        <v>5317</v>
      </c>
      <c r="AE20" s="5231" t="s">
        <v>5318</v>
      </c>
      <c r="AF20" s="5273" t="s">
        <v>5319</v>
      </c>
      <c r="AG20" s="5231" t="s">
        <v>5320</v>
      </c>
      <c r="AH20" s="5231" t="s">
        <v>5321</v>
      </c>
      <c r="AI20" s="1687" t="e">
        <f t="shared" si="8"/>
        <v>#VALUE!</v>
      </c>
      <c r="CB20" s="2784" t="str">
        <f t="shared" si="9"/>
        <v xml:space="preserve">* El Número de Familias en Riesgo no puede superar el Total. </v>
      </c>
      <c r="CC20" s="2784" t="str">
        <f t="shared" si="0"/>
        <v xml:space="preserve">* La variable Pueblos Originarios no puede superar el Total. </v>
      </c>
      <c r="CD20" s="2784" t="str">
        <f t="shared" si="1"/>
        <v xml:space="preserve">* La variable Migrantes no puede superar el Total. </v>
      </c>
      <c r="CE20" s="2784" t="str">
        <f t="shared" si="2"/>
        <v xml:space="preserve">* La variable Espacios Amigables/ Adolescentes no puede superar el Total. </v>
      </c>
      <c r="CF20" s="2784" t="e">
        <f t="shared" si="3"/>
        <v>#VALUE!</v>
      </c>
      <c r="CG20" s="2630"/>
      <c r="CK20" s="600"/>
      <c r="CL20" s="1725">
        <f t="shared" si="10"/>
        <v>1</v>
      </c>
      <c r="CM20" s="1725">
        <f t="shared" si="4"/>
        <v>1</v>
      </c>
      <c r="CN20" s="1725">
        <f t="shared" si="5"/>
        <v>1</v>
      </c>
      <c r="CO20" s="1725">
        <f t="shared" si="6"/>
        <v>1</v>
      </c>
      <c r="CP20" s="1725" t="e">
        <f t="shared" si="7"/>
        <v>#VALUE!</v>
      </c>
    </row>
    <row r="21" spans="1:94" s="170" customFormat="1" ht="15" customHeight="1" x14ac:dyDescent="0.3">
      <c r="A21" s="6234">
        <v>27500280</v>
      </c>
      <c r="B21" s="6398"/>
      <c r="C21" s="8160"/>
      <c r="D21" s="593" t="s">
        <v>22</v>
      </c>
      <c r="E21" s="150" t="s">
        <v>5292</v>
      </c>
      <c r="F21" s="114" t="s">
        <v>5293</v>
      </c>
      <c r="G21" s="115" t="s">
        <v>5294</v>
      </c>
      <c r="H21" s="115" t="s">
        <v>5295</v>
      </c>
      <c r="I21" s="115" t="s">
        <v>5296</v>
      </c>
      <c r="J21" s="2800" t="s">
        <v>5297</v>
      </c>
      <c r="K21" s="121" t="s">
        <v>5298</v>
      </c>
      <c r="L21" s="115" t="s">
        <v>5299</v>
      </c>
      <c r="M21" s="115" t="s">
        <v>5300</v>
      </c>
      <c r="N21" s="137" t="s">
        <v>5301</v>
      </c>
      <c r="O21" s="137" t="s">
        <v>5302</v>
      </c>
      <c r="P21" s="137" t="s">
        <v>5303</v>
      </c>
      <c r="Q21" s="137" t="s">
        <v>5304</v>
      </c>
      <c r="R21" s="137" t="s">
        <v>5305</v>
      </c>
      <c r="S21" s="137" t="s">
        <v>5306</v>
      </c>
      <c r="T21" s="137" t="s">
        <v>5307</v>
      </c>
      <c r="U21" s="137" t="s">
        <v>5308</v>
      </c>
      <c r="V21" s="137" t="s">
        <v>5309</v>
      </c>
      <c r="W21" s="137" t="s">
        <v>5310</v>
      </c>
      <c r="X21" s="137" t="s">
        <v>5311</v>
      </c>
      <c r="Y21" s="137" t="s">
        <v>5312</v>
      </c>
      <c r="Z21" s="561" t="s">
        <v>5313</v>
      </c>
      <c r="AA21" s="115" t="s">
        <v>5314</v>
      </c>
      <c r="AB21" s="162" t="s">
        <v>5315</v>
      </c>
      <c r="AC21" s="2800" t="s">
        <v>5316</v>
      </c>
      <c r="AD21" s="2800" t="s">
        <v>5317</v>
      </c>
      <c r="AE21" s="2800" t="s">
        <v>5318</v>
      </c>
      <c r="AF21" s="153" t="s">
        <v>5319</v>
      </c>
      <c r="AG21" s="2800" t="s">
        <v>5320</v>
      </c>
      <c r="AH21" s="2800" t="s">
        <v>5321</v>
      </c>
      <c r="AI21" s="1687" t="e">
        <f t="shared" si="8"/>
        <v>#VALUE!</v>
      </c>
      <c r="CB21" s="2784" t="str">
        <f t="shared" si="9"/>
        <v xml:space="preserve">* El Número de Familias en Riesgo no puede superar el Total. </v>
      </c>
      <c r="CC21" s="2784" t="str">
        <f t="shared" si="0"/>
        <v xml:space="preserve">* La variable Pueblos Originarios no puede superar el Total. </v>
      </c>
      <c r="CD21" s="2784" t="str">
        <f t="shared" si="1"/>
        <v xml:space="preserve">* La variable Migrantes no puede superar el Total. </v>
      </c>
      <c r="CE21" s="2784" t="str">
        <f t="shared" si="2"/>
        <v xml:space="preserve">* La variable Espacios Amigables/ Adolescentes no puede superar el Total. </v>
      </c>
      <c r="CF21" s="2784" t="e">
        <f t="shared" si="3"/>
        <v>#VALUE!</v>
      </c>
      <c r="CG21" s="2630"/>
      <c r="CK21" s="600"/>
      <c r="CL21" s="1725">
        <f t="shared" si="10"/>
        <v>1</v>
      </c>
      <c r="CM21" s="1725">
        <f t="shared" si="4"/>
        <v>1</v>
      </c>
      <c r="CN21" s="1725">
        <f t="shared" si="5"/>
        <v>1</v>
      </c>
      <c r="CO21" s="1725">
        <f t="shared" si="6"/>
        <v>1</v>
      </c>
      <c r="CP21" s="1725" t="e">
        <f t="shared" si="7"/>
        <v>#VALUE!</v>
      </c>
    </row>
    <row r="22" spans="1:94" s="170" customFormat="1" ht="15" customHeight="1" x14ac:dyDescent="0.3">
      <c r="A22" s="6234">
        <v>27500250</v>
      </c>
      <c r="B22" s="6398"/>
      <c r="C22" s="8161" t="s">
        <v>2260</v>
      </c>
      <c r="D22" s="7235"/>
      <c r="E22" s="5683" t="s">
        <v>5292</v>
      </c>
      <c r="F22" s="586" t="s">
        <v>5293</v>
      </c>
      <c r="G22" s="5048" t="s">
        <v>5294</v>
      </c>
      <c r="H22" s="5048" t="s">
        <v>5295</v>
      </c>
      <c r="I22" s="5048" t="s">
        <v>5296</v>
      </c>
      <c r="J22" s="4424" t="s">
        <v>5297</v>
      </c>
      <c r="K22" s="1924" t="s">
        <v>5298</v>
      </c>
      <c r="L22" s="4708" t="s">
        <v>5299</v>
      </c>
      <c r="M22" s="4708" t="s">
        <v>5300</v>
      </c>
      <c r="N22" s="4708" t="s">
        <v>5301</v>
      </c>
      <c r="O22" s="4708" t="s">
        <v>5302</v>
      </c>
      <c r="P22" s="4708" t="s">
        <v>5303</v>
      </c>
      <c r="Q22" s="1924" t="s">
        <v>5304</v>
      </c>
      <c r="R22" s="4771" t="s">
        <v>5305</v>
      </c>
      <c r="S22" s="4771" t="s">
        <v>5306</v>
      </c>
      <c r="T22" s="4771" t="s">
        <v>5307</v>
      </c>
      <c r="U22" s="4771" t="s">
        <v>5308</v>
      </c>
      <c r="V22" s="4708" t="s">
        <v>5309</v>
      </c>
      <c r="W22" s="4708" t="s">
        <v>5310</v>
      </c>
      <c r="X22" s="4708" t="s">
        <v>5311</v>
      </c>
      <c r="Y22" s="2803" t="s">
        <v>5312</v>
      </c>
      <c r="Z22" s="5684" t="s">
        <v>5313</v>
      </c>
      <c r="AA22" s="4709" t="s">
        <v>5314</v>
      </c>
      <c r="AB22" s="5685" t="s">
        <v>5315</v>
      </c>
      <c r="AC22" s="4424" t="s">
        <v>5316</v>
      </c>
      <c r="AD22" s="4424" t="s">
        <v>5317</v>
      </c>
      <c r="AE22" s="4424" t="s">
        <v>5318</v>
      </c>
      <c r="AF22" s="784" t="s">
        <v>5319</v>
      </c>
      <c r="AG22" s="4424" t="s">
        <v>5320</v>
      </c>
      <c r="AH22" s="4424" t="s">
        <v>5321</v>
      </c>
      <c r="AI22" s="1687" t="e">
        <f t="shared" si="8"/>
        <v>#VALUE!</v>
      </c>
      <c r="CB22" s="2784" t="str">
        <f t="shared" si="9"/>
        <v xml:space="preserve">* El Número de Familias en Riesgo no puede superar el Total. </v>
      </c>
      <c r="CC22" s="2784" t="str">
        <f t="shared" si="0"/>
        <v xml:space="preserve">* La variable Pueblos Originarios no puede superar el Total. </v>
      </c>
      <c r="CD22" s="2784" t="str">
        <f t="shared" si="1"/>
        <v xml:space="preserve">* La variable Migrantes no puede superar el Total. </v>
      </c>
      <c r="CE22" s="2784" t="str">
        <f t="shared" si="2"/>
        <v xml:space="preserve">* La variable Espacios Amigables/ Adolescentes no puede superar el Total. </v>
      </c>
      <c r="CF22" s="2784" t="e">
        <f t="shared" si="3"/>
        <v>#VALUE!</v>
      </c>
      <c r="CG22" s="2630"/>
      <c r="CK22" s="600"/>
      <c r="CL22" s="1725">
        <f t="shared" si="10"/>
        <v>1</v>
      </c>
      <c r="CM22" s="1725">
        <f t="shared" si="4"/>
        <v>1</v>
      </c>
      <c r="CN22" s="1725">
        <f t="shared" si="5"/>
        <v>1</v>
      </c>
      <c r="CO22" s="1725">
        <f t="shared" si="6"/>
        <v>1</v>
      </c>
      <c r="CP22" s="1725" t="e">
        <f t="shared" si="7"/>
        <v>#VALUE!</v>
      </c>
    </row>
    <row r="23" spans="1:94" s="170" customFormat="1" ht="24.75" customHeight="1" x14ac:dyDescent="0.3">
      <c r="A23" s="6234">
        <v>27500110</v>
      </c>
      <c r="B23" s="6398"/>
      <c r="C23" s="8162" t="s">
        <v>2261</v>
      </c>
      <c r="D23" s="7352"/>
      <c r="E23" s="1058" t="s">
        <v>5292</v>
      </c>
      <c r="F23" s="1070" t="s">
        <v>5293</v>
      </c>
      <c r="G23" s="2392" t="s">
        <v>5294</v>
      </c>
      <c r="H23" s="2392" t="s">
        <v>5295</v>
      </c>
      <c r="I23" s="2392" t="s">
        <v>5296</v>
      </c>
      <c r="J23" s="194" t="s">
        <v>5297</v>
      </c>
      <c r="K23" s="2092" t="s">
        <v>5298</v>
      </c>
      <c r="L23" s="1073" t="s">
        <v>5299</v>
      </c>
      <c r="M23" s="1073" t="s">
        <v>5300</v>
      </c>
      <c r="N23" s="1073" t="s">
        <v>5301</v>
      </c>
      <c r="O23" s="1073" t="s">
        <v>5302</v>
      </c>
      <c r="P23" s="1073" t="s">
        <v>5303</v>
      </c>
      <c r="Q23" s="1073" t="s">
        <v>5304</v>
      </c>
      <c r="R23" s="1073" t="s">
        <v>5305</v>
      </c>
      <c r="S23" s="1073" t="s">
        <v>5306</v>
      </c>
      <c r="T23" s="1073" t="s">
        <v>5307</v>
      </c>
      <c r="U23" s="2804" t="s">
        <v>5308</v>
      </c>
      <c r="V23" s="2804" t="s">
        <v>5309</v>
      </c>
      <c r="W23" s="2804" t="s">
        <v>5310</v>
      </c>
      <c r="X23" s="2804" t="s">
        <v>5311</v>
      </c>
      <c r="Y23" s="2804" t="s">
        <v>5312</v>
      </c>
      <c r="Z23" s="1114" t="s">
        <v>5313</v>
      </c>
      <c r="AA23" s="1073" t="s">
        <v>5314</v>
      </c>
      <c r="AB23" s="1061" t="s">
        <v>5315</v>
      </c>
      <c r="AC23" s="83" t="s">
        <v>5316</v>
      </c>
      <c r="AD23" s="83" t="s">
        <v>5317</v>
      </c>
      <c r="AE23" s="83" t="s">
        <v>5318</v>
      </c>
      <c r="AF23" s="4464" t="s">
        <v>5319</v>
      </c>
      <c r="AG23" s="83" t="s">
        <v>5320</v>
      </c>
      <c r="AH23" s="83" t="s">
        <v>5321</v>
      </c>
      <c r="AI23" s="1687" t="e">
        <f t="shared" si="8"/>
        <v>#VALUE!</v>
      </c>
      <c r="CB23" s="2784" t="str">
        <f t="shared" si="9"/>
        <v xml:space="preserve">* El Número de Familias en Riesgo no puede superar el Total. </v>
      </c>
      <c r="CC23" s="2784" t="str">
        <f t="shared" si="0"/>
        <v xml:space="preserve">* La variable Pueblos Originarios no puede superar el Total. </v>
      </c>
      <c r="CD23" s="2784" t="str">
        <f t="shared" si="1"/>
        <v xml:space="preserve">* La variable Migrantes no puede superar el Total. </v>
      </c>
      <c r="CE23" s="3018"/>
      <c r="CF23" s="2784" t="e">
        <f t="shared" si="3"/>
        <v>#VALUE!</v>
      </c>
      <c r="CG23" s="2630"/>
      <c r="CK23" s="600"/>
      <c r="CL23" s="1725">
        <f t="shared" si="10"/>
        <v>1</v>
      </c>
      <c r="CM23" s="1725">
        <f t="shared" si="4"/>
        <v>1</v>
      </c>
      <c r="CN23" s="1725">
        <f t="shared" si="5"/>
        <v>1</v>
      </c>
      <c r="CO23" s="2783"/>
      <c r="CP23" s="1725" t="e">
        <f t="shared" si="7"/>
        <v>#VALUE!</v>
      </c>
    </row>
    <row r="24" spans="1:94" s="170" customFormat="1" ht="15" customHeight="1" x14ac:dyDescent="0.3">
      <c r="A24" s="6234">
        <v>27500310</v>
      </c>
      <c r="B24" s="6398"/>
      <c r="C24" s="7497" t="s">
        <v>2262</v>
      </c>
      <c r="D24" s="7254"/>
      <c r="E24" s="911" t="s">
        <v>5292</v>
      </c>
      <c r="F24" s="1070" t="s">
        <v>5293</v>
      </c>
      <c r="G24" s="2392" t="s">
        <v>5294</v>
      </c>
      <c r="H24" s="2392" t="s">
        <v>5295</v>
      </c>
      <c r="I24" s="2392" t="s">
        <v>5296</v>
      </c>
      <c r="J24" s="194" t="s">
        <v>5297</v>
      </c>
      <c r="K24" s="2092" t="s">
        <v>5298</v>
      </c>
      <c r="L24" s="127" t="s">
        <v>5299</v>
      </c>
      <c r="M24" s="127" t="s">
        <v>5300</v>
      </c>
      <c r="N24" s="127" t="s">
        <v>5301</v>
      </c>
      <c r="O24" s="127" t="s">
        <v>5302</v>
      </c>
      <c r="P24" s="127" t="s">
        <v>5303</v>
      </c>
      <c r="Q24" s="127" t="s">
        <v>5304</v>
      </c>
      <c r="R24" s="127" t="s">
        <v>5305</v>
      </c>
      <c r="S24" s="127" t="s">
        <v>5306</v>
      </c>
      <c r="T24" s="127" t="s">
        <v>5307</v>
      </c>
      <c r="U24" s="2804" t="s">
        <v>5308</v>
      </c>
      <c r="V24" s="2804" t="s">
        <v>5309</v>
      </c>
      <c r="W24" s="2804" t="s">
        <v>5310</v>
      </c>
      <c r="X24" s="2804" t="s">
        <v>5311</v>
      </c>
      <c r="Y24" s="2804" t="s">
        <v>5312</v>
      </c>
      <c r="Z24" s="2798" t="s">
        <v>5313</v>
      </c>
      <c r="AA24" s="2789" t="s">
        <v>5314</v>
      </c>
      <c r="AB24" s="94" t="s">
        <v>5315</v>
      </c>
      <c r="AC24" s="83" t="s">
        <v>5316</v>
      </c>
      <c r="AD24" s="83" t="s">
        <v>5317</v>
      </c>
      <c r="AE24" s="83" t="s">
        <v>5318</v>
      </c>
      <c r="AF24" s="4464" t="s">
        <v>5319</v>
      </c>
      <c r="AG24" s="83" t="s">
        <v>5320</v>
      </c>
      <c r="AH24" s="83" t="s">
        <v>5321</v>
      </c>
      <c r="AI24" s="1687" t="e">
        <f t="shared" si="8"/>
        <v>#VALUE!</v>
      </c>
      <c r="CB24" s="2784" t="str">
        <f t="shared" si="9"/>
        <v xml:space="preserve">* El Número de Familias en Riesgo no puede superar el Total. </v>
      </c>
      <c r="CC24" s="2784" t="str">
        <f t="shared" si="0"/>
        <v xml:space="preserve">* La variable Pueblos Originarios no puede superar el Total. </v>
      </c>
      <c r="CD24" s="2784" t="str">
        <f t="shared" si="1"/>
        <v xml:space="preserve">* La variable Migrantes no puede superar el Total. </v>
      </c>
      <c r="CE24" s="3018"/>
      <c r="CF24" s="2784" t="e">
        <f t="shared" si="3"/>
        <v>#VALUE!</v>
      </c>
      <c r="CG24" s="2630"/>
      <c r="CK24" s="600"/>
      <c r="CL24" s="1725">
        <f t="shared" si="10"/>
        <v>1</v>
      </c>
      <c r="CM24" s="1725">
        <f t="shared" si="4"/>
        <v>1</v>
      </c>
      <c r="CN24" s="1725">
        <f t="shared" si="5"/>
        <v>1</v>
      </c>
      <c r="CO24" s="2783"/>
      <c r="CP24" s="1725" t="e">
        <f t="shared" si="7"/>
        <v>#VALUE!</v>
      </c>
    </row>
    <row r="25" spans="1:94" s="170" customFormat="1" ht="15" customHeight="1" x14ac:dyDescent="0.3">
      <c r="A25" s="6234">
        <v>27300918</v>
      </c>
      <c r="B25" s="6398"/>
      <c r="C25" s="8158" t="s">
        <v>2263</v>
      </c>
      <c r="D25" s="8159"/>
      <c r="E25" s="911" t="s">
        <v>5292</v>
      </c>
      <c r="F25" s="151" t="s">
        <v>5293</v>
      </c>
      <c r="G25" s="225" t="s">
        <v>5294</v>
      </c>
      <c r="H25" s="225" t="s">
        <v>5295</v>
      </c>
      <c r="I25" s="115" t="s">
        <v>5296</v>
      </c>
      <c r="J25" s="2800" t="s">
        <v>5297</v>
      </c>
      <c r="K25" s="121" t="s">
        <v>5298</v>
      </c>
      <c r="L25" s="115" t="s">
        <v>5299</v>
      </c>
      <c r="M25" s="115" t="s">
        <v>5300</v>
      </c>
      <c r="N25" s="115" t="s">
        <v>5301</v>
      </c>
      <c r="O25" s="115" t="s">
        <v>5302</v>
      </c>
      <c r="P25" s="115" t="s">
        <v>5303</v>
      </c>
      <c r="Q25" s="115" t="s">
        <v>5304</v>
      </c>
      <c r="R25" s="115" t="s">
        <v>5305</v>
      </c>
      <c r="S25" s="115" t="s">
        <v>5306</v>
      </c>
      <c r="T25" s="115" t="s">
        <v>5307</v>
      </c>
      <c r="U25" s="115" t="s">
        <v>5308</v>
      </c>
      <c r="V25" s="115" t="s">
        <v>5309</v>
      </c>
      <c r="W25" s="115" t="s">
        <v>5310</v>
      </c>
      <c r="X25" s="115" t="s">
        <v>5311</v>
      </c>
      <c r="Y25" s="115" t="s">
        <v>5312</v>
      </c>
      <c r="Z25" s="561" t="s">
        <v>5313</v>
      </c>
      <c r="AA25" s="115" t="s">
        <v>5314</v>
      </c>
      <c r="AB25" s="162" t="s">
        <v>5315</v>
      </c>
      <c r="AC25" s="771" t="s">
        <v>5316</v>
      </c>
      <c r="AD25" s="2800" t="s">
        <v>5317</v>
      </c>
      <c r="AE25" s="2800" t="s">
        <v>5318</v>
      </c>
      <c r="AF25" s="153" t="s">
        <v>5319</v>
      </c>
      <c r="AG25" s="2800" t="s">
        <v>5320</v>
      </c>
      <c r="AH25" s="2800" t="s">
        <v>5321</v>
      </c>
      <c r="AI25" s="1687" t="e">
        <f t="shared" si="8"/>
        <v>#VALUE!</v>
      </c>
      <c r="CB25" s="2784" t="str">
        <f t="shared" si="9"/>
        <v xml:space="preserve">* El Número de Familias en Riesgo no puede superar el Total. </v>
      </c>
      <c r="CC25" s="2784" t="str">
        <f t="shared" si="0"/>
        <v xml:space="preserve">* La variable Pueblos Originarios no puede superar el Total. </v>
      </c>
      <c r="CD25" s="2784" t="str">
        <f t="shared" si="1"/>
        <v xml:space="preserve">* La variable Migrantes no puede superar el Total. </v>
      </c>
      <c r="CE25" s="2784" t="str">
        <f t="shared" si="2"/>
        <v xml:space="preserve">* La variable Espacios Amigables/ Adolescentes no puede superar el Total. </v>
      </c>
      <c r="CF25" s="2784" t="e">
        <f t="shared" si="3"/>
        <v>#VALUE!</v>
      </c>
      <c r="CG25" s="2630"/>
      <c r="CK25" s="600"/>
      <c r="CL25" s="1725">
        <f t="shared" si="10"/>
        <v>1</v>
      </c>
      <c r="CM25" s="1725">
        <f t="shared" si="4"/>
        <v>1</v>
      </c>
      <c r="CN25" s="1725">
        <f t="shared" si="5"/>
        <v>1</v>
      </c>
      <c r="CO25" s="1725">
        <f t="shared" si="6"/>
        <v>1</v>
      </c>
      <c r="CP25" s="1725" t="e">
        <f t="shared" si="7"/>
        <v>#VALUE!</v>
      </c>
    </row>
    <row r="26" spans="1:94" s="170" customFormat="1" ht="15" customHeight="1" x14ac:dyDescent="0.3">
      <c r="A26" s="6234">
        <v>27300902</v>
      </c>
      <c r="B26" s="6398"/>
      <c r="C26" s="6379" t="s">
        <v>2264</v>
      </c>
      <c r="D26" s="2805" t="s">
        <v>2265</v>
      </c>
      <c r="E26" s="2772" t="s">
        <v>5292</v>
      </c>
      <c r="F26" s="106" t="s">
        <v>5293</v>
      </c>
      <c r="G26" s="1923" t="s">
        <v>5294</v>
      </c>
      <c r="H26" s="1923" t="s">
        <v>5295</v>
      </c>
      <c r="I26" s="2806" t="s">
        <v>5296</v>
      </c>
      <c r="J26" s="2807" t="s">
        <v>5297</v>
      </c>
      <c r="K26" s="1924" t="s">
        <v>5298</v>
      </c>
      <c r="L26" s="1923" t="s">
        <v>5299</v>
      </c>
      <c r="M26" s="1923" t="s">
        <v>5300</v>
      </c>
      <c r="N26" s="1923" t="s">
        <v>5301</v>
      </c>
      <c r="O26" s="1923" t="s">
        <v>5302</v>
      </c>
      <c r="P26" s="1923" t="s">
        <v>5303</v>
      </c>
      <c r="Q26" s="1923" t="s">
        <v>5304</v>
      </c>
      <c r="R26" s="1923" t="s">
        <v>5305</v>
      </c>
      <c r="S26" s="1923" t="s">
        <v>5306</v>
      </c>
      <c r="T26" s="1923" t="s">
        <v>5307</v>
      </c>
      <c r="U26" s="1923" t="s">
        <v>5308</v>
      </c>
      <c r="V26" s="1923" t="s">
        <v>5309</v>
      </c>
      <c r="W26" s="1923" t="s">
        <v>5310</v>
      </c>
      <c r="X26" s="1923" t="s">
        <v>5311</v>
      </c>
      <c r="Y26" s="2803" t="s">
        <v>5312</v>
      </c>
      <c r="Z26" s="2808" t="s">
        <v>5313</v>
      </c>
      <c r="AA26" s="2806" t="s">
        <v>5314</v>
      </c>
      <c r="AB26" s="2809" t="s">
        <v>5315</v>
      </c>
      <c r="AC26" s="2810" t="s">
        <v>5316</v>
      </c>
      <c r="AD26" s="2782" t="s">
        <v>5317</v>
      </c>
      <c r="AE26" s="2782" t="s">
        <v>5318</v>
      </c>
      <c r="AF26" s="4464" t="s">
        <v>5319</v>
      </c>
      <c r="AG26" s="2782" t="s">
        <v>5320</v>
      </c>
      <c r="AH26" s="2782" t="s">
        <v>5321</v>
      </c>
      <c r="AI26" s="1687" t="e">
        <f t="shared" si="8"/>
        <v>#VALUE!</v>
      </c>
      <c r="CB26" s="2784" t="str">
        <f t="shared" si="9"/>
        <v xml:space="preserve">* El Número de Familias en Riesgo no puede superar el Total. </v>
      </c>
      <c r="CC26" s="2784" t="str">
        <f t="shared" si="0"/>
        <v xml:space="preserve">* La variable Pueblos Originarios no puede superar el Total. </v>
      </c>
      <c r="CD26" s="2784" t="str">
        <f t="shared" si="1"/>
        <v xml:space="preserve">* La variable Migrantes no puede superar el Total. </v>
      </c>
      <c r="CE26" s="3018"/>
      <c r="CF26" s="2784" t="e">
        <f t="shared" si="3"/>
        <v>#VALUE!</v>
      </c>
      <c r="CG26" s="2630"/>
      <c r="CK26" s="600"/>
      <c r="CL26" s="1725">
        <f t="shared" si="10"/>
        <v>1</v>
      </c>
      <c r="CM26" s="1725">
        <f t="shared" si="4"/>
        <v>1</v>
      </c>
      <c r="CN26" s="1725">
        <f t="shared" si="5"/>
        <v>1</v>
      </c>
      <c r="CO26" s="2783"/>
      <c r="CP26" s="1725" t="e">
        <f t="shared" si="7"/>
        <v>#VALUE!</v>
      </c>
    </row>
    <row r="27" spans="1:94" s="170" customFormat="1" ht="15" customHeight="1" x14ac:dyDescent="0.3">
      <c r="A27" s="6234">
        <v>27300903</v>
      </c>
      <c r="B27" s="6398"/>
      <c r="C27" s="6349"/>
      <c r="D27" s="2799" t="s">
        <v>2266</v>
      </c>
      <c r="E27" s="911" t="s">
        <v>5292</v>
      </c>
      <c r="F27" s="1072" t="s">
        <v>5293</v>
      </c>
      <c r="G27" s="1923" t="s">
        <v>5294</v>
      </c>
      <c r="H27" s="1923" t="s">
        <v>5295</v>
      </c>
      <c r="I27" s="1950" t="s">
        <v>5296</v>
      </c>
      <c r="J27" s="868" t="s">
        <v>5297</v>
      </c>
      <c r="K27" s="2811" t="s">
        <v>5298</v>
      </c>
      <c r="L27" s="2392" t="s">
        <v>5299</v>
      </c>
      <c r="M27" s="2392" t="s">
        <v>5300</v>
      </c>
      <c r="N27" s="2392" t="s">
        <v>5301</v>
      </c>
      <c r="O27" s="2392" t="s">
        <v>5302</v>
      </c>
      <c r="P27" s="2392" t="s">
        <v>5303</v>
      </c>
      <c r="Q27" s="2392" t="s">
        <v>5304</v>
      </c>
      <c r="R27" s="2392" t="s">
        <v>5305</v>
      </c>
      <c r="S27" s="2392" t="s">
        <v>5306</v>
      </c>
      <c r="T27" s="2392" t="s">
        <v>5307</v>
      </c>
      <c r="U27" s="2392" t="s">
        <v>5308</v>
      </c>
      <c r="V27" s="2392" t="s">
        <v>5309</v>
      </c>
      <c r="W27" s="2392" t="s">
        <v>5310</v>
      </c>
      <c r="X27" s="2392" t="s">
        <v>5311</v>
      </c>
      <c r="Y27" s="910" t="s">
        <v>5312</v>
      </c>
      <c r="Z27" s="2812" t="s">
        <v>5313</v>
      </c>
      <c r="AA27" s="1950" t="s">
        <v>5314</v>
      </c>
      <c r="AB27" s="2813" t="s">
        <v>5315</v>
      </c>
      <c r="AC27" s="1062" t="s">
        <v>5316</v>
      </c>
      <c r="AD27" s="83" t="s">
        <v>5317</v>
      </c>
      <c r="AE27" s="83" t="s">
        <v>5318</v>
      </c>
      <c r="AF27" s="3145" t="s">
        <v>5319</v>
      </c>
      <c r="AG27" s="83" t="s">
        <v>5320</v>
      </c>
      <c r="AH27" s="83" t="s">
        <v>5321</v>
      </c>
      <c r="AI27" s="1687" t="e">
        <f t="shared" si="8"/>
        <v>#VALUE!</v>
      </c>
      <c r="CB27" s="2784" t="str">
        <f t="shared" si="9"/>
        <v xml:space="preserve">* El Número de Familias en Riesgo no puede superar el Total. </v>
      </c>
      <c r="CC27" s="2784" t="str">
        <f t="shared" si="0"/>
        <v xml:space="preserve">* La variable Pueblos Originarios no puede superar el Total. </v>
      </c>
      <c r="CD27" s="2784" t="str">
        <f t="shared" si="1"/>
        <v xml:space="preserve">* La variable Migrantes no puede superar el Total. </v>
      </c>
      <c r="CE27" s="2784" t="str">
        <f t="shared" si="2"/>
        <v xml:space="preserve">* La variable Espacios Amigables/ Adolescentes no puede superar el Total. </v>
      </c>
      <c r="CF27" s="2784" t="e">
        <f t="shared" si="3"/>
        <v>#VALUE!</v>
      </c>
      <c r="CG27" s="2630"/>
      <c r="CK27" s="600"/>
      <c r="CL27" s="1725">
        <f t="shared" si="10"/>
        <v>1</v>
      </c>
      <c r="CM27" s="1725">
        <f t="shared" si="4"/>
        <v>1</v>
      </c>
      <c r="CN27" s="1725">
        <f t="shared" si="5"/>
        <v>1</v>
      </c>
      <c r="CO27" s="1725">
        <f t="shared" si="6"/>
        <v>1</v>
      </c>
      <c r="CP27" s="1725" t="e">
        <f t="shared" si="7"/>
        <v>#VALUE!</v>
      </c>
    </row>
    <row r="28" spans="1:94" s="170" customFormat="1" ht="15" customHeight="1" x14ac:dyDescent="0.3">
      <c r="A28" s="6234">
        <v>27300904</v>
      </c>
      <c r="B28" s="6398"/>
      <c r="C28" s="6350"/>
      <c r="D28" s="2814" t="s">
        <v>28</v>
      </c>
      <c r="E28" s="150" t="s">
        <v>5292</v>
      </c>
      <c r="F28" s="114" t="s">
        <v>5293</v>
      </c>
      <c r="G28" s="2815" t="s">
        <v>5294</v>
      </c>
      <c r="H28" s="2815" t="s">
        <v>5295</v>
      </c>
      <c r="I28" s="197" t="s">
        <v>5296</v>
      </c>
      <c r="J28" s="866" t="s">
        <v>5297</v>
      </c>
      <c r="K28" s="197" t="s">
        <v>5298</v>
      </c>
      <c r="L28" s="225" t="s">
        <v>5299</v>
      </c>
      <c r="M28" s="225" t="s">
        <v>5300</v>
      </c>
      <c r="N28" s="225" t="s">
        <v>5301</v>
      </c>
      <c r="O28" s="225" t="s">
        <v>5302</v>
      </c>
      <c r="P28" s="225" t="s">
        <v>5303</v>
      </c>
      <c r="Q28" s="225" t="s">
        <v>5304</v>
      </c>
      <c r="R28" s="225" t="s">
        <v>5305</v>
      </c>
      <c r="S28" s="225" t="s">
        <v>5306</v>
      </c>
      <c r="T28" s="225" t="s">
        <v>5307</v>
      </c>
      <c r="U28" s="225" t="s">
        <v>5308</v>
      </c>
      <c r="V28" s="225" t="s">
        <v>5309</v>
      </c>
      <c r="W28" s="225" t="s">
        <v>5310</v>
      </c>
      <c r="X28" s="225" t="s">
        <v>5311</v>
      </c>
      <c r="Y28" s="913" t="s">
        <v>5312</v>
      </c>
      <c r="Z28" s="2816" t="s">
        <v>5313</v>
      </c>
      <c r="AA28" s="225" t="s">
        <v>5314</v>
      </c>
      <c r="AB28" s="2817" t="s">
        <v>5315</v>
      </c>
      <c r="AC28" s="2413" t="s">
        <v>5316</v>
      </c>
      <c r="AD28" s="2413" t="s">
        <v>5317</v>
      </c>
      <c r="AE28" s="2413" t="s">
        <v>5318</v>
      </c>
      <c r="AF28" s="4465" t="s">
        <v>5319</v>
      </c>
      <c r="AG28" s="2413" t="s">
        <v>5320</v>
      </c>
      <c r="AH28" s="2413" t="s">
        <v>5321</v>
      </c>
      <c r="AI28" s="1687" t="e">
        <f t="shared" si="8"/>
        <v>#VALUE!</v>
      </c>
      <c r="CB28" s="2784" t="str">
        <f t="shared" si="9"/>
        <v xml:space="preserve">* El Número de Familias en Riesgo no puede superar el Total. </v>
      </c>
      <c r="CC28" s="2784" t="str">
        <f t="shared" si="0"/>
        <v xml:space="preserve">* La variable Pueblos Originarios no puede superar el Total. </v>
      </c>
      <c r="CD28" s="2784" t="str">
        <f t="shared" si="1"/>
        <v xml:space="preserve">* La variable Migrantes no puede superar el Total. </v>
      </c>
      <c r="CE28" s="2784" t="str">
        <f t="shared" si="2"/>
        <v xml:space="preserve">* La variable Espacios Amigables/ Adolescentes no puede superar el Total. </v>
      </c>
      <c r="CF28" s="2784" t="e">
        <f t="shared" si="3"/>
        <v>#VALUE!</v>
      </c>
      <c r="CG28" s="2630"/>
      <c r="CK28" s="600"/>
      <c r="CL28" s="1725">
        <f t="shared" si="10"/>
        <v>1</v>
      </c>
      <c r="CM28" s="1725">
        <f t="shared" si="4"/>
        <v>1</v>
      </c>
      <c r="CN28" s="1725">
        <f t="shared" si="5"/>
        <v>1</v>
      </c>
      <c r="CO28" s="1725">
        <f t="shared" si="6"/>
        <v>1</v>
      </c>
      <c r="CP28" s="1725" t="e">
        <f t="shared" si="7"/>
        <v>#VALUE!</v>
      </c>
    </row>
    <row r="29" spans="1:94" s="170" customFormat="1" ht="15" customHeight="1" x14ac:dyDescent="0.3">
      <c r="A29" s="6234">
        <v>27300700</v>
      </c>
      <c r="B29" s="6398"/>
      <c r="C29" s="6379" t="s">
        <v>2267</v>
      </c>
      <c r="D29" s="2785" t="s">
        <v>2268</v>
      </c>
      <c r="E29" s="2786" t="s">
        <v>5292</v>
      </c>
      <c r="F29" s="2408" t="s">
        <v>5293</v>
      </c>
      <c r="G29" s="320" t="s">
        <v>5294</v>
      </c>
      <c r="H29" s="320" t="s">
        <v>5295</v>
      </c>
      <c r="I29" s="320" t="s">
        <v>5296</v>
      </c>
      <c r="J29" s="2818" t="s">
        <v>5297</v>
      </c>
      <c r="K29" s="2819" t="s">
        <v>5298</v>
      </c>
      <c r="L29" s="2820" t="s">
        <v>5299</v>
      </c>
      <c r="M29" s="2820" t="s">
        <v>5300</v>
      </c>
      <c r="N29" s="2821" t="s">
        <v>5301</v>
      </c>
      <c r="O29" s="2821" t="s">
        <v>5302</v>
      </c>
      <c r="P29" s="2821" t="s">
        <v>5303</v>
      </c>
      <c r="Q29" s="2821" t="s">
        <v>5304</v>
      </c>
      <c r="R29" s="2821" t="s">
        <v>5305</v>
      </c>
      <c r="S29" s="2821" t="s">
        <v>5306</v>
      </c>
      <c r="T29" s="2821" t="s">
        <v>5307</v>
      </c>
      <c r="U29" s="2821" t="s">
        <v>5308</v>
      </c>
      <c r="V29" s="2821" t="s">
        <v>5309</v>
      </c>
      <c r="W29" s="2821" t="s">
        <v>5310</v>
      </c>
      <c r="X29" s="2821" t="s">
        <v>5311</v>
      </c>
      <c r="Y29" s="2821" t="s">
        <v>5312</v>
      </c>
      <c r="Z29" s="2822" t="s">
        <v>5313</v>
      </c>
      <c r="AA29" s="2777" t="s">
        <v>5314</v>
      </c>
      <c r="AB29" s="2780" t="s">
        <v>5315</v>
      </c>
      <c r="AC29" s="2782" t="s">
        <v>5316</v>
      </c>
      <c r="AD29" s="2782" t="s">
        <v>5317</v>
      </c>
      <c r="AE29" s="2782" t="s">
        <v>5318</v>
      </c>
      <c r="AF29" s="2782" t="s">
        <v>5319</v>
      </c>
      <c r="AG29" s="2782" t="s">
        <v>5320</v>
      </c>
      <c r="AH29" s="2782" t="s">
        <v>5321</v>
      </c>
      <c r="AI29" s="1687" t="e">
        <f t="shared" si="8"/>
        <v>#VALUE!</v>
      </c>
      <c r="CB29" s="2784" t="str">
        <f t="shared" si="9"/>
        <v xml:space="preserve">* El Número de Familias en Riesgo no puede superar el Total. </v>
      </c>
      <c r="CC29" s="2784" t="str">
        <f t="shared" si="0"/>
        <v xml:space="preserve">* La variable Pueblos Originarios no puede superar el Total. </v>
      </c>
      <c r="CD29" s="2784" t="str">
        <f t="shared" si="1"/>
        <v xml:space="preserve">* La variable Migrantes no puede superar el Total. </v>
      </c>
      <c r="CE29" s="2784" t="str">
        <f t="shared" si="2"/>
        <v xml:space="preserve">* La variable Espacios Amigables/ Adolescentes no puede superar el Total. </v>
      </c>
      <c r="CF29" s="2784" t="e">
        <f t="shared" si="3"/>
        <v>#VALUE!</v>
      </c>
      <c r="CG29" s="2630"/>
      <c r="CK29" s="600"/>
      <c r="CL29" s="1725">
        <f t="shared" si="10"/>
        <v>1</v>
      </c>
      <c r="CM29" s="1725">
        <f t="shared" si="4"/>
        <v>1</v>
      </c>
      <c r="CN29" s="1725">
        <f t="shared" si="5"/>
        <v>1</v>
      </c>
      <c r="CO29" s="1725">
        <f t="shared" si="6"/>
        <v>1</v>
      </c>
      <c r="CP29" s="1725" t="e">
        <f t="shared" si="7"/>
        <v>#VALUE!</v>
      </c>
    </row>
    <row r="30" spans="1:94" s="170" customFormat="1" ht="15" customHeight="1" x14ac:dyDescent="0.3">
      <c r="A30" s="6234">
        <v>27400100</v>
      </c>
      <c r="B30" s="6398"/>
      <c r="C30" s="6349"/>
      <c r="D30" s="2823" t="s">
        <v>2269</v>
      </c>
      <c r="E30" s="1058" t="s">
        <v>5292</v>
      </c>
      <c r="F30" s="3823" t="s">
        <v>5293</v>
      </c>
      <c r="G30" s="891" t="s">
        <v>5294</v>
      </c>
      <c r="H30" s="891" t="s">
        <v>5295</v>
      </c>
      <c r="I30" s="891" t="s">
        <v>5296</v>
      </c>
      <c r="J30" s="83" t="s">
        <v>5297</v>
      </c>
      <c r="K30" s="2092" t="s">
        <v>5298</v>
      </c>
      <c r="L30" s="2392" t="s">
        <v>5299</v>
      </c>
      <c r="M30" s="2392" t="s">
        <v>5300</v>
      </c>
      <c r="N30" s="2804" t="s">
        <v>5301</v>
      </c>
      <c r="O30" s="2804" t="s">
        <v>5302</v>
      </c>
      <c r="P30" s="2804" t="s">
        <v>5303</v>
      </c>
      <c r="Q30" s="2804" t="s">
        <v>5304</v>
      </c>
      <c r="R30" s="2804" t="s">
        <v>5305</v>
      </c>
      <c r="S30" s="2804" t="s">
        <v>5306</v>
      </c>
      <c r="T30" s="2804" t="s">
        <v>5307</v>
      </c>
      <c r="U30" s="2804" t="s">
        <v>5308</v>
      </c>
      <c r="V30" s="2804" t="s">
        <v>5309</v>
      </c>
      <c r="W30" s="2804" t="s">
        <v>5310</v>
      </c>
      <c r="X30" s="2804" t="s">
        <v>5311</v>
      </c>
      <c r="Y30" s="2804" t="s">
        <v>5312</v>
      </c>
      <c r="Z30" s="2812" t="s">
        <v>5313</v>
      </c>
      <c r="AA30" s="1950" t="s">
        <v>5314</v>
      </c>
      <c r="AB30" s="2813" t="s">
        <v>5315</v>
      </c>
      <c r="AC30" s="83" t="s">
        <v>5316</v>
      </c>
      <c r="AD30" s="83" t="s">
        <v>5317</v>
      </c>
      <c r="AE30" s="83" t="s">
        <v>5318</v>
      </c>
      <c r="AF30" s="83" t="s">
        <v>5319</v>
      </c>
      <c r="AG30" s="83" t="s">
        <v>5320</v>
      </c>
      <c r="AH30" s="83" t="s">
        <v>5321</v>
      </c>
      <c r="AI30" s="1687" t="e">
        <f t="shared" si="8"/>
        <v>#VALUE!</v>
      </c>
      <c r="CB30" s="2784" t="str">
        <f t="shared" si="9"/>
        <v xml:space="preserve">* El Número de Familias en Riesgo no puede superar el Total. </v>
      </c>
      <c r="CC30" s="2784" t="str">
        <f t="shared" si="0"/>
        <v xml:space="preserve">* La variable Pueblos Originarios no puede superar el Total. </v>
      </c>
      <c r="CD30" s="2784" t="str">
        <f t="shared" si="1"/>
        <v xml:space="preserve">* La variable Migrantes no puede superar el Total. </v>
      </c>
      <c r="CE30" s="2784" t="str">
        <f t="shared" si="2"/>
        <v xml:space="preserve">* La variable Espacios Amigables/ Adolescentes no puede superar el Total. </v>
      </c>
      <c r="CF30" s="2784" t="e">
        <f t="shared" si="3"/>
        <v>#VALUE!</v>
      </c>
      <c r="CG30" s="2630"/>
      <c r="CK30" s="600"/>
      <c r="CL30" s="1725">
        <f t="shared" si="10"/>
        <v>1</v>
      </c>
      <c r="CM30" s="1725">
        <f t="shared" si="4"/>
        <v>1</v>
      </c>
      <c r="CN30" s="1725">
        <f t="shared" si="5"/>
        <v>1</v>
      </c>
      <c r="CO30" s="1725">
        <f t="shared" si="6"/>
        <v>1</v>
      </c>
      <c r="CP30" s="1725" t="e">
        <f t="shared" si="7"/>
        <v>#VALUE!</v>
      </c>
    </row>
    <row r="31" spans="1:94" s="170" customFormat="1" ht="15" customHeight="1" x14ac:dyDescent="0.3">
      <c r="A31" s="6234">
        <v>27400150</v>
      </c>
      <c r="B31" s="6398"/>
      <c r="C31" s="6350"/>
      <c r="D31" s="2814" t="s">
        <v>28</v>
      </c>
      <c r="E31" s="150" t="s">
        <v>5292</v>
      </c>
      <c r="F31" s="2410" t="s">
        <v>5293</v>
      </c>
      <c r="G31" s="2411" t="s">
        <v>5294</v>
      </c>
      <c r="H31" s="2411" t="s">
        <v>5295</v>
      </c>
      <c r="I31" s="2411" t="s">
        <v>5296</v>
      </c>
      <c r="J31" s="2800" t="s">
        <v>5297</v>
      </c>
      <c r="K31" s="197" t="s">
        <v>5298</v>
      </c>
      <c r="L31" s="225" t="s">
        <v>5299</v>
      </c>
      <c r="M31" s="225" t="s">
        <v>5300</v>
      </c>
      <c r="N31" s="913" t="s">
        <v>5301</v>
      </c>
      <c r="O31" s="913" t="s">
        <v>5302</v>
      </c>
      <c r="P31" s="913" t="s">
        <v>5303</v>
      </c>
      <c r="Q31" s="913" t="s">
        <v>5304</v>
      </c>
      <c r="R31" s="913" t="s">
        <v>5305</v>
      </c>
      <c r="S31" s="913" t="s">
        <v>5306</v>
      </c>
      <c r="T31" s="913" t="s">
        <v>5307</v>
      </c>
      <c r="U31" s="913" t="s">
        <v>5308</v>
      </c>
      <c r="V31" s="913" t="s">
        <v>5309</v>
      </c>
      <c r="W31" s="913" t="s">
        <v>5310</v>
      </c>
      <c r="X31" s="913" t="s">
        <v>5311</v>
      </c>
      <c r="Y31" s="913" t="s">
        <v>5312</v>
      </c>
      <c r="Z31" s="2816" t="s">
        <v>5313</v>
      </c>
      <c r="AA31" s="225" t="s">
        <v>5314</v>
      </c>
      <c r="AB31" s="2817" t="s">
        <v>5315</v>
      </c>
      <c r="AC31" s="2800" t="s">
        <v>5316</v>
      </c>
      <c r="AD31" s="2800" t="s">
        <v>5317</v>
      </c>
      <c r="AE31" s="2800" t="s">
        <v>5318</v>
      </c>
      <c r="AF31" s="2800" t="s">
        <v>5319</v>
      </c>
      <c r="AG31" s="2800" t="s">
        <v>5320</v>
      </c>
      <c r="AH31" s="2800" t="s">
        <v>5321</v>
      </c>
      <c r="AI31" s="1687" t="e">
        <f t="shared" si="8"/>
        <v>#VALUE!</v>
      </c>
      <c r="CB31" s="2784" t="str">
        <f t="shared" si="9"/>
        <v xml:space="preserve">* El Número de Familias en Riesgo no puede superar el Total. </v>
      </c>
      <c r="CC31" s="2784" t="str">
        <f t="shared" si="0"/>
        <v xml:space="preserve">* La variable Pueblos Originarios no puede superar el Total. </v>
      </c>
      <c r="CD31" s="2784" t="str">
        <f t="shared" si="1"/>
        <v xml:space="preserve">* La variable Migrantes no puede superar el Total. </v>
      </c>
      <c r="CE31" s="2784" t="str">
        <f t="shared" si="2"/>
        <v xml:space="preserve">* La variable Espacios Amigables/ Adolescentes no puede superar el Total. </v>
      </c>
      <c r="CF31" s="2784" t="e">
        <f t="shared" si="3"/>
        <v>#VALUE!</v>
      </c>
      <c r="CG31" s="2630"/>
      <c r="CK31" s="600"/>
      <c r="CL31" s="1725">
        <f t="shared" si="10"/>
        <v>1</v>
      </c>
      <c r="CM31" s="1725">
        <f t="shared" si="4"/>
        <v>1</v>
      </c>
      <c r="CN31" s="1725">
        <f t="shared" si="5"/>
        <v>1</v>
      </c>
      <c r="CO31" s="1725">
        <f t="shared" si="6"/>
        <v>1</v>
      </c>
      <c r="CP31" s="1725" t="e">
        <f t="shared" si="7"/>
        <v>#VALUE!</v>
      </c>
    </row>
    <row r="32" spans="1:94" s="170" customFormat="1" ht="15" customHeight="1" x14ac:dyDescent="0.3">
      <c r="A32" s="6234">
        <v>27290700</v>
      </c>
      <c r="B32" s="6398"/>
      <c r="C32" s="8167" t="s">
        <v>2270</v>
      </c>
      <c r="D32" s="8168"/>
      <c r="E32" s="2824" t="s">
        <v>5292</v>
      </c>
      <c r="F32" s="2825" t="s">
        <v>5293</v>
      </c>
      <c r="G32" s="2826" t="s">
        <v>5294</v>
      </c>
      <c r="H32" s="2826" t="s">
        <v>5295</v>
      </c>
      <c r="I32" s="2826" t="s">
        <v>5296</v>
      </c>
      <c r="J32" s="2827" t="s">
        <v>5297</v>
      </c>
      <c r="K32" s="2828" t="s">
        <v>5298</v>
      </c>
      <c r="L32" s="2826" t="s">
        <v>5299</v>
      </c>
      <c r="M32" s="2826" t="s">
        <v>5300</v>
      </c>
      <c r="N32" s="2829" t="s">
        <v>5301</v>
      </c>
      <c r="O32" s="2829" t="s">
        <v>5302</v>
      </c>
      <c r="P32" s="2829" t="s">
        <v>5303</v>
      </c>
      <c r="Q32" s="2829" t="s">
        <v>5304</v>
      </c>
      <c r="R32" s="2829" t="s">
        <v>5305</v>
      </c>
      <c r="S32" s="2829" t="s">
        <v>5306</v>
      </c>
      <c r="T32" s="2829" t="s">
        <v>5307</v>
      </c>
      <c r="U32" s="2829" t="s">
        <v>5308</v>
      </c>
      <c r="V32" s="2829" t="s">
        <v>5309</v>
      </c>
      <c r="W32" s="2829" t="s">
        <v>5310</v>
      </c>
      <c r="X32" s="2829" t="s">
        <v>5311</v>
      </c>
      <c r="Y32" s="2829" t="s">
        <v>5312</v>
      </c>
      <c r="Z32" s="2830" t="s">
        <v>5313</v>
      </c>
      <c r="AA32" s="2826" t="s">
        <v>5314</v>
      </c>
      <c r="AB32" s="2831" t="s">
        <v>5315</v>
      </c>
      <c r="AC32" s="2827" t="s">
        <v>5316</v>
      </c>
      <c r="AD32" s="2827" t="s">
        <v>5317</v>
      </c>
      <c r="AE32" s="2827" t="s">
        <v>5318</v>
      </c>
      <c r="AF32" s="2827" t="s">
        <v>5319</v>
      </c>
      <c r="AG32" s="2827" t="s">
        <v>5320</v>
      </c>
      <c r="AH32" s="2827" t="s">
        <v>5321</v>
      </c>
      <c r="AI32" s="1687" t="e">
        <f t="shared" si="8"/>
        <v>#VALUE!</v>
      </c>
      <c r="CB32" s="2784" t="str">
        <f t="shared" si="9"/>
        <v xml:space="preserve">* El Número de Familias en Riesgo no puede superar el Total. </v>
      </c>
      <c r="CC32" s="2784" t="str">
        <f t="shared" si="0"/>
        <v xml:space="preserve">* La variable Pueblos Originarios no puede superar el Total. </v>
      </c>
      <c r="CD32" s="2784" t="str">
        <f t="shared" si="1"/>
        <v xml:space="preserve">* La variable Migrantes no puede superar el Total. </v>
      </c>
      <c r="CE32" s="2784" t="str">
        <f t="shared" si="2"/>
        <v xml:space="preserve">* La variable Espacios Amigables/ Adolescentes no puede superar el Total. </v>
      </c>
      <c r="CF32" s="2784" t="e">
        <f t="shared" si="3"/>
        <v>#VALUE!</v>
      </c>
      <c r="CG32" s="2630"/>
      <c r="CK32" s="600"/>
      <c r="CL32" s="1725">
        <f t="shared" si="10"/>
        <v>1</v>
      </c>
      <c r="CM32" s="1725">
        <f t="shared" si="4"/>
        <v>1</v>
      </c>
      <c r="CN32" s="1725">
        <f t="shared" si="5"/>
        <v>1</v>
      </c>
      <c r="CO32" s="1725">
        <f t="shared" si="6"/>
        <v>1</v>
      </c>
      <c r="CP32" s="1725" t="e">
        <f t="shared" si="7"/>
        <v>#VALUE!</v>
      </c>
    </row>
    <row r="33" spans="1:94" s="170" customFormat="1" ht="15" customHeight="1" x14ac:dyDescent="0.3">
      <c r="A33" s="6234">
        <v>27300919</v>
      </c>
      <c r="B33" s="6398"/>
      <c r="C33" s="6350" t="s">
        <v>2271</v>
      </c>
      <c r="D33" s="1929" t="s">
        <v>2272</v>
      </c>
      <c r="E33" s="1692" t="s">
        <v>5292</v>
      </c>
      <c r="F33" s="106" t="s">
        <v>5293</v>
      </c>
      <c r="G33" s="1069" t="s">
        <v>5294</v>
      </c>
      <c r="H33" s="1069" t="s">
        <v>5295</v>
      </c>
      <c r="I33" s="1069" t="s">
        <v>5296</v>
      </c>
      <c r="J33" s="105" t="s">
        <v>5297</v>
      </c>
      <c r="K33" s="588" t="s">
        <v>5298</v>
      </c>
      <c r="L33" s="1069" t="s">
        <v>5299</v>
      </c>
      <c r="M33" s="1069" t="s">
        <v>5300</v>
      </c>
      <c r="N33" s="839" t="s">
        <v>5301</v>
      </c>
      <c r="O33" s="839" t="s">
        <v>5302</v>
      </c>
      <c r="P33" s="839" t="s">
        <v>5303</v>
      </c>
      <c r="Q33" s="839" t="s">
        <v>5304</v>
      </c>
      <c r="R33" s="839" t="s">
        <v>5305</v>
      </c>
      <c r="S33" s="839" t="s">
        <v>5306</v>
      </c>
      <c r="T33" s="839" t="s">
        <v>5307</v>
      </c>
      <c r="U33" s="839" t="s">
        <v>5308</v>
      </c>
      <c r="V33" s="839" t="s">
        <v>5309</v>
      </c>
      <c r="W33" s="839" t="s">
        <v>5310</v>
      </c>
      <c r="X33" s="839" t="s">
        <v>5311</v>
      </c>
      <c r="Y33" s="839" t="s">
        <v>5312</v>
      </c>
      <c r="Z33" s="2802" t="s">
        <v>5313</v>
      </c>
      <c r="AA33" s="1069" t="s">
        <v>5314</v>
      </c>
      <c r="AB33" s="772" t="s">
        <v>5315</v>
      </c>
      <c r="AC33" s="105" t="s">
        <v>5316</v>
      </c>
      <c r="AD33" s="105" t="s">
        <v>5317</v>
      </c>
      <c r="AE33" s="105" t="s">
        <v>5318</v>
      </c>
      <c r="AF33" s="105" t="s">
        <v>5319</v>
      </c>
      <c r="AG33" s="105" t="s">
        <v>5320</v>
      </c>
      <c r="AH33" s="105" t="s">
        <v>5321</v>
      </c>
      <c r="AI33" s="1687" t="e">
        <f t="shared" si="8"/>
        <v>#VALUE!</v>
      </c>
      <c r="CB33" s="2784" t="str">
        <f t="shared" si="9"/>
        <v xml:space="preserve">* El Número de Familias en Riesgo no puede superar el Total. </v>
      </c>
      <c r="CC33" s="2784" t="str">
        <f t="shared" si="0"/>
        <v xml:space="preserve">* La variable Pueblos Originarios no puede superar el Total. </v>
      </c>
      <c r="CD33" s="2784" t="str">
        <f t="shared" si="1"/>
        <v xml:space="preserve">* La variable Migrantes no puede superar el Total. </v>
      </c>
      <c r="CE33" s="2784" t="str">
        <f t="shared" si="2"/>
        <v xml:space="preserve">* La variable Espacios Amigables/ Adolescentes no puede superar el Total. </v>
      </c>
      <c r="CF33" s="2784" t="e">
        <f t="shared" si="3"/>
        <v>#VALUE!</v>
      </c>
      <c r="CG33" s="2630"/>
      <c r="CK33" s="600"/>
      <c r="CL33" s="1725">
        <f t="shared" si="10"/>
        <v>1</v>
      </c>
      <c r="CM33" s="1725">
        <f t="shared" si="4"/>
        <v>1</v>
      </c>
      <c r="CN33" s="1725">
        <f t="shared" si="5"/>
        <v>1</v>
      </c>
      <c r="CO33" s="1725">
        <f t="shared" si="6"/>
        <v>1</v>
      </c>
      <c r="CP33" s="1725" t="e">
        <f t="shared" si="7"/>
        <v>#VALUE!</v>
      </c>
    </row>
    <row r="34" spans="1:94" s="170" customFormat="1" ht="15" customHeight="1" x14ac:dyDescent="0.3">
      <c r="A34" s="6234">
        <v>27300920</v>
      </c>
      <c r="B34" s="6398"/>
      <c r="C34" s="8169"/>
      <c r="D34" s="2792" t="s">
        <v>2273</v>
      </c>
      <c r="E34" s="1058" t="s">
        <v>5292</v>
      </c>
      <c r="F34" s="1072" t="s">
        <v>5293</v>
      </c>
      <c r="G34" s="1073" t="s">
        <v>5294</v>
      </c>
      <c r="H34" s="1073" t="s">
        <v>5295</v>
      </c>
      <c r="I34" s="1073" t="s">
        <v>5296</v>
      </c>
      <c r="J34" s="83" t="s">
        <v>5297</v>
      </c>
      <c r="K34" s="2092" t="s">
        <v>5298</v>
      </c>
      <c r="L34" s="1073" t="s">
        <v>5299</v>
      </c>
      <c r="M34" s="1073" t="s">
        <v>5300</v>
      </c>
      <c r="N34" s="1080" t="s">
        <v>5301</v>
      </c>
      <c r="O34" s="1080" t="s">
        <v>5302</v>
      </c>
      <c r="P34" s="1080" t="s">
        <v>5303</v>
      </c>
      <c r="Q34" s="1080" t="s">
        <v>5304</v>
      </c>
      <c r="R34" s="1080" t="s">
        <v>5305</v>
      </c>
      <c r="S34" s="1080" t="s">
        <v>5306</v>
      </c>
      <c r="T34" s="1080" t="s">
        <v>5307</v>
      </c>
      <c r="U34" s="1080" t="s">
        <v>5308</v>
      </c>
      <c r="V34" s="1080" t="s">
        <v>5309</v>
      </c>
      <c r="W34" s="1080" t="s">
        <v>5310</v>
      </c>
      <c r="X34" s="1080" t="s">
        <v>5311</v>
      </c>
      <c r="Y34" s="1080" t="s">
        <v>5312</v>
      </c>
      <c r="Z34" s="1114" t="s">
        <v>5313</v>
      </c>
      <c r="AA34" s="1073" t="s">
        <v>5314</v>
      </c>
      <c r="AB34" s="1061" t="s">
        <v>5315</v>
      </c>
      <c r="AC34" s="83" t="s">
        <v>5316</v>
      </c>
      <c r="AD34" s="83" t="s">
        <v>5317</v>
      </c>
      <c r="AE34" s="83" t="s">
        <v>5318</v>
      </c>
      <c r="AF34" s="83" t="s">
        <v>5319</v>
      </c>
      <c r="AG34" s="83" t="s">
        <v>5320</v>
      </c>
      <c r="AH34" s="83" t="s">
        <v>5321</v>
      </c>
      <c r="AI34" s="1687" t="e">
        <f t="shared" si="8"/>
        <v>#VALUE!</v>
      </c>
      <c r="CB34" s="2784" t="str">
        <f t="shared" si="9"/>
        <v xml:space="preserve">* El Número de Familias en Riesgo no puede superar el Total. </v>
      </c>
      <c r="CC34" s="2784" t="str">
        <f t="shared" si="0"/>
        <v xml:space="preserve">* La variable Pueblos Originarios no puede superar el Total. </v>
      </c>
      <c r="CD34" s="2784" t="str">
        <f t="shared" si="1"/>
        <v xml:space="preserve">* La variable Migrantes no puede superar el Total. </v>
      </c>
      <c r="CE34" s="2784" t="str">
        <f t="shared" si="2"/>
        <v xml:space="preserve">* La variable Espacios Amigables/ Adolescentes no puede superar el Total. </v>
      </c>
      <c r="CF34" s="2784" t="e">
        <f t="shared" si="3"/>
        <v>#VALUE!</v>
      </c>
      <c r="CG34" s="2630"/>
      <c r="CK34" s="600"/>
      <c r="CL34" s="1725">
        <f t="shared" si="10"/>
        <v>1</v>
      </c>
      <c r="CM34" s="1725">
        <f t="shared" si="4"/>
        <v>1</v>
      </c>
      <c r="CN34" s="1725">
        <f t="shared" si="5"/>
        <v>1</v>
      </c>
      <c r="CO34" s="1725">
        <f t="shared" si="6"/>
        <v>1</v>
      </c>
      <c r="CP34" s="1725" t="e">
        <f t="shared" si="7"/>
        <v>#VALUE!</v>
      </c>
    </row>
    <row r="35" spans="1:94" s="170" customFormat="1" ht="15" customHeight="1" x14ac:dyDescent="0.3">
      <c r="A35" s="6234">
        <v>27300921</v>
      </c>
      <c r="B35" s="6398"/>
      <c r="C35" s="8170" t="s">
        <v>2274</v>
      </c>
      <c r="D35" s="8170"/>
      <c r="E35" s="1058" t="s">
        <v>5292</v>
      </c>
      <c r="F35" s="1072" t="s">
        <v>5293</v>
      </c>
      <c r="G35" s="1073" t="s">
        <v>5294</v>
      </c>
      <c r="H35" s="1073" t="s">
        <v>5295</v>
      </c>
      <c r="I35" s="1073" t="s">
        <v>5296</v>
      </c>
      <c r="J35" s="83" t="s">
        <v>5297</v>
      </c>
      <c r="K35" s="2092" t="s">
        <v>5298</v>
      </c>
      <c r="L35" s="1073" t="s">
        <v>5299</v>
      </c>
      <c r="M35" s="1073" t="s">
        <v>5300</v>
      </c>
      <c r="N35" s="1080" t="s">
        <v>5301</v>
      </c>
      <c r="O35" s="1080" t="s">
        <v>5302</v>
      </c>
      <c r="P35" s="1080" t="s">
        <v>5303</v>
      </c>
      <c r="Q35" s="1080" t="s">
        <v>5304</v>
      </c>
      <c r="R35" s="1080" t="s">
        <v>5305</v>
      </c>
      <c r="S35" s="1080" t="s">
        <v>5306</v>
      </c>
      <c r="T35" s="1080" t="s">
        <v>5307</v>
      </c>
      <c r="U35" s="1080" t="s">
        <v>5308</v>
      </c>
      <c r="V35" s="1080" t="s">
        <v>5309</v>
      </c>
      <c r="W35" s="1080" t="s">
        <v>5310</v>
      </c>
      <c r="X35" s="1080" t="s">
        <v>5311</v>
      </c>
      <c r="Y35" s="1080" t="s">
        <v>5312</v>
      </c>
      <c r="Z35" s="1114" t="s">
        <v>5313</v>
      </c>
      <c r="AA35" s="1073" t="s">
        <v>5314</v>
      </c>
      <c r="AB35" s="1061" t="s">
        <v>5315</v>
      </c>
      <c r="AC35" s="83" t="s">
        <v>5316</v>
      </c>
      <c r="AD35" s="83" t="s">
        <v>5317</v>
      </c>
      <c r="AE35" s="83" t="s">
        <v>5318</v>
      </c>
      <c r="AF35" s="83" t="s">
        <v>5319</v>
      </c>
      <c r="AG35" s="83" t="s">
        <v>5320</v>
      </c>
      <c r="AH35" s="83" t="s">
        <v>5321</v>
      </c>
      <c r="AI35" s="1687" t="e">
        <f t="shared" si="8"/>
        <v>#VALUE!</v>
      </c>
      <c r="CB35" s="2784" t="str">
        <f t="shared" si="9"/>
        <v xml:space="preserve">* El Número de Familias en Riesgo no puede superar el Total. </v>
      </c>
      <c r="CC35" s="2784" t="str">
        <f t="shared" si="0"/>
        <v xml:space="preserve">* La variable Pueblos Originarios no puede superar el Total. </v>
      </c>
      <c r="CD35" s="2784" t="str">
        <f t="shared" si="1"/>
        <v xml:space="preserve">* La variable Migrantes no puede superar el Total. </v>
      </c>
      <c r="CE35" s="2784" t="str">
        <f t="shared" si="2"/>
        <v xml:space="preserve">* La variable Espacios Amigables/ Adolescentes no puede superar el Total. </v>
      </c>
      <c r="CF35" s="2784" t="e">
        <f t="shared" si="3"/>
        <v>#VALUE!</v>
      </c>
      <c r="CG35" s="2630"/>
      <c r="CK35" s="600"/>
      <c r="CL35" s="1725">
        <f t="shared" si="10"/>
        <v>1</v>
      </c>
      <c r="CM35" s="1725">
        <f t="shared" si="4"/>
        <v>1</v>
      </c>
      <c r="CN35" s="1725">
        <f t="shared" si="5"/>
        <v>1</v>
      </c>
      <c r="CO35" s="1725">
        <f t="shared" si="6"/>
        <v>1</v>
      </c>
      <c r="CP35" s="1725" t="e">
        <f t="shared" si="7"/>
        <v>#VALUE!</v>
      </c>
    </row>
    <row r="36" spans="1:94" s="170" customFormat="1" ht="15" customHeight="1" x14ac:dyDescent="0.3">
      <c r="A36" s="6234">
        <v>27290301</v>
      </c>
      <c r="B36" s="6398"/>
      <c r="C36" s="7234" t="s">
        <v>2275</v>
      </c>
      <c r="D36" s="8152"/>
      <c r="E36" s="1058" t="s">
        <v>5292</v>
      </c>
      <c r="F36" s="1072" t="s">
        <v>5293</v>
      </c>
      <c r="G36" s="1073" t="s">
        <v>5294</v>
      </c>
      <c r="H36" s="1073" t="s">
        <v>5295</v>
      </c>
      <c r="I36" s="1073" t="s">
        <v>5296</v>
      </c>
      <c r="J36" s="83" t="s">
        <v>5297</v>
      </c>
      <c r="K36" s="2092" t="s">
        <v>5298</v>
      </c>
      <c r="L36" s="1073" t="s">
        <v>5299</v>
      </c>
      <c r="M36" s="1073" t="s">
        <v>5300</v>
      </c>
      <c r="N36" s="1080" t="s">
        <v>5301</v>
      </c>
      <c r="O36" s="1080" t="s">
        <v>5302</v>
      </c>
      <c r="P36" s="1080" t="s">
        <v>5303</v>
      </c>
      <c r="Q36" s="1080" t="s">
        <v>5304</v>
      </c>
      <c r="R36" s="1080" t="s">
        <v>5305</v>
      </c>
      <c r="S36" s="1080" t="s">
        <v>5306</v>
      </c>
      <c r="T36" s="1080" t="s">
        <v>5307</v>
      </c>
      <c r="U36" s="1080" t="s">
        <v>5308</v>
      </c>
      <c r="V36" s="1080" t="s">
        <v>5309</v>
      </c>
      <c r="W36" s="1080" t="s">
        <v>5310</v>
      </c>
      <c r="X36" s="1080" t="s">
        <v>5311</v>
      </c>
      <c r="Y36" s="1080" t="s">
        <v>5312</v>
      </c>
      <c r="Z36" s="1114" t="s">
        <v>5313</v>
      </c>
      <c r="AA36" s="1073" t="s">
        <v>5314</v>
      </c>
      <c r="AB36" s="1061" t="s">
        <v>5315</v>
      </c>
      <c r="AC36" s="83" t="s">
        <v>5316</v>
      </c>
      <c r="AD36" s="83" t="s">
        <v>5317</v>
      </c>
      <c r="AE36" s="83" t="s">
        <v>5318</v>
      </c>
      <c r="AF36" s="83" t="s">
        <v>5319</v>
      </c>
      <c r="AG36" s="83" t="s">
        <v>5320</v>
      </c>
      <c r="AH36" s="83" t="s">
        <v>5321</v>
      </c>
      <c r="AI36" s="1687" t="e">
        <f t="shared" si="8"/>
        <v>#VALUE!</v>
      </c>
      <c r="CB36" s="2784" t="str">
        <f t="shared" si="9"/>
        <v xml:space="preserve">* El Número de Familias en Riesgo no puede superar el Total. </v>
      </c>
      <c r="CC36" s="2784" t="str">
        <f t="shared" si="0"/>
        <v xml:space="preserve">* La variable Pueblos Originarios no puede superar el Total. </v>
      </c>
      <c r="CD36" s="2784" t="str">
        <f t="shared" si="1"/>
        <v xml:space="preserve">* La variable Migrantes no puede superar el Total. </v>
      </c>
      <c r="CE36" s="2784" t="str">
        <f t="shared" si="2"/>
        <v xml:space="preserve">* La variable Espacios Amigables/ Adolescentes no puede superar el Total. </v>
      </c>
      <c r="CF36" s="2784" t="e">
        <f t="shared" si="3"/>
        <v>#VALUE!</v>
      </c>
      <c r="CG36" s="2630"/>
      <c r="CK36" s="600"/>
      <c r="CL36" s="1725">
        <f t="shared" si="10"/>
        <v>1</v>
      </c>
      <c r="CM36" s="1725">
        <f t="shared" si="4"/>
        <v>1</v>
      </c>
      <c r="CN36" s="1725">
        <f t="shared" si="5"/>
        <v>1</v>
      </c>
      <c r="CO36" s="1725">
        <f t="shared" si="6"/>
        <v>1</v>
      </c>
      <c r="CP36" s="1725" t="e">
        <f t="shared" si="7"/>
        <v>#VALUE!</v>
      </c>
    </row>
    <row r="37" spans="1:94" s="170" customFormat="1" ht="15" customHeight="1" x14ac:dyDescent="0.3">
      <c r="A37" s="6234">
        <v>27400010</v>
      </c>
      <c r="B37" s="6398"/>
      <c r="C37" s="7497" t="s">
        <v>2276</v>
      </c>
      <c r="D37" s="7254"/>
      <c r="E37" s="2832" t="s">
        <v>5292</v>
      </c>
      <c r="F37" s="1070" t="s">
        <v>5293</v>
      </c>
      <c r="G37" s="2392" t="s">
        <v>5294</v>
      </c>
      <c r="H37" s="2392" t="s">
        <v>5295</v>
      </c>
      <c r="I37" s="2392" t="s">
        <v>5296</v>
      </c>
      <c r="J37" s="194" t="s">
        <v>5297</v>
      </c>
      <c r="K37" s="2092" t="s">
        <v>5298</v>
      </c>
      <c r="L37" s="1073" t="s">
        <v>5299</v>
      </c>
      <c r="M37" s="1073" t="s">
        <v>5300</v>
      </c>
      <c r="N37" s="1080" t="s">
        <v>5301</v>
      </c>
      <c r="O37" s="1080" t="s">
        <v>5302</v>
      </c>
      <c r="P37" s="1080" t="s">
        <v>5303</v>
      </c>
      <c r="Q37" s="1080" t="s">
        <v>5304</v>
      </c>
      <c r="R37" s="1080" t="s">
        <v>5305</v>
      </c>
      <c r="S37" s="1080" t="s">
        <v>5306</v>
      </c>
      <c r="T37" s="1080" t="s">
        <v>5307</v>
      </c>
      <c r="U37" s="2804" t="s">
        <v>5308</v>
      </c>
      <c r="V37" s="2804" t="s">
        <v>5309</v>
      </c>
      <c r="W37" s="2804" t="s">
        <v>5310</v>
      </c>
      <c r="X37" s="2804" t="s">
        <v>5311</v>
      </c>
      <c r="Y37" s="2804" t="s">
        <v>5312</v>
      </c>
      <c r="Z37" s="1114" t="s">
        <v>5313</v>
      </c>
      <c r="AA37" s="1073" t="s">
        <v>5314</v>
      </c>
      <c r="AB37" s="1061" t="s">
        <v>5315</v>
      </c>
      <c r="AC37" s="83" t="s">
        <v>5316</v>
      </c>
      <c r="AD37" s="83" t="s">
        <v>5317</v>
      </c>
      <c r="AE37" s="83" t="s">
        <v>5318</v>
      </c>
      <c r="AF37" s="83" t="s">
        <v>5319</v>
      </c>
      <c r="AG37" s="83" t="s">
        <v>5320</v>
      </c>
      <c r="AH37" s="83" t="s">
        <v>5321</v>
      </c>
      <c r="AI37" s="1687" t="e">
        <f t="shared" si="8"/>
        <v>#VALUE!</v>
      </c>
      <c r="CB37" s="2784" t="str">
        <f t="shared" si="9"/>
        <v xml:space="preserve">* El Número de Familias en Riesgo no puede superar el Total. </v>
      </c>
      <c r="CC37" s="2784" t="str">
        <f t="shared" si="0"/>
        <v xml:space="preserve">* La variable Pueblos Originarios no puede superar el Total. </v>
      </c>
      <c r="CD37" s="2784" t="str">
        <f t="shared" si="1"/>
        <v xml:space="preserve">* La variable Migrantes no puede superar el Total. </v>
      </c>
      <c r="CE37" s="2784" t="str">
        <f t="shared" si="2"/>
        <v xml:space="preserve">* La variable Espacios Amigables/ Adolescentes no puede superar el Total. </v>
      </c>
      <c r="CF37" s="2784" t="e">
        <f t="shared" si="3"/>
        <v>#VALUE!</v>
      </c>
      <c r="CG37" s="2630"/>
      <c r="CK37" s="600"/>
      <c r="CL37" s="1725">
        <f t="shared" si="10"/>
        <v>1</v>
      </c>
      <c r="CM37" s="1725">
        <f t="shared" si="4"/>
        <v>1</v>
      </c>
      <c r="CN37" s="1725">
        <f t="shared" si="5"/>
        <v>1</v>
      </c>
      <c r="CO37" s="1725">
        <f t="shared" si="6"/>
        <v>1</v>
      </c>
      <c r="CP37" s="1725" t="e">
        <f t="shared" si="7"/>
        <v>#VALUE!</v>
      </c>
    </row>
    <row r="38" spans="1:94" s="170" customFormat="1" ht="15" customHeight="1" x14ac:dyDescent="0.3">
      <c r="A38" s="6234">
        <v>27281000</v>
      </c>
      <c r="B38" s="6398"/>
      <c r="C38" s="8158" t="s">
        <v>2277</v>
      </c>
      <c r="D38" s="8159"/>
      <c r="E38" s="911" t="s">
        <v>5292</v>
      </c>
      <c r="F38" s="90" t="s">
        <v>5293</v>
      </c>
      <c r="G38" s="127" t="s">
        <v>5294</v>
      </c>
      <c r="H38" s="127" t="s">
        <v>5295</v>
      </c>
      <c r="I38" s="127" t="s">
        <v>5296</v>
      </c>
      <c r="J38" s="91" t="s">
        <v>5297</v>
      </c>
      <c r="K38" s="129" t="s">
        <v>5298</v>
      </c>
      <c r="L38" s="127" t="s">
        <v>5299</v>
      </c>
      <c r="M38" s="127" t="s">
        <v>5300</v>
      </c>
      <c r="N38" s="128" t="s">
        <v>5301</v>
      </c>
      <c r="O38" s="128" t="s">
        <v>5302</v>
      </c>
      <c r="P38" s="128" t="s">
        <v>5303</v>
      </c>
      <c r="Q38" s="128" t="s">
        <v>5304</v>
      </c>
      <c r="R38" s="128" t="s">
        <v>5305</v>
      </c>
      <c r="S38" s="128" t="s">
        <v>5306</v>
      </c>
      <c r="T38" s="128" t="s">
        <v>5307</v>
      </c>
      <c r="U38" s="128" t="s">
        <v>5308</v>
      </c>
      <c r="V38" s="128" t="s">
        <v>5309</v>
      </c>
      <c r="W38" s="128" t="s">
        <v>5310</v>
      </c>
      <c r="X38" s="128" t="s">
        <v>5311</v>
      </c>
      <c r="Y38" s="128" t="s">
        <v>5312</v>
      </c>
      <c r="Z38" s="2833" t="s">
        <v>5313</v>
      </c>
      <c r="AA38" s="127" t="s">
        <v>5314</v>
      </c>
      <c r="AB38" s="94" t="s">
        <v>5315</v>
      </c>
      <c r="AC38" s="91" t="s">
        <v>5316</v>
      </c>
      <c r="AD38" s="91" t="s">
        <v>5317</v>
      </c>
      <c r="AE38" s="91" t="s">
        <v>5318</v>
      </c>
      <c r="AF38" s="91" t="s">
        <v>5319</v>
      </c>
      <c r="AG38" s="91" t="s">
        <v>5320</v>
      </c>
      <c r="AH38" s="91" t="s">
        <v>5321</v>
      </c>
      <c r="AI38" s="1687" t="e">
        <f t="shared" si="8"/>
        <v>#VALUE!</v>
      </c>
      <c r="CB38" s="2784" t="str">
        <f t="shared" si="9"/>
        <v xml:space="preserve">* El Número de Familias en Riesgo no puede superar el Total. </v>
      </c>
      <c r="CC38" s="2784" t="str">
        <f t="shared" si="0"/>
        <v xml:space="preserve">* La variable Pueblos Originarios no puede superar el Total. </v>
      </c>
      <c r="CD38" s="2784" t="str">
        <f t="shared" si="1"/>
        <v xml:space="preserve">* La variable Migrantes no puede superar el Total. </v>
      </c>
      <c r="CE38" s="2784" t="str">
        <f t="shared" si="2"/>
        <v xml:space="preserve">* La variable Espacios Amigables/ Adolescentes no puede superar el Total. </v>
      </c>
      <c r="CF38" s="2784" t="e">
        <f t="shared" si="3"/>
        <v>#VALUE!</v>
      </c>
      <c r="CG38" s="2630"/>
      <c r="CK38" s="600"/>
      <c r="CL38" s="1725">
        <f t="shared" si="10"/>
        <v>1</v>
      </c>
      <c r="CM38" s="1725">
        <f t="shared" si="4"/>
        <v>1</v>
      </c>
      <c r="CN38" s="1725">
        <f t="shared" si="5"/>
        <v>1</v>
      </c>
      <c r="CO38" s="1725">
        <f t="shared" si="6"/>
        <v>1</v>
      </c>
      <c r="CP38" s="1725" t="e">
        <f t="shared" si="7"/>
        <v>#VALUE!</v>
      </c>
    </row>
    <row r="39" spans="1:94" s="170" customFormat="1" ht="15" customHeight="1" x14ac:dyDescent="0.3">
      <c r="A39" s="6234">
        <v>27281100</v>
      </c>
      <c r="B39" s="6398"/>
      <c r="C39" s="6379" t="s">
        <v>2278</v>
      </c>
      <c r="D39" s="2834" t="s">
        <v>2279</v>
      </c>
      <c r="E39" s="2786" t="s">
        <v>5292</v>
      </c>
      <c r="F39" s="2414" t="s">
        <v>5293</v>
      </c>
      <c r="G39" s="2820" t="s">
        <v>5294</v>
      </c>
      <c r="H39" s="2820" t="s">
        <v>5295</v>
      </c>
      <c r="I39" s="2820" t="s">
        <v>5296</v>
      </c>
      <c r="J39" s="2818" t="s">
        <v>5297</v>
      </c>
      <c r="K39" s="2819" t="s">
        <v>5298</v>
      </c>
      <c r="L39" s="2820" t="s">
        <v>5299</v>
      </c>
      <c r="M39" s="2820" t="s">
        <v>5300</v>
      </c>
      <c r="N39" s="2820" t="s">
        <v>5301</v>
      </c>
      <c r="O39" s="2820" t="s">
        <v>5302</v>
      </c>
      <c r="P39" s="2820" t="s">
        <v>5303</v>
      </c>
      <c r="Q39" s="2820" t="s">
        <v>5304</v>
      </c>
      <c r="R39" s="2820" t="s">
        <v>5305</v>
      </c>
      <c r="S39" s="2820" t="s">
        <v>5306</v>
      </c>
      <c r="T39" s="2820" t="s">
        <v>5307</v>
      </c>
      <c r="U39" s="2820" t="s">
        <v>5308</v>
      </c>
      <c r="V39" s="2835" t="s">
        <v>5309</v>
      </c>
      <c r="W39" s="2835" t="s">
        <v>5310</v>
      </c>
      <c r="X39" s="2835" t="s">
        <v>5311</v>
      </c>
      <c r="Y39" s="2835" t="s">
        <v>5312</v>
      </c>
      <c r="Z39" s="2836" t="s">
        <v>5313</v>
      </c>
      <c r="AA39" s="2820" t="s">
        <v>5314</v>
      </c>
      <c r="AB39" s="2837" t="s">
        <v>5315</v>
      </c>
      <c r="AC39" s="83" t="s">
        <v>5316</v>
      </c>
      <c r="AD39" s="83" t="s">
        <v>5317</v>
      </c>
      <c r="AE39" s="83" t="s">
        <v>5318</v>
      </c>
      <c r="AF39" s="83" t="s">
        <v>5319</v>
      </c>
      <c r="AG39" s="83" t="s">
        <v>5320</v>
      </c>
      <c r="AH39" s="83" t="s">
        <v>5321</v>
      </c>
      <c r="AI39" s="1687" t="e">
        <f t="shared" si="8"/>
        <v>#VALUE!</v>
      </c>
      <c r="CB39" s="2784" t="str">
        <f t="shared" si="9"/>
        <v xml:space="preserve">* El Número de Familias en Riesgo no puede superar el Total. </v>
      </c>
      <c r="CC39" s="2784" t="str">
        <f t="shared" si="0"/>
        <v xml:space="preserve">* La variable Pueblos Originarios no puede superar el Total. </v>
      </c>
      <c r="CD39" s="2784" t="str">
        <f t="shared" si="1"/>
        <v xml:space="preserve">* La variable Migrantes no puede superar el Total. </v>
      </c>
      <c r="CE39" s="2784" t="str">
        <f t="shared" si="2"/>
        <v xml:space="preserve">* La variable Espacios Amigables/ Adolescentes no puede superar el Total. </v>
      </c>
      <c r="CF39" s="2784" t="e">
        <f t="shared" si="3"/>
        <v>#VALUE!</v>
      </c>
      <c r="CG39" s="2630"/>
      <c r="CK39" s="600"/>
      <c r="CL39" s="1725">
        <f t="shared" si="10"/>
        <v>1</v>
      </c>
      <c r="CM39" s="1725">
        <f t="shared" si="4"/>
        <v>1</v>
      </c>
      <c r="CN39" s="1725">
        <f t="shared" si="5"/>
        <v>1</v>
      </c>
      <c r="CO39" s="1725">
        <f t="shared" si="6"/>
        <v>1</v>
      </c>
      <c r="CP39" s="1725" t="e">
        <f t="shared" si="7"/>
        <v>#VALUE!</v>
      </c>
    </row>
    <row r="40" spans="1:94" s="170" customFormat="1" ht="15" customHeight="1" x14ac:dyDescent="0.3">
      <c r="A40" s="6234">
        <v>27281200</v>
      </c>
      <c r="B40" s="6398"/>
      <c r="C40" s="6349"/>
      <c r="D40" s="2838" t="s">
        <v>2280</v>
      </c>
      <c r="E40" s="1058" t="s">
        <v>5292</v>
      </c>
      <c r="F40" s="1070" t="s">
        <v>5293</v>
      </c>
      <c r="G40" s="2392" t="s">
        <v>5294</v>
      </c>
      <c r="H40" s="2392" t="s">
        <v>5295</v>
      </c>
      <c r="I40" s="2392" t="s">
        <v>5296</v>
      </c>
      <c r="J40" s="194" t="s">
        <v>5297</v>
      </c>
      <c r="K40" s="2811" t="s">
        <v>5298</v>
      </c>
      <c r="L40" s="2392" t="s">
        <v>5299</v>
      </c>
      <c r="M40" s="2392" t="s">
        <v>5300</v>
      </c>
      <c r="N40" s="2392" t="s">
        <v>5301</v>
      </c>
      <c r="O40" s="2392" t="s">
        <v>5302</v>
      </c>
      <c r="P40" s="2392" t="s">
        <v>5303</v>
      </c>
      <c r="Q40" s="2392" t="s">
        <v>5304</v>
      </c>
      <c r="R40" s="2392" t="s">
        <v>5305</v>
      </c>
      <c r="S40" s="2392" t="s">
        <v>5306</v>
      </c>
      <c r="T40" s="2392" t="s">
        <v>5307</v>
      </c>
      <c r="U40" s="2392" t="s">
        <v>5308</v>
      </c>
      <c r="V40" s="1080" t="s">
        <v>5309</v>
      </c>
      <c r="W40" s="1080" t="s">
        <v>5310</v>
      </c>
      <c r="X40" s="1080" t="s">
        <v>5311</v>
      </c>
      <c r="Y40" s="1080" t="s">
        <v>5312</v>
      </c>
      <c r="Z40" s="2839" t="s">
        <v>5313</v>
      </c>
      <c r="AA40" s="2392" t="s">
        <v>5314</v>
      </c>
      <c r="AB40" s="1945" t="s">
        <v>5315</v>
      </c>
      <c r="AC40" s="83" t="s">
        <v>5316</v>
      </c>
      <c r="AD40" s="83" t="s">
        <v>5317</v>
      </c>
      <c r="AE40" s="83" t="s">
        <v>5318</v>
      </c>
      <c r="AF40" s="83" t="s">
        <v>5319</v>
      </c>
      <c r="AG40" s="83" t="s">
        <v>5320</v>
      </c>
      <c r="AH40" s="83" t="s">
        <v>5321</v>
      </c>
      <c r="AI40" s="1687" t="e">
        <f t="shared" si="8"/>
        <v>#VALUE!</v>
      </c>
      <c r="CB40" s="2784" t="str">
        <f t="shared" si="9"/>
        <v xml:space="preserve">* El Número de Familias en Riesgo no puede superar el Total. </v>
      </c>
      <c r="CC40" s="2784" t="str">
        <f t="shared" si="0"/>
        <v xml:space="preserve">* La variable Pueblos Originarios no puede superar el Total. </v>
      </c>
      <c r="CD40" s="2784" t="str">
        <f t="shared" si="1"/>
        <v xml:space="preserve">* La variable Migrantes no puede superar el Total. </v>
      </c>
      <c r="CE40" s="2784" t="str">
        <f t="shared" si="2"/>
        <v xml:space="preserve">* La variable Espacios Amigables/ Adolescentes no puede superar el Total. </v>
      </c>
      <c r="CF40" s="2784" t="e">
        <f t="shared" si="3"/>
        <v>#VALUE!</v>
      </c>
      <c r="CG40" s="2630"/>
      <c r="CK40" s="600"/>
      <c r="CL40" s="1725">
        <f t="shared" si="10"/>
        <v>1</v>
      </c>
      <c r="CM40" s="1725">
        <f t="shared" si="4"/>
        <v>1</v>
      </c>
      <c r="CN40" s="1725">
        <f t="shared" si="5"/>
        <v>1</v>
      </c>
      <c r="CO40" s="1725">
        <f t="shared" si="6"/>
        <v>1</v>
      </c>
      <c r="CP40" s="1725" t="e">
        <f t="shared" si="7"/>
        <v>#VALUE!</v>
      </c>
    </row>
    <row r="41" spans="1:94" s="170" customFormat="1" ht="15" customHeight="1" x14ac:dyDescent="0.3">
      <c r="A41" s="6234">
        <v>27281300</v>
      </c>
      <c r="B41" s="6398"/>
      <c r="C41" s="6349"/>
      <c r="D41" s="2840" t="s">
        <v>2281</v>
      </c>
      <c r="E41" s="1058" t="s">
        <v>5292</v>
      </c>
      <c r="F41" s="1070" t="s">
        <v>5293</v>
      </c>
      <c r="G41" s="2392" t="s">
        <v>5294</v>
      </c>
      <c r="H41" s="2392" t="s">
        <v>5295</v>
      </c>
      <c r="I41" s="2392" t="s">
        <v>5296</v>
      </c>
      <c r="J41" s="194" t="s">
        <v>5297</v>
      </c>
      <c r="K41" s="2811" t="s">
        <v>5298</v>
      </c>
      <c r="L41" s="2392" t="s">
        <v>5299</v>
      </c>
      <c r="M41" s="2392" t="s">
        <v>5300</v>
      </c>
      <c r="N41" s="2392" t="s">
        <v>5301</v>
      </c>
      <c r="O41" s="2392" t="s">
        <v>5302</v>
      </c>
      <c r="P41" s="2392" t="s">
        <v>5303</v>
      </c>
      <c r="Q41" s="2392" t="s">
        <v>5304</v>
      </c>
      <c r="R41" s="2392" t="s">
        <v>5305</v>
      </c>
      <c r="S41" s="2392" t="s">
        <v>5306</v>
      </c>
      <c r="T41" s="2392" t="s">
        <v>5307</v>
      </c>
      <c r="U41" s="2392" t="s">
        <v>5308</v>
      </c>
      <c r="V41" s="1080" t="s">
        <v>5309</v>
      </c>
      <c r="W41" s="1080" t="s">
        <v>5310</v>
      </c>
      <c r="X41" s="1080" t="s">
        <v>5311</v>
      </c>
      <c r="Y41" s="1080" t="s">
        <v>5312</v>
      </c>
      <c r="Z41" s="2839" t="s">
        <v>5313</v>
      </c>
      <c r="AA41" s="2392" t="s">
        <v>5314</v>
      </c>
      <c r="AB41" s="1945" t="s">
        <v>5315</v>
      </c>
      <c r="AC41" s="1062" t="s">
        <v>5316</v>
      </c>
      <c r="AD41" s="83" t="s">
        <v>5317</v>
      </c>
      <c r="AE41" s="83" t="s">
        <v>5318</v>
      </c>
      <c r="AF41" s="83" t="s">
        <v>5319</v>
      </c>
      <c r="AG41" s="83" t="s">
        <v>5320</v>
      </c>
      <c r="AH41" s="83" t="s">
        <v>5321</v>
      </c>
      <c r="AI41" s="1687" t="e">
        <f t="shared" si="8"/>
        <v>#VALUE!</v>
      </c>
      <c r="CB41" s="2784" t="str">
        <f t="shared" si="9"/>
        <v xml:space="preserve">* El Número de Familias en Riesgo no puede superar el Total. </v>
      </c>
      <c r="CC41" s="2784" t="str">
        <f t="shared" si="0"/>
        <v xml:space="preserve">* La variable Pueblos Originarios no puede superar el Total. </v>
      </c>
      <c r="CD41" s="2784" t="str">
        <f t="shared" si="1"/>
        <v xml:space="preserve">* La variable Migrantes no puede superar el Total. </v>
      </c>
      <c r="CE41" s="2784" t="str">
        <f t="shared" si="2"/>
        <v xml:space="preserve">* La variable Espacios Amigables/ Adolescentes no puede superar el Total. </v>
      </c>
      <c r="CF41" s="2784" t="e">
        <f t="shared" si="3"/>
        <v>#VALUE!</v>
      </c>
      <c r="CG41" s="2630"/>
      <c r="CK41" s="600"/>
      <c r="CL41" s="1725">
        <f t="shared" si="10"/>
        <v>1</v>
      </c>
      <c r="CM41" s="1725">
        <f t="shared" si="4"/>
        <v>1</v>
      </c>
      <c r="CN41" s="1725">
        <f t="shared" si="5"/>
        <v>1</v>
      </c>
      <c r="CO41" s="1725">
        <f t="shared" si="6"/>
        <v>1</v>
      </c>
      <c r="CP41" s="1725" t="e">
        <f t="shared" si="7"/>
        <v>#VALUE!</v>
      </c>
    </row>
    <row r="42" spans="1:94" s="170" customFormat="1" ht="15" customHeight="1" x14ac:dyDescent="0.3">
      <c r="A42" s="6234">
        <v>29101562</v>
      </c>
      <c r="B42" s="6398"/>
      <c r="C42" s="6349"/>
      <c r="D42" s="1685" t="s">
        <v>2282</v>
      </c>
      <c r="E42" s="1058" t="s">
        <v>5292</v>
      </c>
      <c r="F42" s="1070" t="s">
        <v>5293</v>
      </c>
      <c r="G42" s="3052" t="s">
        <v>5294</v>
      </c>
      <c r="H42" s="3052" t="s">
        <v>5295</v>
      </c>
      <c r="I42" s="3052" t="s">
        <v>5296</v>
      </c>
      <c r="J42" s="3053" t="s">
        <v>5297</v>
      </c>
      <c r="K42" s="4191" t="s">
        <v>5298</v>
      </c>
      <c r="L42" s="3052" t="s">
        <v>5299</v>
      </c>
      <c r="M42" s="3052" t="s">
        <v>5300</v>
      </c>
      <c r="N42" s="2804" t="s">
        <v>5301</v>
      </c>
      <c r="O42" s="2804" t="s">
        <v>5302</v>
      </c>
      <c r="P42" s="2804" t="s">
        <v>5303</v>
      </c>
      <c r="Q42" s="2804" t="s">
        <v>5304</v>
      </c>
      <c r="R42" s="2804" t="s">
        <v>5305</v>
      </c>
      <c r="S42" s="2804" t="s">
        <v>5306</v>
      </c>
      <c r="T42" s="2804" t="s">
        <v>5307</v>
      </c>
      <c r="U42" s="2804" t="s">
        <v>5308</v>
      </c>
      <c r="V42" s="1080" t="s">
        <v>5309</v>
      </c>
      <c r="W42" s="1080" t="s">
        <v>5310</v>
      </c>
      <c r="X42" s="1080" t="s">
        <v>5311</v>
      </c>
      <c r="Y42" s="1080" t="s">
        <v>5312</v>
      </c>
      <c r="Z42" s="2839" t="s">
        <v>5313</v>
      </c>
      <c r="AA42" s="3052" t="s">
        <v>5314</v>
      </c>
      <c r="AB42" s="1945" t="s">
        <v>5315</v>
      </c>
      <c r="AC42" s="3077" t="s">
        <v>5316</v>
      </c>
      <c r="AD42" s="3077" t="s">
        <v>5317</v>
      </c>
      <c r="AE42" s="3077" t="s">
        <v>5318</v>
      </c>
      <c r="AF42" s="3077" t="s">
        <v>5319</v>
      </c>
      <c r="AG42" s="3077" t="s">
        <v>5320</v>
      </c>
      <c r="AH42" s="3077" t="s">
        <v>5321</v>
      </c>
      <c r="AI42" s="1687" t="e">
        <f t="shared" si="8"/>
        <v>#VALUE!</v>
      </c>
      <c r="CB42" s="2784" t="str">
        <f t="shared" si="9"/>
        <v xml:space="preserve">* El Número de Familias en Riesgo no puede superar el Total. </v>
      </c>
      <c r="CC42" s="2784" t="str">
        <f t="shared" si="0"/>
        <v xml:space="preserve">* La variable Pueblos Originarios no puede superar el Total. </v>
      </c>
      <c r="CD42" s="2784" t="str">
        <f t="shared" si="1"/>
        <v xml:space="preserve">* La variable Migrantes no puede superar el Total. </v>
      </c>
      <c r="CE42" s="2784" t="str">
        <f t="shared" si="2"/>
        <v xml:space="preserve">* La variable Espacios Amigables/ Adolescentes no puede superar el Total. </v>
      </c>
      <c r="CF42" s="2784" t="e">
        <f t="shared" si="3"/>
        <v>#VALUE!</v>
      </c>
      <c r="CG42" s="2630"/>
      <c r="CK42" s="600"/>
      <c r="CL42" s="1725">
        <f t="shared" si="10"/>
        <v>1</v>
      </c>
      <c r="CM42" s="1725">
        <f t="shared" si="4"/>
        <v>1</v>
      </c>
      <c r="CN42" s="1725">
        <f t="shared" si="5"/>
        <v>1</v>
      </c>
      <c r="CO42" s="1725">
        <f t="shared" si="6"/>
        <v>1</v>
      </c>
      <c r="CP42" s="1725" t="e">
        <f t="shared" si="7"/>
        <v>#VALUE!</v>
      </c>
    </row>
    <row r="43" spans="1:94" s="170" customFormat="1" ht="15" customHeight="1" x14ac:dyDescent="0.3">
      <c r="A43" s="6234">
        <v>29101563</v>
      </c>
      <c r="B43" s="6398"/>
      <c r="C43" s="6349"/>
      <c r="D43" s="2843" t="s">
        <v>2283</v>
      </c>
      <c r="E43" s="911" t="s">
        <v>5292</v>
      </c>
      <c r="F43" s="2841" t="s">
        <v>5293</v>
      </c>
      <c r="G43" s="2806" t="s">
        <v>5294</v>
      </c>
      <c r="H43" s="2806" t="s">
        <v>5295</v>
      </c>
      <c r="I43" s="2806" t="s">
        <v>5296</v>
      </c>
      <c r="J43" s="898" t="s">
        <v>5297</v>
      </c>
      <c r="K43" s="2842" t="s">
        <v>5298</v>
      </c>
      <c r="L43" s="2806" t="s">
        <v>5299</v>
      </c>
      <c r="M43" s="2806" t="s">
        <v>5300</v>
      </c>
      <c r="N43" s="2803" t="s">
        <v>5301</v>
      </c>
      <c r="O43" s="2803" t="s">
        <v>5302</v>
      </c>
      <c r="P43" s="2803" t="s">
        <v>5303</v>
      </c>
      <c r="Q43" s="2803" t="s">
        <v>5304</v>
      </c>
      <c r="R43" s="2803" t="s">
        <v>5305</v>
      </c>
      <c r="S43" s="2803" t="s">
        <v>5306</v>
      </c>
      <c r="T43" s="2803" t="s">
        <v>5307</v>
      </c>
      <c r="U43" s="2803" t="s">
        <v>5308</v>
      </c>
      <c r="V43" s="1468" t="s">
        <v>5309</v>
      </c>
      <c r="W43" s="1468" t="s">
        <v>5310</v>
      </c>
      <c r="X43" s="1468" t="s">
        <v>5311</v>
      </c>
      <c r="Y43" s="1468" t="s">
        <v>5312</v>
      </c>
      <c r="Z43" s="2808" t="s">
        <v>5313</v>
      </c>
      <c r="AA43" s="2806" t="s">
        <v>5314</v>
      </c>
      <c r="AB43" s="2809" t="s">
        <v>5315</v>
      </c>
      <c r="AC43" s="870" t="s">
        <v>5316</v>
      </c>
      <c r="AD43" s="870" t="s">
        <v>5317</v>
      </c>
      <c r="AE43" s="870" t="s">
        <v>5318</v>
      </c>
      <c r="AF43" s="870" t="s">
        <v>5319</v>
      </c>
      <c r="AG43" s="870" t="s">
        <v>5320</v>
      </c>
      <c r="AH43" s="870" t="s">
        <v>5321</v>
      </c>
      <c r="AI43" s="1687" t="e">
        <f t="shared" si="8"/>
        <v>#VALUE!</v>
      </c>
      <c r="CB43" s="2784" t="str">
        <f t="shared" si="9"/>
        <v xml:space="preserve">* El Número de Familias en Riesgo no puede superar el Total. </v>
      </c>
      <c r="CC43" s="2784" t="str">
        <f t="shared" si="0"/>
        <v xml:space="preserve">* La variable Pueblos Originarios no puede superar el Total. </v>
      </c>
      <c r="CD43" s="2784" t="str">
        <f t="shared" si="1"/>
        <v xml:space="preserve">* La variable Migrantes no puede superar el Total. </v>
      </c>
      <c r="CE43" s="2784" t="str">
        <f t="shared" si="2"/>
        <v xml:space="preserve">* La variable Espacios Amigables/ Adolescentes no puede superar el Total. </v>
      </c>
      <c r="CF43" s="2784" t="e">
        <f t="shared" si="3"/>
        <v>#VALUE!</v>
      </c>
      <c r="CG43" s="2630"/>
      <c r="CK43" s="600"/>
      <c r="CL43" s="1725">
        <f t="shared" si="10"/>
        <v>1</v>
      </c>
      <c r="CM43" s="1725">
        <f t="shared" si="4"/>
        <v>1</v>
      </c>
      <c r="CN43" s="1725">
        <f t="shared" si="5"/>
        <v>1</v>
      </c>
      <c r="CO43" s="1725">
        <f t="shared" si="6"/>
        <v>1</v>
      </c>
      <c r="CP43" s="1725" t="e">
        <f t="shared" si="7"/>
        <v>#VALUE!</v>
      </c>
    </row>
    <row r="44" spans="1:94" s="170" customFormat="1" ht="15" customHeight="1" x14ac:dyDescent="0.3">
      <c r="A44" s="6234">
        <v>27300906</v>
      </c>
      <c r="B44" s="6398"/>
      <c r="C44" s="8163" t="s">
        <v>2284</v>
      </c>
      <c r="D44" s="8164"/>
      <c r="E44" s="2786" t="s">
        <v>5292</v>
      </c>
      <c r="F44" s="2408" t="s">
        <v>5293</v>
      </c>
      <c r="G44" s="320" t="s">
        <v>5294</v>
      </c>
      <c r="H44" s="320" t="s">
        <v>5295</v>
      </c>
      <c r="I44" s="320" t="s">
        <v>5296</v>
      </c>
      <c r="J44" s="2782" t="s">
        <v>5297</v>
      </c>
      <c r="K44" s="2844" t="s">
        <v>5298</v>
      </c>
      <c r="L44" s="320" t="s">
        <v>5299</v>
      </c>
      <c r="M44" s="320" t="s">
        <v>5300</v>
      </c>
      <c r="N44" s="2835" t="s">
        <v>5301</v>
      </c>
      <c r="O44" s="2835" t="s">
        <v>5302</v>
      </c>
      <c r="P44" s="2835" t="s">
        <v>5303</v>
      </c>
      <c r="Q44" s="2835" t="s">
        <v>5304</v>
      </c>
      <c r="R44" s="2835" t="s">
        <v>5305</v>
      </c>
      <c r="S44" s="2835" t="s">
        <v>5306</v>
      </c>
      <c r="T44" s="2835" t="s">
        <v>5307</v>
      </c>
      <c r="U44" s="2835" t="s">
        <v>5308</v>
      </c>
      <c r="V44" s="2835" t="s">
        <v>5309</v>
      </c>
      <c r="W44" s="2835" t="s">
        <v>5310</v>
      </c>
      <c r="X44" s="2835" t="s">
        <v>5311</v>
      </c>
      <c r="Y44" s="2835" t="s">
        <v>5312</v>
      </c>
      <c r="Z44" s="2836" t="s">
        <v>5313</v>
      </c>
      <c r="AA44" s="2820" t="s">
        <v>5314</v>
      </c>
      <c r="AB44" s="2837" t="s">
        <v>5315</v>
      </c>
      <c r="AC44" s="2782" t="s">
        <v>5316</v>
      </c>
      <c r="AD44" s="2782" t="s">
        <v>5317</v>
      </c>
      <c r="AE44" s="2782" t="s">
        <v>5318</v>
      </c>
      <c r="AF44" s="2782" t="s">
        <v>5319</v>
      </c>
      <c r="AG44" s="2782" t="s">
        <v>5320</v>
      </c>
      <c r="AH44" s="2782" t="s">
        <v>5321</v>
      </c>
      <c r="AI44" s="1687" t="e">
        <f t="shared" si="8"/>
        <v>#VALUE!</v>
      </c>
      <c r="CB44" s="2784" t="str">
        <f t="shared" si="9"/>
        <v xml:space="preserve">* El Número de Familias en Riesgo no puede superar el Total. </v>
      </c>
      <c r="CC44" s="2784" t="str">
        <f t="shared" si="0"/>
        <v xml:space="preserve">* La variable Pueblos Originarios no puede superar el Total. </v>
      </c>
      <c r="CD44" s="2784" t="str">
        <f t="shared" si="1"/>
        <v xml:space="preserve">* La variable Migrantes no puede superar el Total. </v>
      </c>
      <c r="CE44" s="2784" t="str">
        <f t="shared" si="2"/>
        <v xml:space="preserve">* La variable Espacios Amigables/ Adolescentes no puede superar el Total. </v>
      </c>
      <c r="CF44" s="2784" t="e">
        <f t="shared" si="3"/>
        <v>#VALUE!</v>
      </c>
      <c r="CG44" s="2630"/>
      <c r="CK44" s="600"/>
      <c r="CL44" s="1725">
        <f t="shared" si="10"/>
        <v>1</v>
      </c>
      <c r="CM44" s="1725">
        <f t="shared" si="4"/>
        <v>1</v>
      </c>
      <c r="CN44" s="1725">
        <f t="shared" si="5"/>
        <v>1</v>
      </c>
      <c r="CO44" s="1725">
        <f t="shared" si="6"/>
        <v>1</v>
      </c>
      <c r="CP44" s="1725" t="e">
        <f t="shared" si="7"/>
        <v>#VALUE!</v>
      </c>
    </row>
    <row r="45" spans="1:94" s="170" customFormat="1" ht="15" customHeight="1" x14ac:dyDescent="0.3">
      <c r="A45" s="6234">
        <v>27500120</v>
      </c>
      <c r="B45" s="6398"/>
      <c r="C45" s="8165" t="s">
        <v>2285</v>
      </c>
      <c r="D45" s="8166"/>
      <c r="E45" s="2724" t="s">
        <v>5292</v>
      </c>
      <c r="F45" s="2410" t="s">
        <v>5293</v>
      </c>
      <c r="G45" s="2411" t="s">
        <v>5294</v>
      </c>
      <c r="H45" s="2411" t="s">
        <v>5295</v>
      </c>
      <c r="I45" s="2411" t="s">
        <v>5296</v>
      </c>
      <c r="J45" s="2413" t="s">
        <v>5297</v>
      </c>
      <c r="K45" s="2815" t="s">
        <v>5298</v>
      </c>
      <c r="L45" s="2411" t="s">
        <v>5299</v>
      </c>
      <c r="M45" s="2411" t="s">
        <v>5300</v>
      </c>
      <c r="N45" s="2845" t="s">
        <v>5301</v>
      </c>
      <c r="O45" s="2845" t="s">
        <v>5302</v>
      </c>
      <c r="P45" s="2845" t="s">
        <v>5303</v>
      </c>
      <c r="Q45" s="2845" t="s">
        <v>5304</v>
      </c>
      <c r="R45" s="2845" t="s">
        <v>5305</v>
      </c>
      <c r="S45" s="2845" t="s">
        <v>5306</v>
      </c>
      <c r="T45" s="2845" t="s">
        <v>5307</v>
      </c>
      <c r="U45" s="2845" t="s">
        <v>5308</v>
      </c>
      <c r="V45" s="2845" t="s">
        <v>5309</v>
      </c>
      <c r="W45" s="2845" t="s">
        <v>5310</v>
      </c>
      <c r="X45" s="2845" t="s">
        <v>5311</v>
      </c>
      <c r="Y45" s="2845" t="s">
        <v>5312</v>
      </c>
      <c r="Z45" s="2846" t="s">
        <v>5313</v>
      </c>
      <c r="AA45" s="2847" t="s">
        <v>5314</v>
      </c>
      <c r="AB45" s="2848" t="s">
        <v>5315</v>
      </c>
      <c r="AC45" s="2800" t="s">
        <v>5316</v>
      </c>
      <c r="AD45" s="2800" t="s">
        <v>5317</v>
      </c>
      <c r="AE45" s="2800" t="s">
        <v>5318</v>
      </c>
      <c r="AF45" s="2800" t="s">
        <v>5319</v>
      </c>
      <c r="AG45" s="2800" t="s">
        <v>5320</v>
      </c>
      <c r="AH45" s="2800" t="s">
        <v>5321</v>
      </c>
      <c r="AI45" s="1687" t="e">
        <f t="shared" si="8"/>
        <v>#VALUE!</v>
      </c>
      <c r="CB45" s="2784" t="str">
        <f t="shared" si="9"/>
        <v xml:space="preserve">* El Número de Familias en Riesgo no puede superar el Total. </v>
      </c>
      <c r="CC45" s="2784" t="str">
        <f t="shared" si="0"/>
        <v xml:space="preserve">* La variable Pueblos Originarios no puede superar el Total. </v>
      </c>
      <c r="CD45" s="2784" t="str">
        <f t="shared" si="1"/>
        <v xml:space="preserve">* La variable Migrantes no puede superar el Total. </v>
      </c>
      <c r="CE45" s="2784" t="str">
        <f t="shared" si="2"/>
        <v xml:space="preserve">* La variable Espacios Amigables/ Adolescentes no puede superar el Total. </v>
      </c>
      <c r="CF45" s="2784" t="e">
        <f t="shared" si="3"/>
        <v>#VALUE!</v>
      </c>
      <c r="CG45" s="2630"/>
      <c r="CK45" s="600"/>
      <c r="CL45" s="1725">
        <f t="shared" si="10"/>
        <v>1</v>
      </c>
      <c r="CM45" s="1725">
        <f t="shared" si="4"/>
        <v>1</v>
      </c>
      <c r="CN45" s="1725">
        <f t="shared" si="5"/>
        <v>1</v>
      </c>
      <c r="CO45" s="1725">
        <f t="shared" si="6"/>
        <v>1</v>
      </c>
      <c r="CP45" s="1725" t="e">
        <f t="shared" si="7"/>
        <v>#VALUE!</v>
      </c>
    </row>
    <row r="46" spans="1:94" s="170" customFormat="1" ht="15" customHeight="1" x14ac:dyDescent="0.3">
      <c r="A46" s="6289"/>
      <c r="B46" s="6394"/>
      <c r="C46" s="8171" t="s">
        <v>24</v>
      </c>
      <c r="D46" s="8172"/>
      <c r="E46" s="2824">
        <f>SUM(F46:Y46)</f>
        <v>0</v>
      </c>
      <c r="F46" s="2849">
        <f t="shared" ref="F46:AH46" si="11">SUM(F11:F45)</f>
        <v>0</v>
      </c>
      <c r="G46" s="2850">
        <f t="shared" si="11"/>
        <v>0</v>
      </c>
      <c r="H46" s="2850">
        <f t="shared" si="11"/>
        <v>0</v>
      </c>
      <c r="I46" s="2850">
        <f t="shared" si="11"/>
        <v>0</v>
      </c>
      <c r="J46" s="2851">
        <f t="shared" si="11"/>
        <v>0</v>
      </c>
      <c r="K46" s="2852">
        <f t="shared" si="11"/>
        <v>0</v>
      </c>
      <c r="L46" s="2850">
        <f t="shared" si="11"/>
        <v>0</v>
      </c>
      <c r="M46" s="2850">
        <f t="shared" si="11"/>
        <v>0</v>
      </c>
      <c r="N46" s="2853">
        <f t="shared" si="11"/>
        <v>0</v>
      </c>
      <c r="O46" s="2853">
        <f t="shared" si="11"/>
        <v>0</v>
      </c>
      <c r="P46" s="2853">
        <f t="shared" si="11"/>
        <v>0</v>
      </c>
      <c r="Q46" s="2853">
        <f t="shared" si="11"/>
        <v>0</v>
      </c>
      <c r="R46" s="2853">
        <f t="shared" si="11"/>
        <v>0</v>
      </c>
      <c r="S46" s="2853">
        <f t="shared" si="11"/>
        <v>0</v>
      </c>
      <c r="T46" s="2853">
        <f t="shared" si="11"/>
        <v>0</v>
      </c>
      <c r="U46" s="2853">
        <f t="shared" si="11"/>
        <v>0</v>
      </c>
      <c r="V46" s="2853">
        <f t="shared" si="11"/>
        <v>0</v>
      </c>
      <c r="W46" s="2853">
        <f t="shared" si="11"/>
        <v>0</v>
      </c>
      <c r="X46" s="2853">
        <f t="shared" si="11"/>
        <v>0</v>
      </c>
      <c r="Y46" s="2853">
        <f t="shared" si="11"/>
        <v>0</v>
      </c>
      <c r="Z46" s="2854">
        <f t="shared" si="11"/>
        <v>0</v>
      </c>
      <c r="AA46" s="2850">
        <f t="shared" si="11"/>
        <v>0</v>
      </c>
      <c r="AB46" s="2850">
        <f t="shared" si="11"/>
        <v>0</v>
      </c>
      <c r="AC46" s="2851">
        <f t="shared" si="11"/>
        <v>0</v>
      </c>
      <c r="AD46" s="2851">
        <f t="shared" si="11"/>
        <v>0</v>
      </c>
      <c r="AE46" s="2851">
        <f t="shared" si="11"/>
        <v>0</v>
      </c>
      <c r="AF46" s="2851">
        <f t="shared" si="11"/>
        <v>0</v>
      </c>
      <c r="AG46" s="2851">
        <f t="shared" si="11"/>
        <v>0</v>
      </c>
      <c r="AH46" s="2851">
        <f t="shared" si="11"/>
        <v>0</v>
      </c>
    </row>
    <row r="47" spans="1:94" s="17" customFormat="1" ht="18" customHeight="1" x14ac:dyDescent="0.25">
      <c r="B47" s="2763" t="s">
        <v>2286</v>
      </c>
      <c r="C47" s="2763"/>
      <c r="D47" s="2763"/>
      <c r="E47" s="2763"/>
      <c r="F47" s="2763"/>
      <c r="G47" s="2763"/>
      <c r="H47" s="2855"/>
      <c r="I47" s="2855"/>
      <c r="J47" s="101"/>
    </row>
    <row r="48" spans="1:94" ht="40.799999999999997" x14ac:dyDescent="0.3">
      <c r="B48" s="8148" t="s">
        <v>2243</v>
      </c>
      <c r="C48" s="6389"/>
      <c r="D48" s="6848"/>
      <c r="E48" s="2751" t="s">
        <v>24</v>
      </c>
      <c r="F48" s="2766" t="s">
        <v>2287</v>
      </c>
      <c r="G48" s="2768" t="s">
        <v>2288</v>
      </c>
      <c r="H48" s="2768" t="s">
        <v>2289</v>
      </c>
      <c r="I48" s="2771" t="s">
        <v>632</v>
      </c>
      <c r="J48" s="2856" t="s">
        <v>2290</v>
      </c>
    </row>
    <row r="49" spans="1:10" ht="15" customHeight="1" x14ac:dyDescent="0.3">
      <c r="A49" s="6234">
        <v>27281500</v>
      </c>
      <c r="B49" s="8149" t="s">
        <v>2248</v>
      </c>
      <c r="C49" s="8150" t="s">
        <v>2249</v>
      </c>
      <c r="D49" s="8151"/>
      <c r="E49" s="2772" t="s">
        <v>5292</v>
      </c>
      <c r="F49" s="2773" t="s">
        <v>5293</v>
      </c>
      <c r="G49" s="2774" t="s">
        <v>5294</v>
      </c>
      <c r="H49" s="2774" t="s">
        <v>5295</v>
      </c>
      <c r="I49" s="2857" t="s">
        <v>5296</v>
      </c>
      <c r="J49" s="2858" t="s">
        <v>5297</v>
      </c>
    </row>
    <row r="50" spans="1:10" x14ac:dyDescent="0.3">
      <c r="A50" s="6234" t="s">
        <v>5216</v>
      </c>
      <c r="B50" s="6398"/>
      <c r="C50" s="8149" t="s">
        <v>2250</v>
      </c>
      <c r="D50" s="2785" t="s">
        <v>2251</v>
      </c>
      <c r="E50" s="2772" t="s">
        <v>5292</v>
      </c>
      <c r="F50" s="2408" t="s">
        <v>5293</v>
      </c>
      <c r="G50" s="320" t="s">
        <v>5294</v>
      </c>
      <c r="H50" s="320" t="s">
        <v>5295</v>
      </c>
      <c r="I50" s="2835" t="s">
        <v>5296</v>
      </c>
      <c r="J50" s="2810" t="s">
        <v>5297</v>
      </c>
    </row>
    <row r="51" spans="1:10" x14ac:dyDescent="0.3">
      <c r="A51" s="6234" t="s">
        <v>5217</v>
      </c>
      <c r="B51" s="6398"/>
      <c r="C51" s="6398"/>
      <c r="D51" s="1674" t="s">
        <v>2252</v>
      </c>
      <c r="E51" s="911" t="s">
        <v>5292</v>
      </c>
      <c r="F51" s="1072" t="s">
        <v>5293</v>
      </c>
      <c r="G51" s="1073" t="s">
        <v>5294</v>
      </c>
      <c r="H51" s="1073" t="s">
        <v>5295</v>
      </c>
      <c r="I51" s="1080" t="s">
        <v>5296</v>
      </c>
      <c r="J51" s="1062" t="s">
        <v>5297</v>
      </c>
    </row>
    <row r="52" spans="1:10" x14ac:dyDescent="0.3">
      <c r="A52" s="6234" t="s">
        <v>5218</v>
      </c>
      <c r="B52" s="6398"/>
      <c r="C52" s="6398"/>
      <c r="D52" s="1082" t="s">
        <v>2253</v>
      </c>
      <c r="E52" s="1058" t="s">
        <v>5292</v>
      </c>
      <c r="F52" s="1072" t="s">
        <v>5293</v>
      </c>
      <c r="G52" s="1073" t="s">
        <v>5294</v>
      </c>
      <c r="H52" s="1073" t="s">
        <v>5295</v>
      </c>
      <c r="I52" s="1080" t="s">
        <v>5296</v>
      </c>
      <c r="J52" s="1062" t="s">
        <v>5297</v>
      </c>
    </row>
    <row r="53" spans="1:10" x14ac:dyDescent="0.3">
      <c r="A53" s="6234">
        <v>27500130</v>
      </c>
      <c r="B53" s="6398"/>
      <c r="C53" s="6394"/>
      <c r="D53" s="2792" t="s">
        <v>2254</v>
      </c>
      <c r="E53" s="2724" t="s">
        <v>5292</v>
      </c>
      <c r="F53" s="2410" t="s">
        <v>5293</v>
      </c>
      <c r="G53" s="2859" t="s">
        <v>5294</v>
      </c>
      <c r="H53" s="2859" t="s">
        <v>5295</v>
      </c>
      <c r="I53" s="2845" t="s">
        <v>5296</v>
      </c>
      <c r="J53" s="2860" t="s">
        <v>5297</v>
      </c>
    </row>
    <row r="54" spans="1:10" x14ac:dyDescent="0.3">
      <c r="A54" s="6234">
        <v>27281700</v>
      </c>
      <c r="B54" s="6398"/>
      <c r="C54" s="7234" t="s">
        <v>2255</v>
      </c>
      <c r="D54" s="8152"/>
      <c r="E54" s="2832" t="s">
        <v>5292</v>
      </c>
      <c r="F54" s="106" t="s">
        <v>5293</v>
      </c>
      <c r="G54" s="1069" t="s">
        <v>5294</v>
      </c>
      <c r="H54" s="1069" t="s">
        <v>5295</v>
      </c>
      <c r="I54" s="839" t="s">
        <v>5296</v>
      </c>
      <c r="J54" s="768" t="s">
        <v>5297</v>
      </c>
    </row>
    <row r="55" spans="1:10" x14ac:dyDescent="0.3">
      <c r="A55" s="6234">
        <v>27281900</v>
      </c>
      <c r="B55" s="6398"/>
      <c r="C55" s="8153" t="s">
        <v>2256</v>
      </c>
      <c r="D55" s="7237"/>
      <c r="E55" s="911" t="s">
        <v>5292</v>
      </c>
      <c r="F55" s="1072" t="s">
        <v>5293</v>
      </c>
      <c r="G55" s="1073" t="s">
        <v>5294</v>
      </c>
      <c r="H55" s="1073" t="s">
        <v>5295</v>
      </c>
      <c r="I55" s="1080" t="s">
        <v>5296</v>
      </c>
      <c r="J55" s="1062" t="s">
        <v>5297</v>
      </c>
    </row>
    <row r="56" spans="1:10" x14ac:dyDescent="0.3">
      <c r="A56" s="6234">
        <v>27282000</v>
      </c>
      <c r="B56" s="6398"/>
      <c r="C56" s="8153" t="s">
        <v>2257</v>
      </c>
      <c r="D56" s="7237"/>
      <c r="E56" s="911" t="s">
        <v>5292</v>
      </c>
      <c r="F56" s="1072" t="s">
        <v>5293</v>
      </c>
      <c r="G56" s="1073" t="s">
        <v>5294</v>
      </c>
      <c r="H56" s="1073" t="s">
        <v>5295</v>
      </c>
      <c r="I56" s="1080" t="s">
        <v>5296</v>
      </c>
      <c r="J56" s="1062" t="s">
        <v>5297</v>
      </c>
    </row>
    <row r="57" spans="1:10" x14ac:dyDescent="0.3">
      <c r="A57" s="6234">
        <v>27282100</v>
      </c>
      <c r="B57" s="6398"/>
      <c r="C57" s="8158" t="s">
        <v>2258</v>
      </c>
      <c r="D57" s="8159"/>
      <c r="E57" s="911" t="s">
        <v>5292</v>
      </c>
      <c r="F57" s="1072" t="s">
        <v>5293</v>
      </c>
      <c r="G57" s="1073" t="s">
        <v>5294</v>
      </c>
      <c r="H57" s="1073" t="s">
        <v>5295</v>
      </c>
      <c r="I57" s="1080" t="s">
        <v>5296</v>
      </c>
      <c r="J57" s="1062" t="s">
        <v>5297</v>
      </c>
    </row>
    <row r="58" spans="1:10" x14ac:dyDescent="0.3">
      <c r="A58" s="6234">
        <v>27282200</v>
      </c>
      <c r="B58" s="6398"/>
      <c r="C58" s="8153" t="s">
        <v>2291</v>
      </c>
      <c r="D58" s="7237"/>
      <c r="E58" s="911" t="s">
        <v>5292</v>
      </c>
      <c r="F58" s="1072" t="s">
        <v>5293</v>
      </c>
      <c r="G58" s="1073" t="s">
        <v>5294</v>
      </c>
      <c r="H58" s="1073" t="s">
        <v>5295</v>
      </c>
      <c r="I58" s="1080" t="s">
        <v>5296</v>
      </c>
      <c r="J58" s="1062" t="s">
        <v>5297</v>
      </c>
    </row>
    <row r="59" spans="1:10" x14ac:dyDescent="0.3">
      <c r="A59" s="6234">
        <v>27500260</v>
      </c>
      <c r="B59" s="6398"/>
      <c r="C59" s="7234" t="s">
        <v>2260</v>
      </c>
      <c r="D59" s="8152"/>
      <c r="E59" s="911" t="s">
        <v>5292</v>
      </c>
      <c r="F59" s="90" t="s">
        <v>5293</v>
      </c>
      <c r="G59" s="127" t="s">
        <v>5294</v>
      </c>
      <c r="H59" s="127" t="s">
        <v>5295</v>
      </c>
      <c r="I59" s="128" t="s">
        <v>5296</v>
      </c>
      <c r="J59" s="876" t="s">
        <v>5297</v>
      </c>
    </row>
    <row r="60" spans="1:10" ht="21" customHeight="1" x14ac:dyDescent="0.3">
      <c r="A60" s="6234">
        <v>27500140</v>
      </c>
      <c r="B60" s="6398"/>
      <c r="C60" s="7497" t="s">
        <v>2261</v>
      </c>
      <c r="D60" s="7254"/>
      <c r="E60" s="911" t="s">
        <v>5292</v>
      </c>
      <c r="F60" s="90" t="s">
        <v>5293</v>
      </c>
      <c r="G60" s="127" t="s">
        <v>5294</v>
      </c>
      <c r="H60" s="127" t="s">
        <v>5295</v>
      </c>
      <c r="I60" s="128" t="s">
        <v>5296</v>
      </c>
      <c r="J60" s="876" t="s">
        <v>5297</v>
      </c>
    </row>
    <row r="61" spans="1:10" ht="15" customHeight="1" x14ac:dyDescent="0.3">
      <c r="A61" s="6234">
        <v>27500320</v>
      </c>
      <c r="B61" s="6398"/>
      <c r="C61" s="7497" t="s">
        <v>2262</v>
      </c>
      <c r="D61" s="7254"/>
      <c r="E61" s="911" t="s">
        <v>5292</v>
      </c>
      <c r="F61" s="90" t="s">
        <v>5293</v>
      </c>
      <c r="G61" s="127" t="s">
        <v>5294</v>
      </c>
      <c r="H61" s="127" t="s">
        <v>5295</v>
      </c>
      <c r="I61" s="128" t="s">
        <v>5296</v>
      </c>
      <c r="J61" s="876" t="s">
        <v>5297</v>
      </c>
    </row>
    <row r="62" spans="1:10" x14ac:dyDescent="0.3">
      <c r="A62" s="6234">
        <v>27300922</v>
      </c>
      <c r="B62" s="6398"/>
      <c r="C62" s="8158" t="s">
        <v>2263</v>
      </c>
      <c r="D62" s="8159"/>
      <c r="E62" s="911" t="s">
        <v>5292</v>
      </c>
      <c r="F62" s="90" t="s">
        <v>5293</v>
      </c>
      <c r="G62" s="127" t="s">
        <v>5294</v>
      </c>
      <c r="H62" s="127" t="s">
        <v>5295</v>
      </c>
      <c r="I62" s="128" t="s">
        <v>5296</v>
      </c>
      <c r="J62" s="876" t="s">
        <v>5297</v>
      </c>
    </row>
    <row r="63" spans="1:10" ht="15" customHeight="1" x14ac:dyDescent="0.3">
      <c r="A63" s="6234">
        <v>27300908</v>
      </c>
      <c r="B63" s="6398"/>
      <c r="C63" s="6379" t="s">
        <v>2264</v>
      </c>
      <c r="D63" s="2805" t="s">
        <v>2265</v>
      </c>
      <c r="E63" s="2786" t="s">
        <v>5292</v>
      </c>
      <c r="F63" s="2844" t="s">
        <v>5293</v>
      </c>
      <c r="G63" s="320" t="s">
        <v>5294</v>
      </c>
      <c r="H63" s="320" t="s">
        <v>5295</v>
      </c>
      <c r="I63" s="2835" t="s">
        <v>5296</v>
      </c>
      <c r="J63" s="2810" t="s">
        <v>5297</v>
      </c>
    </row>
    <row r="64" spans="1:10" ht="15" customHeight="1" x14ac:dyDescent="0.3">
      <c r="A64" s="6234">
        <v>27300909</v>
      </c>
      <c r="B64" s="6398"/>
      <c r="C64" s="6349"/>
      <c r="D64" s="2799" t="s">
        <v>2266</v>
      </c>
      <c r="E64" s="1058" t="s">
        <v>5292</v>
      </c>
      <c r="F64" s="2092" t="s">
        <v>5293</v>
      </c>
      <c r="G64" s="1073" t="s">
        <v>5294</v>
      </c>
      <c r="H64" s="1073" t="s">
        <v>5295</v>
      </c>
      <c r="I64" s="1080" t="s">
        <v>5296</v>
      </c>
      <c r="J64" s="1062" t="s">
        <v>5297</v>
      </c>
    </row>
    <row r="65" spans="1:10" x14ac:dyDescent="0.3">
      <c r="A65" s="6234">
        <v>27300910</v>
      </c>
      <c r="B65" s="6398"/>
      <c r="C65" s="6350"/>
      <c r="D65" s="2814" t="s">
        <v>28</v>
      </c>
      <c r="E65" s="150" t="s">
        <v>5292</v>
      </c>
      <c r="F65" s="121" t="s">
        <v>5293</v>
      </c>
      <c r="G65" s="115" t="s">
        <v>5294</v>
      </c>
      <c r="H65" s="115" t="s">
        <v>5295</v>
      </c>
      <c r="I65" s="137" t="s">
        <v>5296</v>
      </c>
      <c r="J65" s="771" t="s">
        <v>5297</v>
      </c>
    </row>
    <row r="66" spans="1:10" x14ac:dyDescent="0.3">
      <c r="A66" s="6234">
        <v>27300900</v>
      </c>
      <c r="B66" s="6398"/>
      <c r="C66" s="6379" t="s">
        <v>2267</v>
      </c>
      <c r="D66" s="2785" t="s">
        <v>2268</v>
      </c>
      <c r="E66" s="2772" t="s">
        <v>5292</v>
      </c>
      <c r="F66" s="2408" t="s">
        <v>5293</v>
      </c>
      <c r="G66" s="320" t="s">
        <v>5294</v>
      </c>
      <c r="H66" s="320" t="s">
        <v>5295</v>
      </c>
      <c r="I66" s="2835" t="s">
        <v>5296</v>
      </c>
      <c r="J66" s="2810" t="s">
        <v>5297</v>
      </c>
    </row>
    <row r="67" spans="1:10" ht="15" customHeight="1" x14ac:dyDescent="0.3">
      <c r="A67" s="6234">
        <v>27400200</v>
      </c>
      <c r="B67" s="6398"/>
      <c r="C67" s="6349"/>
      <c r="D67" s="2823" t="s">
        <v>2269</v>
      </c>
      <c r="E67" s="911" t="s">
        <v>5292</v>
      </c>
      <c r="F67" s="1072" t="s">
        <v>5293</v>
      </c>
      <c r="G67" s="1073" t="s">
        <v>5294</v>
      </c>
      <c r="H67" s="1073" t="s">
        <v>5295</v>
      </c>
      <c r="I67" s="1080" t="s">
        <v>5296</v>
      </c>
      <c r="J67" s="1062" t="s">
        <v>5297</v>
      </c>
    </row>
    <row r="68" spans="1:10" x14ac:dyDescent="0.3">
      <c r="A68" s="6234">
        <v>27400250</v>
      </c>
      <c r="B68" s="6398"/>
      <c r="C68" s="6350"/>
      <c r="D68" s="2814" t="s">
        <v>28</v>
      </c>
      <c r="E68" s="150" t="s">
        <v>5292</v>
      </c>
      <c r="F68" s="114" t="s">
        <v>5293</v>
      </c>
      <c r="G68" s="115" t="s">
        <v>5294</v>
      </c>
      <c r="H68" s="115" t="s">
        <v>5295</v>
      </c>
      <c r="I68" s="137" t="s">
        <v>5296</v>
      </c>
      <c r="J68" s="771" t="s">
        <v>5297</v>
      </c>
    </row>
    <row r="69" spans="1:10" x14ac:dyDescent="0.3">
      <c r="A69" s="6234">
        <v>27300200</v>
      </c>
      <c r="B69" s="6398"/>
      <c r="C69" s="8167" t="s">
        <v>2270</v>
      </c>
      <c r="D69" s="8168"/>
      <c r="E69" s="2824" t="s">
        <v>5292</v>
      </c>
      <c r="F69" s="2825" t="s">
        <v>5293</v>
      </c>
      <c r="G69" s="2826" t="s">
        <v>5294</v>
      </c>
      <c r="H69" s="2826" t="s">
        <v>5295</v>
      </c>
      <c r="I69" s="2829" t="s">
        <v>5296</v>
      </c>
      <c r="J69" s="2861" t="s">
        <v>5297</v>
      </c>
    </row>
    <row r="70" spans="1:10" ht="15" customHeight="1" x14ac:dyDescent="0.3">
      <c r="A70" s="6234">
        <v>27300923</v>
      </c>
      <c r="B70" s="6398"/>
      <c r="C70" s="6350" t="s">
        <v>2271</v>
      </c>
      <c r="D70" s="1929" t="s">
        <v>2272</v>
      </c>
      <c r="E70" s="2832" t="s">
        <v>5292</v>
      </c>
      <c r="F70" s="106" t="s">
        <v>5293</v>
      </c>
      <c r="G70" s="1069" t="s">
        <v>5294</v>
      </c>
      <c r="H70" s="1069" t="s">
        <v>5295</v>
      </c>
      <c r="I70" s="839" t="s">
        <v>5296</v>
      </c>
      <c r="J70" s="768" t="s">
        <v>5297</v>
      </c>
    </row>
    <row r="71" spans="1:10" x14ac:dyDescent="0.3">
      <c r="A71" s="6234">
        <v>27300924</v>
      </c>
      <c r="B71" s="6398"/>
      <c r="C71" s="8169"/>
      <c r="D71" s="2792" t="s">
        <v>2273</v>
      </c>
      <c r="E71" s="911" t="s">
        <v>5292</v>
      </c>
      <c r="F71" s="1072" t="s">
        <v>5293</v>
      </c>
      <c r="G71" s="1073" t="s">
        <v>5294</v>
      </c>
      <c r="H71" s="1073" t="s">
        <v>5295</v>
      </c>
      <c r="I71" s="1080" t="s">
        <v>5296</v>
      </c>
      <c r="J71" s="1062" t="s">
        <v>5297</v>
      </c>
    </row>
    <row r="72" spans="1:10" ht="15" customHeight="1" x14ac:dyDescent="0.3">
      <c r="A72" s="6234">
        <v>27300925</v>
      </c>
      <c r="B72" s="6398"/>
      <c r="C72" s="8170" t="s">
        <v>2274</v>
      </c>
      <c r="D72" s="8170"/>
      <c r="E72" s="911" t="s">
        <v>5292</v>
      </c>
      <c r="F72" s="1072" t="s">
        <v>5293</v>
      </c>
      <c r="G72" s="1073" t="s">
        <v>5294</v>
      </c>
      <c r="H72" s="1073" t="s">
        <v>5295</v>
      </c>
      <c r="I72" s="1080" t="s">
        <v>5296</v>
      </c>
      <c r="J72" s="1062" t="s">
        <v>5297</v>
      </c>
    </row>
    <row r="73" spans="1:10" x14ac:dyDescent="0.3">
      <c r="A73" s="6234">
        <v>27290302</v>
      </c>
      <c r="B73" s="6398"/>
      <c r="C73" s="7234" t="s">
        <v>2275</v>
      </c>
      <c r="D73" s="8152"/>
      <c r="E73" s="911" t="s">
        <v>5292</v>
      </c>
      <c r="F73" s="1072" t="s">
        <v>5293</v>
      </c>
      <c r="G73" s="1073" t="s">
        <v>5294</v>
      </c>
      <c r="H73" s="1073" t="s">
        <v>5295</v>
      </c>
      <c r="I73" s="1080" t="s">
        <v>5296</v>
      </c>
      <c r="J73" s="1062" t="s">
        <v>5297</v>
      </c>
    </row>
    <row r="74" spans="1:10" ht="15" customHeight="1" x14ac:dyDescent="0.3">
      <c r="A74" s="6234">
        <v>27400020</v>
      </c>
      <c r="B74" s="6398"/>
      <c r="C74" s="7497" t="s">
        <v>2276</v>
      </c>
      <c r="D74" s="7254"/>
      <c r="E74" s="911" t="s">
        <v>5292</v>
      </c>
      <c r="F74" s="90" t="s">
        <v>5293</v>
      </c>
      <c r="G74" s="127" t="s">
        <v>5294</v>
      </c>
      <c r="H74" s="127" t="s">
        <v>5295</v>
      </c>
      <c r="I74" s="128" t="s">
        <v>5296</v>
      </c>
      <c r="J74" s="876" t="s">
        <v>5297</v>
      </c>
    </row>
    <row r="75" spans="1:10" x14ac:dyDescent="0.3">
      <c r="A75" s="6234">
        <v>27282400</v>
      </c>
      <c r="B75" s="6398"/>
      <c r="C75" s="8158" t="s">
        <v>2277</v>
      </c>
      <c r="D75" s="8159"/>
      <c r="E75" s="911" t="s">
        <v>5292</v>
      </c>
      <c r="F75" s="90" t="s">
        <v>5293</v>
      </c>
      <c r="G75" s="127" t="s">
        <v>5294</v>
      </c>
      <c r="H75" s="127" t="s">
        <v>5295</v>
      </c>
      <c r="I75" s="128" t="s">
        <v>5296</v>
      </c>
      <c r="J75" s="876" t="s">
        <v>5297</v>
      </c>
    </row>
    <row r="76" spans="1:10" ht="15" customHeight="1" x14ac:dyDescent="0.3">
      <c r="A76" s="6234">
        <v>27282500</v>
      </c>
      <c r="B76" s="6398"/>
      <c r="C76" s="6379" t="s">
        <v>2278</v>
      </c>
      <c r="D76" s="2834" t="s">
        <v>2279</v>
      </c>
      <c r="E76" s="2772" t="s">
        <v>5292</v>
      </c>
      <c r="F76" s="2408" t="s">
        <v>5293</v>
      </c>
      <c r="G76" s="320" t="s">
        <v>5294</v>
      </c>
      <c r="H76" s="320" t="s">
        <v>5295</v>
      </c>
      <c r="I76" s="2835" t="s">
        <v>5296</v>
      </c>
      <c r="J76" s="2810" t="s">
        <v>5297</v>
      </c>
    </row>
    <row r="77" spans="1:10" x14ac:dyDescent="0.3">
      <c r="A77" s="6234">
        <v>27282600</v>
      </c>
      <c r="B77" s="6398"/>
      <c r="C77" s="6349"/>
      <c r="D77" s="2838" t="s">
        <v>2280</v>
      </c>
      <c r="E77" s="911" t="s">
        <v>5292</v>
      </c>
      <c r="F77" s="1072" t="s">
        <v>5293</v>
      </c>
      <c r="G77" s="1073" t="s">
        <v>5294</v>
      </c>
      <c r="H77" s="1073" t="s">
        <v>5295</v>
      </c>
      <c r="I77" s="1080" t="s">
        <v>5296</v>
      </c>
      <c r="J77" s="1062" t="s">
        <v>5297</v>
      </c>
    </row>
    <row r="78" spans="1:10" ht="15" customHeight="1" x14ac:dyDescent="0.3">
      <c r="A78" s="6234">
        <v>27290303</v>
      </c>
      <c r="B78" s="6398"/>
      <c r="C78" s="6349"/>
      <c r="D78" s="2840" t="s">
        <v>2281</v>
      </c>
      <c r="E78" s="911" t="s">
        <v>5292</v>
      </c>
      <c r="F78" s="90" t="s">
        <v>5293</v>
      </c>
      <c r="G78" s="127" t="s">
        <v>5294</v>
      </c>
      <c r="H78" s="127" t="s">
        <v>5295</v>
      </c>
      <c r="I78" s="128" t="s">
        <v>5296</v>
      </c>
      <c r="J78" s="876" t="s">
        <v>5297</v>
      </c>
    </row>
    <row r="79" spans="1:10" x14ac:dyDescent="0.3">
      <c r="A79" s="6234">
        <v>29101564</v>
      </c>
      <c r="B79" s="6398"/>
      <c r="C79" s="6349"/>
      <c r="D79" s="1685" t="s">
        <v>2282</v>
      </c>
      <c r="E79" s="911" t="s">
        <v>5292</v>
      </c>
      <c r="F79" s="90" t="s">
        <v>5293</v>
      </c>
      <c r="G79" s="127" t="s">
        <v>5294</v>
      </c>
      <c r="H79" s="127" t="s">
        <v>5295</v>
      </c>
      <c r="I79" s="128" t="s">
        <v>5296</v>
      </c>
      <c r="J79" s="876" t="s">
        <v>5297</v>
      </c>
    </row>
    <row r="80" spans="1:10" ht="15" customHeight="1" x14ac:dyDescent="0.3">
      <c r="A80" s="6234">
        <v>29101565</v>
      </c>
      <c r="B80" s="6398"/>
      <c r="C80" s="6350"/>
      <c r="D80" s="322" t="s">
        <v>2283</v>
      </c>
      <c r="E80" s="911" t="s">
        <v>5292</v>
      </c>
      <c r="F80" s="90" t="s">
        <v>5293</v>
      </c>
      <c r="G80" s="127" t="s">
        <v>5294</v>
      </c>
      <c r="H80" s="127" t="s">
        <v>5295</v>
      </c>
      <c r="I80" s="128" t="s">
        <v>5296</v>
      </c>
      <c r="J80" s="876" t="s">
        <v>5297</v>
      </c>
    </row>
    <row r="81" spans="1:24" ht="15" customHeight="1" x14ac:dyDescent="0.3">
      <c r="A81" s="6234">
        <v>27300912</v>
      </c>
      <c r="B81" s="6398"/>
      <c r="C81" s="8163" t="s">
        <v>2284</v>
      </c>
      <c r="D81" s="8164"/>
      <c r="E81" s="2786" t="s">
        <v>5292</v>
      </c>
      <c r="F81" s="2408" t="s">
        <v>5293</v>
      </c>
      <c r="G81" s="320" t="s">
        <v>5294</v>
      </c>
      <c r="H81" s="320" t="s">
        <v>5295</v>
      </c>
      <c r="I81" s="2862" t="s">
        <v>5296</v>
      </c>
      <c r="J81" s="2810" t="s">
        <v>5297</v>
      </c>
    </row>
    <row r="82" spans="1:24" ht="15" customHeight="1" x14ac:dyDescent="0.3">
      <c r="A82" s="6234">
        <v>27500150</v>
      </c>
      <c r="B82" s="6398"/>
      <c r="C82" s="8165" t="s">
        <v>2285</v>
      </c>
      <c r="D82" s="8166"/>
      <c r="E82" s="2724" t="s">
        <v>5292</v>
      </c>
      <c r="F82" s="2410" t="s">
        <v>5293</v>
      </c>
      <c r="G82" s="2411" t="s">
        <v>5294</v>
      </c>
      <c r="H82" s="2411" t="s">
        <v>5295</v>
      </c>
      <c r="I82" s="2863" t="s">
        <v>5296</v>
      </c>
      <c r="J82" s="2860" t="s">
        <v>5297</v>
      </c>
    </row>
    <row r="83" spans="1:24" x14ac:dyDescent="0.3">
      <c r="A83" s="6289"/>
      <c r="B83" s="6394"/>
      <c r="C83" s="8182" t="s">
        <v>24</v>
      </c>
      <c r="D83" s="8183"/>
      <c r="E83" s="2824">
        <f t="shared" ref="E49:E83" si="12">SUM(F83:I83)</f>
        <v>0</v>
      </c>
      <c r="F83" s="2849">
        <f>SUM(F49:F82)</f>
        <v>0</v>
      </c>
      <c r="G83" s="2852">
        <f>SUM(G49:G82)</f>
        <v>0</v>
      </c>
      <c r="H83" s="2852">
        <f>SUM(H49:H82)</f>
        <v>0</v>
      </c>
      <c r="I83" s="2864">
        <f>SUM(I49:I82)</f>
        <v>0</v>
      </c>
      <c r="J83" s="2865">
        <f>SUM(J49:J82)</f>
        <v>0</v>
      </c>
    </row>
    <row r="84" spans="1:24" s="17" customFormat="1" ht="18" customHeight="1" x14ac:dyDescent="0.25">
      <c r="B84" s="2763" t="s">
        <v>2292</v>
      </c>
      <c r="C84" s="2763"/>
      <c r="D84" s="2763"/>
      <c r="E84" s="2763"/>
      <c r="F84" s="2866"/>
      <c r="G84" s="2866"/>
      <c r="H84" s="2866"/>
      <c r="I84" s="2866"/>
      <c r="J84" s="2866"/>
      <c r="K84" s="2866"/>
      <c r="L84" s="123"/>
      <c r="M84" s="123"/>
      <c r="N84" s="123"/>
      <c r="O84" s="101"/>
      <c r="P84" s="101"/>
      <c r="Q84" s="101"/>
      <c r="R84" s="101"/>
      <c r="S84" s="101"/>
      <c r="T84" s="101"/>
      <c r="U84" s="101"/>
      <c r="V84" s="101"/>
      <c r="W84" s="101"/>
      <c r="X84" s="101"/>
    </row>
    <row r="85" spans="1:24" ht="15" customHeight="1" x14ac:dyDescent="0.3">
      <c r="B85" s="8148" t="s">
        <v>1080</v>
      </c>
      <c r="C85" s="6389"/>
      <c r="D85" s="6848"/>
      <c r="E85" s="2751" t="s">
        <v>2293</v>
      </c>
      <c r="F85" s="8176"/>
      <c r="G85" s="8176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2"/>
      <c r="T85" s="102"/>
      <c r="U85" s="102"/>
      <c r="V85" s="102"/>
      <c r="W85" s="102"/>
      <c r="X85" s="102"/>
    </row>
    <row r="86" spans="1:24" ht="15" customHeight="1" x14ac:dyDescent="0.3">
      <c r="A86" s="6234">
        <v>27300300</v>
      </c>
      <c r="B86" s="8173" t="s">
        <v>1075</v>
      </c>
      <c r="C86" s="8174"/>
      <c r="D86" s="8175"/>
      <c r="E86" s="2867" t="s">
        <v>5292</v>
      </c>
      <c r="F86" s="8176"/>
      <c r="G86" s="8176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2"/>
      <c r="T86" s="102"/>
      <c r="U86" s="102"/>
      <c r="V86" s="102"/>
      <c r="W86" s="102"/>
      <c r="X86" s="102"/>
    </row>
    <row r="87" spans="1:24" ht="15" customHeight="1" x14ac:dyDescent="0.3">
      <c r="A87" s="6234">
        <v>27300400</v>
      </c>
      <c r="B87" s="8177" t="s">
        <v>2294</v>
      </c>
      <c r="C87" s="7492"/>
      <c r="D87" s="7493"/>
      <c r="E87" s="2867" t="s">
        <v>5292</v>
      </c>
      <c r="F87" s="8176"/>
      <c r="G87" s="8176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2"/>
      <c r="T87" s="102"/>
      <c r="U87" s="102"/>
      <c r="V87" s="102"/>
      <c r="W87" s="102"/>
      <c r="X87" s="102"/>
    </row>
    <row r="88" spans="1:24" ht="15" customHeight="1" x14ac:dyDescent="0.3">
      <c r="A88" s="6234">
        <v>27300600</v>
      </c>
      <c r="B88" s="8178" t="s">
        <v>2295</v>
      </c>
      <c r="C88" s="8179"/>
      <c r="D88" s="8180"/>
      <c r="E88" s="2868" t="s">
        <v>5292</v>
      </c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2"/>
      <c r="T88" s="102"/>
      <c r="U88" s="102"/>
      <c r="V88" s="102"/>
      <c r="W88" s="102"/>
      <c r="X88" s="102"/>
    </row>
    <row r="89" spans="1:24" ht="18" customHeight="1" x14ac:dyDescent="0.3">
      <c r="A89" s="599"/>
      <c r="B89" s="2869" t="s">
        <v>2296</v>
      </c>
      <c r="C89" s="2870"/>
      <c r="D89" s="2871"/>
      <c r="E89" s="599"/>
      <c r="F89" s="2872"/>
      <c r="G89" s="599"/>
      <c r="H89" s="599"/>
      <c r="I89" s="599"/>
      <c r="J89" s="599"/>
      <c r="K89" s="599"/>
      <c r="L89" s="599"/>
      <c r="M89" s="599"/>
      <c r="N89" s="599"/>
      <c r="O89" s="599"/>
      <c r="P89" s="599"/>
      <c r="Q89" s="599"/>
      <c r="R89" s="599"/>
      <c r="S89" s="599"/>
      <c r="T89" s="599"/>
      <c r="U89" s="599"/>
      <c r="V89" s="599"/>
      <c r="W89" s="599"/>
      <c r="X89" s="599"/>
    </row>
    <row r="90" spans="1:24" ht="20.399999999999999" x14ac:dyDescent="0.3">
      <c r="A90" s="599"/>
      <c r="B90" s="8181" t="s">
        <v>1457</v>
      </c>
      <c r="C90" s="8181"/>
      <c r="D90" s="8181"/>
      <c r="E90" s="5609" t="s">
        <v>2297</v>
      </c>
      <c r="F90" s="5585" t="s">
        <v>2298</v>
      </c>
      <c r="G90" s="599"/>
      <c r="H90" s="599"/>
      <c r="I90" s="599"/>
      <c r="J90" s="599"/>
      <c r="K90" s="599"/>
      <c r="L90" s="599"/>
      <c r="M90" s="599"/>
      <c r="N90" s="599"/>
      <c r="O90" s="599"/>
      <c r="P90" s="599"/>
      <c r="Q90" s="599"/>
      <c r="R90" s="599"/>
      <c r="S90" s="599"/>
      <c r="T90" s="599"/>
      <c r="U90" s="599"/>
      <c r="V90" s="599"/>
      <c r="W90" s="599"/>
      <c r="X90" s="599"/>
    </row>
    <row r="91" spans="1:24" ht="15" customHeight="1" x14ac:dyDescent="0.3">
      <c r="A91" s="6234">
        <v>27300913</v>
      </c>
      <c r="B91" s="8190" t="s">
        <v>2299</v>
      </c>
      <c r="C91" s="8191"/>
      <c r="D91" s="8192"/>
      <c r="E91" s="5610" t="s">
        <v>5292</v>
      </c>
      <c r="F91" s="5613" t="s">
        <v>5293</v>
      </c>
      <c r="G91" s="599"/>
      <c r="H91" s="599"/>
      <c r="I91" s="599"/>
      <c r="J91" s="599"/>
      <c r="K91" s="599"/>
      <c r="L91" s="599"/>
      <c r="M91" s="599"/>
      <c r="N91" s="599"/>
      <c r="O91" s="599"/>
      <c r="P91" s="599"/>
      <c r="Q91" s="599"/>
      <c r="R91" s="599"/>
      <c r="S91" s="599"/>
      <c r="T91" s="599"/>
      <c r="U91" s="599"/>
      <c r="V91" s="599"/>
      <c r="W91" s="599"/>
      <c r="X91" s="599"/>
    </row>
    <row r="92" spans="1:24" ht="15" customHeight="1" x14ac:dyDescent="0.3">
      <c r="A92" s="6234">
        <v>27300914</v>
      </c>
      <c r="B92" s="8187" t="s">
        <v>2300</v>
      </c>
      <c r="C92" s="8188"/>
      <c r="D92" s="8189"/>
      <c r="E92" s="5611" t="s">
        <v>5292</v>
      </c>
      <c r="F92" s="5614" t="s">
        <v>5293</v>
      </c>
      <c r="G92" s="599"/>
      <c r="H92" s="599"/>
      <c r="I92" s="599"/>
      <c r="J92" s="599"/>
      <c r="K92" s="599"/>
      <c r="L92" s="599"/>
      <c r="M92" s="599"/>
      <c r="N92" s="599"/>
      <c r="O92" s="599"/>
      <c r="P92" s="599"/>
      <c r="Q92" s="599"/>
      <c r="R92" s="599"/>
      <c r="S92" s="599"/>
      <c r="T92" s="599"/>
      <c r="U92" s="599"/>
      <c r="V92" s="599"/>
      <c r="W92" s="599"/>
      <c r="X92" s="599"/>
    </row>
    <row r="93" spans="1:24" ht="15" customHeight="1" x14ac:dyDescent="0.3">
      <c r="A93" s="6234">
        <v>27300915</v>
      </c>
      <c r="B93" s="7157" t="s">
        <v>2301</v>
      </c>
      <c r="C93" s="8193"/>
      <c r="D93" s="7158"/>
      <c r="E93" s="5612" t="s">
        <v>5292</v>
      </c>
      <c r="F93" s="5615" t="s">
        <v>5293</v>
      </c>
      <c r="G93" s="599"/>
      <c r="H93" s="599"/>
      <c r="I93" s="599"/>
      <c r="J93" s="599"/>
      <c r="K93" s="599"/>
      <c r="L93" s="599"/>
      <c r="M93" s="599"/>
      <c r="N93" s="599"/>
      <c r="O93" s="599"/>
      <c r="P93" s="599"/>
      <c r="Q93" s="599"/>
      <c r="R93" s="599"/>
      <c r="S93" s="599"/>
      <c r="T93" s="599"/>
      <c r="U93" s="599"/>
      <c r="V93" s="599"/>
      <c r="W93" s="599"/>
      <c r="X93" s="599"/>
    </row>
    <row r="94" spans="1:24" ht="18" customHeight="1" x14ac:dyDescent="0.3">
      <c r="B94" s="2869" t="s">
        <v>2302</v>
      </c>
      <c r="C94" s="2870"/>
      <c r="D94" s="2871"/>
      <c r="E94" s="599"/>
      <c r="F94" s="2872"/>
      <c r="G94" s="599"/>
      <c r="H94" s="599"/>
      <c r="I94" s="599"/>
      <c r="J94" s="599"/>
      <c r="K94" s="599"/>
      <c r="L94" s="599"/>
      <c r="M94" s="599"/>
      <c r="N94" s="599"/>
      <c r="O94" s="599"/>
      <c r="P94" s="599"/>
      <c r="Q94" s="599"/>
      <c r="R94" s="599"/>
      <c r="S94" s="599"/>
      <c r="T94" s="599"/>
      <c r="U94" s="599"/>
      <c r="V94" s="599"/>
      <c r="W94" s="599"/>
      <c r="X94" s="599"/>
    </row>
    <row r="95" spans="1:24" s="170" customFormat="1" ht="15" customHeight="1" x14ac:dyDescent="0.2">
      <c r="B95" s="8181" t="s">
        <v>1457</v>
      </c>
      <c r="C95" s="8181"/>
      <c r="D95" s="8181"/>
      <c r="E95" s="6322" t="s">
        <v>2297</v>
      </c>
      <c r="F95" s="6848" t="s">
        <v>2298</v>
      </c>
      <c r="G95" s="8148" t="s">
        <v>2303</v>
      </c>
      <c r="H95" s="6848"/>
      <c r="I95" s="8200" t="s">
        <v>12</v>
      </c>
      <c r="J95" s="8200"/>
      <c r="K95" s="8200"/>
      <c r="L95" s="8200"/>
      <c r="M95" s="8200"/>
      <c r="N95" s="8200"/>
      <c r="O95" s="8200"/>
      <c r="P95" s="8200"/>
      <c r="Q95" s="8200"/>
      <c r="R95" s="8200"/>
      <c r="S95" s="8200"/>
      <c r="T95" s="8200"/>
      <c r="U95" s="8200"/>
      <c r="V95" s="8201"/>
      <c r="W95" s="6611" t="s">
        <v>39</v>
      </c>
      <c r="X95" s="6384" t="s">
        <v>1113</v>
      </c>
    </row>
    <row r="96" spans="1:24" s="170" customFormat="1" ht="23.25" customHeight="1" x14ac:dyDescent="0.2">
      <c r="B96" s="8181"/>
      <c r="C96" s="8181"/>
      <c r="D96" s="8181"/>
      <c r="E96" s="6322"/>
      <c r="F96" s="6848"/>
      <c r="G96" s="2874" t="s">
        <v>1449</v>
      </c>
      <c r="H96" s="2769" t="s">
        <v>3733</v>
      </c>
      <c r="I96" s="2881" t="s">
        <v>1451</v>
      </c>
      <c r="J96" s="2768" t="s">
        <v>1452</v>
      </c>
      <c r="K96" s="2882" t="s">
        <v>37</v>
      </c>
      <c r="L96" s="2882" t="s">
        <v>38</v>
      </c>
      <c r="M96" s="2882" t="s">
        <v>4</v>
      </c>
      <c r="N96" s="2882" t="s">
        <v>5</v>
      </c>
      <c r="O96" s="2882" t="s">
        <v>6</v>
      </c>
      <c r="P96" s="2882" t="s">
        <v>7</v>
      </c>
      <c r="Q96" s="2882" t="s">
        <v>8</v>
      </c>
      <c r="R96" s="2882" t="s">
        <v>9</v>
      </c>
      <c r="S96" s="2882" t="s">
        <v>10</v>
      </c>
      <c r="T96" s="2882" t="s">
        <v>11</v>
      </c>
      <c r="U96" s="2882" t="s">
        <v>18</v>
      </c>
      <c r="V96" s="2883" t="s">
        <v>19</v>
      </c>
      <c r="W96" s="6753"/>
      <c r="X96" s="6339"/>
    </row>
    <row r="97" spans="1:92" s="170" customFormat="1" ht="15" customHeight="1" x14ac:dyDescent="0.2">
      <c r="A97" s="6234">
        <v>27300916</v>
      </c>
      <c r="B97" s="8184" t="s">
        <v>2304</v>
      </c>
      <c r="C97" s="8185"/>
      <c r="D97" s="8186"/>
      <c r="E97" s="5610" t="s">
        <v>5292</v>
      </c>
      <c r="F97" s="2884" t="s">
        <v>5293</v>
      </c>
      <c r="G97" s="2875" t="s">
        <v>5294</v>
      </c>
      <c r="H97" s="2885" t="s">
        <v>5295</v>
      </c>
      <c r="I97" s="2886" t="s">
        <v>5296</v>
      </c>
      <c r="J97" s="2887" t="s">
        <v>5297</v>
      </c>
      <c r="K97" s="2887" t="s">
        <v>5298</v>
      </c>
      <c r="L97" s="2887" t="s">
        <v>5299</v>
      </c>
      <c r="M97" s="2887" t="s">
        <v>5300</v>
      </c>
      <c r="N97" s="2887" t="s">
        <v>5301</v>
      </c>
      <c r="O97" s="2887" t="s">
        <v>5302</v>
      </c>
      <c r="P97" s="2887" t="s">
        <v>5303</v>
      </c>
      <c r="Q97" s="2887" t="s">
        <v>5304</v>
      </c>
      <c r="R97" s="2887" t="s">
        <v>5305</v>
      </c>
      <c r="S97" s="2887" t="s">
        <v>5306</v>
      </c>
      <c r="T97" s="2887" t="s">
        <v>5307</v>
      </c>
      <c r="U97" s="2887" t="s">
        <v>5308</v>
      </c>
      <c r="V97" s="2888" t="s">
        <v>5309</v>
      </c>
      <c r="W97" s="2885" t="s">
        <v>5310</v>
      </c>
      <c r="X97" s="2876" t="s">
        <v>5311</v>
      </c>
      <c r="Y97" s="170" t="e">
        <f>CB97&amp;CC97&amp;CD97</f>
        <v>#VALUE!</v>
      </c>
      <c r="CB97" s="4789" t="str">
        <f>IF(AND(F97&gt;0,W97="")," * No olvide digitar la variable Gestantes. Digite CERO si no tiene.","")</f>
        <v/>
      </c>
      <c r="CC97" s="4789" t="str">
        <f>IF(AND(F97&gt;0,X97="")," * No olvide digitar la variable Post Parto. Digite CERO si no tiene.","")</f>
        <v/>
      </c>
      <c r="CD97" s="4789" t="e">
        <f>IF(CN97=1," * La suma de Gestantes y Post Parto debe ser menor o igual al Nº de Participantes.","")</f>
        <v>#VALUE!</v>
      </c>
      <c r="CL97" s="2466">
        <f>IF(AND(F97&gt;0,W97=""),1,0)</f>
        <v>0</v>
      </c>
      <c r="CM97" s="2466">
        <f>IF(AND(F97&gt;0,X97=""),1,0)</f>
        <v>0</v>
      </c>
      <c r="CN97" s="2466" t="e">
        <f>IF((W97+X97)&gt;F97,1,0)</f>
        <v>#VALUE!</v>
      </c>
    </row>
    <row r="98" spans="1:92" s="170" customFormat="1" ht="15" customHeight="1" x14ac:dyDescent="0.2">
      <c r="A98" s="6234">
        <v>27500160</v>
      </c>
      <c r="B98" s="8187" t="s">
        <v>2305</v>
      </c>
      <c r="C98" s="8188"/>
      <c r="D98" s="8189"/>
      <c r="E98" s="5611" t="s">
        <v>5292</v>
      </c>
      <c r="F98" s="1387" t="s">
        <v>5293</v>
      </c>
      <c r="G98" s="2877" t="s">
        <v>5294</v>
      </c>
      <c r="H98" s="2889" t="s">
        <v>5295</v>
      </c>
      <c r="I98" s="2890" t="s">
        <v>5296</v>
      </c>
      <c r="J98" s="2891" t="s">
        <v>5297</v>
      </c>
      <c r="K98" s="2891" t="s">
        <v>5298</v>
      </c>
      <c r="L98" s="2891" t="s">
        <v>5299</v>
      </c>
      <c r="M98" s="2891" t="s">
        <v>5300</v>
      </c>
      <c r="N98" s="2891" t="s">
        <v>5301</v>
      </c>
      <c r="O98" s="2891" t="s">
        <v>5302</v>
      </c>
      <c r="P98" s="2891" t="s">
        <v>5303</v>
      </c>
      <c r="Q98" s="2891" t="s">
        <v>5304</v>
      </c>
      <c r="R98" s="2891" t="s">
        <v>5305</v>
      </c>
      <c r="S98" s="2891" t="s">
        <v>5306</v>
      </c>
      <c r="T98" s="2891" t="s">
        <v>5307</v>
      </c>
      <c r="U98" s="2891" t="s">
        <v>5308</v>
      </c>
      <c r="V98" s="2892" t="s">
        <v>5309</v>
      </c>
      <c r="W98" s="2889" t="s">
        <v>5310</v>
      </c>
      <c r="X98" s="2878" t="s">
        <v>5311</v>
      </c>
      <c r="Y98" s="170" t="e">
        <f t="shared" ref="Y98:Y99" si="13">CB98&amp;CC98&amp;CD98</f>
        <v>#VALUE!</v>
      </c>
      <c r="CB98" s="4789" t="str">
        <f t="shared" ref="CB98:CB99" si="14">IF(AND(F98&gt;0,W98="")," * No olvide digitar la variable Gestantes. Digite CERO si no tiene.","")</f>
        <v/>
      </c>
      <c r="CC98" s="4789" t="str">
        <f t="shared" ref="CC98:CC99" si="15">IF(AND(F98&gt;0,X98="")," * No olvide digitar la variable Post Parto. Digite CERO si no tiene.","")</f>
        <v/>
      </c>
      <c r="CD98" s="4789" t="e">
        <f t="shared" ref="CD98:CD99" si="16">IF(CN98=1," * La suma de Gestantes y Post Parto debe ser menor o igual al Nº de Participantes.","")</f>
        <v>#VALUE!</v>
      </c>
      <c r="CL98" s="2466">
        <f t="shared" ref="CL98:CL99" si="17">IF(AND(F98&gt;0,W98=""),1,0)</f>
        <v>0</v>
      </c>
      <c r="CM98" s="2466">
        <f t="shared" ref="CM98" si="18">IF(AND(F98&gt;0,X98=""),1,0)</f>
        <v>0</v>
      </c>
      <c r="CN98" s="2466" t="e">
        <f t="shared" ref="CN98:CN99" si="19">IF((W98+X98)&gt;F98,1,0)</f>
        <v>#VALUE!</v>
      </c>
    </row>
    <row r="99" spans="1:92" s="170" customFormat="1" ht="15" customHeight="1" x14ac:dyDescent="0.2">
      <c r="A99" s="6234">
        <v>27500170</v>
      </c>
      <c r="B99" s="8187" t="s">
        <v>2306</v>
      </c>
      <c r="C99" s="8188"/>
      <c r="D99" s="8189"/>
      <c r="E99" s="5612" t="s">
        <v>5292</v>
      </c>
      <c r="F99" s="2893" t="s">
        <v>5293</v>
      </c>
      <c r="G99" s="2879" t="s">
        <v>5294</v>
      </c>
      <c r="H99" s="2894" t="s">
        <v>5295</v>
      </c>
      <c r="I99" s="2895" t="s">
        <v>5296</v>
      </c>
      <c r="J99" s="2896" t="s">
        <v>5297</v>
      </c>
      <c r="K99" s="2896" t="s">
        <v>5298</v>
      </c>
      <c r="L99" s="2896" t="s">
        <v>5299</v>
      </c>
      <c r="M99" s="2896" t="s">
        <v>5300</v>
      </c>
      <c r="N99" s="2896" t="s">
        <v>5301</v>
      </c>
      <c r="O99" s="2896" t="s">
        <v>5302</v>
      </c>
      <c r="P99" s="2896" t="s">
        <v>5303</v>
      </c>
      <c r="Q99" s="2896" t="s">
        <v>5304</v>
      </c>
      <c r="R99" s="2896" t="s">
        <v>5305</v>
      </c>
      <c r="S99" s="2896" t="s">
        <v>5306</v>
      </c>
      <c r="T99" s="2896" t="s">
        <v>5307</v>
      </c>
      <c r="U99" s="2896" t="s">
        <v>5308</v>
      </c>
      <c r="V99" s="2897" t="s">
        <v>5309</v>
      </c>
      <c r="W99" s="2894" t="s">
        <v>5310</v>
      </c>
      <c r="X99" s="2880" t="s">
        <v>5311</v>
      </c>
      <c r="Y99" s="170" t="e">
        <f t="shared" si="13"/>
        <v>#VALUE!</v>
      </c>
      <c r="CB99" s="4789" t="str">
        <f t="shared" si="14"/>
        <v/>
      </c>
      <c r="CC99" s="4789" t="str">
        <f t="shared" si="15"/>
        <v/>
      </c>
      <c r="CD99" s="4789" t="e">
        <f t="shared" si="16"/>
        <v>#VALUE!</v>
      </c>
      <c r="CL99" s="2466">
        <f t="shared" si="17"/>
        <v>0</v>
      </c>
      <c r="CM99" s="2466">
        <f>IF(AND(F99&gt;0,X99=""),1,0)</f>
        <v>0</v>
      </c>
      <c r="CN99" s="2466" t="e">
        <f t="shared" si="19"/>
        <v>#VALUE!</v>
      </c>
    </row>
    <row r="100" spans="1:92" ht="18" customHeight="1" x14ac:dyDescent="0.3">
      <c r="B100" s="2869" t="s">
        <v>2307</v>
      </c>
      <c r="C100" s="2871"/>
      <c r="D100" s="2871"/>
      <c r="E100" s="2898"/>
      <c r="F100" s="599"/>
      <c r="G100" s="599"/>
      <c r="H100" s="599"/>
      <c r="I100" s="163"/>
      <c r="J100" s="599"/>
      <c r="K100" s="599"/>
      <c r="L100" s="599"/>
      <c r="M100" s="599"/>
      <c r="N100" s="599"/>
    </row>
    <row r="101" spans="1:92" s="170" customFormat="1" ht="15" customHeight="1" x14ac:dyDescent="0.2">
      <c r="A101" s="6282"/>
      <c r="B101" s="6611" t="s">
        <v>2308</v>
      </c>
      <c r="C101" s="6611"/>
      <c r="D101" s="8155"/>
      <c r="E101" s="8194" t="s">
        <v>2309</v>
      </c>
      <c r="F101" s="8154" t="s">
        <v>12</v>
      </c>
      <c r="G101" s="6611"/>
      <c r="H101" s="6611"/>
      <c r="I101" s="6611"/>
      <c r="J101" s="6611"/>
      <c r="K101" s="8195"/>
      <c r="L101" s="6386" t="s">
        <v>523</v>
      </c>
      <c r="M101" s="8196"/>
    </row>
    <row r="102" spans="1:92" s="170" customFormat="1" ht="15" customHeight="1" x14ac:dyDescent="0.2">
      <c r="A102" s="6282"/>
      <c r="B102" s="6753"/>
      <c r="C102" s="6753"/>
      <c r="D102" s="6629"/>
      <c r="E102" s="8194"/>
      <c r="F102" s="2874" t="s">
        <v>554</v>
      </c>
      <c r="G102" s="2881" t="s">
        <v>568</v>
      </c>
      <c r="H102" s="2768" t="s">
        <v>559</v>
      </c>
      <c r="I102" s="2768" t="s">
        <v>2310</v>
      </c>
      <c r="J102" s="2746" t="s">
        <v>400</v>
      </c>
      <c r="K102" s="2771" t="s">
        <v>2575</v>
      </c>
      <c r="L102" s="2881" t="s">
        <v>22</v>
      </c>
      <c r="M102" s="2747" t="s">
        <v>27</v>
      </c>
    </row>
    <row r="103" spans="1:92" s="170" customFormat="1" ht="15" customHeight="1" x14ac:dyDescent="0.3">
      <c r="A103" s="6234">
        <v>27300926</v>
      </c>
      <c r="B103" s="8197" t="s">
        <v>2311</v>
      </c>
      <c r="C103" s="8198"/>
      <c r="D103" s="2801" t="s">
        <v>2312</v>
      </c>
      <c r="E103" s="1942" t="s">
        <v>5292</v>
      </c>
      <c r="F103" s="2408" t="s">
        <v>5293</v>
      </c>
      <c r="G103" s="2844" t="s">
        <v>5294</v>
      </c>
      <c r="H103" s="320" t="s">
        <v>5295</v>
      </c>
      <c r="I103" s="320" t="s">
        <v>5296</v>
      </c>
      <c r="J103" s="320" t="s">
        <v>5297</v>
      </c>
      <c r="K103" s="2899" t="s">
        <v>5298</v>
      </c>
      <c r="L103" s="2844" t="s">
        <v>5299</v>
      </c>
      <c r="M103" s="2782" t="s">
        <v>5300</v>
      </c>
      <c r="N103" s="2900" t="e">
        <f>CB103&amp;CC103</f>
        <v>#VALUE!</v>
      </c>
      <c r="CB103" s="2784" t="e">
        <f>IF((L103+M103)&lt;&gt;E103," * La Suma por edad NO DEBE ser distinto al total por Sexo.","")</f>
        <v>#VALUE!</v>
      </c>
      <c r="CC103" s="2784"/>
      <c r="CL103" s="1725" t="e">
        <f>IF((L103+M103)&lt;&gt;E103,1,0)</f>
        <v>#VALUE!</v>
      </c>
    </row>
    <row r="104" spans="1:92" s="170" customFormat="1" ht="15" customHeight="1" x14ac:dyDescent="0.3">
      <c r="A104" s="6234">
        <v>27300927</v>
      </c>
      <c r="B104" s="8199"/>
      <c r="C104" s="6576"/>
      <c r="D104" s="2901" t="s">
        <v>2313</v>
      </c>
      <c r="E104" s="1942" t="s">
        <v>5292</v>
      </c>
      <c r="F104" s="1072" t="s">
        <v>5293</v>
      </c>
      <c r="G104" s="2092" t="s">
        <v>5294</v>
      </c>
      <c r="H104" s="1073" t="s">
        <v>5295</v>
      </c>
      <c r="I104" s="1073" t="s">
        <v>5296</v>
      </c>
      <c r="J104" s="1073" t="s">
        <v>5297</v>
      </c>
      <c r="K104" s="2902" t="s">
        <v>5298</v>
      </c>
      <c r="L104" s="2092" t="s">
        <v>5299</v>
      </c>
      <c r="M104" s="83" t="s">
        <v>5300</v>
      </c>
      <c r="N104" s="2900" t="e">
        <f t="shared" ref="N104:N111" si="20">CB104&amp;CC104</f>
        <v>#VALUE!</v>
      </c>
      <c r="CB104" s="2784" t="e">
        <f t="shared" ref="CB104:CB111" si="21">IF((L104+M104)&lt;&gt;E104," * La Suma por edad NO DEBE ser distinto al total por Sexo.","")</f>
        <v>#VALUE!</v>
      </c>
      <c r="CC104" s="2784"/>
      <c r="CL104" s="1725" t="e">
        <f t="shared" ref="CL104:CL111" si="22">IF((L104+M104)&lt;&gt;E104,1,0)</f>
        <v>#VALUE!</v>
      </c>
    </row>
    <row r="105" spans="1:92" s="170" customFormat="1" ht="15" customHeight="1" x14ac:dyDescent="0.3">
      <c r="A105" s="6234">
        <v>27300928</v>
      </c>
      <c r="B105" s="8199"/>
      <c r="C105" s="6576"/>
      <c r="D105" s="2901" t="s">
        <v>2314</v>
      </c>
      <c r="E105" s="150" t="s">
        <v>5292</v>
      </c>
      <c r="F105" s="114" t="s">
        <v>5293</v>
      </c>
      <c r="G105" s="121" t="s">
        <v>5294</v>
      </c>
      <c r="H105" s="115" t="s">
        <v>5295</v>
      </c>
      <c r="I105" s="115" t="s">
        <v>5296</v>
      </c>
      <c r="J105" s="115" t="s">
        <v>5297</v>
      </c>
      <c r="K105" s="770" t="s">
        <v>5298</v>
      </c>
      <c r="L105" s="121" t="s">
        <v>5299</v>
      </c>
      <c r="M105" s="117" t="s">
        <v>5300</v>
      </c>
      <c r="N105" s="2900" t="e">
        <f t="shared" si="20"/>
        <v>#VALUE!</v>
      </c>
      <c r="CB105" s="2784" t="e">
        <f t="shared" si="21"/>
        <v>#VALUE!</v>
      </c>
      <c r="CC105" s="2784"/>
      <c r="CL105" s="1725" t="e">
        <f t="shared" si="22"/>
        <v>#VALUE!</v>
      </c>
    </row>
    <row r="106" spans="1:92" s="170" customFormat="1" ht="15" customHeight="1" x14ac:dyDescent="0.3">
      <c r="A106" s="6234">
        <v>27300929</v>
      </c>
      <c r="B106" s="8197" t="s">
        <v>2315</v>
      </c>
      <c r="C106" s="8198"/>
      <c r="D106" s="2801" t="s">
        <v>2312</v>
      </c>
      <c r="E106" s="1939" t="s">
        <v>5292</v>
      </c>
      <c r="F106" s="106" t="s">
        <v>5293</v>
      </c>
      <c r="G106" s="588" t="s">
        <v>5294</v>
      </c>
      <c r="H106" s="1069" t="s">
        <v>5295</v>
      </c>
      <c r="I106" s="1069" t="s">
        <v>5296</v>
      </c>
      <c r="J106" s="1069" t="s">
        <v>5297</v>
      </c>
      <c r="K106" s="767" t="s">
        <v>5298</v>
      </c>
      <c r="L106" s="588" t="s">
        <v>5299</v>
      </c>
      <c r="M106" s="105" t="s">
        <v>5300</v>
      </c>
      <c r="N106" s="2900" t="e">
        <f t="shared" si="20"/>
        <v>#VALUE!</v>
      </c>
      <c r="CB106" s="2784" t="e">
        <f t="shared" si="21"/>
        <v>#VALUE!</v>
      </c>
      <c r="CC106" s="2784"/>
      <c r="CL106" s="1725" t="e">
        <f t="shared" si="22"/>
        <v>#VALUE!</v>
      </c>
    </row>
    <row r="107" spans="1:92" s="170" customFormat="1" ht="15" customHeight="1" x14ac:dyDescent="0.3">
      <c r="A107" s="6234">
        <v>27300930</v>
      </c>
      <c r="B107" s="8199"/>
      <c r="C107" s="6576"/>
      <c r="D107" s="2901" t="s">
        <v>2313</v>
      </c>
      <c r="E107" s="1942" t="s">
        <v>5292</v>
      </c>
      <c r="F107" s="90" t="s">
        <v>5293</v>
      </c>
      <c r="G107" s="129" t="s">
        <v>5294</v>
      </c>
      <c r="H107" s="127" t="s">
        <v>5295</v>
      </c>
      <c r="I107" s="127" t="s">
        <v>5296</v>
      </c>
      <c r="J107" s="127" t="s">
        <v>5297</v>
      </c>
      <c r="K107" s="1078" t="s">
        <v>5298</v>
      </c>
      <c r="L107" s="129" t="s">
        <v>5299</v>
      </c>
      <c r="M107" s="91" t="s">
        <v>5300</v>
      </c>
      <c r="N107" s="2900" t="e">
        <f t="shared" si="20"/>
        <v>#VALUE!</v>
      </c>
      <c r="CB107" s="2784" t="e">
        <f t="shared" si="21"/>
        <v>#VALUE!</v>
      </c>
      <c r="CC107" s="2784"/>
      <c r="CL107" s="1725" t="e">
        <f t="shared" si="22"/>
        <v>#VALUE!</v>
      </c>
    </row>
    <row r="108" spans="1:92" s="170" customFormat="1" ht="15" customHeight="1" x14ac:dyDescent="0.3">
      <c r="A108" s="6234">
        <v>27300931</v>
      </c>
      <c r="B108" s="8199"/>
      <c r="C108" s="6576"/>
      <c r="D108" s="2901" t="s">
        <v>2314</v>
      </c>
      <c r="E108" s="150" t="s">
        <v>5292</v>
      </c>
      <c r="F108" s="90" t="s">
        <v>5293</v>
      </c>
      <c r="G108" s="129" t="s">
        <v>5294</v>
      </c>
      <c r="H108" s="127" t="s">
        <v>5295</v>
      </c>
      <c r="I108" s="127" t="s">
        <v>5296</v>
      </c>
      <c r="J108" s="127" t="s">
        <v>5297</v>
      </c>
      <c r="K108" s="1078" t="s">
        <v>5298</v>
      </c>
      <c r="L108" s="129" t="s">
        <v>5299</v>
      </c>
      <c r="M108" s="91" t="s">
        <v>5300</v>
      </c>
      <c r="N108" s="2900" t="e">
        <f t="shared" si="20"/>
        <v>#VALUE!</v>
      </c>
      <c r="CB108" s="2784" t="e">
        <f t="shared" si="21"/>
        <v>#VALUE!</v>
      </c>
      <c r="CC108" s="2784"/>
      <c r="CL108" s="1725" t="e">
        <f t="shared" si="22"/>
        <v>#VALUE!</v>
      </c>
    </row>
    <row r="109" spans="1:92" s="170" customFormat="1" ht="15" customHeight="1" x14ac:dyDescent="0.3">
      <c r="A109" s="6234">
        <v>27300932</v>
      </c>
      <c r="B109" s="8197" t="s">
        <v>2316</v>
      </c>
      <c r="C109" s="8216"/>
      <c r="D109" s="2801" t="s">
        <v>2312</v>
      </c>
      <c r="E109" s="1939" t="s">
        <v>5292</v>
      </c>
      <c r="F109" s="2408" t="s">
        <v>5293</v>
      </c>
      <c r="G109" s="2844" t="s">
        <v>5294</v>
      </c>
      <c r="H109" s="320" t="s">
        <v>5295</v>
      </c>
      <c r="I109" s="320" t="s">
        <v>5296</v>
      </c>
      <c r="J109" s="320" t="s">
        <v>5297</v>
      </c>
      <c r="K109" s="2899" t="s">
        <v>5298</v>
      </c>
      <c r="L109" s="2844" t="s">
        <v>5299</v>
      </c>
      <c r="M109" s="2782" t="s">
        <v>5300</v>
      </c>
      <c r="N109" s="2900" t="e">
        <f t="shared" si="20"/>
        <v>#VALUE!</v>
      </c>
      <c r="CB109" s="2784" t="e">
        <f t="shared" si="21"/>
        <v>#VALUE!</v>
      </c>
      <c r="CC109" s="2784"/>
      <c r="CL109" s="1725" t="e">
        <f t="shared" si="22"/>
        <v>#VALUE!</v>
      </c>
    </row>
    <row r="110" spans="1:92" s="170" customFormat="1" ht="15" customHeight="1" x14ac:dyDescent="0.3">
      <c r="A110" s="6234">
        <v>27300933</v>
      </c>
      <c r="B110" s="8217"/>
      <c r="C110" s="7467"/>
      <c r="D110" s="2901" t="s">
        <v>2313</v>
      </c>
      <c r="E110" s="1942" t="s">
        <v>5292</v>
      </c>
      <c r="F110" s="1072" t="s">
        <v>5293</v>
      </c>
      <c r="G110" s="2092" t="s">
        <v>5294</v>
      </c>
      <c r="H110" s="1073" t="s">
        <v>5295</v>
      </c>
      <c r="I110" s="1073" t="s">
        <v>5296</v>
      </c>
      <c r="J110" s="1073" t="s">
        <v>5297</v>
      </c>
      <c r="K110" s="2902" t="s">
        <v>5298</v>
      </c>
      <c r="L110" s="2092" t="s">
        <v>5299</v>
      </c>
      <c r="M110" s="83" t="s">
        <v>5300</v>
      </c>
      <c r="N110" s="2900" t="e">
        <f t="shared" si="20"/>
        <v>#VALUE!</v>
      </c>
      <c r="CB110" s="2784" t="e">
        <f t="shared" si="21"/>
        <v>#VALUE!</v>
      </c>
      <c r="CC110" s="2784"/>
      <c r="CL110" s="1725" t="e">
        <f t="shared" si="22"/>
        <v>#VALUE!</v>
      </c>
    </row>
    <row r="111" spans="1:92" s="170" customFormat="1" ht="15" customHeight="1" x14ac:dyDescent="0.3">
      <c r="A111" s="6234">
        <v>27300934</v>
      </c>
      <c r="B111" s="6646"/>
      <c r="C111" s="6647"/>
      <c r="D111" s="2901" t="s">
        <v>2314</v>
      </c>
      <c r="E111" s="150" t="s">
        <v>5292</v>
      </c>
      <c r="F111" s="114" t="s">
        <v>5293</v>
      </c>
      <c r="G111" s="121" t="s">
        <v>5294</v>
      </c>
      <c r="H111" s="115" t="s">
        <v>5295</v>
      </c>
      <c r="I111" s="115" t="s">
        <v>5296</v>
      </c>
      <c r="J111" s="115" t="s">
        <v>5297</v>
      </c>
      <c r="K111" s="770" t="s">
        <v>5298</v>
      </c>
      <c r="L111" s="121" t="s">
        <v>5299</v>
      </c>
      <c r="M111" s="117" t="s">
        <v>5300</v>
      </c>
      <c r="N111" s="2900" t="e">
        <f t="shared" si="20"/>
        <v>#VALUE!</v>
      </c>
      <c r="CB111" s="2784" t="e">
        <f t="shared" si="21"/>
        <v>#VALUE!</v>
      </c>
      <c r="CC111" s="2784"/>
      <c r="CL111" s="1725" t="e">
        <f t="shared" si="22"/>
        <v>#VALUE!</v>
      </c>
    </row>
    <row r="112" spans="1:92" ht="18" customHeight="1" x14ac:dyDescent="0.3">
      <c r="A112" s="599"/>
      <c r="B112" s="2869" t="s">
        <v>2317</v>
      </c>
      <c r="C112" s="2870"/>
      <c r="D112" s="2870"/>
      <c r="E112" s="2870"/>
      <c r="F112" s="2903"/>
      <c r="G112" s="2903"/>
      <c r="H112" s="599"/>
      <c r="I112" s="599"/>
      <c r="J112" s="599"/>
      <c r="K112" s="599"/>
      <c r="L112" s="599"/>
      <c r="M112" s="599"/>
    </row>
    <row r="113" spans="1:95" ht="24" customHeight="1" x14ac:dyDescent="0.3">
      <c r="A113" s="599"/>
      <c r="B113" s="2740" t="s">
        <v>2318</v>
      </c>
      <c r="C113" s="2904" t="s">
        <v>2319</v>
      </c>
      <c r="D113" s="2739" t="s">
        <v>2320</v>
      </c>
      <c r="E113" s="2391" t="s">
        <v>2293</v>
      </c>
      <c r="F113" s="599"/>
      <c r="G113" s="599"/>
      <c r="H113" s="599"/>
      <c r="I113" s="599"/>
      <c r="J113" s="599"/>
      <c r="K113" s="599"/>
      <c r="L113" s="599"/>
      <c r="M113" s="599"/>
    </row>
    <row r="114" spans="1:95" ht="15" customHeight="1" x14ac:dyDescent="0.3">
      <c r="A114" s="6234">
        <v>27500180</v>
      </c>
      <c r="B114" s="2905" t="s">
        <v>2321</v>
      </c>
      <c r="C114" s="2906" t="s">
        <v>5292</v>
      </c>
      <c r="D114" s="2828" t="s">
        <v>5293</v>
      </c>
      <c r="E114" s="2907" t="s">
        <v>5294</v>
      </c>
      <c r="F114" s="2908"/>
      <c r="G114" s="599"/>
      <c r="H114" s="599"/>
      <c r="I114" s="599"/>
      <c r="J114" s="599"/>
      <c r="K114" s="599"/>
      <c r="L114" s="599"/>
      <c r="M114" s="599"/>
    </row>
    <row r="115" spans="1:95" ht="18" customHeight="1" x14ac:dyDescent="0.3">
      <c r="B115" s="2869" t="s">
        <v>2322</v>
      </c>
      <c r="C115" s="2870"/>
      <c r="D115" s="2870"/>
      <c r="E115" s="2870"/>
      <c r="F115" s="2909"/>
      <c r="G115" s="2909"/>
      <c r="H115" s="2909"/>
      <c r="I115" s="2909"/>
      <c r="J115" s="2909"/>
      <c r="K115" s="599"/>
      <c r="L115" s="599"/>
      <c r="M115" s="599"/>
    </row>
    <row r="116" spans="1:95" s="170" customFormat="1" ht="15" customHeight="1" x14ac:dyDescent="0.2">
      <c r="B116" s="6377" t="s">
        <v>23</v>
      </c>
      <c r="C116" s="8148" t="s">
        <v>2323</v>
      </c>
      <c r="D116" s="6389"/>
      <c r="E116" s="6389"/>
      <c r="F116" s="6389"/>
      <c r="G116" s="6389"/>
      <c r="H116" s="6389"/>
      <c r="I116" s="6389"/>
      <c r="J116" s="6848"/>
      <c r="K116" s="102"/>
      <c r="L116" s="102"/>
      <c r="M116" s="102"/>
    </row>
    <row r="117" spans="1:95" s="170" customFormat="1" ht="30" customHeight="1" x14ac:dyDescent="0.2">
      <c r="B117" s="6378"/>
      <c r="C117" s="2765" t="s">
        <v>2324</v>
      </c>
      <c r="D117" s="2751" t="s">
        <v>2325</v>
      </c>
      <c r="E117" s="2751" t="s">
        <v>2326</v>
      </c>
      <c r="F117" s="2751" t="s">
        <v>2327</v>
      </c>
      <c r="G117" s="2751" t="s">
        <v>2328</v>
      </c>
      <c r="H117" s="2751" t="s">
        <v>2329</v>
      </c>
      <c r="I117" s="2751" t="s">
        <v>2330</v>
      </c>
      <c r="J117" s="2751" t="s">
        <v>2331</v>
      </c>
      <c r="K117" s="102"/>
      <c r="L117" s="102"/>
      <c r="M117" s="102"/>
    </row>
    <row r="118" spans="1:95" s="170" customFormat="1" ht="20.399999999999999" x14ac:dyDescent="0.2">
      <c r="A118" s="6234">
        <v>27500190</v>
      </c>
      <c r="B118" s="2910" t="s">
        <v>2332</v>
      </c>
      <c r="C118" s="2911" t="s">
        <v>5292</v>
      </c>
      <c r="D118" s="2419" t="s">
        <v>5293</v>
      </c>
      <c r="E118" s="2419" t="s">
        <v>5294</v>
      </c>
      <c r="F118" s="2419" t="s">
        <v>5295</v>
      </c>
      <c r="G118" s="2419" t="s">
        <v>5296</v>
      </c>
      <c r="H118" s="2419" t="s">
        <v>5297</v>
      </c>
      <c r="I118" s="2419" t="s">
        <v>5298</v>
      </c>
      <c r="J118" s="2912" t="s">
        <v>5299</v>
      </c>
      <c r="K118" s="102"/>
      <c r="L118" s="102"/>
      <c r="M118" s="102"/>
    </row>
    <row r="119" spans="1:95" s="170" customFormat="1" ht="20.399999999999999" x14ac:dyDescent="0.2">
      <c r="A119" s="6234">
        <v>27500200</v>
      </c>
      <c r="B119" s="2913" t="s">
        <v>2333</v>
      </c>
      <c r="C119" s="2914" t="s">
        <v>5292</v>
      </c>
      <c r="D119" s="2915" t="s">
        <v>5293</v>
      </c>
      <c r="E119" s="2915" t="s">
        <v>5294</v>
      </c>
      <c r="F119" s="2915" t="s">
        <v>5295</v>
      </c>
      <c r="G119" s="2915" t="s">
        <v>5296</v>
      </c>
      <c r="H119" s="2915" t="s">
        <v>5297</v>
      </c>
      <c r="I119" s="2915" t="s">
        <v>5298</v>
      </c>
      <c r="J119" s="2916" t="s">
        <v>5299</v>
      </c>
      <c r="K119" s="102"/>
      <c r="L119" s="102"/>
      <c r="M119" s="102"/>
    </row>
    <row r="120" spans="1:95" ht="18" customHeight="1" x14ac:dyDescent="0.3">
      <c r="B120" s="2869" t="s">
        <v>2334</v>
      </c>
      <c r="C120" s="599"/>
      <c r="D120" s="599"/>
      <c r="E120" s="599"/>
      <c r="F120" s="599"/>
      <c r="G120" s="599"/>
      <c r="H120" s="599"/>
      <c r="I120" s="599"/>
      <c r="J120" s="599"/>
      <c r="K120" s="599"/>
      <c r="L120" s="599"/>
      <c r="M120" s="599"/>
      <c r="N120" s="599"/>
    </row>
    <row r="121" spans="1:95" s="170" customFormat="1" ht="15" customHeight="1" x14ac:dyDescent="0.2">
      <c r="B121" s="6377" t="s">
        <v>23</v>
      </c>
      <c r="C121" s="6393" t="s">
        <v>2335</v>
      </c>
      <c r="D121" s="8218" t="s">
        <v>2336</v>
      </c>
      <c r="E121" s="6873"/>
      <c r="F121" s="6873"/>
      <c r="G121" s="6873"/>
      <c r="H121" s="6873"/>
      <c r="I121" s="6873"/>
      <c r="J121" s="6873"/>
      <c r="K121" s="6873"/>
      <c r="L121" s="6873"/>
      <c r="M121" s="6873"/>
      <c r="N121" s="6874"/>
    </row>
    <row r="122" spans="1:95" s="170" customFormat="1" ht="30.6" x14ac:dyDescent="0.2">
      <c r="B122" s="6378"/>
      <c r="C122" s="6362"/>
      <c r="D122" s="2874" t="s">
        <v>2337</v>
      </c>
      <c r="E122" s="2768" t="s">
        <v>2338</v>
      </c>
      <c r="F122" s="2768" t="s">
        <v>2339</v>
      </c>
      <c r="G122" s="2768" t="s">
        <v>2340</v>
      </c>
      <c r="H122" s="2768" t="s">
        <v>2341</v>
      </c>
      <c r="I122" s="2768" t="s">
        <v>2342</v>
      </c>
      <c r="J122" s="2768" t="s">
        <v>2343</v>
      </c>
      <c r="K122" s="2768" t="s">
        <v>2344</v>
      </c>
      <c r="L122" s="2768" t="s">
        <v>2345</v>
      </c>
      <c r="M122" s="2768" t="s">
        <v>2346</v>
      </c>
      <c r="N122" s="2747" t="s">
        <v>2347</v>
      </c>
    </row>
    <row r="123" spans="1:95" s="170" customFormat="1" ht="20.399999999999999" x14ac:dyDescent="0.2">
      <c r="A123" s="6234">
        <v>27500210</v>
      </c>
      <c r="B123" s="2910" t="s">
        <v>2348</v>
      </c>
      <c r="C123" s="2911" t="s">
        <v>5292</v>
      </c>
      <c r="D123" s="2408" t="s">
        <v>5293</v>
      </c>
      <c r="E123" s="320" t="s">
        <v>5294</v>
      </c>
      <c r="F123" s="320" t="s">
        <v>5295</v>
      </c>
      <c r="G123" s="320" t="s">
        <v>5296</v>
      </c>
      <c r="H123" s="320" t="s">
        <v>5297</v>
      </c>
      <c r="I123" s="320" t="s">
        <v>5298</v>
      </c>
      <c r="J123" s="320" t="s">
        <v>5299</v>
      </c>
      <c r="K123" s="320" t="s">
        <v>5300</v>
      </c>
      <c r="L123" s="320" t="s">
        <v>5301</v>
      </c>
      <c r="M123" s="320" t="s">
        <v>5302</v>
      </c>
      <c r="N123" s="2782" t="s">
        <v>5303</v>
      </c>
    </row>
    <row r="124" spans="1:95" s="170" customFormat="1" ht="30.6" x14ac:dyDescent="0.2">
      <c r="A124" s="6234">
        <v>27500220</v>
      </c>
      <c r="B124" s="2913" t="s">
        <v>2349</v>
      </c>
      <c r="C124" s="2914" t="s">
        <v>5292</v>
      </c>
      <c r="D124" s="2410" t="s">
        <v>5293</v>
      </c>
      <c r="E124" s="2411" t="s">
        <v>5294</v>
      </c>
      <c r="F124" s="2411" t="s">
        <v>5295</v>
      </c>
      <c r="G124" s="2411" t="s">
        <v>5296</v>
      </c>
      <c r="H124" s="2411" t="s">
        <v>5297</v>
      </c>
      <c r="I124" s="2411" t="s">
        <v>5298</v>
      </c>
      <c r="J124" s="2411" t="s">
        <v>5299</v>
      </c>
      <c r="K124" s="2411" t="s">
        <v>5300</v>
      </c>
      <c r="L124" s="2411" t="s">
        <v>5301</v>
      </c>
      <c r="M124" s="2411" t="s">
        <v>5302</v>
      </c>
      <c r="N124" s="2413" t="s">
        <v>5303</v>
      </c>
    </row>
    <row r="125" spans="1:95" ht="18" customHeight="1" x14ac:dyDescent="0.3">
      <c r="B125" s="2869" t="s">
        <v>2350</v>
      </c>
      <c r="C125" s="1681"/>
      <c r="D125" s="599"/>
      <c r="E125" s="599"/>
      <c r="F125" s="599"/>
      <c r="G125" s="599"/>
      <c r="H125" s="599"/>
      <c r="I125" s="599"/>
      <c r="J125" s="599"/>
      <c r="K125" s="599"/>
      <c r="L125" s="599"/>
      <c r="M125" s="599"/>
      <c r="N125" s="599"/>
      <c r="O125" s="599"/>
      <c r="P125" s="599"/>
      <c r="Q125" s="599"/>
    </row>
    <row r="126" spans="1:95" s="170" customFormat="1" ht="15" customHeight="1" x14ac:dyDescent="0.2">
      <c r="B126" s="6377" t="s">
        <v>23</v>
      </c>
      <c r="C126" s="8202" t="s">
        <v>2351</v>
      </c>
      <c r="D126" s="8204" t="s">
        <v>12</v>
      </c>
      <c r="E126" s="8205"/>
      <c r="F126" s="8205"/>
      <c r="G126" s="8206"/>
      <c r="H126" s="8207" t="s">
        <v>2</v>
      </c>
      <c r="I126" s="6395" t="s">
        <v>3</v>
      </c>
      <c r="J126" s="102"/>
      <c r="K126" s="102"/>
      <c r="L126" s="102"/>
      <c r="M126" s="102"/>
      <c r="N126" s="102"/>
      <c r="O126" s="102"/>
      <c r="P126" s="102"/>
      <c r="Q126" s="102"/>
    </row>
    <row r="127" spans="1:95" s="170" customFormat="1" ht="30" customHeight="1" x14ac:dyDescent="0.2">
      <c r="B127" s="6378"/>
      <c r="C127" s="8203"/>
      <c r="D127" s="2770" t="s">
        <v>1853</v>
      </c>
      <c r="E127" s="2768" t="s">
        <v>1854</v>
      </c>
      <c r="F127" s="2768" t="s">
        <v>1855</v>
      </c>
      <c r="G127" s="2771" t="s">
        <v>1856</v>
      </c>
      <c r="H127" s="6638"/>
      <c r="I127" s="6325"/>
      <c r="J127" s="102"/>
      <c r="K127" s="102"/>
      <c r="L127" s="102"/>
      <c r="M127" s="102"/>
      <c r="N127" s="102"/>
      <c r="O127" s="102"/>
      <c r="P127" s="102"/>
      <c r="Q127" s="102"/>
    </row>
    <row r="128" spans="1:95" s="170" customFormat="1" ht="20.399999999999999" x14ac:dyDescent="0.3">
      <c r="A128" s="6234">
        <v>27500240</v>
      </c>
      <c r="B128" s="2910" t="s">
        <v>3808</v>
      </c>
      <c r="C128" s="2917" t="s">
        <v>5292</v>
      </c>
      <c r="D128" s="2918" t="s">
        <v>5293</v>
      </c>
      <c r="E128" s="320" t="s">
        <v>5294</v>
      </c>
      <c r="F128" s="320" t="s">
        <v>5295</v>
      </c>
      <c r="G128" s="2409" t="s">
        <v>5296</v>
      </c>
      <c r="H128" s="2844" t="s">
        <v>5297</v>
      </c>
      <c r="I128" s="2400" t="s">
        <v>5298</v>
      </c>
      <c r="J128" s="2900" t="str">
        <f>CB128&amp;CC128&amp;CD128&amp;CE128</f>
        <v>* El total de Pueblos Originarios NO DEBE superar la suma por Rango Etario. * El total de Migrantes NO DEBE superar la suma por grupo de edad</v>
      </c>
      <c r="K128" s="599"/>
      <c r="L128" s="599"/>
      <c r="M128" s="599"/>
      <c r="N128" s="599"/>
      <c r="O128" s="599"/>
      <c r="P128" s="599"/>
      <c r="Q128" s="599"/>
      <c r="R128" s="599"/>
      <c r="S128" s="599"/>
      <c r="T128" s="599"/>
      <c r="U128" s="599"/>
      <c r="V128" s="599"/>
      <c r="W128" s="599"/>
      <c r="X128" s="599"/>
      <c r="Y128" s="599"/>
      <c r="Z128" s="599"/>
      <c r="AA128" s="599"/>
      <c r="AB128" s="599"/>
      <c r="AC128" s="599"/>
      <c r="AD128" s="599"/>
      <c r="AE128" s="599"/>
      <c r="AF128" s="599"/>
      <c r="AG128" s="599"/>
      <c r="AH128" s="599"/>
      <c r="AI128" s="599"/>
      <c r="AJ128" s="599"/>
      <c r="AK128" s="599"/>
      <c r="AL128" s="599"/>
      <c r="AM128" s="599"/>
      <c r="AN128" s="599"/>
      <c r="AO128" s="599"/>
      <c r="AP128" s="599"/>
      <c r="AQ128" s="599"/>
      <c r="AR128" s="599"/>
      <c r="AS128" s="599"/>
      <c r="AT128" s="599"/>
      <c r="AU128" s="599"/>
      <c r="AV128" s="599"/>
      <c r="AW128" s="599"/>
      <c r="AX128" s="599"/>
      <c r="AY128" s="599"/>
      <c r="AZ128" s="599"/>
      <c r="BA128" s="599"/>
      <c r="BB128" s="599"/>
      <c r="BC128" s="599"/>
      <c r="BD128" s="599"/>
      <c r="BE128" s="599"/>
      <c r="BF128" s="599"/>
      <c r="BG128" s="599"/>
      <c r="BH128" s="599"/>
      <c r="BI128" s="599"/>
      <c r="BJ128" s="599"/>
      <c r="BK128" s="599"/>
      <c r="BL128" s="599"/>
      <c r="BM128" s="599"/>
      <c r="BN128" s="599"/>
      <c r="BO128" s="599"/>
      <c r="BP128" s="599"/>
      <c r="BQ128" s="599"/>
      <c r="BR128" s="599"/>
      <c r="BS128" s="599"/>
      <c r="BT128" s="599"/>
      <c r="BU128" s="599"/>
      <c r="BV128" s="599"/>
      <c r="BW128" s="599"/>
      <c r="BX128" s="599"/>
      <c r="BY128" s="599"/>
      <c r="BZ128" s="632"/>
      <c r="CA128" s="632"/>
      <c r="CB128" s="2919" t="str">
        <f>IF(CL128=1,"* No olvide ingresar la variable Pueblos Originarios. Si no tiene digite Cero. ","")</f>
        <v/>
      </c>
      <c r="CC128" s="2919" t="str">
        <f>IF(CM128=1,"* No olvide ingresar la variable Migrantes. Si no tiene digite Cero. ","")</f>
        <v/>
      </c>
      <c r="CD128" s="2919" t="str">
        <f>IF(CN128=1,"* El total de Pueblos Originarios NO DEBE superar la suma por Rango Etario. ","")</f>
        <v xml:space="preserve">* El total de Pueblos Originarios NO DEBE superar la suma por Rango Etario. </v>
      </c>
      <c r="CE128" s="2919" t="str">
        <f>IF(CO128=1,"* El total de Migrantes NO DEBE superar la suma por grupo de edad","")</f>
        <v>* El total de Migrantes NO DEBE superar la suma por grupo de edad</v>
      </c>
      <c r="CF128" s="2630"/>
      <c r="CG128" s="2630"/>
      <c r="CL128" s="2920">
        <f>IF(AND(H128="",SUM(D128:G128)&lt;&gt;0),1,0)</f>
        <v>0</v>
      </c>
      <c r="CM128" s="2920">
        <f>IF(AND(I128="",SUM(D128:G128)&lt;&gt;0),1,0)</f>
        <v>0</v>
      </c>
      <c r="CN128" s="2920">
        <f>IF(SUM(D128:G128)&lt;H128,1,0)</f>
        <v>1</v>
      </c>
      <c r="CO128" s="2920">
        <f>IF(SUM(D128:G128)&lt;I128,1,0)</f>
        <v>1</v>
      </c>
      <c r="CP128"/>
      <c r="CQ128"/>
    </row>
    <row r="129" spans="1:93" s="170" customFormat="1" ht="20.399999999999999" x14ac:dyDescent="0.3">
      <c r="A129" s="6234">
        <v>27500340</v>
      </c>
      <c r="B129" s="2913" t="s">
        <v>2352</v>
      </c>
      <c r="C129" s="2921" t="s">
        <v>5292</v>
      </c>
      <c r="D129" s="2922" t="s">
        <v>5293</v>
      </c>
      <c r="E129" s="2411" t="s">
        <v>5294</v>
      </c>
      <c r="F129" s="2411" t="s">
        <v>5295</v>
      </c>
      <c r="G129" s="2923" t="s">
        <v>5296</v>
      </c>
      <c r="H129" s="2815" t="s">
        <v>5297</v>
      </c>
      <c r="I129" s="2924" t="s">
        <v>5298</v>
      </c>
      <c r="J129" s="2900" t="str">
        <f>CB129&amp;CC129&amp;CD129&amp;CE129</f>
        <v>* El total de Pueblos Originarios NO DEBE superar la suma por Rango Etario. * El total de Migrantes NO DEBE superar la suma por grupo de edad</v>
      </c>
      <c r="K129" s="599"/>
      <c r="L129" s="599"/>
      <c r="M129" s="599"/>
      <c r="N129" s="599"/>
      <c r="O129" s="599"/>
      <c r="P129" s="599"/>
      <c r="Q129" s="599"/>
      <c r="R129" s="599"/>
      <c r="S129" s="599"/>
      <c r="T129" s="599"/>
      <c r="U129" s="599"/>
      <c r="V129" s="599"/>
      <c r="W129" s="599"/>
      <c r="X129" s="599"/>
      <c r="Y129" s="599"/>
      <c r="Z129" s="599"/>
      <c r="AA129" s="599"/>
      <c r="AB129" s="599"/>
      <c r="AC129" s="599"/>
      <c r="AD129" s="599"/>
      <c r="AE129" s="599"/>
      <c r="AF129" s="599"/>
      <c r="AG129" s="599"/>
      <c r="AH129" s="599"/>
      <c r="AI129" s="599"/>
      <c r="AJ129" s="599"/>
      <c r="AK129" s="599"/>
      <c r="AL129" s="599"/>
      <c r="AM129" s="599"/>
      <c r="AN129" s="599"/>
      <c r="AO129" s="599"/>
      <c r="AP129" s="599"/>
      <c r="AQ129" s="599"/>
      <c r="AR129" s="599"/>
      <c r="AS129" s="599"/>
      <c r="AT129" s="599"/>
      <c r="AU129" s="599"/>
      <c r="AV129" s="599"/>
      <c r="AW129" s="599"/>
      <c r="AX129" s="599"/>
      <c r="AY129" s="599"/>
      <c r="AZ129" s="599"/>
      <c r="BA129" s="599"/>
      <c r="BB129" s="599"/>
      <c r="BC129" s="599"/>
      <c r="BD129" s="599"/>
      <c r="BE129" s="599"/>
      <c r="BF129" s="599"/>
      <c r="BG129" s="599"/>
      <c r="BH129" s="599"/>
      <c r="BI129" s="599"/>
      <c r="BJ129" s="599"/>
      <c r="BK129" s="599"/>
      <c r="BL129" s="599"/>
      <c r="BM129" s="599"/>
      <c r="BN129" s="599"/>
      <c r="BO129" s="599"/>
      <c r="BP129" s="599"/>
      <c r="BQ129" s="599"/>
      <c r="BR129" s="599"/>
      <c r="BS129" s="599"/>
      <c r="BT129" s="599"/>
      <c r="BU129" s="599"/>
      <c r="BV129" s="599"/>
      <c r="BW129" s="599"/>
      <c r="BX129" s="599"/>
      <c r="BY129" s="599"/>
      <c r="BZ129" s="632"/>
      <c r="CA129" s="632"/>
      <c r="CB129" s="2919" t="str">
        <f>IF(CL129=1,"* No olvide ingresar la variable Pueblos Originarios. Si no tiene digite Cero. ","")</f>
        <v/>
      </c>
      <c r="CC129" s="2919" t="str">
        <f>IF(CM129=1,"* No olvide ingresar la variable Migrantes. Si no tiene digite Cero. ","")</f>
        <v/>
      </c>
      <c r="CD129" s="2919" t="str">
        <f>IF(CN129=1,"* El total de Pueblos Originarios NO DEBE superar la suma por Rango Etario. ","")</f>
        <v xml:space="preserve">* El total de Pueblos Originarios NO DEBE superar la suma por Rango Etario. </v>
      </c>
      <c r="CE129" s="2919" t="str">
        <f>IF(CO129=1,"* El total de Migrantes NO DEBE superar la suma por grupo de edad","")</f>
        <v>* El total de Migrantes NO DEBE superar la suma por grupo de edad</v>
      </c>
      <c r="CF129" s="2630"/>
      <c r="CG129" s="2630"/>
      <c r="CL129" s="2920">
        <f>IF(AND(H129="",SUM(D129:G129)&lt;&gt;0),1,0)</f>
        <v>0</v>
      </c>
      <c r="CM129" s="2920">
        <f>IF(AND(I129="",SUM(D129:G129)&lt;&gt;0),1,0)</f>
        <v>0</v>
      </c>
      <c r="CN129" s="2920">
        <f>IF(SUM(D129:G129)&lt;H129,1,0)</f>
        <v>1</v>
      </c>
      <c r="CO129" s="2920">
        <f>IF(SUM(D129:G129)&lt;I129,1,0)</f>
        <v>1</v>
      </c>
    </row>
    <row r="130" spans="1:93" ht="18" customHeight="1" x14ac:dyDescent="0.3">
      <c r="B130" s="2925" t="s">
        <v>2353</v>
      </c>
      <c r="C130" s="2925"/>
      <c r="D130" s="2925"/>
      <c r="E130" s="2926"/>
      <c r="F130" s="2927"/>
      <c r="G130" s="2927"/>
      <c r="H130" s="2927"/>
      <c r="I130" s="2927"/>
      <c r="J130" s="2927"/>
      <c r="K130" s="2928"/>
      <c r="L130" s="2927"/>
      <c r="M130" s="2927"/>
      <c r="N130" s="2927"/>
      <c r="O130" s="2927"/>
      <c r="P130" s="2927"/>
      <c r="Q130" s="2927"/>
    </row>
    <row r="131" spans="1:93" s="170" customFormat="1" ht="15" customHeight="1" x14ac:dyDescent="0.2">
      <c r="A131" s="6282"/>
      <c r="B131" s="8208" t="s">
        <v>2308</v>
      </c>
      <c r="C131" s="8209"/>
      <c r="D131" s="8210"/>
      <c r="E131" s="8213" t="s">
        <v>2309</v>
      </c>
      <c r="F131" s="6499" t="s">
        <v>1469</v>
      </c>
      <c r="G131" s="6500"/>
      <c r="H131" s="6500"/>
      <c r="I131" s="6500"/>
      <c r="J131" s="6500"/>
      <c r="K131" s="6500"/>
      <c r="L131" s="6500"/>
      <c r="M131" s="6500"/>
      <c r="N131" s="6500"/>
      <c r="O131" s="8215"/>
      <c r="P131" s="6500" t="s">
        <v>523</v>
      </c>
      <c r="Q131" s="8219"/>
    </row>
    <row r="132" spans="1:93" s="170" customFormat="1" ht="20.100000000000001" customHeight="1" x14ac:dyDescent="0.2">
      <c r="A132" s="6282"/>
      <c r="B132" s="8211"/>
      <c r="C132" s="8211"/>
      <c r="D132" s="8212"/>
      <c r="E132" s="8214"/>
      <c r="F132" s="2929" t="s">
        <v>2354</v>
      </c>
      <c r="G132" s="2930" t="s">
        <v>553</v>
      </c>
      <c r="H132" s="2930" t="s">
        <v>554</v>
      </c>
      <c r="I132" s="2930" t="s">
        <v>568</v>
      </c>
      <c r="J132" s="2930" t="s">
        <v>559</v>
      </c>
      <c r="K132" s="2930" t="s">
        <v>2310</v>
      </c>
      <c r="L132" s="2930" t="s">
        <v>400</v>
      </c>
      <c r="M132" s="2930" t="s">
        <v>557</v>
      </c>
      <c r="N132" s="2930" t="s">
        <v>2355</v>
      </c>
      <c r="O132" s="2931" t="s">
        <v>32</v>
      </c>
      <c r="P132" s="2932" t="s">
        <v>22</v>
      </c>
      <c r="Q132" s="2933" t="s">
        <v>27</v>
      </c>
    </row>
    <row r="133" spans="1:93" s="170" customFormat="1" ht="15" customHeight="1" x14ac:dyDescent="0.3">
      <c r="A133" s="6234">
        <v>29101566</v>
      </c>
      <c r="B133" s="8220" t="s">
        <v>2356</v>
      </c>
      <c r="C133" s="8221"/>
      <c r="D133" s="2934" t="s">
        <v>2357</v>
      </c>
      <c r="E133" s="2935" t="s">
        <v>5292</v>
      </c>
      <c r="F133" s="2936" t="s">
        <v>5293</v>
      </c>
      <c r="G133" s="2937" t="s">
        <v>5294</v>
      </c>
      <c r="H133" s="2937" t="s">
        <v>5295</v>
      </c>
      <c r="I133" s="2937" t="s">
        <v>5296</v>
      </c>
      <c r="J133" s="2937" t="s">
        <v>5297</v>
      </c>
      <c r="K133" s="2937" t="s">
        <v>5298</v>
      </c>
      <c r="L133" s="2937" t="s">
        <v>5299</v>
      </c>
      <c r="M133" s="2937" t="s">
        <v>5300</v>
      </c>
      <c r="N133" s="2937" t="s">
        <v>5301</v>
      </c>
      <c r="O133" s="2938" t="s">
        <v>5302</v>
      </c>
      <c r="P133" s="2939" t="s">
        <v>5303</v>
      </c>
      <c r="Q133" s="2940" t="s">
        <v>5304</v>
      </c>
      <c r="R133" s="2900" t="e">
        <f>CB133</f>
        <v>#VALUE!</v>
      </c>
      <c r="CB133" s="2784" t="e">
        <f>IF((P133+Q133)&lt;&gt;E133," * El desglose por Sexo no puede ser distinto al Total.","")</f>
        <v>#VALUE!</v>
      </c>
      <c r="CL133" s="1725" t="e">
        <f>IF((P133+Q133)&lt;&gt;E133,1,0)</f>
        <v>#VALUE!</v>
      </c>
    </row>
    <row r="134" spans="1:93" s="170" customFormat="1" ht="15" customHeight="1" x14ac:dyDescent="0.3">
      <c r="A134" s="6234">
        <v>29101567</v>
      </c>
      <c r="B134" s="8222"/>
      <c r="C134" s="8223"/>
      <c r="D134" s="2941" t="s">
        <v>2358</v>
      </c>
      <c r="E134" s="2935" t="s">
        <v>5292</v>
      </c>
      <c r="F134" s="2942" t="s">
        <v>5293</v>
      </c>
      <c r="G134" s="2943" t="s">
        <v>5294</v>
      </c>
      <c r="H134" s="2944" t="s">
        <v>5295</v>
      </c>
      <c r="I134" s="2944" t="s">
        <v>5296</v>
      </c>
      <c r="J134" s="2944" t="s">
        <v>5297</v>
      </c>
      <c r="K134" s="2944" t="s">
        <v>5298</v>
      </c>
      <c r="L134" s="2944" t="s">
        <v>5299</v>
      </c>
      <c r="M134" s="2944" t="s">
        <v>5300</v>
      </c>
      <c r="N134" s="2944" t="s">
        <v>5301</v>
      </c>
      <c r="O134" s="2945" t="s">
        <v>5302</v>
      </c>
      <c r="P134" s="2946" t="s">
        <v>5303</v>
      </c>
      <c r="Q134" s="2947" t="s">
        <v>5304</v>
      </c>
      <c r="R134" s="2900" t="e">
        <f t="shared" ref="R134:R148" si="23">CB134</f>
        <v>#VALUE!</v>
      </c>
      <c r="CB134" s="2784" t="e">
        <f t="shared" ref="CB134:CB148" si="24">IF((P134+Q134)&lt;&gt;E134," * El desglose por Sexo no puede ser distinto al Total.","")</f>
        <v>#VALUE!</v>
      </c>
      <c r="CL134" s="1725" t="e">
        <f t="shared" ref="CL134:CL148" si="25">IF((P134+Q134)&lt;&gt;E134,1,0)</f>
        <v>#VALUE!</v>
      </c>
    </row>
    <row r="135" spans="1:93" s="170" customFormat="1" ht="15" customHeight="1" x14ac:dyDescent="0.3">
      <c r="A135" s="6234">
        <v>29101568</v>
      </c>
      <c r="B135" s="8222"/>
      <c r="C135" s="8223"/>
      <c r="D135" s="2941" t="s">
        <v>2359</v>
      </c>
      <c r="E135" s="2935" t="s">
        <v>5292</v>
      </c>
      <c r="F135" s="2942" t="s">
        <v>5293</v>
      </c>
      <c r="G135" s="2944" t="s">
        <v>5294</v>
      </c>
      <c r="H135" s="2943" t="s">
        <v>5295</v>
      </c>
      <c r="I135" s="2944" t="s">
        <v>5296</v>
      </c>
      <c r="J135" s="2944" t="s">
        <v>5297</v>
      </c>
      <c r="K135" s="2944" t="s">
        <v>5298</v>
      </c>
      <c r="L135" s="2944" t="s">
        <v>5299</v>
      </c>
      <c r="M135" s="2944" t="s">
        <v>5300</v>
      </c>
      <c r="N135" s="2944" t="s">
        <v>5301</v>
      </c>
      <c r="O135" s="2945" t="s">
        <v>5302</v>
      </c>
      <c r="P135" s="2946" t="s">
        <v>5303</v>
      </c>
      <c r="Q135" s="2947" t="s">
        <v>5304</v>
      </c>
      <c r="R135" s="2900" t="e">
        <f t="shared" si="23"/>
        <v>#VALUE!</v>
      </c>
      <c r="CB135" s="2784" t="e">
        <f t="shared" si="24"/>
        <v>#VALUE!</v>
      </c>
      <c r="CL135" s="1725" t="e">
        <f t="shared" si="25"/>
        <v>#VALUE!</v>
      </c>
    </row>
    <row r="136" spans="1:93" s="170" customFormat="1" ht="23.25" customHeight="1" x14ac:dyDescent="0.3">
      <c r="A136" s="6234">
        <v>29101569</v>
      </c>
      <c r="B136" s="8222"/>
      <c r="C136" s="8223"/>
      <c r="D136" s="2948" t="s">
        <v>2360</v>
      </c>
      <c r="E136" s="2935" t="s">
        <v>5292</v>
      </c>
      <c r="F136" s="2942" t="s">
        <v>5293</v>
      </c>
      <c r="G136" s="2944" t="s">
        <v>5294</v>
      </c>
      <c r="H136" s="2944" t="s">
        <v>5295</v>
      </c>
      <c r="I136" s="2943" t="s">
        <v>5296</v>
      </c>
      <c r="J136" s="2944" t="s">
        <v>5297</v>
      </c>
      <c r="K136" s="2944" t="s">
        <v>5298</v>
      </c>
      <c r="L136" s="2944" t="s">
        <v>5299</v>
      </c>
      <c r="M136" s="2944" t="s">
        <v>5300</v>
      </c>
      <c r="N136" s="2944" t="s">
        <v>5301</v>
      </c>
      <c r="O136" s="2945" t="s">
        <v>5302</v>
      </c>
      <c r="P136" s="2946" t="s">
        <v>5303</v>
      </c>
      <c r="Q136" s="2947" t="s">
        <v>5304</v>
      </c>
      <c r="R136" s="2900" t="e">
        <f t="shared" si="23"/>
        <v>#VALUE!</v>
      </c>
      <c r="CB136" s="2784" t="e">
        <f t="shared" si="24"/>
        <v>#VALUE!</v>
      </c>
      <c r="CL136" s="1725" t="e">
        <f t="shared" si="25"/>
        <v>#VALUE!</v>
      </c>
    </row>
    <row r="137" spans="1:93" s="170" customFormat="1" ht="22.5" customHeight="1" x14ac:dyDescent="0.3">
      <c r="A137" s="6234">
        <v>29101570</v>
      </c>
      <c r="B137" s="8222"/>
      <c r="C137" s="8223"/>
      <c r="D137" s="2948" t="s">
        <v>2361</v>
      </c>
      <c r="E137" s="2935" t="s">
        <v>5292</v>
      </c>
      <c r="F137" s="2942" t="s">
        <v>5293</v>
      </c>
      <c r="G137" s="2944" t="s">
        <v>5294</v>
      </c>
      <c r="H137" s="2944" t="s">
        <v>5295</v>
      </c>
      <c r="I137" s="2944" t="s">
        <v>5296</v>
      </c>
      <c r="J137" s="2943" t="s">
        <v>5297</v>
      </c>
      <c r="K137" s="2943" t="s">
        <v>5298</v>
      </c>
      <c r="L137" s="2943" t="s">
        <v>5299</v>
      </c>
      <c r="M137" s="2944" t="s">
        <v>5300</v>
      </c>
      <c r="N137" s="2944" t="s">
        <v>5301</v>
      </c>
      <c r="O137" s="2945" t="s">
        <v>5302</v>
      </c>
      <c r="P137" s="2946" t="s">
        <v>5303</v>
      </c>
      <c r="Q137" s="2947" t="s">
        <v>5304</v>
      </c>
      <c r="R137" s="2900" t="e">
        <f t="shared" si="23"/>
        <v>#VALUE!</v>
      </c>
      <c r="CB137" s="2784" t="e">
        <f t="shared" si="24"/>
        <v>#VALUE!</v>
      </c>
      <c r="CL137" s="1725" t="e">
        <f t="shared" si="25"/>
        <v>#VALUE!</v>
      </c>
    </row>
    <row r="138" spans="1:93" s="170" customFormat="1" ht="15" customHeight="1" x14ac:dyDescent="0.3">
      <c r="A138" s="6234">
        <v>29101571</v>
      </c>
      <c r="B138" s="8222"/>
      <c r="C138" s="8223"/>
      <c r="D138" s="2949" t="s">
        <v>2362</v>
      </c>
      <c r="E138" s="2935" t="s">
        <v>5292</v>
      </c>
      <c r="F138" s="2942" t="s">
        <v>5293</v>
      </c>
      <c r="G138" s="2944" t="s">
        <v>5294</v>
      </c>
      <c r="H138" s="2943" t="s">
        <v>5295</v>
      </c>
      <c r="I138" s="2943" t="s">
        <v>5296</v>
      </c>
      <c r="J138" s="2943" t="s">
        <v>5297</v>
      </c>
      <c r="K138" s="2944" t="s">
        <v>5298</v>
      </c>
      <c r="L138" s="2944" t="s">
        <v>5299</v>
      </c>
      <c r="M138" s="2944" t="s">
        <v>5300</v>
      </c>
      <c r="N138" s="2944" t="s">
        <v>5301</v>
      </c>
      <c r="O138" s="2945" t="s">
        <v>5302</v>
      </c>
      <c r="P138" s="2946" t="s">
        <v>5303</v>
      </c>
      <c r="Q138" s="2947" t="s">
        <v>5304</v>
      </c>
      <c r="R138" s="2900" t="e">
        <f t="shared" si="23"/>
        <v>#VALUE!</v>
      </c>
      <c r="CB138" s="2784" t="e">
        <f t="shared" si="24"/>
        <v>#VALUE!</v>
      </c>
      <c r="CL138" s="1725" t="e">
        <f t="shared" si="25"/>
        <v>#VALUE!</v>
      </c>
    </row>
    <row r="139" spans="1:93" s="170" customFormat="1" ht="15" customHeight="1" x14ac:dyDescent="0.3">
      <c r="A139" s="6234">
        <v>29101572</v>
      </c>
      <c r="B139" s="8222"/>
      <c r="C139" s="8223"/>
      <c r="D139" s="2949" t="s">
        <v>2363</v>
      </c>
      <c r="E139" s="2935" t="s">
        <v>5292</v>
      </c>
      <c r="F139" s="2942" t="s">
        <v>5293</v>
      </c>
      <c r="G139" s="2944" t="s">
        <v>5294</v>
      </c>
      <c r="H139" s="2943" t="s">
        <v>5295</v>
      </c>
      <c r="I139" s="2943" t="s">
        <v>5296</v>
      </c>
      <c r="J139" s="2943" t="s">
        <v>5297</v>
      </c>
      <c r="K139" s="2944" t="s">
        <v>5298</v>
      </c>
      <c r="L139" s="2944" t="s">
        <v>5299</v>
      </c>
      <c r="M139" s="2944" t="s">
        <v>5300</v>
      </c>
      <c r="N139" s="2944" t="s">
        <v>5301</v>
      </c>
      <c r="O139" s="2945" t="s">
        <v>5302</v>
      </c>
      <c r="P139" s="2950" t="s">
        <v>5303</v>
      </c>
      <c r="Q139" s="2951" t="s">
        <v>5304</v>
      </c>
      <c r="R139" s="2900" t="e">
        <f t="shared" si="23"/>
        <v>#VALUE!</v>
      </c>
      <c r="CB139" s="2784" t="e">
        <f t="shared" si="24"/>
        <v>#VALUE!</v>
      </c>
      <c r="CL139" s="1725" t="e">
        <f t="shared" si="25"/>
        <v>#VALUE!</v>
      </c>
    </row>
    <row r="140" spans="1:93" s="170" customFormat="1" ht="23.25" customHeight="1" x14ac:dyDescent="0.3">
      <c r="A140" s="6234">
        <v>29101573</v>
      </c>
      <c r="B140" s="8222"/>
      <c r="C140" s="8223"/>
      <c r="D140" s="4467" t="s">
        <v>2364</v>
      </c>
      <c r="E140" s="4468" t="s">
        <v>5292</v>
      </c>
      <c r="F140" s="2952" t="s">
        <v>5293</v>
      </c>
      <c r="G140" s="2953" t="s">
        <v>5294</v>
      </c>
      <c r="H140" s="2953" t="s">
        <v>5295</v>
      </c>
      <c r="I140" s="2953" t="s">
        <v>5296</v>
      </c>
      <c r="J140" s="2953" t="s">
        <v>5297</v>
      </c>
      <c r="K140" s="2953" t="s">
        <v>5298</v>
      </c>
      <c r="L140" s="2953" t="s">
        <v>5299</v>
      </c>
      <c r="M140" s="2954" t="s">
        <v>5300</v>
      </c>
      <c r="N140" s="2954" t="s">
        <v>5301</v>
      </c>
      <c r="O140" s="2955" t="s">
        <v>5302</v>
      </c>
      <c r="P140" s="2956" t="s">
        <v>5303</v>
      </c>
      <c r="Q140" s="2957" t="s">
        <v>5304</v>
      </c>
      <c r="R140" s="2900" t="e">
        <f t="shared" si="23"/>
        <v>#VALUE!</v>
      </c>
      <c r="CB140" s="2784" t="e">
        <f t="shared" si="24"/>
        <v>#VALUE!</v>
      </c>
      <c r="CL140" s="1725" t="e">
        <f t="shared" si="25"/>
        <v>#VALUE!</v>
      </c>
    </row>
    <row r="141" spans="1:93" s="170" customFormat="1" ht="15" customHeight="1" x14ac:dyDescent="0.3">
      <c r="A141" s="6234">
        <v>29101574</v>
      </c>
      <c r="B141" s="8224" t="s">
        <v>2365</v>
      </c>
      <c r="C141" s="8225"/>
      <c r="D141" s="4469" t="s">
        <v>2357</v>
      </c>
      <c r="E141" s="4470" t="s">
        <v>5292</v>
      </c>
      <c r="F141" s="2961" t="s">
        <v>5293</v>
      </c>
      <c r="G141" s="2959" t="s">
        <v>5294</v>
      </c>
      <c r="H141" s="2959" t="s">
        <v>5295</v>
      </c>
      <c r="I141" s="2959" t="s">
        <v>5296</v>
      </c>
      <c r="J141" s="2959" t="s">
        <v>5297</v>
      </c>
      <c r="K141" s="2959" t="s">
        <v>5298</v>
      </c>
      <c r="L141" s="2959" t="s">
        <v>5299</v>
      </c>
      <c r="M141" s="2959" t="s">
        <v>5300</v>
      </c>
      <c r="N141" s="2959" t="s">
        <v>5301</v>
      </c>
      <c r="O141" s="2960" t="s">
        <v>5302</v>
      </c>
      <c r="P141" s="2961" t="s">
        <v>5303</v>
      </c>
      <c r="Q141" s="2962" t="s">
        <v>5304</v>
      </c>
      <c r="R141" s="2900" t="e">
        <f t="shared" si="23"/>
        <v>#VALUE!</v>
      </c>
      <c r="CB141" s="2784" t="e">
        <f t="shared" si="24"/>
        <v>#VALUE!</v>
      </c>
      <c r="CL141" s="1725" t="e">
        <f t="shared" si="25"/>
        <v>#VALUE!</v>
      </c>
    </row>
    <row r="142" spans="1:93" s="170" customFormat="1" ht="15" customHeight="1" x14ac:dyDescent="0.3">
      <c r="A142" s="6234">
        <v>29101575</v>
      </c>
      <c r="B142" s="8226"/>
      <c r="C142" s="8223"/>
      <c r="D142" s="2941" t="s">
        <v>2358</v>
      </c>
      <c r="E142" s="4471" t="s">
        <v>5292</v>
      </c>
      <c r="F142" s="4466" t="s">
        <v>5293</v>
      </c>
      <c r="G142" s="2943" t="s">
        <v>5294</v>
      </c>
      <c r="H142" s="2944" t="s">
        <v>5295</v>
      </c>
      <c r="I142" s="2944" t="s">
        <v>5296</v>
      </c>
      <c r="J142" s="2944" t="s">
        <v>5297</v>
      </c>
      <c r="K142" s="2944" t="s">
        <v>5298</v>
      </c>
      <c r="L142" s="2944" t="s">
        <v>5299</v>
      </c>
      <c r="M142" s="2944" t="s">
        <v>5300</v>
      </c>
      <c r="N142" s="2944" t="s">
        <v>5301</v>
      </c>
      <c r="O142" s="2945" t="s">
        <v>5302</v>
      </c>
      <c r="P142" s="2946" t="s">
        <v>5303</v>
      </c>
      <c r="Q142" s="2947" t="s">
        <v>5304</v>
      </c>
      <c r="R142" s="2900" t="e">
        <f t="shared" si="23"/>
        <v>#VALUE!</v>
      </c>
      <c r="CB142" s="2784" t="e">
        <f t="shared" si="24"/>
        <v>#VALUE!</v>
      </c>
      <c r="CL142" s="1725" t="e">
        <f t="shared" si="25"/>
        <v>#VALUE!</v>
      </c>
    </row>
    <row r="143" spans="1:93" s="170" customFormat="1" ht="15" customHeight="1" x14ac:dyDescent="0.3">
      <c r="A143" s="6234">
        <v>29101576</v>
      </c>
      <c r="B143" s="8226"/>
      <c r="C143" s="8223"/>
      <c r="D143" s="2941" t="s">
        <v>2359</v>
      </c>
      <c r="E143" s="4471" t="s">
        <v>5292</v>
      </c>
      <c r="F143" s="4466" t="s">
        <v>5293</v>
      </c>
      <c r="G143" s="2944" t="s">
        <v>5294</v>
      </c>
      <c r="H143" s="2943" t="s">
        <v>5295</v>
      </c>
      <c r="I143" s="2944" t="s">
        <v>5296</v>
      </c>
      <c r="J143" s="2944" t="s">
        <v>5297</v>
      </c>
      <c r="K143" s="2944" t="s">
        <v>5298</v>
      </c>
      <c r="L143" s="2944" t="s">
        <v>5299</v>
      </c>
      <c r="M143" s="2944" t="s">
        <v>5300</v>
      </c>
      <c r="N143" s="2944" t="s">
        <v>5301</v>
      </c>
      <c r="O143" s="2945" t="s">
        <v>5302</v>
      </c>
      <c r="P143" s="2946" t="s">
        <v>5303</v>
      </c>
      <c r="Q143" s="2947" t="s">
        <v>5304</v>
      </c>
      <c r="R143" s="2900" t="e">
        <f t="shared" si="23"/>
        <v>#VALUE!</v>
      </c>
      <c r="CB143" s="2784" t="e">
        <f t="shared" si="24"/>
        <v>#VALUE!</v>
      </c>
      <c r="CL143" s="1725" t="e">
        <f t="shared" si="25"/>
        <v>#VALUE!</v>
      </c>
    </row>
    <row r="144" spans="1:93" s="170" customFormat="1" ht="23.25" customHeight="1" x14ac:dyDescent="0.3">
      <c r="A144" s="6234">
        <v>29101577</v>
      </c>
      <c r="B144" s="8226"/>
      <c r="C144" s="8223"/>
      <c r="D144" s="2948" t="s">
        <v>2360</v>
      </c>
      <c r="E144" s="4471" t="s">
        <v>5292</v>
      </c>
      <c r="F144" s="4466" t="s">
        <v>5293</v>
      </c>
      <c r="G144" s="2944" t="s">
        <v>5294</v>
      </c>
      <c r="H144" s="2944" t="s">
        <v>5295</v>
      </c>
      <c r="I144" s="2943" t="s">
        <v>5296</v>
      </c>
      <c r="J144" s="2944" t="s">
        <v>5297</v>
      </c>
      <c r="K144" s="2944" t="s">
        <v>5298</v>
      </c>
      <c r="L144" s="2944" t="s">
        <v>5299</v>
      </c>
      <c r="M144" s="2944" t="s">
        <v>5300</v>
      </c>
      <c r="N144" s="2944" t="s">
        <v>5301</v>
      </c>
      <c r="O144" s="2945" t="s">
        <v>5302</v>
      </c>
      <c r="P144" s="2946" t="s">
        <v>5303</v>
      </c>
      <c r="Q144" s="2947" t="s">
        <v>5304</v>
      </c>
      <c r="R144" s="2900" t="e">
        <f t="shared" si="23"/>
        <v>#VALUE!</v>
      </c>
      <c r="CB144" s="2784" t="e">
        <f t="shared" si="24"/>
        <v>#VALUE!</v>
      </c>
      <c r="CL144" s="1725" t="e">
        <f t="shared" si="25"/>
        <v>#VALUE!</v>
      </c>
    </row>
    <row r="145" spans="1:90" s="170" customFormat="1" ht="20.100000000000001" customHeight="1" x14ac:dyDescent="0.3">
      <c r="A145" s="6234">
        <v>29101578</v>
      </c>
      <c r="B145" s="8226"/>
      <c r="C145" s="8223"/>
      <c r="D145" s="2948" t="s">
        <v>2361</v>
      </c>
      <c r="E145" s="4471" t="s">
        <v>5292</v>
      </c>
      <c r="F145" s="4466" t="s">
        <v>5293</v>
      </c>
      <c r="G145" s="2944" t="s">
        <v>5294</v>
      </c>
      <c r="H145" s="2944" t="s">
        <v>5295</v>
      </c>
      <c r="I145" s="2944" t="s">
        <v>5296</v>
      </c>
      <c r="J145" s="2943" t="s">
        <v>5297</v>
      </c>
      <c r="K145" s="2943" t="s">
        <v>5298</v>
      </c>
      <c r="L145" s="2943" t="s">
        <v>5299</v>
      </c>
      <c r="M145" s="2944" t="s">
        <v>5300</v>
      </c>
      <c r="N145" s="2944" t="s">
        <v>5301</v>
      </c>
      <c r="O145" s="2945" t="s">
        <v>5302</v>
      </c>
      <c r="P145" s="2946" t="s">
        <v>5303</v>
      </c>
      <c r="Q145" s="2947" t="s">
        <v>5304</v>
      </c>
      <c r="R145" s="2900" t="e">
        <f t="shared" si="23"/>
        <v>#VALUE!</v>
      </c>
      <c r="CB145" s="2784" t="e">
        <f t="shared" si="24"/>
        <v>#VALUE!</v>
      </c>
      <c r="CL145" s="1725" t="e">
        <f t="shared" si="25"/>
        <v>#VALUE!</v>
      </c>
    </row>
    <row r="146" spans="1:90" s="170" customFormat="1" ht="15" customHeight="1" x14ac:dyDescent="0.3">
      <c r="A146" s="6234">
        <v>29101579</v>
      </c>
      <c r="B146" s="8226"/>
      <c r="C146" s="8223"/>
      <c r="D146" s="2949" t="s">
        <v>2362</v>
      </c>
      <c r="E146" s="4471" t="s">
        <v>5292</v>
      </c>
      <c r="F146" s="4466" t="s">
        <v>5293</v>
      </c>
      <c r="G146" s="2944" t="s">
        <v>5294</v>
      </c>
      <c r="H146" s="2943" t="s">
        <v>5295</v>
      </c>
      <c r="I146" s="2943" t="s">
        <v>5296</v>
      </c>
      <c r="J146" s="2943" t="s">
        <v>5297</v>
      </c>
      <c r="K146" s="2944" t="s">
        <v>5298</v>
      </c>
      <c r="L146" s="2944" t="s">
        <v>5299</v>
      </c>
      <c r="M146" s="2944" t="s">
        <v>5300</v>
      </c>
      <c r="N146" s="2944" t="s">
        <v>5301</v>
      </c>
      <c r="O146" s="2945" t="s">
        <v>5302</v>
      </c>
      <c r="P146" s="2946" t="s">
        <v>5303</v>
      </c>
      <c r="Q146" s="2947" t="s">
        <v>5304</v>
      </c>
      <c r="R146" s="2900" t="e">
        <f t="shared" si="23"/>
        <v>#VALUE!</v>
      </c>
      <c r="CB146" s="2784" t="e">
        <f t="shared" si="24"/>
        <v>#VALUE!</v>
      </c>
      <c r="CL146" s="1725" t="e">
        <f t="shared" si="25"/>
        <v>#VALUE!</v>
      </c>
    </row>
    <row r="147" spans="1:90" s="170" customFormat="1" ht="15" customHeight="1" x14ac:dyDescent="0.3">
      <c r="A147" s="6234">
        <v>29101580</v>
      </c>
      <c r="B147" s="8226"/>
      <c r="C147" s="8223"/>
      <c r="D147" s="2949" t="s">
        <v>2363</v>
      </c>
      <c r="E147" s="4471" t="s">
        <v>5292</v>
      </c>
      <c r="F147" s="4466" t="s">
        <v>5293</v>
      </c>
      <c r="G147" s="2944" t="s">
        <v>5294</v>
      </c>
      <c r="H147" s="2943" t="s">
        <v>5295</v>
      </c>
      <c r="I147" s="2943" t="s">
        <v>5296</v>
      </c>
      <c r="J147" s="2943" t="s">
        <v>5297</v>
      </c>
      <c r="K147" s="2944" t="s">
        <v>5298</v>
      </c>
      <c r="L147" s="2944" t="s">
        <v>5299</v>
      </c>
      <c r="M147" s="2944" t="s">
        <v>5300</v>
      </c>
      <c r="N147" s="2944" t="s">
        <v>5301</v>
      </c>
      <c r="O147" s="2945" t="s">
        <v>5302</v>
      </c>
      <c r="P147" s="2950" t="s">
        <v>5303</v>
      </c>
      <c r="Q147" s="2951" t="s">
        <v>5304</v>
      </c>
      <c r="R147" s="2900" t="e">
        <f t="shared" si="23"/>
        <v>#VALUE!</v>
      </c>
      <c r="CB147" s="2784" t="e">
        <f t="shared" si="24"/>
        <v>#VALUE!</v>
      </c>
      <c r="CL147" s="1725" t="e">
        <f t="shared" si="25"/>
        <v>#VALUE!</v>
      </c>
    </row>
    <row r="148" spans="1:90" s="170" customFormat="1" ht="24.75" customHeight="1" x14ac:dyDescent="0.3">
      <c r="A148" s="6234">
        <v>29101581</v>
      </c>
      <c r="B148" s="8227"/>
      <c r="C148" s="8228"/>
      <c r="D148" s="4472" t="s">
        <v>2364</v>
      </c>
      <c r="E148" s="4473" t="s">
        <v>5292</v>
      </c>
      <c r="F148" s="3452" t="s">
        <v>5293</v>
      </c>
      <c r="G148" s="2953" t="s">
        <v>5294</v>
      </c>
      <c r="H148" s="2953" t="s">
        <v>5295</v>
      </c>
      <c r="I148" s="2953" t="s">
        <v>5296</v>
      </c>
      <c r="J148" s="2953" t="s">
        <v>5297</v>
      </c>
      <c r="K148" s="2953" t="s">
        <v>5298</v>
      </c>
      <c r="L148" s="2953" t="s">
        <v>5299</v>
      </c>
      <c r="M148" s="2963" t="s">
        <v>5300</v>
      </c>
      <c r="N148" s="2963" t="s">
        <v>5301</v>
      </c>
      <c r="O148" s="2964" t="s">
        <v>5302</v>
      </c>
      <c r="P148" s="2956" t="s">
        <v>5303</v>
      </c>
      <c r="Q148" s="2957" t="s">
        <v>5304</v>
      </c>
      <c r="R148" s="2900" t="e">
        <f t="shared" si="23"/>
        <v>#VALUE!</v>
      </c>
      <c r="CB148" s="2784" t="e">
        <f t="shared" si="24"/>
        <v>#VALUE!</v>
      </c>
      <c r="CL148" s="1725" t="e">
        <f t="shared" si="25"/>
        <v>#VALUE!</v>
      </c>
    </row>
    <row r="149" spans="1:90" ht="18" customHeight="1" x14ac:dyDescent="0.3">
      <c r="B149" s="2965" t="s">
        <v>2366</v>
      </c>
      <c r="C149" s="628"/>
      <c r="D149" s="102"/>
      <c r="E149" s="102"/>
      <c r="F149" s="102"/>
      <c r="G149" s="103"/>
      <c r="H149" s="103"/>
      <c r="I149" s="103"/>
      <c r="J149" s="103"/>
      <c r="K149" s="599"/>
      <c r="L149" s="599"/>
      <c r="M149" s="599"/>
      <c r="N149" s="599"/>
      <c r="O149" s="599"/>
      <c r="P149" s="599"/>
      <c r="Q149" s="599"/>
      <c r="R149" s="599"/>
      <c r="S149" s="599"/>
      <c r="T149" s="599"/>
      <c r="U149" s="599"/>
      <c r="V149" s="599"/>
      <c r="W149" s="599"/>
      <c r="X149" s="599"/>
      <c r="Y149" s="599"/>
      <c r="Z149" s="599"/>
      <c r="AA149" s="599"/>
      <c r="AB149" s="599"/>
      <c r="AC149" s="599"/>
      <c r="AD149" s="599"/>
      <c r="AE149" s="599"/>
      <c r="AF149" s="599"/>
      <c r="AG149" s="599"/>
      <c r="AH149" s="599"/>
      <c r="AI149" s="599"/>
      <c r="AJ149" s="599"/>
    </row>
    <row r="150" spans="1:90" ht="40.799999999999997" x14ac:dyDescent="0.3">
      <c r="B150" s="8148" t="s">
        <v>2243</v>
      </c>
      <c r="C150" s="6389"/>
      <c r="D150" s="6848"/>
      <c r="E150" s="2751" t="s">
        <v>24</v>
      </c>
      <c r="F150" s="2766" t="s">
        <v>1126</v>
      </c>
      <c r="G150" s="2768" t="s">
        <v>2288</v>
      </c>
      <c r="H150" s="2768" t="s">
        <v>2289</v>
      </c>
      <c r="I150" s="2771" t="s">
        <v>632</v>
      </c>
      <c r="J150" s="2856" t="s">
        <v>2290</v>
      </c>
      <c r="K150" s="599"/>
      <c r="L150" s="599"/>
      <c r="M150" s="599"/>
      <c r="N150" s="599"/>
      <c r="O150" s="599"/>
      <c r="P150" s="599"/>
      <c r="Q150" s="599"/>
      <c r="R150" s="599"/>
      <c r="S150" s="599"/>
      <c r="T150" s="599"/>
      <c r="U150" s="599"/>
      <c r="V150" s="599"/>
      <c r="W150" s="599"/>
      <c r="X150" s="599"/>
      <c r="Y150" s="599"/>
      <c r="Z150" s="599"/>
      <c r="AA150" s="599"/>
      <c r="AB150" s="599"/>
      <c r="AC150" s="599"/>
      <c r="AD150" s="599"/>
      <c r="AE150" s="599"/>
      <c r="AF150" s="599"/>
      <c r="AG150" s="599"/>
      <c r="AH150" s="599"/>
      <c r="AI150" s="599"/>
      <c r="AJ150" s="599"/>
    </row>
    <row r="151" spans="1:90" ht="15" customHeight="1" x14ac:dyDescent="0.3">
      <c r="A151" s="6234">
        <v>29101582</v>
      </c>
      <c r="B151" s="8149" t="s">
        <v>2248</v>
      </c>
      <c r="C151" s="8150" t="s">
        <v>2249</v>
      </c>
      <c r="D151" s="8151"/>
      <c r="E151" s="2772" t="s">
        <v>5292</v>
      </c>
      <c r="F151" s="2773" t="s">
        <v>5293</v>
      </c>
      <c r="G151" s="2774" t="s">
        <v>5294</v>
      </c>
      <c r="H151" s="2774" t="s">
        <v>5295</v>
      </c>
      <c r="I151" s="2857" t="s">
        <v>5296</v>
      </c>
      <c r="J151" s="2858" t="s">
        <v>5297</v>
      </c>
      <c r="K151" s="599"/>
      <c r="L151" s="599"/>
      <c r="M151" s="599"/>
      <c r="N151" s="599"/>
      <c r="O151" s="599"/>
      <c r="P151" s="599"/>
      <c r="Q151" s="599"/>
      <c r="R151" s="599"/>
      <c r="S151" s="599"/>
      <c r="T151" s="599"/>
      <c r="U151" s="599"/>
      <c r="V151" s="599"/>
      <c r="W151" s="599"/>
      <c r="X151" s="599"/>
      <c r="Y151" s="599"/>
      <c r="Z151" s="599"/>
      <c r="AA151" s="599"/>
      <c r="AB151" s="599"/>
      <c r="AC151" s="599"/>
      <c r="AD151" s="599"/>
      <c r="AE151" s="599"/>
      <c r="AF151" s="599"/>
      <c r="AG151" s="599"/>
      <c r="AH151" s="599"/>
      <c r="AI151" s="599"/>
      <c r="AJ151" s="599"/>
    </row>
    <row r="152" spans="1:90" x14ac:dyDescent="0.3">
      <c r="A152" s="6234">
        <v>29101583</v>
      </c>
      <c r="B152" s="6398"/>
      <c r="C152" s="8149" t="s">
        <v>2250</v>
      </c>
      <c r="D152" s="2785" t="s">
        <v>2251</v>
      </c>
      <c r="E152" s="2772" t="s">
        <v>5292</v>
      </c>
      <c r="F152" s="2408" t="s">
        <v>5293</v>
      </c>
      <c r="G152" s="320" t="s">
        <v>5294</v>
      </c>
      <c r="H152" s="320" t="s">
        <v>5295</v>
      </c>
      <c r="I152" s="2835" t="s">
        <v>5296</v>
      </c>
      <c r="J152" s="2810" t="s">
        <v>5297</v>
      </c>
      <c r="K152" s="599"/>
      <c r="L152" s="599"/>
      <c r="M152" s="599"/>
      <c r="N152" s="599"/>
      <c r="O152" s="599"/>
      <c r="P152" s="599"/>
      <c r="Q152" s="599"/>
      <c r="R152" s="599"/>
      <c r="S152" s="599"/>
      <c r="T152" s="599"/>
      <c r="U152" s="599"/>
      <c r="V152" s="599"/>
      <c r="W152" s="599"/>
      <c r="X152" s="599"/>
      <c r="Y152" s="599"/>
      <c r="Z152" s="599"/>
      <c r="AA152" s="599"/>
      <c r="AB152" s="599"/>
      <c r="AC152" s="599"/>
      <c r="AD152" s="599"/>
      <c r="AE152" s="599"/>
      <c r="AF152" s="599"/>
      <c r="AG152" s="599"/>
      <c r="AH152" s="599"/>
      <c r="AI152" s="599"/>
      <c r="AJ152" s="599"/>
    </row>
    <row r="153" spans="1:90" ht="15" customHeight="1" x14ac:dyDescent="0.3">
      <c r="A153" s="6234">
        <v>29101584</v>
      </c>
      <c r="B153" s="6398"/>
      <c r="C153" s="6398"/>
      <c r="D153" s="1674" t="s">
        <v>2252</v>
      </c>
      <c r="E153" s="911" t="s">
        <v>5292</v>
      </c>
      <c r="F153" s="1072" t="s">
        <v>5293</v>
      </c>
      <c r="G153" s="1073" t="s">
        <v>5294</v>
      </c>
      <c r="H153" s="1073" t="s">
        <v>5295</v>
      </c>
      <c r="I153" s="1080" t="s">
        <v>5296</v>
      </c>
      <c r="J153" s="1062" t="s">
        <v>5297</v>
      </c>
      <c r="K153" s="599"/>
      <c r="L153" s="599"/>
      <c r="M153" s="599"/>
      <c r="N153" s="599"/>
      <c r="O153" s="599"/>
      <c r="P153" s="599"/>
      <c r="Q153" s="599"/>
      <c r="R153" s="599"/>
      <c r="S153" s="599"/>
      <c r="T153" s="599"/>
      <c r="U153" s="599"/>
      <c r="V153" s="599"/>
      <c r="W153" s="599"/>
      <c r="X153" s="599"/>
      <c r="Y153" s="599"/>
      <c r="Z153" s="599"/>
      <c r="AA153" s="599"/>
      <c r="AB153" s="599"/>
      <c r="AC153" s="599"/>
      <c r="AD153" s="599"/>
      <c r="AE153" s="599"/>
      <c r="AF153" s="599"/>
      <c r="AG153" s="599"/>
      <c r="AH153" s="599"/>
      <c r="AI153" s="599"/>
      <c r="AJ153" s="599"/>
    </row>
    <row r="154" spans="1:90" ht="15" customHeight="1" x14ac:dyDescent="0.3">
      <c r="A154" s="6234">
        <v>29101585</v>
      </c>
      <c r="B154" s="6398"/>
      <c r="C154" s="6398"/>
      <c r="D154" s="1082" t="s">
        <v>2253</v>
      </c>
      <c r="E154" s="1058" t="s">
        <v>5292</v>
      </c>
      <c r="F154" s="1072" t="s">
        <v>5293</v>
      </c>
      <c r="G154" s="1073" t="s">
        <v>5294</v>
      </c>
      <c r="H154" s="1073" t="s">
        <v>5295</v>
      </c>
      <c r="I154" s="1080" t="s">
        <v>5296</v>
      </c>
      <c r="J154" s="1062" t="s">
        <v>5297</v>
      </c>
      <c r="K154" s="599"/>
      <c r="L154" s="599"/>
      <c r="M154" s="599"/>
      <c r="N154" s="599"/>
      <c r="O154" s="599"/>
      <c r="P154" s="599"/>
      <c r="Q154" s="599"/>
      <c r="R154" s="599"/>
      <c r="S154" s="599"/>
      <c r="T154" s="599"/>
      <c r="U154" s="599"/>
      <c r="V154" s="599"/>
      <c r="W154" s="599"/>
      <c r="X154" s="599"/>
      <c r="Y154" s="599"/>
      <c r="Z154" s="599"/>
      <c r="AA154" s="599"/>
      <c r="AB154" s="599"/>
      <c r="AC154" s="599"/>
      <c r="AD154" s="599"/>
      <c r="AE154" s="599"/>
      <c r="AF154" s="599"/>
      <c r="AG154" s="599"/>
      <c r="AH154" s="599"/>
      <c r="AI154" s="599"/>
      <c r="AJ154" s="599"/>
    </row>
    <row r="155" spans="1:90" ht="15" customHeight="1" x14ac:dyDescent="0.3">
      <c r="A155" s="6234">
        <v>29101586</v>
      </c>
      <c r="B155" s="6398"/>
      <c r="C155" s="6394"/>
      <c r="D155" s="2792" t="s">
        <v>2254</v>
      </c>
      <c r="E155" s="2724" t="s">
        <v>5292</v>
      </c>
      <c r="F155" s="2410" t="s">
        <v>5293</v>
      </c>
      <c r="G155" s="2411" t="s">
        <v>5294</v>
      </c>
      <c r="H155" s="2411" t="s">
        <v>5295</v>
      </c>
      <c r="I155" s="2845" t="s">
        <v>5296</v>
      </c>
      <c r="J155" s="2860" t="s">
        <v>5297</v>
      </c>
      <c r="K155" s="599"/>
      <c r="L155" s="599"/>
      <c r="M155" s="599"/>
      <c r="N155" s="599"/>
      <c r="O155" s="599"/>
      <c r="P155" s="599"/>
      <c r="Q155" s="599"/>
      <c r="R155" s="599"/>
      <c r="S155" s="599"/>
      <c r="T155" s="599"/>
      <c r="U155" s="599"/>
      <c r="V155" s="599"/>
      <c r="W155" s="599"/>
      <c r="X155" s="599"/>
      <c r="Y155" s="599"/>
      <c r="Z155" s="599"/>
      <c r="AA155" s="599"/>
      <c r="AB155" s="599"/>
      <c r="AC155" s="599"/>
      <c r="AD155" s="599"/>
      <c r="AE155" s="599"/>
      <c r="AF155" s="599"/>
      <c r="AG155" s="599"/>
      <c r="AH155" s="599"/>
      <c r="AI155" s="599"/>
      <c r="AJ155" s="599"/>
    </row>
    <row r="156" spans="1:90" ht="15" customHeight="1" x14ac:dyDescent="0.3">
      <c r="A156" s="6234">
        <v>29101587</v>
      </c>
      <c r="B156" s="6398"/>
      <c r="C156" s="7234" t="s">
        <v>2255</v>
      </c>
      <c r="D156" s="8152"/>
      <c r="E156" s="2832" t="s">
        <v>5292</v>
      </c>
      <c r="F156" s="106" t="s">
        <v>5293</v>
      </c>
      <c r="G156" s="1069" t="s">
        <v>5294</v>
      </c>
      <c r="H156" s="1069" t="s">
        <v>5295</v>
      </c>
      <c r="I156" s="839" t="s">
        <v>5296</v>
      </c>
      <c r="J156" s="768" t="s">
        <v>5297</v>
      </c>
      <c r="K156" s="599"/>
      <c r="L156" s="599"/>
      <c r="M156" s="599"/>
      <c r="N156" s="599"/>
      <c r="O156" s="599"/>
      <c r="P156" s="599"/>
      <c r="Q156" s="599"/>
      <c r="R156" s="599"/>
      <c r="S156" s="599"/>
      <c r="T156" s="599"/>
      <c r="U156" s="599"/>
      <c r="V156" s="599"/>
      <c r="W156" s="599"/>
      <c r="X156" s="599"/>
      <c r="Y156" s="599"/>
      <c r="Z156" s="599"/>
      <c r="AA156" s="599"/>
      <c r="AB156" s="599"/>
      <c r="AC156" s="599"/>
      <c r="AD156" s="599"/>
      <c r="AE156" s="599"/>
      <c r="AF156" s="599"/>
      <c r="AG156" s="599"/>
      <c r="AH156" s="599"/>
      <c r="AI156" s="599"/>
      <c r="AJ156" s="599"/>
    </row>
    <row r="157" spans="1:90" ht="15" customHeight="1" x14ac:dyDescent="0.3">
      <c r="A157" s="6234">
        <v>29101588</v>
      </c>
      <c r="B157" s="6398"/>
      <c r="C157" s="8153" t="s">
        <v>2256</v>
      </c>
      <c r="D157" s="7237"/>
      <c r="E157" s="911" t="s">
        <v>5292</v>
      </c>
      <c r="F157" s="1072" t="s">
        <v>5293</v>
      </c>
      <c r="G157" s="1073" t="s">
        <v>5294</v>
      </c>
      <c r="H157" s="1073" t="s">
        <v>5295</v>
      </c>
      <c r="I157" s="1080" t="s">
        <v>5296</v>
      </c>
      <c r="J157" s="1062" t="s">
        <v>5297</v>
      </c>
      <c r="K157" s="599"/>
      <c r="L157" s="599"/>
      <c r="M157" s="599"/>
      <c r="N157" s="599"/>
      <c r="O157" s="599"/>
      <c r="P157" s="599"/>
      <c r="Q157" s="599"/>
      <c r="R157" s="599"/>
      <c r="S157" s="599"/>
      <c r="T157" s="599"/>
      <c r="U157" s="599"/>
      <c r="V157" s="599"/>
      <c r="W157" s="599"/>
      <c r="X157" s="599"/>
      <c r="Y157" s="599"/>
      <c r="Z157" s="599"/>
      <c r="AA157" s="599"/>
      <c r="AB157" s="599"/>
      <c r="AC157" s="599"/>
      <c r="AD157" s="599"/>
      <c r="AE157" s="599"/>
      <c r="AF157" s="599"/>
      <c r="AG157" s="599"/>
      <c r="AH157" s="599"/>
      <c r="AI157" s="599"/>
      <c r="AJ157" s="599"/>
    </row>
    <row r="158" spans="1:90" ht="15" customHeight="1" x14ac:dyDescent="0.3">
      <c r="A158" s="6234">
        <v>29101589</v>
      </c>
      <c r="B158" s="6398"/>
      <c r="C158" s="8153" t="s">
        <v>2257</v>
      </c>
      <c r="D158" s="7237"/>
      <c r="E158" s="911" t="s">
        <v>5292</v>
      </c>
      <c r="F158" s="1072" t="s">
        <v>5293</v>
      </c>
      <c r="G158" s="1073" t="s">
        <v>5294</v>
      </c>
      <c r="H158" s="1073" t="s">
        <v>5295</v>
      </c>
      <c r="I158" s="1080" t="s">
        <v>5296</v>
      </c>
      <c r="J158" s="1062" t="s">
        <v>5297</v>
      </c>
      <c r="K158" s="599"/>
      <c r="L158" s="599"/>
      <c r="M158" s="599"/>
      <c r="N158" s="599"/>
      <c r="O158" s="599"/>
      <c r="P158" s="599"/>
      <c r="Q158" s="599"/>
      <c r="R158" s="599"/>
      <c r="S158" s="599"/>
      <c r="T158" s="599"/>
      <c r="U158" s="599"/>
      <c r="V158" s="599"/>
      <c r="W158" s="599"/>
      <c r="X158" s="599"/>
      <c r="Y158" s="599"/>
      <c r="Z158" s="599"/>
      <c r="AA158" s="599"/>
      <c r="AB158" s="599"/>
      <c r="AC158" s="599"/>
      <c r="AD158" s="599"/>
      <c r="AE158" s="599"/>
      <c r="AF158" s="599"/>
      <c r="AG158" s="599"/>
      <c r="AH158" s="599"/>
      <c r="AI158" s="599"/>
      <c r="AJ158" s="599"/>
    </row>
    <row r="159" spans="1:90" ht="15" customHeight="1" x14ac:dyDescent="0.3">
      <c r="A159" s="6234">
        <v>29101590</v>
      </c>
      <c r="B159" s="6398"/>
      <c r="C159" s="8158" t="s">
        <v>2258</v>
      </c>
      <c r="D159" s="8159"/>
      <c r="E159" s="911" t="s">
        <v>5292</v>
      </c>
      <c r="F159" s="1072" t="s">
        <v>5293</v>
      </c>
      <c r="G159" s="1073" t="s">
        <v>5294</v>
      </c>
      <c r="H159" s="1073" t="s">
        <v>5295</v>
      </c>
      <c r="I159" s="1080" t="s">
        <v>5296</v>
      </c>
      <c r="J159" s="1062" t="s">
        <v>5297</v>
      </c>
      <c r="K159" s="599"/>
      <c r="L159" s="599"/>
      <c r="M159" s="599"/>
      <c r="N159" s="599"/>
      <c r="O159" s="599"/>
      <c r="P159" s="599"/>
      <c r="Q159" s="599"/>
      <c r="R159" s="599"/>
      <c r="S159" s="599"/>
      <c r="T159" s="599"/>
      <c r="U159" s="599"/>
      <c r="V159" s="599"/>
      <c r="W159" s="599"/>
      <c r="X159" s="599"/>
      <c r="Y159" s="599"/>
      <c r="Z159" s="599"/>
      <c r="AA159" s="599"/>
      <c r="AB159" s="599"/>
      <c r="AC159" s="599"/>
      <c r="AD159" s="599"/>
      <c r="AE159" s="599"/>
      <c r="AF159" s="599"/>
      <c r="AG159" s="599"/>
      <c r="AH159" s="599"/>
      <c r="AI159" s="599"/>
      <c r="AJ159" s="599"/>
    </row>
    <row r="160" spans="1:90" ht="15" customHeight="1" x14ac:dyDescent="0.3">
      <c r="A160" s="6234">
        <v>29101591</v>
      </c>
      <c r="B160" s="6398"/>
      <c r="C160" s="8153" t="s">
        <v>2291</v>
      </c>
      <c r="D160" s="7237"/>
      <c r="E160" s="911" t="s">
        <v>5292</v>
      </c>
      <c r="F160" s="1072" t="s">
        <v>5293</v>
      </c>
      <c r="G160" s="1073" t="s">
        <v>5294</v>
      </c>
      <c r="H160" s="1073" t="s">
        <v>5295</v>
      </c>
      <c r="I160" s="1080" t="s">
        <v>5296</v>
      </c>
      <c r="J160" s="1062" t="s">
        <v>5297</v>
      </c>
      <c r="K160" s="599"/>
      <c r="L160" s="599"/>
      <c r="M160" s="599"/>
      <c r="N160" s="599"/>
      <c r="O160" s="599"/>
      <c r="P160" s="599"/>
      <c r="Q160" s="599"/>
      <c r="R160" s="599"/>
      <c r="S160" s="599"/>
      <c r="T160" s="599"/>
      <c r="U160" s="599"/>
      <c r="V160" s="599"/>
      <c r="W160" s="599"/>
      <c r="X160" s="599"/>
      <c r="Y160" s="599"/>
      <c r="Z160" s="599"/>
      <c r="AA160" s="599"/>
      <c r="AB160" s="599"/>
      <c r="AC160" s="599"/>
      <c r="AD160" s="599"/>
      <c r="AE160" s="599"/>
      <c r="AF160" s="599"/>
      <c r="AG160" s="599"/>
      <c r="AH160" s="599"/>
      <c r="AI160" s="599"/>
      <c r="AJ160" s="599"/>
    </row>
    <row r="161" spans="1:36" ht="15" customHeight="1" x14ac:dyDescent="0.3">
      <c r="A161" s="6234">
        <v>29101592</v>
      </c>
      <c r="B161" s="6398"/>
      <c r="C161" s="7234" t="s">
        <v>2260</v>
      </c>
      <c r="D161" s="8152"/>
      <c r="E161" s="911" t="s">
        <v>5292</v>
      </c>
      <c r="F161" s="90" t="s">
        <v>5293</v>
      </c>
      <c r="G161" s="127" t="s">
        <v>5294</v>
      </c>
      <c r="H161" s="127" t="s">
        <v>5295</v>
      </c>
      <c r="I161" s="128" t="s">
        <v>5296</v>
      </c>
      <c r="J161" s="876" t="s">
        <v>5297</v>
      </c>
      <c r="K161" s="599"/>
      <c r="L161" s="599"/>
      <c r="M161" s="599"/>
      <c r="N161" s="599"/>
      <c r="O161" s="599"/>
      <c r="P161" s="599"/>
      <c r="Q161" s="599"/>
      <c r="R161" s="599"/>
      <c r="S161" s="599"/>
      <c r="T161" s="599"/>
      <c r="U161" s="599"/>
      <c r="V161" s="599"/>
      <c r="W161" s="599"/>
      <c r="X161" s="599"/>
      <c r="Y161" s="599"/>
      <c r="Z161" s="599"/>
      <c r="AA161" s="599"/>
      <c r="AB161" s="599"/>
      <c r="AC161" s="599"/>
      <c r="AD161" s="599"/>
      <c r="AE161" s="599"/>
      <c r="AF161" s="599"/>
      <c r="AG161" s="599"/>
      <c r="AH161" s="599"/>
      <c r="AI161" s="599"/>
      <c r="AJ161" s="599"/>
    </row>
    <row r="162" spans="1:36" ht="22.5" customHeight="1" x14ac:dyDescent="0.3">
      <c r="A162" s="6234">
        <v>29101593</v>
      </c>
      <c r="B162" s="6398"/>
      <c r="C162" s="7497" t="s">
        <v>2261</v>
      </c>
      <c r="D162" s="7254"/>
      <c r="E162" s="911" t="s">
        <v>5292</v>
      </c>
      <c r="F162" s="90" t="s">
        <v>5293</v>
      </c>
      <c r="G162" s="127" t="s">
        <v>5294</v>
      </c>
      <c r="H162" s="127" t="s">
        <v>5295</v>
      </c>
      <c r="I162" s="128" t="s">
        <v>5296</v>
      </c>
      <c r="J162" s="876" t="s">
        <v>5297</v>
      </c>
      <c r="K162" s="599"/>
      <c r="L162" s="599"/>
      <c r="M162" s="599"/>
      <c r="N162" s="599"/>
      <c r="O162" s="599"/>
      <c r="P162" s="599"/>
      <c r="Q162" s="599"/>
      <c r="R162" s="599"/>
      <c r="S162" s="599"/>
      <c r="T162" s="599"/>
      <c r="U162" s="599"/>
      <c r="V162" s="599"/>
      <c r="W162" s="599"/>
      <c r="X162" s="599"/>
      <c r="Y162" s="599"/>
      <c r="Z162" s="599"/>
      <c r="AA162" s="599"/>
      <c r="AB162" s="599"/>
      <c r="AC162" s="599"/>
      <c r="AD162" s="599"/>
      <c r="AE162" s="599"/>
      <c r="AF162" s="599"/>
      <c r="AG162" s="599"/>
      <c r="AH162" s="599"/>
      <c r="AI162" s="599"/>
      <c r="AJ162" s="599"/>
    </row>
    <row r="163" spans="1:36" ht="15" customHeight="1" x14ac:dyDescent="0.3">
      <c r="A163" s="6234">
        <v>29101594</v>
      </c>
      <c r="B163" s="6398"/>
      <c r="C163" s="7497" t="s">
        <v>2262</v>
      </c>
      <c r="D163" s="7254"/>
      <c r="E163" s="911" t="s">
        <v>5292</v>
      </c>
      <c r="F163" s="90" t="s">
        <v>5293</v>
      </c>
      <c r="G163" s="127" t="s">
        <v>5294</v>
      </c>
      <c r="H163" s="127" t="s">
        <v>5295</v>
      </c>
      <c r="I163" s="128" t="s">
        <v>5296</v>
      </c>
      <c r="J163" s="876" t="s">
        <v>5297</v>
      </c>
      <c r="K163" s="599"/>
      <c r="L163" s="599"/>
      <c r="M163" s="599"/>
      <c r="N163" s="599"/>
      <c r="O163" s="599"/>
      <c r="P163" s="599"/>
      <c r="Q163" s="599"/>
      <c r="R163" s="599"/>
      <c r="S163" s="599"/>
      <c r="T163" s="599"/>
      <c r="U163" s="599"/>
      <c r="V163" s="599"/>
      <c r="W163" s="599"/>
      <c r="X163" s="599"/>
      <c r="Y163" s="599"/>
      <c r="Z163" s="599"/>
      <c r="AA163" s="599"/>
      <c r="AB163" s="599"/>
      <c r="AC163" s="599"/>
      <c r="AD163" s="599"/>
      <c r="AE163" s="599"/>
      <c r="AF163" s="599"/>
      <c r="AG163" s="599"/>
      <c r="AH163" s="599"/>
      <c r="AI163" s="599"/>
      <c r="AJ163" s="599"/>
    </row>
    <row r="164" spans="1:36" ht="15" customHeight="1" x14ac:dyDescent="0.3">
      <c r="A164" s="6234">
        <v>29101595</v>
      </c>
      <c r="B164" s="6398"/>
      <c r="C164" s="8158" t="s">
        <v>2263</v>
      </c>
      <c r="D164" s="8159"/>
      <c r="E164" s="911" t="s">
        <v>5292</v>
      </c>
      <c r="F164" s="90" t="s">
        <v>5293</v>
      </c>
      <c r="G164" s="127" t="s">
        <v>5294</v>
      </c>
      <c r="H164" s="127" t="s">
        <v>5295</v>
      </c>
      <c r="I164" s="128" t="s">
        <v>5296</v>
      </c>
      <c r="J164" s="876" t="s">
        <v>5297</v>
      </c>
      <c r="K164" s="599"/>
      <c r="L164" s="599"/>
      <c r="M164" s="599"/>
      <c r="N164" s="599"/>
      <c r="O164" s="599"/>
      <c r="P164" s="599"/>
      <c r="Q164" s="599"/>
      <c r="R164" s="599"/>
      <c r="S164" s="599"/>
      <c r="T164" s="599"/>
      <c r="U164" s="599"/>
      <c r="V164" s="599"/>
      <c r="W164" s="599"/>
      <c r="X164" s="599"/>
      <c r="Y164" s="599"/>
      <c r="Z164" s="599"/>
      <c r="AA164" s="599"/>
      <c r="AB164" s="599"/>
      <c r="AC164" s="599"/>
      <c r="AD164" s="599"/>
      <c r="AE164" s="599"/>
      <c r="AF164" s="599"/>
      <c r="AG164" s="599"/>
      <c r="AH164" s="599"/>
      <c r="AI164" s="599"/>
      <c r="AJ164" s="599"/>
    </row>
    <row r="165" spans="1:36" ht="15" customHeight="1" x14ac:dyDescent="0.3">
      <c r="A165" s="6234">
        <v>29101596</v>
      </c>
      <c r="B165" s="6398"/>
      <c r="C165" s="6379" t="s">
        <v>2264</v>
      </c>
      <c r="D165" s="2805" t="s">
        <v>2265</v>
      </c>
      <c r="E165" s="2786" t="s">
        <v>5292</v>
      </c>
      <c r="F165" s="2844" t="s">
        <v>5293</v>
      </c>
      <c r="G165" s="320" t="s">
        <v>5294</v>
      </c>
      <c r="H165" s="320" t="s">
        <v>5295</v>
      </c>
      <c r="I165" s="2835" t="s">
        <v>5296</v>
      </c>
      <c r="J165" s="2810" t="s">
        <v>5297</v>
      </c>
      <c r="K165" s="599"/>
      <c r="L165" s="599"/>
      <c r="M165" s="599"/>
      <c r="N165" s="599"/>
      <c r="O165" s="599"/>
      <c r="P165" s="599"/>
      <c r="Q165" s="599"/>
      <c r="R165" s="599"/>
      <c r="S165" s="599"/>
      <c r="T165" s="599"/>
      <c r="U165" s="599"/>
      <c r="V165" s="599"/>
      <c r="W165" s="599"/>
      <c r="X165" s="599"/>
      <c r="Y165" s="599"/>
      <c r="Z165" s="599"/>
      <c r="AA165" s="599"/>
      <c r="AB165" s="599"/>
      <c r="AC165" s="599"/>
      <c r="AD165" s="599"/>
      <c r="AE165" s="599"/>
      <c r="AF165" s="599"/>
      <c r="AG165" s="599"/>
      <c r="AH165" s="599"/>
      <c r="AI165" s="599"/>
      <c r="AJ165" s="599"/>
    </row>
    <row r="166" spans="1:36" ht="15" customHeight="1" x14ac:dyDescent="0.3">
      <c r="A166" s="6234">
        <v>29101597</v>
      </c>
      <c r="B166" s="6398"/>
      <c r="C166" s="6349"/>
      <c r="D166" s="2799" t="s">
        <v>2266</v>
      </c>
      <c r="E166" s="1058" t="s">
        <v>5292</v>
      </c>
      <c r="F166" s="2092" t="s">
        <v>5293</v>
      </c>
      <c r="G166" s="1073" t="s">
        <v>5294</v>
      </c>
      <c r="H166" s="1073" t="s">
        <v>5295</v>
      </c>
      <c r="I166" s="1080" t="s">
        <v>5296</v>
      </c>
      <c r="J166" s="1062" t="s">
        <v>5297</v>
      </c>
      <c r="K166" s="599"/>
      <c r="L166" s="599"/>
      <c r="M166" s="599"/>
      <c r="N166" s="599"/>
      <c r="O166" s="599"/>
      <c r="P166" s="599"/>
      <c r="Q166" s="599"/>
      <c r="R166" s="599"/>
      <c r="S166" s="599"/>
      <c r="T166" s="599"/>
      <c r="U166" s="599"/>
      <c r="V166" s="599"/>
      <c r="W166" s="599"/>
      <c r="X166" s="599"/>
      <c r="Y166" s="599"/>
      <c r="Z166" s="599"/>
      <c r="AA166" s="599"/>
      <c r="AB166" s="599"/>
      <c r="AC166" s="599"/>
      <c r="AD166" s="599"/>
      <c r="AE166" s="599"/>
      <c r="AF166" s="599"/>
      <c r="AG166" s="599"/>
      <c r="AH166" s="599"/>
      <c r="AI166" s="599"/>
      <c r="AJ166" s="599"/>
    </row>
    <row r="167" spans="1:36" ht="15" customHeight="1" x14ac:dyDescent="0.3">
      <c r="A167" s="6234">
        <v>29101598</v>
      </c>
      <c r="B167" s="6398"/>
      <c r="C167" s="6350"/>
      <c r="D167" s="610" t="s">
        <v>28</v>
      </c>
      <c r="E167" s="150" t="s">
        <v>5292</v>
      </c>
      <c r="F167" s="121" t="s">
        <v>5293</v>
      </c>
      <c r="G167" s="115" t="s">
        <v>5294</v>
      </c>
      <c r="H167" s="115" t="s">
        <v>5295</v>
      </c>
      <c r="I167" s="137" t="s">
        <v>5296</v>
      </c>
      <c r="J167" s="771" t="s">
        <v>5297</v>
      </c>
      <c r="K167" s="599"/>
      <c r="L167" s="599"/>
      <c r="M167" s="599"/>
      <c r="N167" s="599"/>
      <c r="O167" s="599"/>
      <c r="P167" s="599"/>
      <c r="Q167" s="599"/>
      <c r="R167" s="599"/>
      <c r="S167" s="599"/>
      <c r="T167" s="599"/>
      <c r="U167" s="599"/>
      <c r="V167" s="599"/>
      <c r="W167" s="599"/>
      <c r="X167" s="599"/>
      <c r="Y167" s="599"/>
      <c r="Z167" s="599"/>
      <c r="AA167" s="599"/>
      <c r="AB167" s="599"/>
      <c r="AC167" s="599"/>
      <c r="AD167" s="599"/>
      <c r="AE167" s="599"/>
      <c r="AF167" s="599"/>
      <c r="AG167" s="599"/>
      <c r="AH167" s="599"/>
      <c r="AI167" s="599"/>
      <c r="AJ167" s="599"/>
    </row>
    <row r="168" spans="1:36" ht="15" customHeight="1" x14ac:dyDescent="0.3">
      <c r="A168" s="6234">
        <v>29101599</v>
      </c>
      <c r="B168" s="6398"/>
      <c r="C168" s="6379" t="s">
        <v>2267</v>
      </c>
      <c r="D168" s="2785" t="s">
        <v>2268</v>
      </c>
      <c r="E168" s="2772" t="s">
        <v>5292</v>
      </c>
      <c r="F168" s="2408" t="s">
        <v>5293</v>
      </c>
      <c r="G168" s="320" t="s">
        <v>5294</v>
      </c>
      <c r="H168" s="320" t="s">
        <v>5295</v>
      </c>
      <c r="I168" s="2835" t="s">
        <v>5296</v>
      </c>
      <c r="J168" s="2810" t="s">
        <v>5297</v>
      </c>
      <c r="K168" s="599"/>
      <c r="L168" s="599"/>
      <c r="M168" s="599"/>
      <c r="N168" s="599"/>
      <c r="O168" s="599"/>
      <c r="P168" s="599"/>
      <c r="Q168" s="599"/>
      <c r="R168" s="599"/>
      <c r="S168" s="599"/>
      <c r="T168" s="599"/>
      <c r="U168" s="599"/>
      <c r="V168" s="599"/>
      <c r="W168" s="599"/>
      <c r="X168" s="599"/>
      <c r="Y168" s="599"/>
      <c r="Z168" s="599"/>
      <c r="AA168" s="599"/>
      <c r="AB168" s="599"/>
      <c r="AC168" s="599"/>
      <c r="AD168" s="599"/>
      <c r="AE168" s="599"/>
      <c r="AF168" s="599"/>
      <c r="AG168" s="599"/>
      <c r="AH168" s="599"/>
      <c r="AI168" s="599"/>
      <c r="AJ168" s="599"/>
    </row>
    <row r="169" spans="1:36" ht="15" customHeight="1" x14ac:dyDescent="0.3">
      <c r="A169" s="6234">
        <v>29101600</v>
      </c>
      <c r="B169" s="6398"/>
      <c r="C169" s="6349"/>
      <c r="D169" s="2823" t="s">
        <v>2269</v>
      </c>
      <c r="E169" s="911" t="s">
        <v>5292</v>
      </c>
      <c r="F169" s="1072" t="s">
        <v>5293</v>
      </c>
      <c r="G169" s="1073" t="s">
        <v>5294</v>
      </c>
      <c r="H169" s="1073" t="s">
        <v>5295</v>
      </c>
      <c r="I169" s="1080" t="s">
        <v>5296</v>
      </c>
      <c r="J169" s="1062" t="s">
        <v>5297</v>
      </c>
      <c r="K169" s="599"/>
      <c r="L169" s="599"/>
      <c r="M169" s="599"/>
      <c r="N169" s="599"/>
      <c r="O169" s="599"/>
      <c r="P169" s="599"/>
      <c r="Q169" s="599"/>
      <c r="R169" s="599"/>
      <c r="S169" s="599"/>
      <c r="T169" s="599"/>
      <c r="U169" s="599"/>
      <c r="V169" s="599"/>
      <c r="W169" s="599"/>
      <c r="X169" s="599"/>
      <c r="Y169" s="599"/>
      <c r="Z169" s="599"/>
      <c r="AA169" s="599"/>
      <c r="AB169" s="599"/>
      <c r="AC169" s="599"/>
      <c r="AD169" s="599"/>
      <c r="AE169" s="599"/>
      <c r="AF169" s="599"/>
      <c r="AG169" s="599"/>
      <c r="AH169" s="599"/>
      <c r="AI169" s="599"/>
      <c r="AJ169" s="599"/>
    </row>
    <row r="170" spans="1:36" ht="15" customHeight="1" x14ac:dyDescent="0.3">
      <c r="A170" s="6234">
        <v>29101601</v>
      </c>
      <c r="B170" s="6398"/>
      <c r="C170" s="6350"/>
      <c r="D170" s="610" t="s">
        <v>28</v>
      </c>
      <c r="E170" s="150" t="s">
        <v>5292</v>
      </c>
      <c r="F170" s="114" t="s">
        <v>5293</v>
      </c>
      <c r="G170" s="115" t="s">
        <v>5294</v>
      </c>
      <c r="H170" s="115" t="s">
        <v>5295</v>
      </c>
      <c r="I170" s="137" t="s">
        <v>5296</v>
      </c>
      <c r="J170" s="771" t="s">
        <v>5297</v>
      </c>
      <c r="K170" s="599"/>
      <c r="L170" s="599"/>
      <c r="M170" s="599"/>
      <c r="N170" s="599"/>
      <c r="O170" s="599"/>
      <c r="P170" s="599"/>
      <c r="Q170" s="599"/>
      <c r="R170" s="599"/>
      <c r="S170" s="599"/>
      <c r="T170" s="599"/>
      <c r="U170" s="599"/>
      <c r="V170" s="599"/>
      <c r="W170" s="599"/>
      <c r="X170" s="599"/>
      <c r="Y170" s="599"/>
      <c r="Z170" s="599"/>
      <c r="AA170" s="599"/>
      <c r="AB170" s="599"/>
      <c r="AC170" s="599"/>
      <c r="AD170" s="599"/>
      <c r="AE170" s="599"/>
      <c r="AF170" s="599"/>
      <c r="AG170" s="599"/>
      <c r="AH170" s="599"/>
      <c r="AI170" s="599"/>
      <c r="AJ170" s="599"/>
    </row>
    <row r="171" spans="1:36" ht="15" customHeight="1" x14ac:dyDescent="0.3">
      <c r="A171" s="6234">
        <v>29101602</v>
      </c>
      <c r="B171" s="6398"/>
      <c r="C171" s="8167" t="s">
        <v>2270</v>
      </c>
      <c r="D171" s="8168"/>
      <c r="E171" s="2824" t="s">
        <v>5292</v>
      </c>
      <c r="F171" s="2825" t="s">
        <v>5293</v>
      </c>
      <c r="G171" s="2826" t="s">
        <v>5294</v>
      </c>
      <c r="H171" s="2826" t="s">
        <v>5295</v>
      </c>
      <c r="I171" s="2829" t="s">
        <v>5296</v>
      </c>
      <c r="J171" s="2861" t="s">
        <v>5297</v>
      </c>
      <c r="K171" s="599"/>
      <c r="L171" s="599"/>
      <c r="M171" s="599"/>
      <c r="N171" s="599"/>
      <c r="O171" s="599"/>
      <c r="P171" s="599"/>
      <c r="Q171" s="599"/>
      <c r="R171" s="599"/>
      <c r="S171" s="599"/>
      <c r="T171" s="599"/>
      <c r="U171" s="599"/>
      <c r="V171" s="599"/>
      <c r="W171" s="599"/>
      <c r="X171" s="599"/>
      <c r="Y171" s="599"/>
      <c r="Z171" s="599"/>
      <c r="AA171" s="599"/>
      <c r="AB171" s="599"/>
      <c r="AC171" s="599"/>
      <c r="AD171" s="599"/>
      <c r="AE171" s="599"/>
      <c r="AF171" s="599"/>
      <c r="AG171" s="599"/>
      <c r="AH171" s="599"/>
      <c r="AI171" s="599"/>
      <c r="AJ171" s="599"/>
    </row>
    <row r="172" spans="1:36" ht="15" customHeight="1" x14ac:dyDescent="0.3">
      <c r="A172" s="6234">
        <v>29101603</v>
      </c>
      <c r="B172" s="6398"/>
      <c r="C172" s="6350" t="s">
        <v>2271</v>
      </c>
      <c r="D172" s="1929" t="s">
        <v>2272</v>
      </c>
      <c r="E172" s="2832" t="s">
        <v>5292</v>
      </c>
      <c r="F172" s="106" t="s">
        <v>5293</v>
      </c>
      <c r="G172" s="1069" t="s">
        <v>5294</v>
      </c>
      <c r="H172" s="1069" t="s">
        <v>5295</v>
      </c>
      <c r="I172" s="839" t="s">
        <v>5296</v>
      </c>
      <c r="J172" s="768" t="s">
        <v>5297</v>
      </c>
      <c r="K172" s="599"/>
      <c r="L172" s="599"/>
      <c r="M172" s="599"/>
      <c r="N172" s="599"/>
      <c r="O172" s="599"/>
      <c r="P172" s="599"/>
      <c r="Q172" s="599"/>
      <c r="R172" s="599"/>
      <c r="S172" s="599"/>
      <c r="T172" s="599"/>
      <c r="U172" s="599"/>
      <c r="V172" s="599"/>
      <c r="W172" s="599"/>
      <c r="X172" s="599"/>
      <c r="Y172" s="599"/>
      <c r="Z172" s="599"/>
      <c r="AA172" s="599"/>
      <c r="AB172" s="599"/>
      <c r="AC172" s="599"/>
      <c r="AD172" s="599"/>
      <c r="AE172" s="599"/>
      <c r="AF172" s="599"/>
      <c r="AG172" s="599"/>
      <c r="AH172" s="599"/>
      <c r="AI172" s="599"/>
      <c r="AJ172" s="599"/>
    </row>
    <row r="173" spans="1:36" ht="15" customHeight="1" x14ac:dyDescent="0.3">
      <c r="A173" s="6234">
        <v>29101604</v>
      </c>
      <c r="B173" s="6398"/>
      <c r="C173" s="8169"/>
      <c r="D173" s="2792" t="s">
        <v>2273</v>
      </c>
      <c r="E173" s="911" t="s">
        <v>5292</v>
      </c>
      <c r="F173" s="1072" t="s">
        <v>5293</v>
      </c>
      <c r="G173" s="1073" t="s">
        <v>5294</v>
      </c>
      <c r="H173" s="1073" t="s">
        <v>5295</v>
      </c>
      <c r="I173" s="1080" t="s">
        <v>5296</v>
      </c>
      <c r="J173" s="1062" t="s">
        <v>5297</v>
      </c>
      <c r="K173" s="599"/>
      <c r="L173" s="599"/>
      <c r="M173" s="599"/>
      <c r="N173" s="599"/>
      <c r="O173" s="599"/>
      <c r="P173" s="599"/>
      <c r="Q173" s="599"/>
      <c r="R173" s="599"/>
      <c r="S173" s="599"/>
      <c r="T173" s="599"/>
      <c r="U173" s="599"/>
      <c r="V173" s="599"/>
      <c r="W173" s="599"/>
      <c r="X173" s="599"/>
      <c r="Y173" s="599"/>
      <c r="Z173" s="599"/>
      <c r="AA173" s="599"/>
      <c r="AB173" s="599"/>
      <c r="AC173" s="599"/>
      <c r="AD173" s="599"/>
      <c r="AE173" s="599"/>
      <c r="AF173" s="599"/>
      <c r="AG173" s="599"/>
      <c r="AH173" s="599"/>
      <c r="AI173" s="599"/>
      <c r="AJ173" s="599"/>
    </row>
    <row r="174" spans="1:36" ht="15" customHeight="1" x14ac:dyDescent="0.3">
      <c r="A174" s="6234">
        <v>29101605</v>
      </c>
      <c r="B174" s="6398"/>
      <c r="C174" s="8170" t="s">
        <v>2274</v>
      </c>
      <c r="D174" s="8170"/>
      <c r="E174" s="911" t="s">
        <v>5292</v>
      </c>
      <c r="F174" s="1072" t="s">
        <v>5293</v>
      </c>
      <c r="G174" s="1073" t="s">
        <v>5294</v>
      </c>
      <c r="H174" s="1073" t="s">
        <v>5295</v>
      </c>
      <c r="I174" s="1080" t="s">
        <v>5296</v>
      </c>
      <c r="J174" s="1062" t="s">
        <v>5297</v>
      </c>
      <c r="K174" s="599"/>
      <c r="L174" s="599"/>
      <c r="M174" s="599"/>
      <c r="N174" s="599"/>
      <c r="O174" s="599"/>
      <c r="P174" s="599"/>
      <c r="Q174" s="599"/>
      <c r="R174" s="599"/>
      <c r="S174" s="599"/>
      <c r="T174" s="599"/>
      <c r="U174" s="599"/>
      <c r="V174" s="599"/>
      <c r="W174" s="599"/>
      <c r="X174" s="599"/>
      <c r="Y174" s="599"/>
      <c r="Z174" s="599"/>
      <c r="AA174" s="599"/>
      <c r="AB174" s="599"/>
      <c r="AC174" s="599"/>
      <c r="AD174" s="599"/>
      <c r="AE174" s="599"/>
      <c r="AF174" s="599"/>
      <c r="AG174" s="599"/>
      <c r="AH174" s="599"/>
      <c r="AI174" s="599"/>
      <c r="AJ174" s="599"/>
    </row>
    <row r="175" spans="1:36" ht="15" customHeight="1" x14ac:dyDescent="0.3">
      <c r="A175" s="6234">
        <v>29101606</v>
      </c>
      <c r="B175" s="6398"/>
      <c r="C175" s="7234" t="s">
        <v>2275</v>
      </c>
      <c r="D175" s="8152"/>
      <c r="E175" s="911" t="s">
        <v>5292</v>
      </c>
      <c r="F175" s="1072" t="s">
        <v>5293</v>
      </c>
      <c r="G175" s="1073" t="s">
        <v>5294</v>
      </c>
      <c r="H175" s="1073" t="s">
        <v>5295</v>
      </c>
      <c r="I175" s="1080" t="s">
        <v>5296</v>
      </c>
      <c r="J175" s="1062" t="s">
        <v>5297</v>
      </c>
      <c r="K175" s="599"/>
      <c r="L175" s="599"/>
      <c r="M175" s="599"/>
      <c r="N175" s="599"/>
      <c r="O175" s="599"/>
      <c r="P175" s="599"/>
      <c r="Q175" s="599"/>
      <c r="R175" s="599"/>
      <c r="S175" s="599"/>
      <c r="T175" s="599"/>
      <c r="U175" s="599"/>
      <c r="V175" s="599"/>
      <c r="W175" s="599"/>
      <c r="X175" s="599"/>
      <c r="Y175" s="599"/>
      <c r="Z175" s="599"/>
      <c r="AA175" s="599"/>
      <c r="AB175" s="599"/>
      <c r="AC175" s="599"/>
      <c r="AD175" s="599"/>
      <c r="AE175" s="599"/>
      <c r="AF175" s="599"/>
      <c r="AG175" s="599"/>
      <c r="AH175" s="599"/>
      <c r="AI175" s="599"/>
      <c r="AJ175" s="599"/>
    </row>
    <row r="176" spans="1:36" ht="15" customHeight="1" x14ac:dyDescent="0.3">
      <c r="A176" s="6234">
        <v>29101607</v>
      </c>
      <c r="B176" s="6398"/>
      <c r="C176" s="7497" t="s">
        <v>2276</v>
      </c>
      <c r="D176" s="7254"/>
      <c r="E176" s="911" t="s">
        <v>5292</v>
      </c>
      <c r="F176" s="90" t="s">
        <v>5293</v>
      </c>
      <c r="G176" s="127" t="s">
        <v>5294</v>
      </c>
      <c r="H176" s="127" t="s">
        <v>5295</v>
      </c>
      <c r="I176" s="128" t="s">
        <v>5296</v>
      </c>
      <c r="J176" s="876" t="s">
        <v>5297</v>
      </c>
      <c r="K176" s="599"/>
      <c r="L176" s="599"/>
      <c r="M176" s="599"/>
      <c r="N176" s="599"/>
      <c r="O176" s="599"/>
      <c r="P176" s="599"/>
      <c r="Q176" s="599"/>
      <c r="R176" s="599"/>
      <c r="S176" s="599"/>
      <c r="T176" s="599"/>
      <c r="U176" s="599"/>
      <c r="V176" s="599"/>
      <c r="W176" s="599"/>
      <c r="X176" s="599"/>
      <c r="Y176" s="599"/>
      <c r="Z176" s="599"/>
      <c r="AA176" s="599"/>
      <c r="AB176" s="599"/>
      <c r="AC176" s="599"/>
      <c r="AD176" s="599"/>
      <c r="AE176" s="599"/>
      <c r="AF176" s="599"/>
      <c r="AG176" s="599"/>
      <c r="AH176" s="599"/>
      <c r="AI176" s="599"/>
      <c r="AJ176" s="599"/>
    </row>
    <row r="177" spans="1:90" ht="15" customHeight="1" x14ac:dyDescent="0.3">
      <c r="A177" s="6234">
        <v>29101608</v>
      </c>
      <c r="B177" s="6398"/>
      <c r="C177" s="8158" t="s">
        <v>2277</v>
      </c>
      <c r="D177" s="8159"/>
      <c r="E177" s="911" t="s">
        <v>5292</v>
      </c>
      <c r="F177" s="90" t="s">
        <v>5293</v>
      </c>
      <c r="G177" s="127" t="s">
        <v>5294</v>
      </c>
      <c r="H177" s="127" t="s">
        <v>5295</v>
      </c>
      <c r="I177" s="128" t="s">
        <v>5296</v>
      </c>
      <c r="J177" s="876" t="s">
        <v>5297</v>
      </c>
      <c r="K177" s="599"/>
      <c r="L177" s="599"/>
      <c r="M177" s="599"/>
      <c r="N177" s="599"/>
      <c r="O177" s="599"/>
      <c r="P177" s="599"/>
      <c r="Q177" s="599"/>
      <c r="R177" s="599"/>
      <c r="S177" s="599"/>
      <c r="T177" s="599"/>
      <c r="U177" s="599"/>
      <c r="V177" s="599"/>
      <c r="W177" s="599"/>
      <c r="X177" s="599"/>
      <c r="Y177" s="599"/>
      <c r="Z177" s="599"/>
      <c r="AA177" s="599"/>
      <c r="AB177" s="599"/>
      <c r="AC177" s="599"/>
      <c r="AD177" s="599"/>
      <c r="AE177" s="599"/>
      <c r="AF177" s="599"/>
      <c r="AG177" s="599"/>
      <c r="AH177" s="599"/>
      <c r="AI177" s="599"/>
      <c r="AJ177" s="599"/>
    </row>
    <row r="178" spans="1:90" ht="15" customHeight="1" x14ac:dyDescent="0.3">
      <c r="A178" s="6234">
        <v>29101609</v>
      </c>
      <c r="B178" s="6398"/>
      <c r="C178" s="6379" t="s">
        <v>2278</v>
      </c>
      <c r="D178" s="2834" t="s">
        <v>2279</v>
      </c>
      <c r="E178" s="2772" t="s">
        <v>5292</v>
      </c>
      <c r="F178" s="2408" t="s">
        <v>5293</v>
      </c>
      <c r="G178" s="320" t="s">
        <v>5294</v>
      </c>
      <c r="H178" s="320" t="s">
        <v>5295</v>
      </c>
      <c r="I178" s="2835" t="s">
        <v>5296</v>
      </c>
      <c r="J178" s="2810" t="s">
        <v>5297</v>
      </c>
      <c r="K178" s="599"/>
      <c r="L178" s="599"/>
      <c r="M178" s="599"/>
      <c r="N178" s="599"/>
      <c r="O178" s="599"/>
      <c r="P178" s="599"/>
      <c r="Q178" s="599"/>
      <c r="R178" s="599"/>
      <c r="S178" s="599"/>
      <c r="T178" s="599"/>
      <c r="U178" s="599"/>
      <c r="V178" s="599"/>
      <c r="W178" s="599"/>
      <c r="X178" s="599"/>
      <c r="Y178" s="599"/>
      <c r="Z178" s="599"/>
      <c r="AA178" s="599"/>
      <c r="AB178" s="599"/>
      <c r="AC178" s="599"/>
      <c r="AD178" s="599"/>
      <c r="AE178" s="599"/>
      <c r="AF178" s="599"/>
      <c r="AG178" s="599"/>
      <c r="AH178" s="599"/>
      <c r="AI178" s="599"/>
      <c r="AJ178" s="599"/>
    </row>
    <row r="179" spans="1:90" ht="15" customHeight="1" x14ac:dyDescent="0.3">
      <c r="A179" s="6234">
        <v>29101610</v>
      </c>
      <c r="B179" s="6398"/>
      <c r="C179" s="6349"/>
      <c r="D179" s="2838" t="s">
        <v>2280</v>
      </c>
      <c r="E179" s="911" t="s">
        <v>5292</v>
      </c>
      <c r="F179" s="1072" t="s">
        <v>5293</v>
      </c>
      <c r="G179" s="1073" t="s">
        <v>5294</v>
      </c>
      <c r="H179" s="1073" t="s">
        <v>5295</v>
      </c>
      <c r="I179" s="1080" t="s">
        <v>5296</v>
      </c>
      <c r="J179" s="1062" t="s">
        <v>5297</v>
      </c>
      <c r="K179" s="599"/>
      <c r="L179" s="599"/>
      <c r="M179" s="599"/>
      <c r="N179" s="599"/>
      <c r="O179" s="599"/>
      <c r="P179" s="599"/>
      <c r="Q179" s="599"/>
      <c r="R179" s="599"/>
      <c r="S179" s="599"/>
      <c r="T179" s="599"/>
      <c r="U179" s="599"/>
      <c r="V179" s="599"/>
      <c r="W179" s="599"/>
      <c r="X179" s="599"/>
      <c r="Y179" s="599"/>
      <c r="Z179" s="599"/>
      <c r="AA179" s="599"/>
      <c r="AB179" s="599"/>
      <c r="AC179" s="599"/>
      <c r="AD179" s="599"/>
      <c r="AE179" s="599"/>
      <c r="AF179" s="599"/>
      <c r="AG179" s="599"/>
      <c r="AH179" s="599"/>
      <c r="AI179" s="599"/>
      <c r="AJ179" s="599"/>
    </row>
    <row r="180" spans="1:90" ht="15" customHeight="1" x14ac:dyDescent="0.3">
      <c r="A180" s="6234">
        <v>29101611</v>
      </c>
      <c r="B180" s="6398"/>
      <c r="C180" s="6350"/>
      <c r="D180" s="2840" t="s">
        <v>2281</v>
      </c>
      <c r="E180" s="911" t="s">
        <v>5292</v>
      </c>
      <c r="F180" s="90" t="s">
        <v>5293</v>
      </c>
      <c r="G180" s="127" t="s">
        <v>5294</v>
      </c>
      <c r="H180" s="127" t="s">
        <v>5295</v>
      </c>
      <c r="I180" s="128" t="s">
        <v>5296</v>
      </c>
      <c r="J180" s="876" t="s">
        <v>5297</v>
      </c>
      <c r="K180" s="599"/>
      <c r="L180" s="599"/>
      <c r="M180" s="599"/>
      <c r="N180" s="599"/>
      <c r="O180" s="599"/>
      <c r="P180" s="599"/>
      <c r="Q180" s="599"/>
      <c r="R180" s="599"/>
      <c r="S180" s="599"/>
      <c r="T180" s="599"/>
      <c r="U180" s="599"/>
      <c r="V180" s="599"/>
      <c r="W180" s="599"/>
      <c r="X180" s="599"/>
      <c r="Y180" s="599"/>
      <c r="Z180" s="599"/>
      <c r="AA180" s="599"/>
      <c r="AB180" s="599"/>
      <c r="AC180" s="599"/>
      <c r="AD180" s="599"/>
      <c r="AE180" s="599"/>
      <c r="AF180" s="599"/>
      <c r="AG180" s="599"/>
      <c r="AH180" s="599"/>
      <c r="AI180" s="599"/>
      <c r="AJ180" s="599"/>
    </row>
    <row r="181" spans="1:90" ht="15" customHeight="1" x14ac:dyDescent="0.3">
      <c r="A181" s="6234">
        <v>29101612</v>
      </c>
      <c r="B181" s="6398"/>
      <c r="C181" s="8163" t="s">
        <v>2284</v>
      </c>
      <c r="D181" s="8164"/>
      <c r="E181" s="2786" t="s">
        <v>5292</v>
      </c>
      <c r="F181" s="2408" t="s">
        <v>5293</v>
      </c>
      <c r="G181" s="320" t="s">
        <v>5294</v>
      </c>
      <c r="H181" s="320" t="s">
        <v>5295</v>
      </c>
      <c r="I181" s="2862" t="s">
        <v>5296</v>
      </c>
      <c r="J181" s="2810" t="s">
        <v>5297</v>
      </c>
      <c r="K181" s="599"/>
      <c r="L181" s="599"/>
      <c r="M181" s="599"/>
      <c r="N181" s="599"/>
      <c r="O181" s="599"/>
      <c r="P181" s="599"/>
      <c r="Q181" s="599"/>
      <c r="R181" s="599"/>
      <c r="S181" s="599"/>
      <c r="T181" s="599"/>
      <c r="U181" s="599"/>
      <c r="V181" s="599"/>
      <c r="W181" s="599"/>
      <c r="X181" s="599"/>
      <c r="Y181" s="599"/>
      <c r="Z181" s="599"/>
      <c r="AA181" s="599"/>
      <c r="AB181" s="599"/>
      <c r="AC181" s="599"/>
      <c r="AD181" s="599"/>
      <c r="AE181" s="599"/>
      <c r="AF181" s="599"/>
      <c r="AG181" s="599"/>
      <c r="AH181" s="599"/>
      <c r="AI181" s="599"/>
      <c r="AJ181" s="599"/>
    </row>
    <row r="182" spans="1:90" ht="15" customHeight="1" x14ac:dyDescent="0.3">
      <c r="A182" s="6234">
        <v>29101613</v>
      </c>
      <c r="B182" s="6398"/>
      <c r="C182" s="8165" t="s">
        <v>2285</v>
      </c>
      <c r="D182" s="8166"/>
      <c r="E182" s="2724" t="s">
        <v>5292</v>
      </c>
      <c r="F182" s="2410" t="s">
        <v>5293</v>
      </c>
      <c r="G182" s="2411" t="s">
        <v>5294</v>
      </c>
      <c r="H182" s="2411" t="s">
        <v>5295</v>
      </c>
      <c r="I182" s="2863" t="s">
        <v>5296</v>
      </c>
      <c r="J182" s="2860" t="s">
        <v>5297</v>
      </c>
      <c r="K182" s="599"/>
      <c r="L182" s="599"/>
      <c r="M182" s="599"/>
      <c r="N182" s="599"/>
      <c r="O182" s="599"/>
      <c r="P182" s="599"/>
      <c r="Q182" s="599"/>
      <c r="R182" s="599"/>
      <c r="S182" s="599"/>
      <c r="T182" s="599"/>
      <c r="U182" s="599"/>
      <c r="V182" s="599"/>
      <c r="W182" s="599"/>
      <c r="X182" s="599"/>
      <c r="Y182" s="599"/>
      <c r="Z182" s="599"/>
      <c r="AA182" s="599"/>
      <c r="AB182" s="599"/>
      <c r="AC182" s="599"/>
      <c r="AD182" s="599"/>
      <c r="AE182" s="599"/>
      <c r="AF182" s="599"/>
      <c r="AG182" s="599"/>
      <c r="AH182" s="599"/>
      <c r="AI182" s="599"/>
      <c r="AJ182" s="599"/>
    </row>
    <row r="183" spans="1:90" ht="15" customHeight="1" x14ac:dyDescent="0.3">
      <c r="A183" s="6245"/>
      <c r="B183" s="6394"/>
      <c r="C183" s="8231" t="s">
        <v>24</v>
      </c>
      <c r="D183" s="8232"/>
      <c r="E183" s="2824">
        <f t="shared" ref="E151:E183" si="26">SUM(F183:I183)</f>
        <v>0</v>
      </c>
      <c r="F183" s="2849">
        <f>SUM(F151:F182)</f>
        <v>0</v>
      </c>
      <c r="G183" s="2852">
        <f>SUM(G151:G182)</f>
        <v>0</v>
      </c>
      <c r="H183" s="2852">
        <f>SUM(H151:H182)</f>
        <v>0</v>
      </c>
      <c r="I183" s="2864">
        <f>SUM(I151:I182)</f>
        <v>0</v>
      </c>
      <c r="J183" s="2865">
        <f>SUM(J151:J182)</f>
        <v>0</v>
      </c>
      <c r="K183" s="2908"/>
      <c r="L183" s="599"/>
      <c r="M183" s="599"/>
      <c r="N183" s="599"/>
      <c r="O183" s="599"/>
      <c r="P183" s="599"/>
      <c r="Q183" s="599"/>
      <c r="R183" s="599"/>
      <c r="S183" s="599"/>
      <c r="T183" s="599"/>
      <c r="U183" s="599"/>
      <c r="V183" s="599"/>
      <c r="W183" s="599"/>
      <c r="X183" s="599"/>
      <c r="Y183" s="599"/>
      <c r="Z183" s="599"/>
      <c r="AA183" s="599"/>
      <c r="AB183" s="599"/>
      <c r="AC183" s="599"/>
      <c r="AD183" s="599"/>
      <c r="AE183" s="599"/>
      <c r="AF183" s="599"/>
      <c r="AG183" s="599"/>
      <c r="AH183" s="599"/>
      <c r="AI183" s="599"/>
      <c r="AJ183" s="599"/>
    </row>
    <row r="184" spans="1:90" ht="18" customHeight="1" x14ac:dyDescent="0.3">
      <c r="B184" s="2965" t="s">
        <v>2367</v>
      </c>
      <c r="C184" s="1681"/>
      <c r="D184" s="1681"/>
      <c r="E184" s="1681"/>
      <c r="F184" s="1681"/>
      <c r="G184" s="2870"/>
      <c r="H184" s="2870" t="s">
        <v>1761</v>
      </c>
      <c r="I184" s="2966"/>
      <c r="J184" s="2966"/>
      <c r="K184" s="2909"/>
      <c r="L184" s="2909"/>
      <c r="M184" s="2909"/>
      <c r="N184" s="2909"/>
      <c r="O184" s="2909"/>
      <c r="P184" s="2909"/>
      <c r="Q184" s="2909"/>
      <c r="R184" s="2909"/>
      <c r="S184" s="2909"/>
      <c r="T184" s="2909"/>
      <c r="U184" s="2909"/>
      <c r="V184" s="2909"/>
      <c r="W184" s="2909"/>
      <c r="X184" s="2909"/>
      <c r="Y184" s="2909"/>
      <c r="Z184" s="2967"/>
      <c r="AA184" s="2967"/>
      <c r="AB184" s="2967"/>
      <c r="AC184" s="2967"/>
      <c r="AD184" s="2967"/>
      <c r="AE184" s="2967"/>
      <c r="AF184" s="2967"/>
      <c r="AG184" s="2967"/>
      <c r="AH184" s="2967"/>
      <c r="AI184" s="2967"/>
      <c r="AJ184" s="102"/>
    </row>
    <row r="185" spans="1:90" ht="15" customHeight="1" x14ac:dyDescent="0.3">
      <c r="B185" s="8236" t="s">
        <v>2368</v>
      </c>
      <c r="C185" s="6384" t="s">
        <v>2369</v>
      </c>
      <c r="D185" s="6341" t="s">
        <v>24</v>
      </c>
      <c r="E185" s="6341"/>
      <c r="F185" s="6395"/>
      <c r="G185" s="6388" t="s">
        <v>2370</v>
      </c>
      <c r="H185" s="6389"/>
      <c r="I185" s="6389"/>
      <c r="J185" s="6389"/>
      <c r="K185" s="6389"/>
      <c r="L185" s="6389"/>
      <c r="M185" s="6389"/>
      <c r="N185" s="6389"/>
      <c r="O185" s="6389"/>
      <c r="P185" s="6389"/>
      <c r="Q185" s="6389"/>
      <c r="R185" s="6389"/>
      <c r="S185" s="6389"/>
      <c r="T185" s="6389"/>
      <c r="U185" s="6389"/>
      <c r="V185" s="6389"/>
      <c r="W185" s="6389"/>
      <c r="X185" s="6389"/>
      <c r="Y185" s="6389"/>
      <c r="Z185" s="6389"/>
      <c r="AA185" s="6389"/>
      <c r="AB185" s="6389"/>
      <c r="AC185" s="6389"/>
      <c r="AD185" s="6389"/>
      <c r="AE185" s="6389"/>
      <c r="AF185" s="6389"/>
      <c r="AG185" s="6389"/>
      <c r="AH185" s="6390"/>
      <c r="AI185" s="8229" t="s">
        <v>67</v>
      </c>
      <c r="AJ185" s="2969"/>
    </row>
    <row r="186" spans="1:90" ht="15" customHeight="1" x14ac:dyDescent="0.3">
      <c r="B186" s="8237"/>
      <c r="C186" s="6338"/>
      <c r="D186" s="6344"/>
      <c r="E186" s="6344"/>
      <c r="F186" s="6324"/>
      <c r="G186" s="8148" t="s">
        <v>4</v>
      </c>
      <c r="H186" s="6848"/>
      <c r="I186" s="8230" t="s">
        <v>5</v>
      </c>
      <c r="J186" s="8196"/>
      <c r="K186" s="8230" t="s">
        <v>6</v>
      </c>
      <c r="L186" s="8196"/>
      <c r="M186" s="8230" t="s">
        <v>7</v>
      </c>
      <c r="N186" s="8196"/>
      <c r="O186" s="8230" t="s">
        <v>8</v>
      </c>
      <c r="P186" s="8196"/>
      <c r="Q186" s="8230" t="s">
        <v>9</v>
      </c>
      <c r="R186" s="8196"/>
      <c r="S186" s="8230" t="s">
        <v>10</v>
      </c>
      <c r="T186" s="8196"/>
      <c r="U186" s="8230" t="s">
        <v>11</v>
      </c>
      <c r="V186" s="8196"/>
      <c r="W186" s="8230" t="s">
        <v>18</v>
      </c>
      <c r="X186" s="8196"/>
      <c r="Y186" s="8230" t="s">
        <v>19</v>
      </c>
      <c r="Z186" s="8196"/>
      <c r="AA186" s="8230" t="s">
        <v>20</v>
      </c>
      <c r="AB186" s="8196"/>
      <c r="AC186" s="8230" t="s">
        <v>70</v>
      </c>
      <c r="AD186" s="8196"/>
      <c r="AE186" s="8230" t="s">
        <v>71</v>
      </c>
      <c r="AF186" s="8196"/>
      <c r="AG186" s="8230" t="s">
        <v>72</v>
      </c>
      <c r="AH186" s="8157"/>
      <c r="AI186" s="6668"/>
    </row>
    <row r="187" spans="1:90" ht="15" customHeight="1" x14ac:dyDescent="0.3">
      <c r="B187" s="8237"/>
      <c r="C187" s="6339"/>
      <c r="D187" s="2873" t="s">
        <v>26</v>
      </c>
      <c r="E187" s="2881" t="s">
        <v>22</v>
      </c>
      <c r="F187" s="2747" t="s">
        <v>27</v>
      </c>
      <c r="G187" s="2874" t="s">
        <v>22</v>
      </c>
      <c r="H187" s="2747" t="s">
        <v>27</v>
      </c>
      <c r="I187" s="2874" t="s">
        <v>22</v>
      </c>
      <c r="J187" s="2747" t="s">
        <v>27</v>
      </c>
      <c r="K187" s="2874" t="s">
        <v>22</v>
      </c>
      <c r="L187" s="2747" t="s">
        <v>27</v>
      </c>
      <c r="M187" s="2874" t="s">
        <v>22</v>
      </c>
      <c r="N187" s="2747" t="s">
        <v>27</v>
      </c>
      <c r="O187" s="2874" t="s">
        <v>22</v>
      </c>
      <c r="P187" s="2747" t="s">
        <v>27</v>
      </c>
      <c r="Q187" s="2874" t="s">
        <v>22</v>
      </c>
      <c r="R187" s="2747" t="s">
        <v>27</v>
      </c>
      <c r="S187" s="2874" t="s">
        <v>22</v>
      </c>
      <c r="T187" s="2747" t="s">
        <v>27</v>
      </c>
      <c r="U187" s="2874" t="s">
        <v>22</v>
      </c>
      <c r="V187" s="2747" t="s">
        <v>27</v>
      </c>
      <c r="W187" s="2874" t="s">
        <v>22</v>
      </c>
      <c r="X187" s="2747" t="s">
        <v>27</v>
      </c>
      <c r="Y187" s="2874" t="s">
        <v>22</v>
      </c>
      <c r="Z187" s="2747" t="s">
        <v>27</v>
      </c>
      <c r="AA187" s="2874" t="s">
        <v>22</v>
      </c>
      <c r="AB187" s="2747" t="s">
        <v>27</v>
      </c>
      <c r="AC187" s="2874" t="s">
        <v>22</v>
      </c>
      <c r="AD187" s="2747" t="s">
        <v>27</v>
      </c>
      <c r="AE187" s="2874" t="s">
        <v>22</v>
      </c>
      <c r="AF187" s="2747" t="s">
        <v>27</v>
      </c>
      <c r="AG187" s="2874" t="s">
        <v>22</v>
      </c>
      <c r="AH187" s="2968" t="s">
        <v>27</v>
      </c>
      <c r="AI187" s="6403"/>
    </row>
    <row r="188" spans="1:90" ht="15" customHeight="1" x14ac:dyDescent="0.3">
      <c r="A188" s="6240">
        <v>29101614</v>
      </c>
      <c r="B188" s="8233" t="s">
        <v>2371</v>
      </c>
      <c r="C188" s="2970" t="s">
        <v>74</v>
      </c>
      <c r="D188" s="2971" t="s">
        <v>5292</v>
      </c>
      <c r="E188" s="2972" t="s">
        <v>5293</v>
      </c>
      <c r="F188" s="2973" t="s">
        <v>5294</v>
      </c>
      <c r="G188" s="1072" t="s">
        <v>5295</v>
      </c>
      <c r="H188" s="1060" t="s">
        <v>5296</v>
      </c>
      <c r="I188" s="1072" t="s">
        <v>5297</v>
      </c>
      <c r="J188" s="1060" t="s">
        <v>5298</v>
      </c>
      <c r="K188" s="1072" t="s">
        <v>5299</v>
      </c>
      <c r="L188" s="1060" t="s">
        <v>5300</v>
      </c>
      <c r="M188" s="1072" t="s">
        <v>5301</v>
      </c>
      <c r="N188" s="1060" t="s">
        <v>5302</v>
      </c>
      <c r="O188" s="1072" t="s">
        <v>5303</v>
      </c>
      <c r="P188" s="1060" t="s">
        <v>5304</v>
      </c>
      <c r="Q188" s="1072" t="s">
        <v>5305</v>
      </c>
      <c r="R188" s="1060" t="s">
        <v>5306</v>
      </c>
      <c r="S188" s="1072" t="s">
        <v>5307</v>
      </c>
      <c r="T188" s="1060" t="s">
        <v>5308</v>
      </c>
      <c r="U188" s="1072" t="s">
        <v>5309</v>
      </c>
      <c r="V188" s="1060" t="s">
        <v>5310</v>
      </c>
      <c r="W188" s="1072" t="s">
        <v>5311</v>
      </c>
      <c r="X188" s="1060" t="s">
        <v>5312</v>
      </c>
      <c r="Y188" s="1072" t="s">
        <v>5313</v>
      </c>
      <c r="Z188" s="1060" t="s">
        <v>5314</v>
      </c>
      <c r="AA188" s="1072" t="s">
        <v>5315</v>
      </c>
      <c r="AB188" s="1060" t="s">
        <v>5316</v>
      </c>
      <c r="AC188" s="1072" t="s">
        <v>5317</v>
      </c>
      <c r="AD188" s="1060" t="s">
        <v>5318</v>
      </c>
      <c r="AE188" s="1072" t="s">
        <v>5319</v>
      </c>
      <c r="AF188" s="1060" t="s">
        <v>5320</v>
      </c>
      <c r="AG188" s="1072" t="s">
        <v>5321</v>
      </c>
      <c r="AH188" s="1061" t="s">
        <v>5322</v>
      </c>
      <c r="AI188" s="83" t="s">
        <v>5323</v>
      </c>
      <c r="AJ188" s="2900" t="str">
        <f>$CA188</f>
        <v xml:space="preserve">* La variable Beneficiarios no puede superar el Total Ambos Sexos. </v>
      </c>
      <c r="CA188" s="2784" t="str">
        <f>IF(AND($D188&lt;&gt;0,AI188=""),"* No olvide ingresar la variable "&amp;AI$185&amp;""&amp;" (Digite CERO si no tiene).  ",IF(AI188&gt;$D188,"* La variable Beneficiarios no puede superar el Total Ambos Sexos. ",""))</f>
        <v xml:space="preserve">* La variable Beneficiarios no puede superar el Total Ambos Sexos. </v>
      </c>
      <c r="CL188" s="1725">
        <f>IF(AND($D188&lt;&gt;0,AI188=""),1,IF(AI188&gt;$D188,1,0))</f>
        <v>1</v>
      </c>
    </row>
    <row r="189" spans="1:90" ht="15" customHeight="1" x14ac:dyDescent="0.3">
      <c r="A189" s="6240">
        <v>29101615</v>
      </c>
      <c r="B189" s="8234"/>
      <c r="C189" s="1680" t="s">
        <v>76</v>
      </c>
      <c r="D189" s="2974" t="s">
        <v>5292</v>
      </c>
      <c r="E189" s="2975" t="s">
        <v>5293</v>
      </c>
      <c r="F189" s="2976" t="s">
        <v>5294</v>
      </c>
      <c r="G189" s="90" t="s">
        <v>5295</v>
      </c>
      <c r="H189" s="92" t="s">
        <v>5296</v>
      </c>
      <c r="I189" s="90" t="s">
        <v>5297</v>
      </c>
      <c r="J189" s="92" t="s">
        <v>5298</v>
      </c>
      <c r="K189" s="90" t="s">
        <v>5299</v>
      </c>
      <c r="L189" s="92" t="s">
        <v>5300</v>
      </c>
      <c r="M189" s="90" t="s">
        <v>5301</v>
      </c>
      <c r="N189" s="92" t="s">
        <v>5302</v>
      </c>
      <c r="O189" s="90" t="s">
        <v>5303</v>
      </c>
      <c r="P189" s="92" t="s">
        <v>5304</v>
      </c>
      <c r="Q189" s="90" t="s">
        <v>5305</v>
      </c>
      <c r="R189" s="92" t="s">
        <v>5306</v>
      </c>
      <c r="S189" s="90" t="s">
        <v>5307</v>
      </c>
      <c r="T189" s="92" t="s">
        <v>5308</v>
      </c>
      <c r="U189" s="90" t="s">
        <v>5309</v>
      </c>
      <c r="V189" s="92" t="s">
        <v>5310</v>
      </c>
      <c r="W189" s="90" t="s">
        <v>5311</v>
      </c>
      <c r="X189" s="92" t="s">
        <v>5312</v>
      </c>
      <c r="Y189" s="90" t="s">
        <v>5313</v>
      </c>
      <c r="Z189" s="92" t="s">
        <v>5314</v>
      </c>
      <c r="AA189" s="90" t="s">
        <v>5315</v>
      </c>
      <c r="AB189" s="92" t="s">
        <v>5316</v>
      </c>
      <c r="AC189" s="90" t="s">
        <v>5317</v>
      </c>
      <c r="AD189" s="92" t="s">
        <v>5318</v>
      </c>
      <c r="AE189" s="90" t="s">
        <v>5319</v>
      </c>
      <c r="AF189" s="92" t="s">
        <v>5320</v>
      </c>
      <c r="AG189" s="90" t="s">
        <v>5321</v>
      </c>
      <c r="AH189" s="94" t="s">
        <v>5322</v>
      </c>
      <c r="AI189" s="91" t="s">
        <v>5323</v>
      </c>
      <c r="AJ189" s="2900" t="str">
        <f t="shared" ref="AJ189:AJ194" si="27">$CA189</f>
        <v xml:space="preserve">* La variable Beneficiarios no puede superar el Total Ambos Sexos. </v>
      </c>
      <c r="CA189" s="2784" t="str">
        <f t="shared" ref="CA189:CA194" si="28">IF(AND($D189&lt;&gt;0,AI189=""),"* No olvide ingresar la variable "&amp;AI$185&amp;""&amp;" (Digite CERO si no tiene).  ",IF(AI189&gt;$D189,"* La variable Beneficiarios no puede superar el Total Ambos Sexos. ",""))</f>
        <v xml:space="preserve">* La variable Beneficiarios no puede superar el Total Ambos Sexos. </v>
      </c>
      <c r="CL189" s="1725">
        <f t="shared" ref="CL189:CL194" si="29">IF(AND($D189&lt;&gt;0,AI189=""),1,IF(AI189&gt;$D189,1,0))</f>
        <v>1</v>
      </c>
    </row>
    <row r="190" spans="1:90" ht="15" customHeight="1" x14ac:dyDescent="0.3">
      <c r="A190" s="6240">
        <v>29101616</v>
      </c>
      <c r="B190" s="8234"/>
      <c r="C190" s="1058" t="s">
        <v>247</v>
      </c>
      <c r="D190" s="2974" t="s">
        <v>5292</v>
      </c>
      <c r="E190" s="2975" t="s">
        <v>5293</v>
      </c>
      <c r="F190" s="2976" t="s">
        <v>5294</v>
      </c>
      <c r="G190" s="90" t="s">
        <v>5295</v>
      </c>
      <c r="H190" s="92" t="s">
        <v>5296</v>
      </c>
      <c r="I190" s="90" t="s">
        <v>5297</v>
      </c>
      <c r="J190" s="92" t="s">
        <v>5298</v>
      </c>
      <c r="K190" s="90" t="s">
        <v>5299</v>
      </c>
      <c r="L190" s="92" t="s">
        <v>5300</v>
      </c>
      <c r="M190" s="90" t="s">
        <v>5301</v>
      </c>
      <c r="N190" s="92" t="s">
        <v>5302</v>
      </c>
      <c r="O190" s="90" t="s">
        <v>5303</v>
      </c>
      <c r="P190" s="92" t="s">
        <v>5304</v>
      </c>
      <c r="Q190" s="90" t="s">
        <v>5305</v>
      </c>
      <c r="R190" s="92" t="s">
        <v>5306</v>
      </c>
      <c r="S190" s="90" t="s">
        <v>5307</v>
      </c>
      <c r="T190" s="92" t="s">
        <v>5308</v>
      </c>
      <c r="U190" s="90" t="s">
        <v>5309</v>
      </c>
      <c r="V190" s="92" t="s">
        <v>5310</v>
      </c>
      <c r="W190" s="90" t="s">
        <v>5311</v>
      </c>
      <c r="X190" s="92" t="s">
        <v>5312</v>
      </c>
      <c r="Y190" s="90" t="s">
        <v>5313</v>
      </c>
      <c r="Z190" s="92" t="s">
        <v>5314</v>
      </c>
      <c r="AA190" s="90" t="s">
        <v>5315</v>
      </c>
      <c r="AB190" s="92" t="s">
        <v>5316</v>
      </c>
      <c r="AC190" s="90" t="s">
        <v>5317</v>
      </c>
      <c r="AD190" s="92" t="s">
        <v>5318</v>
      </c>
      <c r="AE190" s="90" t="s">
        <v>5319</v>
      </c>
      <c r="AF190" s="92" t="s">
        <v>5320</v>
      </c>
      <c r="AG190" s="90" t="s">
        <v>5321</v>
      </c>
      <c r="AH190" s="94" t="s">
        <v>5322</v>
      </c>
      <c r="AI190" s="91" t="s">
        <v>5323</v>
      </c>
      <c r="AJ190" s="2900" t="str">
        <f t="shared" si="27"/>
        <v xml:space="preserve">* La variable Beneficiarios no puede superar el Total Ambos Sexos. </v>
      </c>
      <c r="CA190" s="2784" t="str">
        <f t="shared" si="28"/>
        <v xml:space="preserve">* La variable Beneficiarios no puede superar el Total Ambos Sexos. </v>
      </c>
      <c r="CL190" s="1725">
        <f t="shared" si="29"/>
        <v>1</v>
      </c>
    </row>
    <row r="191" spans="1:90" ht="15" customHeight="1" x14ac:dyDescent="0.3">
      <c r="A191" s="6240">
        <v>29101617</v>
      </c>
      <c r="B191" s="8234"/>
      <c r="C191" s="1948" t="s">
        <v>2372</v>
      </c>
      <c r="D191" s="2974" t="s">
        <v>5292</v>
      </c>
      <c r="E191" s="2975" t="s">
        <v>5293</v>
      </c>
      <c r="F191" s="2976" t="s">
        <v>5294</v>
      </c>
      <c r="G191" s="90" t="s">
        <v>5295</v>
      </c>
      <c r="H191" s="92" t="s">
        <v>5296</v>
      </c>
      <c r="I191" s="90" t="s">
        <v>5297</v>
      </c>
      <c r="J191" s="92" t="s">
        <v>5298</v>
      </c>
      <c r="K191" s="90" t="s">
        <v>5299</v>
      </c>
      <c r="L191" s="92" t="s">
        <v>5300</v>
      </c>
      <c r="M191" s="90" t="s">
        <v>5301</v>
      </c>
      <c r="N191" s="92" t="s">
        <v>5302</v>
      </c>
      <c r="O191" s="90" t="s">
        <v>5303</v>
      </c>
      <c r="P191" s="92" t="s">
        <v>5304</v>
      </c>
      <c r="Q191" s="90" t="s">
        <v>5305</v>
      </c>
      <c r="R191" s="92" t="s">
        <v>5306</v>
      </c>
      <c r="S191" s="90" t="s">
        <v>5307</v>
      </c>
      <c r="T191" s="92" t="s">
        <v>5308</v>
      </c>
      <c r="U191" s="90" t="s">
        <v>5309</v>
      </c>
      <c r="V191" s="92" t="s">
        <v>5310</v>
      </c>
      <c r="W191" s="90" t="s">
        <v>5311</v>
      </c>
      <c r="X191" s="92" t="s">
        <v>5312</v>
      </c>
      <c r="Y191" s="90" t="s">
        <v>5313</v>
      </c>
      <c r="Z191" s="92" t="s">
        <v>5314</v>
      </c>
      <c r="AA191" s="90" t="s">
        <v>5315</v>
      </c>
      <c r="AB191" s="92" t="s">
        <v>5316</v>
      </c>
      <c r="AC191" s="90" t="s">
        <v>5317</v>
      </c>
      <c r="AD191" s="92" t="s">
        <v>5318</v>
      </c>
      <c r="AE191" s="90" t="s">
        <v>5319</v>
      </c>
      <c r="AF191" s="92" t="s">
        <v>5320</v>
      </c>
      <c r="AG191" s="90" t="s">
        <v>5321</v>
      </c>
      <c r="AH191" s="94" t="s">
        <v>5322</v>
      </c>
      <c r="AI191" s="91" t="s">
        <v>5323</v>
      </c>
      <c r="AJ191" s="2900" t="str">
        <f t="shared" si="27"/>
        <v xml:space="preserve">* La variable Beneficiarios no puede superar el Total Ambos Sexos. </v>
      </c>
      <c r="CA191" s="2784" t="str">
        <f t="shared" si="28"/>
        <v xml:space="preserve">* La variable Beneficiarios no puede superar el Total Ambos Sexos. </v>
      </c>
      <c r="CL191" s="1725">
        <f t="shared" si="29"/>
        <v>1</v>
      </c>
    </row>
    <row r="192" spans="1:90" ht="15" customHeight="1" x14ac:dyDescent="0.3">
      <c r="A192" s="6240">
        <v>29101618</v>
      </c>
      <c r="B192" s="8234"/>
      <c r="C192" s="1680" t="s">
        <v>192</v>
      </c>
      <c r="D192" s="2977" t="s">
        <v>5292</v>
      </c>
      <c r="E192" s="2972" t="s">
        <v>5293</v>
      </c>
      <c r="F192" s="2973" t="s">
        <v>5294</v>
      </c>
      <c r="G192" s="1072" t="s">
        <v>5295</v>
      </c>
      <c r="H192" s="1060" t="s">
        <v>5296</v>
      </c>
      <c r="I192" s="1072" t="s">
        <v>5297</v>
      </c>
      <c r="J192" s="1060" t="s">
        <v>5298</v>
      </c>
      <c r="K192" s="1072" t="s">
        <v>5299</v>
      </c>
      <c r="L192" s="1060" t="s">
        <v>5300</v>
      </c>
      <c r="M192" s="1072" t="s">
        <v>5301</v>
      </c>
      <c r="N192" s="1060" t="s">
        <v>5302</v>
      </c>
      <c r="O192" s="1072" t="s">
        <v>5303</v>
      </c>
      <c r="P192" s="1060" t="s">
        <v>5304</v>
      </c>
      <c r="Q192" s="1072" t="s">
        <v>5305</v>
      </c>
      <c r="R192" s="1060" t="s">
        <v>5306</v>
      </c>
      <c r="S192" s="1072" t="s">
        <v>5307</v>
      </c>
      <c r="T192" s="1060" t="s">
        <v>5308</v>
      </c>
      <c r="U192" s="1072" t="s">
        <v>5309</v>
      </c>
      <c r="V192" s="1060" t="s">
        <v>5310</v>
      </c>
      <c r="W192" s="1072" t="s">
        <v>5311</v>
      </c>
      <c r="X192" s="1060" t="s">
        <v>5312</v>
      </c>
      <c r="Y192" s="1072" t="s">
        <v>5313</v>
      </c>
      <c r="Z192" s="1060" t="s">
        <v>5314</v>
      </c>
      <c r="AA192" s="1072" t="s">
        <v>5315</v>
      </c>
      <c r="AB192" s="1060" t="s">
        <v>5316</v>
      </c>
      <c r="AC192" s="1072" t="s">
        <v>5317</v>
      </c>
      <c r="AD192" s="1060" t="s">
        <v>5318</v>
      </c>
      <c r="AE192" s="1072" t="s">
        <v>5319</v>
      </c>
      <c r="AF192" s="1060" t="s">
        <v>5320</v>
      </c>
      <c r="AG192" s="1072" t="s">
        <v>5321</v>
      </c>
      <c r="AH192" s="1061" t="s">
        <v>5322</v>
      </c>
      <c r="AI192" s="1062" t="s">
        <v>5323</v>
      </c>
      <c r="AJ192" s="2900" t="str">
        <f t="shared" si="27"/>
        <v xml:space="preserve">* La variable Beneficiarios no puede superar el Total Ambos Sexos. </v>
      </c>
      <c r="CA192" s="2784" t="str">
        <f t="shared" si="28"/>
        <v xml:space="preserve">* La variable Beneficiarios no puede superar el Total Ambos Sexos. </v>
      </c>
      <c r="CL192" s="1725">
        <f t="shared" si="29"/>
        <v>1</v>
      </c>
    </row>
    <row r="193" spans="1:90" ht="15" customHeight="1" x14ac:dyDescent="0.3">
      <c r="A193" s="6240">
        <v>29101619</v>
      </c>
      <c r="B193" s="8235"/>
      <c r="C193" s="560" t="s">
        <v>1319</v>
      </c>
      <c r="D193" s="2977" t="s">
        <v>5292</v>
      </c>
      <c r="E193" s="2972" t="s">
        <v>5293</v>
      </c>
      <c r="F193" s="2973" t="s">
        <v>5294</v>
      </c>
      <c r="G193" s="114" t="s">
        <v>5295</v>
      </c>
      <c r="H193" s="116" t="s">
        <v>5296</v>
      </c>
      <c r="I193" s="114" t="s">
        <v>5297</v>
      </c>
      <c r="J193" s="116" t="s">
        <v>5298</v>
      </c>
      <c r="K193" s="114" t="s">
        <v>5299</v>
      </c>
      <c r="L193" s="116" t="s">
        <v>5300</v>
      </c>
      <c r="M193" s="114" t="s">
        <v>5301</v>
      </c>
      <c r="N193" s="116" t="s">
        <v>5302</v>
      </c>
      <c r="O193" s="114" t="s">
        <v>5303</v>
      </c>
      <c r="P193" s="116" t="s">
        <v>5304</v>
      </c>
      <c r="Q193" s="114" t="s">
        <v>5305</v>
      </c>
      <c r="R193" s="116" t="s">
        <v>5306</v>
      </c>
      <c r="S193" s="114" t="s">
        <v>5307</v>
      </c>
      <c r="T193" s="116" t="s">
        <v>5308</v>
      </c>
      <c r="U193" s="114" t="s">
        <v>5309</v>
      </c>
      <c r="V193" s="116" t="s">
        <v>5310</v>
      </c>
      <c r="W193" s="114" t="s">
        <v>5311</v>
      </c>
      <c r="X193" s="116" t="s">
        <v>5312</v>
      </c>
      <c r="Y193" s="114" t="s">
        <v>5313</v>
      </c>
      <c r="Z193" s="116" t="s">
        <v>5314</v>
      </c>
      <c r="AA193" s="114" t="s">
        <v>5315</v>
      </c>
      <c r="AB193" s="116" t="s">
        <v>5316</v>
      </c>
      <c r="AC193" s="114" t="s">
        <v>5317</v>
      </c>
      <c r="AD193" s="116" t="s">
        <v>5318</v>
      </c>
      <c r="AE193" s="114" t="s">
        <v>5319</v>
      </c>
      <c r="AF193" s="116" t="s">
        <v>5320</v>
      </c>
      <c r="AG193" s="114" t="s">
        <v>5321</v>
      </c>
      <c r="AH193" s="162" t="s">
        <v>5322</v>
      </c>
      <c r="AI193" s="771" t="s">
        <v>5323</v>
      </c>
      <c r="AJ193" s="2900" t="str">
        <f t="shared" si="27"/>
        <v xml:space="preserve">* La variable Beneficiarios no puede superar el Total Ambos Sexos. </v>
      </c>
      <c r="CA193" s="2784" t="str">
        <f t="shared" si="28"/>
        <v xml:space="preserve">* La variable Beneficiarios no puede superar el Total Ambos Sexos. </v>
      </c>
      <c r="CL193" s="1725">
        <f t="shared" si="29"/>
        <v>1</v>
      </c>
    </row>
    <row r="194" spans="1:90" ht="15" customHeight="1" x14ac:dyDescent="0.3">
      <c r="A194" s="6240">
        <v>29101495</v>
      </c>
      <c r="B194" s="2978" t="s">
        <v>2373</v>
      </c>
      <c r="C194" s="2979" t="s">
        <v>2374</v>
      </c>
      <c r="D194" s="2980" t="s">
        <v>5292</v>
      </c>
      <c r="E194" s="2981" t="s">
        <v>5293</v>
      </c>
      <c r="F194" s="2982" t="s">
        <v>5294</v>
      </c>
      <c r="G194" s="2983" t="s">
        <v>5295</v>
      </c>
      <c r="H194" s="2984" t="s">
        <v>5296</v>
      </c>
      <c r="I194" s="2983" t="s">
        <v>5297</v>
      </c>
      <c r="J194" s="2984" t="s">
        <v>5298</v>
      </c>
      <c r="K194" s="2983" t="s">
        <v>5299</v>
      </c>
      <c r="L194" s="2984" t="s">
        <v>5300</v>
      </c>
      <c r="M194" s="2983" t="s">
        <v>5301</v>
      </c>
      <c r="N194" s="2984" t="s">
        <v>5302</v>
      </c>
      <c r="O194" s="2983" t="s">
        <v>5303</v>
      </c>
      <c r="P194" s="2984" t="s">
        <v>5304</v>
      </c>
      <c r="Q194" s="2983" t="s">
        <v>5305</v>
      </c>
      <c r="R194" s="2984" t="s">
        <v>5306</v>
      </c>
      <c r="S194" s="2983" t="s">
        <v>5307</v>
      </c>
      <c r="T194" s="2984" t="s">
        <v>5308</v>
      </c>
      <c r="U194" s="2983" t="s">
        <v>5309</v>
      </c>
      <c r="V194" s="2984" t="s">
        <v>5310</v>
      </c>
      <c r="W194" s="2983" t="s">
        <v>5311</v>
      </c>
      <c r="X194" s="2984" t="s">
        <v>5312</v>
      </c>
      <c r="Y194" s="2983" t="s">
        <v>5313</v>
      </c>
      <c r="Z194" s="2984" t="s">
        <v>5314</v>
      </c>
      <c r="AA194" s="2983" t="s">
        <v>5315</v>
      </c>
      <c r="AB194" s="2984" t="s">
        <v>5316</v>
      </c>
      <c r="AC194" s="2983" t="s">
        <v>5317</v>
      </c>
      <c r="AD194" s="2984" t="s">
        <v>5318</v>
      </c>
      <c r="AE194" s="2983" t="s">
        <v>5319</v>
      </c>
      <c r="AF194" s="2984" t="s">
        <v>5320</v>
      </c>
      <c r="AG194" s="2983" t="s">
        <v>5321</v>
      </c>
      <c r="AH194" s="2985" t="s">
        <v>5322</v>
      </c>
      <c r="AI194" s="2986" t="s">
        <v>5323</v>
      </c>
      <c r="AJ194" s="2900" t="str">
        <f t="shared" si="27"/>
        <v xml:space="preserve">* La variable Beneficiarios no puede superar el Total Ambos Sexos. </v>
      </c>
      <c r="CA194" s="2784" t="str">
        <f t="shared" si="28"/>
        <v xml:space="preserve">* La variable Beneficiarios no puede superar el Total Ambos Sexos. </v>
      </c>
      <c r="CL194" s="1725">
        <f t="shared" si="29"/>
        <v>1</v>
      </c>
    </row>
    <row r="198" spans="1:90" x14ac:dyDescent="0.3">
      <c r="A198" t="s">
        <v>4625</v>
      </c>
    </row>
    <row r="199" spans="1:90" x14ac:dyDescent="0.3">
      <c r="A199" s="6234">
        <v>27500290</v>
      </c>
    </row>
    <row r="200" spans="1:90" x14ac:dyDescent="0.3">
      <c r="A200" s="6234">
        <v>27500300</v>
      </c>
    </row>
    <row r="229" spans="2:3" hidden="1" x14ac:dyDescent="0.3">
      <c r="B229" s="2987">
        <f>SUM(E10:E45,E49:E82,E86:E88,E91:F93,E97:F99,E103:E111,C114:E114,C118:C119,C123:C124,C128:G129,E133:E148,E151:E182,D188:D194)</f>
        <v>0</v>
      </c>
      <c r="C229" s="2987" t="e">
        <f>SUM(CL11:CP194)</f>
        <v>#VALUE!</v>
      </c>
    </row>
  </sheetData>
  <mergeCells count="149">
    <mergeCell ref="B188:B193"/>
    <mergeCell ref="Q186:R186"/>
    <mergeCell ref="S186:T186"/>
    <mergeCell ref="U186:V186"/>
    <mergeCell ref="W186:X186"/>
    <mergeCell ref="Y186:Z186"/>
    <mergeCell ref="AA186:AB186"/>
    <mergeCell ref="B185:B187"/>
    <mergeCell ref="C185:C187"/>
    <mergeCell ref="D185:F186"/>
    <mergeCell ref="G185:AH185"/>
    <mergeCell ref="AI185:AI187"/>
    <mergeCell ref="G186:H186"/>
    <mergeCell ref="I186:J186"/>
    <mergeCell ref="K186:L186"/>
    <mergeCell ref="M186:N186"/>
    <mergeCell ref="O186:P186"/>
    <mergeCell ref="C176:D176"/>
    <mergeCell ref="C177:D177"/>
    <mergeCell ref="C178:C180"/>
    <mergeCell ref="C181:D181"/>
    <mergeCell ref="C182:D182"/>
    <mergeCell ref="C183:D183"/>
    <mergeCell ref="AC186:AD186"/>
    <mergeCell ref="AE186:AF186"/>
    <mergeCell ref="AG186:AH186"/>
    <mergeCell ref="P131:Q131"/>
    <mergeCell ref="B133:C140"/>
    <mergeCell ref="B141:C148"/>
    <mergeCell ref="B150:D150"/>
    <mergeCell ref="B151:B183"/>
    <mergeCell ref="C151:D151"/>
    <mergeCell ref="C152:C155"/>
    <mergeCell ref="C156:D156"/>
    <mergeCell ref="C157:D157"/>
    <mergeCell ref="C158:D158"/>
    <mergeCell ref="C165:C167"/>
    <mergeCell ref="C168:C170"/>
    <mergeCell ref="C171:D171"/>
    <mergeCell ref="C172:C173"/>
    <mergeCell ref="C174:D174"/>
    <mergeCell ref="C175:D175"/>
    <mergeCell ref="C159:D159"/>
    <mergeCell ref="C160:D160"/>
    <mergeCell ref="C161:D161"/>
    <mergeCell ref="C162:D162"/>
    <mergeCell ref="C163:D163"/>
    <mergeCell ref="C164:D164"/>
    <mergeCell ref="B126:B127"/>
    <mergeCell ref="C126:C127"/>
    <mergeCell ref="D126:G126"/>
    <mergeCell ref="H126:H127"/>
    <mergeCell ref="I126:I127"/>
    <mergeCell ref="B131:D132"/>
    <mergeCell ref="E131:E132"/>
    <mergeCell ref="F131:O131"/>
    <mergeCell ref="B106:C108"/>
    <mergeCell ref="B109:C111"/>
    <mergeCell ref="B116:B117"/>
    <mergeCell ref="C116:J116"/>
    <mergeCell ref="B121:B122"/>
    <mergeCell ref="C121:C122"/>
    <mergeCell ref="D121:N121"/>
    <mergeCell ref="B99:D99"/>
    <mergeCell ref="B101:D102"/>
    <mergeCell ref="E101:E102"/>
    <mergeCell ref="F101:K101"/>
    <mergeCell ref="L101:M101"/>
    <mergeCell ref="B103:C105"/>
    <mergeCell ref="G95:H95"/>
    <mergeCell ref="I95:V95"/>
    <mergeCell ref="W95:W96"/>
    <mergeCell ref="X95:X96"/>
    <mergeCell ref="B97:D97"/>
    <mergeCell ref="B98:D98"/>
    <mergeCell ref="B91:D91"/>
    <mergeCell ref="B92:D92"/>
    <mergeCell ref="B93:D93"/>
    <mergeCell ref="B95:D96"/>
    <mergeCell ref="E95:E96"/>
    <mergeCell ref="F95:F96"/>
    <mergeCell ref="B86:D86"/>
    <mergeCell ref="F86:G86"/>
    <mergeCell ref="B87:D87"/>
    <mergeCell ref="F87:G87"/>
    <mergeCell ref="B88:D88"/>
    <mergeCell ref="B90:D90"/>
    <mergeCell ref="C76:C80"/>
    <mergeCell ref="C81:D81"/>
    <mergeCell ref="C82:D82"/>
    <mergeCell ref="C83:D83"/>
    <mergeCell ref="B85:D85"/>
    <mergeCell ref="F85:G85"/>
    <mergeCell ref="C46:D46"/>
    <mergeCell ref="B48:D48"/>
    <mergeCell ref="B49:B83"/>
    <mergeCell ref="C49:D49"/>
    <mergeCell ref="C50:C53"/>
    <mergeCell ref="C54:D54"/>
    <mergeCell ref="C55:D55"/>
    <mergeCell ref="C56:D56"/>
    <mergeCell ref="C57:D57"/>
    <mergeCell ref="C58:D58"/>
    <mergeCell ref="C69:D69"/>
    <mergeCell ref="C70:C71"/>
    <mergeCell ref="C72:D72"/>
    <mergeCell ref="C73:D73"/>
    <mergeCell ref="C74:D74"/>
    <mergeCell ref="C75:D75"/>
    <mergeCell ref="C59:D59"/>
    <mergeCell ref="C60:D60"/>
    <mergeCell ref="C61:D61"/>
    <mergeCell ref="C62:D62"/>
    <mergeCell ref="C63:C65"/>
    <mergeCell ref="C66:C68"/>
    <mergeCell ref="C38:D38"/>
    <mergeCell ref="C39:C43"/>
    <mergeCell ref="C44:D44"/>
    <mergeCell ref="C45:D45"/>
    <mergeCell ref="C25:D25"/>
    <mergeCell ref="C26:C28"/>
    <mergeCell ref="C29:C31"/>
    <mergeCell ref="C32:D32"/>
    <mergeCell ref="C33:C34"/>
    <mergeCell ref="C35:D35"/>
    <mergeCell ref="AF9:AF10"/>
    <mergeCell ref="AG9:AH9"/>
    <mergeCell ref="B11:B46"/>
    <mergeCell ref="C11:D11"/>
    <mergeCell ref="C12:C15"/>
    <mergeCell ref="C16:D16"/>
    <mergeCell ref="C17:D17"/>
    <mergeCell ref="B6:Y6"/>
    <mergeCell ref="B9:D10"/>
    <mergeCell ref="E9:E10"/>
    <mergeCell ref="F9:J9"/>
    <mergeCell ref="K9:Y9"/>
    <mergeCell ref="Z9:AB9"/>
    <mergeCell ref="C18:D18"/>
    <mergeCell ref="C19:D19"/>
    <mergeCell ref="C20:C21"/>
    <mergeCell ref="C22:D22"/>
    <mergeCell ref="C23:D23"/>
    <mergeCell ref="C24:D24"/>
    <mergeCell ref="AC9:AC10"/>
    <mergeCell ref="AD9:AD10"/>
    <mergeCell ref="AE9:AE10"/>
    <mergeCell ref="C36:D36"/>
    <mergeCell ref="C37:D37"/>
  </mergeCells>
  <dataValidations count="3">
    <dataValidation type="whole" operator="greaterThanOrEqual" allowBlank="1" showInputMessage="1" showErrorMessage="1" sqref="E133:Q148" xr:uid="{00000000-0002-0000-1300-000000000000}">
      <formula1>0</formula1>
    </dataValidation>
    <dataValidation type="whole" operator="greaterThanOrEqual" allowBlank="1" showInputMessage="1" showErrorMessage="1" error="Valor no Permitido" sqref="E49:J83 E86:E88 E91:F93 E97:X99 E103:M111 C114:E114 C118:J119 C123:N124 C128:I129 E151:J183 D188:AI194 E11:AH46" xr:uid="{00000000-0002-0000-1300-000001000000}">
      <formula1>0</formula1>
    </dataValidation>
    <dataValidation allowBlank="1" showInputMessage="1" showErrorMessage="1" error="Valor no Permitido" sqref="B6 C8:C20 AA8:AB8 D8:D23 AD8:AG8 AD9 C22:C39 AC8:AC10 AA10:AB10 E8:Z10 D25:D60 E120:J120 E122:N122 C120:C121 B125:Q125 H126:I126 E127:G127 G84:X96 C126:D127 B194 D150:D162 B126:B129 E185:G187 H186:AH187 E184:J184 C44:C76 E47:J48 B150:B188 C150:C194 K149:K184 N149:AJ184 L149:M169 L177:M184 E84:E85 E89:E90 E94:F96 F84:F90 AH10 E100:M102 D120:D122 E112:E113 K112:M120 F112:J117 C115:E117 E150:J150 D164:D187 AE9:AG10 N100:N120 CL128:CO129 J126:Q129 R133:R148 AJ188:AJ194 AI185 B229:C229 B8:B124 D62:D113 C81:C113 R128:CG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EA349"/>
  <sheetViews>
    <sheetView showGridLines="0" workbookViewId="0"/>
  </sheetViews>
  <sheetFormatPr baseColWidth="10" defaultColWidth="11.44140625" defaultRowHeight="14.4" x14ac:dyDescent="0.3"/>
  <cols>
    <col min="1" max="1" width="14.6640625" customWidth="1"/>
    <col min="2" max="2" width="49.88671875" customWidth="1"/>
    <col min="3" max="3" width="35.109375" bestFit="1" customWidth="1"/>
    <col min="4" max="4" width="16.33203125" customWidth="1"/>
    <col min="5" max="39" width="19.33203125" customWidth="1"/>
    <col min="40" max="41" width="12.6640625" customWidth="1"/>
    <col min="42" max="42" width="14.44140625" customWidth="1"/>
    <col min="43" max="43" width="12.6640625" customWidth="1"/>
    <col min="44" max="44" width="14.44140625" customWidth="1"/>
    <col min="45" max="45" width="12.44140625" customWidth="1"/>
    <col min="47" max="47" width="13.33203125" customWidth="1"/>
    <col min="49" max="49" width="12.33203125" customWidth="1"/>
    <col min="75" max="78" width="11" customWidth="1"/>
    <col min="79" max="79" width="13.33203125" hidden="1" customWidth="1"/>
    <col min="80" max="98" width="11.44140625" style="1116" hidden="1" customWidth="1"/>
    <col min="99" max="106" width="11.44140625" style="1116" customWidth="1"/>
    <col min="107" max="114" width="11.44140625" style="1116"/>
  </cols>
  <sheetData>
    <row r="1" spans="1:131" x14ac:dyDescent="0.3">
      <c r="B1" s="774" t="s">
        <v>3879</v>
      </c>
    </row>
    <row r="2" spans="1:131" x14ac:dyDescent="0.3">
      <c r="B2" s="774" t="str">
        <f>CONCATENATE("COMUNA: ",NOMBRE!B2," - ","( ",NOMBRE!C2,NOMBRE!D2,NOMBRE!E2,NOMBRE!F2,NOMBRE!G2," )")</f>
        <v>COMUNA:  - (  )</v>
      </c>
    </row>
    <row r="3" spans="1:131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31" x14ac:dyDescent="0.3">
      <c r="B4" s="774" t="str">
        <f>CONCATENATE("MES: ",NOMBRE!B6," - ","( ",NOMBRE!C6,NOMBRE!D6," )")</f>
        <v>MES:  - (  )</v>
      </c>
    </row>
    <row r="5" spans="1:131" x14ac:dyDescent="0.3">
      <c r="B5" s="774" t="str">
        <f>CONCATENATE("AÑO: ",NOMBRE!B7)</f>
        <v>AÑO: 2024</v>
      </c>
    </row>
    <row r="6" spans="1:131" s="103" customFormat="1" ht="18" customHeight="1" x14ac:dyDescent="0.3">
      <c r="B6" s="6671" t="s">
        <v>3175</v>
      </c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3863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628"/>
      <c r="AR6" s="628"/>
      <c r="AS6" s="628"/>
      <c r="AT6" s="628"/>
      <c r="AU6" s="628"/>
      <c r="AV6" s="628"/>
      <c r="AW6" s="628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628"/>
      <c r="BK6" s="628"/>
      <c r="BL6" s="628"/>
      <c r="BM6" s="628"/>
      <c r="BN6" s="628"/>
      <c r="BO6" s="628"/>
      <c r="BP6" s="628"/>
      <c r="BQ6" s="628"/>
      <c r="BR6" s="628"/>
      <c r="BS6" s="628"/>
      <c r="BT6" s="628"/>
      <c r="BU6" s="628"/>
      <c r="BV6" s="3462"/>
      <c r="BW6" s="3462"/>
      <c r="BX6" s="3462"/>
      <c r="BY6" s="3462"/>
      <c r="BZ6" s="3462"/>
      <c r="CA6" s="3462"/>
      <c r="CB6" s="3864"/>
      <c r="CC6" s="3864"/>
      <c r="CD6" s="3864"/>
      <c r="CE6" s="3864"/>
      <c r="CF6" s="3864"/>
      <c r="CG6" s="3864"/>
      <c r="CH6" s="3864"/>
      <c r="CI6" s="3864"/>
      <c r="CJ6" s="3864"/>
      <c r="CK6" s="3864"/>
      <c r="CL6" s="3864"/>
      <c r="CM6" s="3864"/>
      <c r="CN6" s="3864"/>
      <c r="CO6" s="3864"/>
      <c r="CP6" s="3864"/>
      <c r="CQ6" s="3864"/>
      <c r="CR6" s="3864"/>
      <c r="CS6" s="3864"/>
      <c r="CT6" s="3864"/>
      <c r="CU6" s="3864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775"/>
      <c r="DL6" s="775"/>
      <c r="DM6" s="775"/>
      <c r="DN6" s="775"/>
      <c r="DO6" s="775"/>
      <c r="DP6" s="775"/>
      <c r="DQ6" s="775"/>
      <c r="DR6" s="775"/>
      <c r="DS6" s="775"/>
      <c r="DT6" s="775"/>
      <c r="DU6" s="775"/>
      <c r="DV6" s="775"/>
      <c r="DW6" s="775"/>
      <c r="DX6" s="775"/>
      <c r="DY6" s="775"/>
      <c r="DZ6" s="775"/>
      <c r="EA6" s="775"/>
    </row>
    <row r="8" spans="1:131" ht="18" customHeight="1" x14ac:dyDescent="0.3">
      <c r="B8" s="123" t="s">
        <v>3176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</row>
    <row r="9" spans="1:131" ht="18" customHeight="1" x14ac:dyDescent="0.3">
      <c r="B9" s="3865" t="s">
        <v>3177</v>
      </c>
      <c r="C9" s="3866"/>
      <c r="D9" s="101"/>
      <c r="E9" s="505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</row>
    <row r="10" spans="1:131" x14ac:dyDescent="0.3">
      <c r="B10" s="6365" t="s">
        <v>3178</v>
      </c>
      <c r="C10" s="8239" t="s">
        <v>24</v>
      </c>
      <c r="D10" s="6527"/>
      <c r="E10" s="7538"/>
      <c r="F10" s="8240" t="s">
        <v>30</v>
      </c>
      <c r="G10" s="6347"/>
      <c r="H10" s="6347"/>
      <c r="I10" s="6347"/>
      <c r="J10" s="6347"/>
      <c r="K10" s="6347"/>
      <c r="L10" s="6347"/>
      <c r="M10" s="6347"/>
      <c r="N10" s="6347"/>
      <c r="O10" s="6347"/>
      <c r="P10" s="6347"/>
      <c r="Q10" s="6347"/>
      <c r="R10" s="6347"/>
      <c r="S10" s="6347"/>
      <c r="T10" s="6347"/>
      <c r="U10" s="6347"/>
      <c r="V10" s="6347"/>
      <c r="W10" s="6347"/>
      <c r="X10" s="6347"/>
      <c r="Y10" s="6347"/>
      <c r="Z10" s="6347"/>
      <c r="AA10" s="6347"/>
      <c r="AB10" s="6347"/>
      <c r="AC10" s="6347"/>
      <c r="AD10" s="6347"/>
      <c r="AE10" s="6347"/>
      <c r="AF10" s="6347"/>
      <c r="AG10" s="6347"/>
      <c r="AH10" s="6347"/>
      <c r="AI10" s="6347"/>
      <c r="AJ10" s="6347"/>
      <c r="AK10" s="6347"/>
      <c r="AL10" s="6347"/>
      <c r="AM10" s="8241"/>
      <c r="AN10" s="8242" t="s">
        <v>466</v>
      </c>
      <c r="AO10" s="6347"/>
      <c r="AP10" s="6347"/>
      <c r="AQ10" s="8243"/>
      <c r="AR10" s="6365" t="s">
        <v>3179</v>
      </c>
      <c r="AS10" s="6365" t="s">
        <v>2</v>
      </c>
      <c r="AT10" s="6365" t="s">
        <v>3</v>
      </c>
    </row>
    <row r="11" spans="1:131" x14ac:dyDescent="0.3">
      <c r="B11" s="7108"/>
      <c r="C11" s="6590"/>
      <c r="D11" s="6344"/>
      <c r="E11" s="6324"/>
      <c r="F11" s="7133" t="s">
        <v>36</v>
      </c>
      <c r="G11" s="7134"/>
      <c r="H11" s="7133" t="s">
        <v>37</v>
      </c>
      <c r="I11" s="7134"/>
      <c r="J11" s="7133" t="s">
        <v>38</v>
      </c>
      <c r="K11" s="7134"/>
      <c r="L11" s="7133" t="s">
        <v>4</v>
      </c>
      <c r="M11" s="7134"/>
      <c r="N11" s="7133" t="s">
        <v>5</v>
      </c>
      <c r="O11" s="7134"/>
      <c r="P11" s="7133" t="s">
        <v>560</v>
      </c>
      <c r="Q11" s="7134"/>
      <c r="R11" s="7133" t="s">
        <v>561</v>
      </c>
      <c r="S11" s="7134"/>
      <c r="T11" s="7133" t="s">
        <v>8</v>
      </c>
      <c r="U11" s="7134"/>
      <c r="V11" s="7133" t="s">
        <v>9</v>
      </c>
      <c r="W11" s="7134"/>
      <c r="X11" s="7133" t="s">
        <v>576</v>
      </c>
      <c r="Y11" s="7134"/>
      <c r="Z11" s="7133" t="s">
        <v>11</v>
      </c>
      <c r="AA11" s="7134"/>
      <c r="AB11" s="7133" t="s">
        <v>18</v>
      </c>
      <c r="AC11" s="7134"/>
      <c r="AD11" s="7133" t="s">
        <v>19</v>
      </c>
      <c r="AE11" s="7134"/>
      <c r="AF11" s="7133" t="s">
        <v>20</v>
      </c>
      <c r="AG11" s="7134"/>
      <c r="AH11" s="7133" t="s">
        <v>70</v>
      </c>
      <c r="AI11" s="7134"/>
      <c r="AJ11" s="7133" t="s">
        <v>71</v>
      </c>
      <c r="AK11" s="7134"/>
      <c r="AL11" s="8240" t="s">
        <v>72</v>
      </c>
      <c r="AM11" s="8241"/>
      <c r="AN11" s="6669" t="s">
        <v>3180</v>
      </c>
      <c r="AO11" s="8244" t="s">
        <v>3181</v>
      </c>
      <c r="AP11" s="8246" t="s">
        <v>3182</v>
      </c>
      <c r="AQ11" s="6344" t="s">
        <v>3183</v>
      </c>
      <c r="AR11" s="7108"/>
      <c r="AS11" s="7108"/>
      <c r="AT11" s="7108"/>
    </row>
    <row r="12" spans="1:131" x14ac:dyDescent="0.3">
      <c r="B12" s="8238"/>
      <c r="C12" s="5344" t="s">
        <v>26</v>
      </c>
      <c r="D12" s="5315" t="s">
        <v>22</v>
      </c>
      <c r="E12" s="5312" t="s">
        <v>27</v>
      </c>
      <c r="F12" s="5316" t="s">
        <v>22</v>
      </c>
      <c r="G12" s="5312" t="s">
        <v>27</v>
      </c>
      <c r="H12" s="5316" t="s">
        <v>22</v>
      </c>
      <c r="I12" s="5312" t="s">
        <v>27</v>
      </c>
      <c r="J12" s="5316" t="s">
        <v>22</v>
      </c>
      <c r="K12" s="5312" t="s">
        <v>27</v>
      </c>
      <c r="L12" s="5316" t="s">
        <v>22</v>
      </c>
      <c r="M12" s="5312" t="s">
        <v>27</v>
      </c>
      <c r="N12" s="5316" t="s">
        <v>22</v>
      </c>
      <c r="O12" s="5312" t="s">
        <v>27</v>
      </c>
      <c r="P12" s="5316" t="s">
        <v>22</v>
      </c>
      <c r="Q12" s="5312" t="s">
        <v>27</v>
      </c>
      <c r="R12" s="5316" t="s">
        <v>22</v>
      </c>
      <c r="S12" s="5312" t="s">
        <v>27</v>
      </c>
      <c r="T12" s="5316" t="s">
        <v>22</v>
      </c>
      <c r="U12" s="5312" t="s">
        <v>27</v>
      </c>
      <c r="V12" s="5316" t="s">
        <v>22</v>
      </c>
      <c r="W12" s="5312" t="s">
        <v>27</v>
      </c>
      <c r="X12" s="5316" t="s">
        <v>22</v>
      </c>
      <c r="Y12" s="5312" t="s">
        <v>27</v>
      </c>
      <c r="Z12" s="5316" t="s">
        <v>22</v>
      </c>
      <c r="AA12" s="5312" t="s">
        <v>27</v>
      </c>
      <c r="AB12" s="5316" t="s">
        <v>22</v>
      </c>
      <c r="AC12" s="5312" t="s">
        <v>27</v>
      </c>
      <c r="AD12" s="5316" t="s">
        <v>22</v>
      </c>
      <c r="AE12" s="5312" t="s">
        <v>27</v>
      </c>
      <c r="AF12" s="5316" t="s">
        <v>22</v>
      </c>
      <c r="AG12" s="5312" t="s">
        <v>27</v>
      </c>
      <c r="AH12" s="5316" t="s">
        <v>22</v>
      </c>
      <c r="AI12" s="5312" t="s">
        <v>27</v>
      </c>
      <c r="AJ12" s="5316" t="s">
        <v>22</v>
      </c>
      <c r="AK12" s="5312" t="s">
        <v>27</v>
      </c>
      <c r="AL12" s="5316" t="s">
        <v>22</v>
      </c>
      <c r="AM12" s="5367" t="s">
        <v>27</v>
      </c>
      <c r="AN12" s="6650"/>
      <c r="AO12" s="8245"/>
      <c r="AP12" s="7896"/>
      <c r="AQ12" s="7566"/>
      <c r="AR12" s="8238"/>
      <c r="AS12" s="8238"/>
      <c r="AT12" s="8238"/>
    </row>
    <row r="13" spans="1:131" ht="15" customHeight="1" x14ac:dyDescent="0.3">
      <c r="A13" s="6269">
        <v>28020500</v>
      </c>
      <c r="B13" s="5355" t="s">
        <v>25</v>
      </c>
      <c r="C13" s="5366" t="s">
        <v>5292</v>
      </c>
      <c r="D13" s="5352" t="s">
        <v>5293</v>
      </c>
      <c r="E13" s="5350" t="s">
        <v>5294</v>
      </c>
      <c r="F13" s="5365" t="s">
        <v>5295</v>
      </c>
      <c r="G13" s="5362" t="s">
        <v>5296</v>
      </c>
      <c r="H13" s="5365" t="s">
        <v>5297</v>
      </c>
      <c r="I13" s="5361" t="s">
        <v>5298</v>
      </c>
      <c r="J13" s="5365" t="s">
        <v>5299</v>
      </c>
      <c r="K13" s="5361" t="s">
        <v>5300</v>
      </c>
      <c r="L13" s="5365" t="s">
        <v>5301</v>
      </c>
      <c r="M13" s="5361" t="s">
        <v>5302</v>
      </c>
      <c r="N13" s="5365" t="s">
        <v>5303</v>
      </c>
      <c r="O13" s="5361" t="s">
        <v>5304</v>
      </c>
      <c r="P13" s="5365" t="s">
        <v>5305</v>
      </c>
      <c r="Q13" s="5361" t="s">
        <v>5306</v>
      </c>
      <c r="R13" s="5365" t="s">
        <v>5307</v>
      </c>
      <c r="S13" s="5361" t="s">
        <v>5308</v>
      </c>
      <c r="T13" s="5365" t="s">
        <v>5309</v>
      </c>
      <c r="U13" s="5361" t="s">
        <v>5310</v>
      </c>
      <c r="V13" s="5365" t="s">
        <v>5311</v>
      </c>
      <c r="W13" s="5361" t="s">
        <v>5312</v>
      </c>
      <c r="X13" s="5365" t="s">
        <v>5313</v>
      </c>
      <c r="Y13" s="5361" t="s">
        <v>5314</v>
      </c>
      <c r="Z13" s="5365" t="s">
        <v>5315</v>
      </c>
      <c r="AA13" s="5361" t="s">
        <v>5316</v>
      </c>
      <c r="AB13" s="5365" t="s">
        <v>5317</v>
      </c>
      <c r="AC13" s="5361" t="s">
        <v>5318</v>
      </c>
      <c r="AD13" s="5365" t="s">
        <v>5319</v>
      </c>
      <c r="AE13" s="5361" t="s">
        <v>5320</v>
      </c>
      <c r="AF13" s="5365" t="s">
        <v>5321</v>
      </c>
      <c r="AG13" s="5361" t="s">
        <v>5322</v>
      </c>
      <c r="AH13" s="5365" t="s">
        <v>5323</v>
      </c>
      <c r="AI13" s="5361" t="s">
        <v>5324</v>
      </c>
      <c r="AJ13" s="5365" t="s">
        <v>5325</v>
      </c>
      <c r="AK13" s="5361" t="s">
        <v>5326</v>
      </c>
      <c r="AL13" s="5365" t="s">
        <v>5327</v>
      </c>
      <c r="AM13" s="5364" t="s">
        <v>5328</v>
      </c>
      <c r="AN13" s="5948" t="s">
        <v>5329</v>
      </c>
      <c r="AO13" s="5949" t="s">
        <v>5330</v>
      </c>
      <c r="AP13" s="5363" t="s">
        <v>5331</v>
      </c>
      <c r="AQ13" s="5362" t="s">
        <v>5332</v>
      </c>
      <c r="AR13" s="5361" t="s">
        <v>5333</v>
      </c>
      <c r="AS13" s="5361" t="s">
        <v>5334</v>
      </c>
      <c r="AT13" s="5361" t="s">
        <v>5335</v>
      </c>
      <c r="AU13" s="1687" t="e">
        <f>CB13&amp;CC13&amp;CD13&amp;CE13</f>
        <v>#VALUE!</v>
      </c>
      <c r="BZ13" s="2630"/>
      <c r="CA13" s="2630"/>
      <c r="CB13" s="2784" t="e">
        <f>IF(AN13+AO13+AP13+AQ13&lt;&gt;$C13,"* El número de "&amp;AN$10&amp;""&amp;" no puede ser distinto del Total. ","")</f>
        <v>#VALUE!</v>
      </c>
      <c r="CC13" s="2784" t="str">
        <f>IF(AND($C13&lt;&gt;0,AR13=""),"* No olvide ingresar la variable Personas con discapacidad (con RND). Si no tiene digite CERO.  ",IF(AR13&gt;$C13,"* La variable Personas con discapacidad (con RND) no puede superar el Total. ",""))</f>
        <v xml:space="preserve">* La variable Personas con discapacidad (con RND) no puede superar el Total. </v>
      </c>
      <c r="CD13" s="2784" t="str">
        <f>IF(AND($C13&lt;&gt;0,AS13=""),"* No olvide ingresar la variable Pueblos Originarios (Digite CERO si no tiene). ",IF(AS13&gt;$C13,"* La variable Pueblos Originarios no puede superar el Total. ",""))</f>
        <v xml:space="preserve">* La variable Pueblos Originarios no puede superar el Total. </v>
      </c>
      <c r="CE13" s="2784" t="str">
        <f>IF(AND($C13&lt;&gt;0,AT13=""),"* No olvide ingresar la variable Migrantes. Si no tiene digite CERO.  ",IF(AT13&gt;$C13,"* La variable Migrantes no puede superar el Total. ",""))</f>
        <v xml:space="preserve">* La variable Migrantes no puede superar el Total. </v>
      </c>
      <c r="CF13" s="2630"/>
      <c r="CG13" s="2630"/>
      <c r="CH13" s="1725" t="e">
        <f>IF(AN13+AO13+AP13+AQ13&lt;&gt;$C13,1,0)</f>
        <v>#VALUE!</v>
      </c>
      <c r="CI13" s="1723"/>
      <c r="CJ13" s="1723"/>
      <c r="CK13" s="1723"/>
      <c r="CL13" s="1725">
        <f>IF(AND($C13&lt;&gt;0,AR13=""),1,IF(AR13&gt;$C13,1,0))</f>
        <v>1</v>
      </c>
      <c r="CM13" s="1725">
        <f t="shared" ref="CL13:CN18" si="0">IF(AND($C13&lt;&gt;0,AS13=""),1,IF(AS13&gt;$C13,1,0))</f>
        <v>1</v>
      </c>
      <c r="CN13" s="1725">
        <f>IF(AND($C13&lt;&gt;0,AT13=""),1,IF(AT13&gt;$C13,1,0))</f>
        <v>1</v>
      </c>
      <c r="DK13" s="1116"/>
    </row>
    <row r="14" spans="1:131" ht="15" customHeight="1" x14ac:dyDescent="0.3">
      <c r="A14" s="6269">
        <v>28020550</v>
      </c>
      <c r="B14" s="1675" t="s">
        <v>3184</v>
      </c>
      <c r="C14" s="1675" t="s">
        <v>5292</v>
      </c>
      <c r="D14" s="3262" t="s">
        <v>5293</v>
      </c>
      <c r="E14" s="4684" t="s">
        <v>5294</v>
      </c>
      <c r="F14" s="106" t="s">
        <v>5295</v>
      </c>
      <c r="G14" s="4424" t="s">
        <v>5296</v>
      </c>
      <c r="H14" s="106" t="s">
        <v>5297</v>
      </c>
      <c r="I14" s="5047" t="s">
        <v>5298</v>
      </c>
      <c r="J14" s="106" t="s">
        <v>5299</v>
      </c>
      <c r="K14" s="5047" t="s">
        <v>5300</v>
      </c>
      <c r="L14" s="106" t="s">
        <v>5301</v>
      </c>
      <c r="M14" s="5047" t="s">
        <v>5302</v>
      </c>
      <c r="N14" s="106" t="s">
        <v>5303</v>
      </c>
      <c r="O14" s="5047" t="s">
        <v>5304</v>
      </c>
      <c r="P14" s="106" t="s">
        <v>5305</v>
      </c>
      <c r="Q14" s="5047" t="s">
        <v>5306</v>
      </c>
      <c r="R14" s="106" t="s">
        <v>5307</v>
      </c>
      <c r="S14" s="5047" t="s">
        <v>5308</v>
      </c>
      <c r="T14" s="106" t="s">
        <v>5309</v>
      </c>
      <c r="U14" s="5047" t="s">
        <v>5310</v>
      </c>
      <c r="V14" s="106" t="s">
        <v>5311</v>
      </c>
      <c r="W14" s="5047" t="s">
        <v>5312</v>
      </c>
      <c r="X14" s="106" t="s">
        <v>5313</v>
      </c>
      <c r="Y14" s="5047" t="s">
        <v>5314</v>
      </c>
      <c r="Z14" s="106" t="s">
        <v>5315</v>
      </c>
      <c r="AA14" s="5047" t="s">
        <v>5316</v>
      </c>
      <c r="AB14" s="106" t="s">
        <v>5317</v>
      </c>
      <c r="AC14" s="5047" t="s">
        <v>5318</v>
      </c>
      <c r="AD14" s="106" t="s">
        <v>5319</v>
      </c>
      <c r="AE14" s="5047" t="s">
        <v>5320</v>
      </c>
      <c r="AF14" s="106" t="s">
        <v>5321</v>
      </c>
      <c r="AG14" s="5047" t="s">
        <v>5322</v>
      </c>
      <c r="AH14" s="106" t="s">
        <v>5323</v>
      </c>
      <c r="AI14" s="5047" t="s">
        <v>5324</v>
      </c>
      <c r="AJ14" s="106" t="s">
        <v>5325</v>
      </c>
      <c r="AK14" s="5047" t="s">
        <v>5326</v>
      </c>
      <c r="AL14" s="106" t="s">
        <v>5327</v>
      </c>
      <c r="AM14" s="5106" t="s">
        <v>5328</v>
      </c>
      <c r="AN14" s="5333" t="s">
        <v>5329</v>
      </c>
      <c r="AO14" s="5048" t="s">
        <v>5330</v>
      </c>
      <c r="AP14" s="5048" t="s">
        <v>5331</v>
      </c>
      <c r="AQ14" s="4424" t="s">
        <v>5332</v>
      </c>
      <c r="AR14" s="5047" t="s">
        <v>5333</v>
      </c>
      <c r="AS14" s="5047" t="s">
        <v>5334</v>
      </c>
      <c r="AT14" s="5047" t="s">
        <v>5335</v>
      </c>
      <c r="AU14" s="1687" t="e">
        <f t="shared" ref="AU14:AU18" si="1">CB14&amp;CC14&amp;CD14&amp;CE14</f>
        <v>#VALUE!</v>
      </c>
      <c r="BZ14" s="2630"/>
      <c r="CA14" s="2630"/>
      <c r="CB14" s="2784" t="e">
        <f t="shared" ref="CB14:CB18" si="2">IF(AN14+AO14+AP14+AQ14&lt;&gt;$C14,"* El número de "&amp;AN$10&amp;""&amp;" no puede ser distinto del Total. ","")</f>
        <v>#VALUE!</v>
      </c>
      <c r="CC14" s="2784" t="str">
        <f t="shared" ref="CC14:CC24" si="3">IF(AND($C14&lt;&gt;0,AR14=""),"* No olvide ingresar la variable Personas con discapacidad (con RND). Si no tiene digite CERO.  ",IF(AR14&gt;$C14,"* La variable Personas con discapacidad (con RND) no puede superar el Total. ",""))</f>
        <v xml:space="preserve">* La variable Personas con discapacidad (con RND) no puede superar el Total. </v>
      </c>
      <c r="CD14" s="2784" t="str">
        <f t="shared" ref="CD14:CD24" si="4">IF(AND($C14&lt;&gt;0,AS14=""),"* No olvide ingresar la variable Pueblos Originarios (Digite CERO si no tiene). ",IF(AS14&gt;$C14,"* La variable Pueblos Originarios no puede superar el Total. ",""))</f>
        <v xml:space="preserve">* La variable Pueblos Originarios no puede superar el Total. </v>
      </c>
      <c r="CE14" s="2784" t="str">
        <f t="shared" ref="CE14:CE24" si="5">IF(AND($C14&lt;&gt;0,AT14=""),"* No olvide ingresar la variable Migrantes. Si no tiene digite CERO.  ",IF(AT14&gt;$C14,"* La variable Migrantes no puede superar el Total. ",""))</f>
        <v xml:space="preserve">* La variable Migrantes no puede superar el Total. </v>
      </c>
      <c r="CF14" s="2630"/>
      <c r="CG14" s="2630"/>
      <c r="CH14" s="1725" t="e">
        <f t="shared" ref="CH14:CH24" si="6">IF(AN14+AO14+AP14+AQ14&lt;&gt;$C14,1,0)</f>
        <v>#VALUE!</v>
      </c>
      <c r="CI14" s="1723"/>
      <c r="CJ14" s="1723"/>
      <c r="CK14" s="1723"/>
      <c r="CL14" s="1725">
        <f t="shared" si="0"/>
        <v>1</v>
      </c>
      <c r="CM14" s="1725">
        <f t="shared" si="0"/>
        <v>1</v>
      </c>
      <c r="CN14" s="1725">
        <f t="shared" si="0"/>
        <v>1</v>
      </c>
    </row>
    <row r="15" spans="1:131" ht="19.5" customHeight="1" x14ac:dyDescent="0.3">
      <c r="A15" s="6269">
        <v>28020560</v>
      </c>
      <c r="B15" s="3508" t="s">
        <v>3185</v>
      </c>
      <c r="C15" s="3508" t="s">
        <v>5292</v>
      </c>
      <c r="D15" s="4562" t="s">
        <v>5293</v>
      </c>
      <c r="E15" s="3191" t="s">
        <v>5294</v>
      </c>
      <c r="F15" s="1070" t="s">
        <v>5295</v>
      </c>
      <c r="G15" s="3053" t="s">
        <v>5296</v>
      </c>
      <c r="H15" s="1070" t="s">
        <v>5297</v>
      </c>
      <c r="I15" s="1071" t="s">
        <v>5298</v>
      </c>
      <c r="J15" s="1070" t="s">
        <v>5299</v>
      </c>
      <c r="K15" s="1071" t="s">
        <v>5300</v>
      </c>
      <c r="L15" s="1070" t="s">
        <v>5301</v>
      </c>
      <c r="M15" s="1071" t="s">
        <v>5302</v>
      </c>
      <c r="N15" s="106" t="s">
        <v>5303</v>
      </c>
      <c r="O15" s="5047" t="s">
        <v>5304</v>
      </c>
      <c r="P15" s="106" t="s">
        <v>5305</v>
      </c>
      <c r="Q15" s="5047" t="s">
        <v>5306</v>
      </c>
      <c r="R15" s="1072" t="s">
        <v>5307</v>
      </c>
      <c r="S15" s="1060" t="s">
        <v>5308</v>
      </c>
      <c r="T15" s="1072" t="s">
        <v>5309</v>
      </c>
      <c r="U15" s="1060" t="s">
        <v>5310</v>
      </c>
      <c r="V15" s="1072" t="s">
        <v>5311</v>
      </c>
      <c r="W15" s="1060" t="s">
        <v>5312</v>
      </c>
      <c r="X15" s="1072" t="s">
        <v>5313</v>
      </c>
      <c r="Y15" s="1060" t="s">
        <v>5314</v>
      </c>
      <c r="Z15" s="1072" t="s">
        <v>5315</v>
      </c>
      <c r="AA15" s="1060" t="s">
        <v>5316</v>
      </c>
      <c r="AB15" s="1072" t="s">
        <v>5317</v>
      </c>
      <c r="AC15" s="1060" t="s">
        <v>5318</v>
      </c>
      <c r="AD15" s="1072" t="s">
        <v>5319</v>
      </c>
      <c r="AE15" s="1060" t="s">
        <v>5320</v>
      </c>
      <c r="AF15" s="1072" t="s">
        <v>5321</v>
      </c>
      <c r="AG15" s="1060" t="s">
        <v>5322</v>
      </c>
      <c r="AH15" s="1072" t="s">
        <v>5323</v>
      </c>
      <c r="AI15" s="1060" t="s">
        <v>5324</v>
      </c>
      <c r="AJ15" s="1072" t="s">
        <v>5325</v>
      </c>
      <c r="AK15" s="1060" t="s">
        <v>5326</v>
      </c>
      <c r="AL15" s="1072" t="s">
        <v>5327</v>
      </c>
      <c r="AM15" s="1061" t="s">
        <v>5328</v>
      </c>
      <c r="AN15" s="916" t="s">
        <v>5329</v>
      </c>
      <c r="AO15" s="617" t="s">
        <v>5330</v>
      </c>
      <c r="AP15" s="1073" t="s">
        <v>5331</v>
      </c>
      <c r="AQ15" s="3077" t="s">
        <v>5332</v>
      </c>
      <c r="AR15" s="1060" t="s">
        <v>5333</v>
      </c>
      <c r="AS15" s="1060" t="s">
        <v>5334</v>
      </c>
      <c r="AT15" s="1060" t="s">
        <v>5335</v>
      </c>
      <c r="AU15" s="1687" t="e">
        <f>CB15&amp;CC15&amp;CD15&amp;CE15</f>
        <v>#VALUE!</v>
      </c>
      <c r="BZ15" s="2630"/>
      <c r="CA15" s="2630"/>
      <c r="CB15" s="2784" t="e">
        <f t="shared" si="2"/>
        <v>#VALUE!</v>
      </c>
      <c r="CC15" s="2784" t="str">
        <f t="shared" si="3"/>
        <v xml:space="preserve">* La variable Personas con discapacidad (con RND) no puede superar el Total. </v>
      </c>
      <c r="CD15" s="2784" t="str">
        <f t="shared" si="4"/>
        <v xml:space="preserve">* La variable Pueblos Originarios no puede superar el Total. </v>
      </c>
      <c r="CE15" s="2784" t="str">
        <f t="shared" si="5"/>
        <v xml:space="preserve">* La variable Migrantes no puede superar el Total. </v>
      </c>
      <c r="CF15" s="2630"/>
      <c r="CG15" s="2630"/>
      <c r="CH15" s="1725" t="e">
        <f t="shared" si="6"/>
        <v>#VALUE!</v>
      </c>
      <c r="CI15" s="1723"/>
      <c r="CJ15" s="1723"/>
      <c r="CK15" s="1723"/>
      <c r="CL15" s="1725">
        <f t="shared" si="0"/>
        <v>1</v>
      </c>
      <c r="CM15" s="1725">
        <f t="shared" si="0"/>
        <v>1</v>
      </c>
      <c r="CN15" s="1725">
        <f t="shared" si="0"/>
        <v>1</v>
      </c>
    </row>
    <row r="16" spans="1:131" ht="15" customHeight="1" x14ac:dyDescent="0.3">
      <c r="A16" s="6269">
        <v>28021621</v>
      </c>
      <c r="B16" s="3867" t="s">
        <v>3186</v>
      </c>
      <c r="C16" s="3867" t="s">
        <v>5292</v>
      </c>
      <c r="D16" s="4563" t="s">
        <v>5293</v>
      </c>
      <c r="E16" s="5360" t="s">
        <v>5294</v>
      </c>
      <c r="F16" s="1072" t="s">
        <v>5295</v>
      </c>
      <c r="G16" s="3077" t="s">
        <v>5296</v>
      </c>
      <c r="H16" s="1072" t="s">
        <v>5297</v>
      </c>
      <c r="I16" s="1060" t="s">
        <v>5298</v>
      </c>
      <c r="J16" s="1072" t="s">
        <v>5299</v>
      </c>
      <c r="K16" s="1060" t="s">
        <v>5300</v>
      </c>
      <c r="L16" s="1072" t="s">
        <v>5301</v>
      </c>
      <c r="M16" s="1060" t="s">
        <v>5302</v>
      </c>
      <c r="N16" s="1072" t="s">
        <v>5303</v>
      </c>
      <c r="O16" s="1060" t="s">
        <v>5304</v>
      </c>
      <c r="P16" s="1072" t="s">
        <v>5305</v>
      </c>
      <c r="Q16" s="1060" t="s">
        <v>5306</v>
      </c>
      <c r="R16" s="1072" t="s">
        <v>5307</v>
      </c>
      <c r="S16" s="1060" t="s">
        <v>5308</v>
      </c>
      <c r="T16" s="1072" t="s">
        <v>5309</v>
      </c>
      <c r="U16" s="1060" t="s">
        <v>5310</v>
      </c>
      <c r="V16" s="1072" t="s">
        <v>5311</v>
      </c>
      <c r="W16" s="1060" t="s">
        <v>5312</v>
      </c>
      <c r="X16" s="1072" t="s">
        <v>5313</v>
      </c>
      <c r="Y16" s="1060" t="s">
        <v>5314</v>
      </c>
      <c r="Z16" s="1072" t="s">
        <v>5315</v>
      </c>
      <c r="AA16" s="1060" t="s">
        <v>5316</v>
      </c>
      <c r="AB16" s="1072" t="s">
        <v>5317</v>
      </c>
      <c r="AC16" s="1060" t="s">
        <v>5318</v>
      </c>
      <c r="AD16" s="1072" t="s">
        <v>5319</v>
      </c>
      <c r="AE16" s="1060" t="s">
        <v>5320</v>
      </c>
      <c r="AF16" s="1072" t="s">
        <v>5321</v>
      </c>
      <c r="AG16" s="1060" t="s">
        <v>5322</v>
      </c>
      <c r="AH16" s="1072" t="s">
        <v>5323</v>
      </c>
      <c r="AI16" s="1060" t="s">
        <v>5324</v>
      </c>
      <c r="AJ16" s="1072" t="s">
        <v>5325</v>
      </c>
      <c r="AK16" s="1060" t="s">
        <v>5326</v>
      </c>
      <c r="AL16" s="1072" t="s">
        <v>5327</v>
      </c>
      <c r="AM16" s="1061" t="s">
        <v>5328</v>
      </c>
      <c r="AN16" s="916" t="s">
        <v>5329</v>
      </c>
      <c r="AO16" s="617" t="s">
        <v>5330</v>
      </c>
      <c r="AP16" s="1073" t="s">
        <v>5331</v>
      </c>
      <c r="AQ16" s="3077" t="s">
        <v>5332</v>
      </c>
      <c r="AR16" s="1060" t="s">
        <v>5333</v>
      </c>
      <c r="AS16" s="1060" t="s">
        <v>5334</v>
      </c>
      <c r="AT16" s="1060" t="s">
        <v>5335</v>
      </c>
      <c r="AU16" s="1687" t="e">
        <f t="shared" si="1"/>
        <v>#VALUE!</v>
      </c>
      <c r="BZ16" s="2630"/>
      <c r="CA16" s="2630"/>
      <c r="CB16" s="2784" t="e">
        <f t="shared" si="2"/>
        <v>#VALUE!</v>
      </c>
      <c r="CC16" s="2784" t="str">
        <f t="shared" si="3"/>
        <v xml:space="preserve">* La variable Personas con discapacidad (con RND) no puede superar el Total. </v>
      </c>
      <c r="CD16" s="2784" t="str">
        <f t="shared" si="4"/>
        <v xml:space="preserve">* La variable Pueblos Originarios no puede superar el Total. </v>
      </c>
      <c r="CE16" s="2784" t="str">
        <f t="shared" si="5"/>
        <v xml:space="preserve">* La variable Migrantes no puede superar el Total. </v>
      </c>
      <c r="CF16" s="2630"/>
      <c r="CG16" s="2630"/>
      <c r="CH16" s="1725" t="e">
        <f t="shared" si="6"/>
        <v>#VALUE!</v>
      </c>
      <c r="CI16" s="1723"/>
      <c r="CJ16" s="1723"/>
      <c r="CK16" s="1723"/>
      <c r="CL16" s="1725">
        <f t="shared" si="0"/>
        <v>1</v>
      </c>
      <c r="CM16" s="1725">
        <f t="shared" si="0"/>
        <v>1</v>
      </c>
      <c r="CN16" s="1725">
        <f t="shared" si="0"/>
        <v>1</v>
      </c>
    </row>
    <row r="17" spans="1:114" ht="15" customHeight="1" x14ac:dyDescent="0.3">
      <c r="A17" s="6269">
        <v>28021631</v>
      </c>
      <c r="B17" s="3508" t="s">
        <v>944</v>
      </c>
      <c r="C17" s="4567" t="s">
        <v>5292</v>
      </c>
      <c r="D17" s="4564" t="s">
        <v>5293</v>
      </c>
      <c r="E17" s="5360" t="s">
        <v>5294</v>
      </c>
      <c r="F17" s="131" t="s">
        <v>5295</v>
      </c>
      <c r="G17" s="1060" t="s">
        <v>5296</v>
      </c>
      <c r="H17" s="1072" t="s">
        <v>5297</v>
      </c>
      <c r="I17" s="1060" t="s">
        <v>5298</v>
      </c>
      <c r="J17" s="1072" t="s">
        <v>5299</v>
      </c>
      <c r="K17" s="1060" t="s">
        <v>5300</v>
      </c>
      <c r="L17" s="1072" t="s">
        <v>5301</v>
      </c>
      <c r="M17" s="1060" t="s">
        <v>5302</v>
      </c>
      <c r="N17" s="1072" t="s">
        <v>5303</v>
      </c>
      <c r="O17" s="1060" t="s">
        <v>5304</v>
      </c>
      <c r="P17" s="1072" t="s">
        <v>5305</v>
      </c>
      <c r="Q17" s="1060" t="s">
        <v>5306</v>
      </c>
      <c r="R17" s="1072" t="s">
        <v>5307</v>
      </c>
      <c r="S17" s="1060" t="s">
        <v>5308</v>
      </c>
      <c r="T17" s="1072" t="s">
        <v>5309</v>
      </c>
      <c r="U17" s="1060" t="s">
        <v>5310</v>
      </c>
      <c r="V17" s="1072" t="s">
        <v>5311</v>
      </c>
      <c r="W17" s="1060" t="s">
        <v>5312</v>
      </c>
      <c r="X17" s="1072" t="s">
        <v>5313</v>
      </c>
      <c r="Y17" s="1060" t="s">
        <v>5314</v>
      </c>
      <c r="Z17" s="1072" t="s">
        <v>5315</v>
      </c>
      <c r="AA17" s="1060" t="s">
        <v>5316</v>
      </c>
      <c r="AB17" s="1072" t="s">
        <v>5317</v>
      </c>
      <c r="AC17" s="1060" t="s">
        <v>5318</v>
      </c>
      <c r="AD17" s="1072" t="s">
        <v>5319</v>
      </c>
      <c r="AE17" s="1060" t="s">
        <v>5320</v>
      </c>
      <c r="AF17" s="1072" t="s">
        <v>5321</v>
      </c>
      <c r="AG17" s="1060" t="s">
        <v>5322</v>
      </c>
      <c r="AH17" s="1072" t="s">
        <v>5323</v>
      </c>
      <c r="AI17" s="1060" t="s">
        <v>5324</v>
      </c>
      <c r="AJ17" s="1072" t="s">
        <v>5325</v>
      </c>
      <c r="AK17" s="1060" t="s">
        <v>5326</v>
      </c>
      <c r="AL17" s="1072" t="s">
        <v>5327</v>
      </c>
      <c r="AM17" s="1061" t="s">
        <v>5328</v>
      </c>
      <c r="AN17" s="2833" t="s">
        <v>5329</v>
      </c>
      <c r="AO17" s="617" t="s">
        <v>5330</v>
      </c>
      <c r="AP17" s="1073" t="s">
        <v>5331</v>
      </c>
      <c r="AQ17" s="3077" t="s">
        <v>5332</v>
      </c>
      <c r="AR17" s="158" t="s">
        <v>5333</v>
      </c>
      <c r="AS17" s="158" t="s">
        <v>5334</v>
      </c>
      <c r="AT17" s="158" t="s">
        <v>5335</v>
      </c>
      <c r="AU17" s="1687" t="e">
        <f t="shared" si="1"/>
        <v>#VALUE!</v>
      </c>
      <c r="BZ17" s="2630"/>
      <c r="CA17" s="2630"/>
      <c r="CB17" s="2784" t="e">
        <f>IF(AN17+AO17+AP17+AQ17&lt;&gt;$C17,"* El número de "&amp;AN$10&amp;""&amp;" no puede ser distinto del Total. ","")</f>
        <v>#VALUE!</v>
      </c>
      <c r="CC17" s="2784" t="str">
        <f t="shared" si="3"/>
        <v xml:space="preserve">* La variable Personas con discapacidad (con RND) no puede superar el Total. </v>
      </c>
      <c r="CD17" s="2784" t="str">
        <f t="shared" si="4"/>
        <v xml:space="preserve">* La variable Pueblos Originarios no puede superar el Total. </v>
      </c>
      <c r="CE17" s="2784" t="str">
        <f t="shared" si="5"/>
        <v xml:space="preserve">* La variable Migrantes no puede superar el Total. </v>
      </c>
      <c r="CF17" s="2630"/>
      <c r="CG17" s="2630"/>
      <c r="CH17" s="1725" t="e">
        <f t="shared" si="6"/>
        <v>#VALUE!</v>
      </c>
      <c r="CI17" s="1723"/>
      <c r="CJ17" s="1723"/>
      <c r="CK17" s="1723"/>
      <c r="CL17" s="1725">
        <f t="shared" si="0"/>
        <v>1</v>
      </c>
      <c r="CM17" s="1725">
        <f t="shared" si="0"/>
        <v>1</v>
      </c>
      <c r="CN17" s="1725">
        <f t="shared" si="0"/>
        <v>1</v>
      </c>
    </row>
    <row r="18" spans="1:114" ht="15" customHeight="1" x14ac:dyDescent="0.3">
      <c r="A18" s="6269">
        <v>28021632</v>
      </c>
      <c r="B18" s="3508" t="s">
        <v>3187</v>
      </c>
      <c r="C18" s="4568" t="s">
        <v>5292</v>
      </c>
      <c r="D18" s="5359" t="s">
        <v>5293</v>
      </c>
      <c r="E18" s="773" t="s">
        <v>5294</v>
      </c>
      <c r="F18" s="3019" t="s">
        <v>5295</v>
      </c>
      <c r="G18" s="5358" t="s">
        <v>5296</v>
      </c>
      <c r="H18" s="5357" t="s">
        <v>5297</v>
      </c>
      <c r="I18" s="5356" t="s">
        <v>5298</v>
      </c>
      <c r="J18" s="5357" t="s">
        <v>5299</v>
      </c>
      <c r="K18" s="5356" t="s">
        <v>5300</v>
      </c>
      <c r="L18" s="1072" t="s">
        <v>5301</v>
      </c>
      <c r="M18" s="1060" t="s">
        <v>5302</v>
      </c>
      <c r="N18" s="1072" t="s">
        <v>5303</v>
      </c>
      <c r="O18" s="1060" t="s">
        <v>5304</v>
      </c>
      <c r="P18" s="5090" t="s">
        <v>5305</v>
      </c>
      <c r="Q18" s="4767" t="s">
        <v>5306</v>
      </c>
      <c r="R18" s="5090" t="s">
        <v>5307</v>
      </c>
      <c r="S18" s="4767" t="s">
        <v>5308</v>
      </c>
      <c r="T18" s="5090" t="s">
        <v>5309</v>
      </c>
      <c r="U18" s="4767" t="s">
        <v>5310</v>
      </c>
      <c r="V18" s="5090" t="s">
        <v>5311</v>
      </c>
      <c r="W18" s="4767" t="s">
        <v>5312</v>
      </c>
      <c r="X18" s="5090" t="s">
        <v>5313</v>
      </c>
      <c r="Y18" s="4767" t="s">
        <v>5314</v>
      </c>
      <c r="Z18" s="5090" t="s">
        <v>5315</v>
      </c>
      <c r="AA18" s="4767" t="s">
        <v>5316</v>
      </c>
      <c r="AB18" s="5090" t="s">
        <v>5317</v>
      </c>
      <c r="AC18" s="4767" t="s">
        <v>5318</v>
      </c>
      <c r="AD18" s="5090" t="s">
        <v>5319</v>
      </c>
      <c r="AE18" s="4767" t="s">
        <v>5320</v>
      </c>
      <c r="AF18" s="5090" t="s">
        <v>5321</v>
      </c>
      <c r="AG18" s="4767" t="s">
        <v>5322</v>
      </c>
      <c r="AH18" s="5090" t="s">
        <v>5323</v>
      </c>
      <c r="AI18" s="4767" t="s">
        <v>5324</v>
      </c>
      <c r="AJ18" s="5090" t="s">
        <v>5325</v>
      </c>
      <c r="AK18" s="4767" t="s">
        <v>5326</v>
      </c>
      <c r="AL18" s="5090" t="s">
        <v>5327</v>
      </c>
      <c r="AM18" s="2412" t="s">
        <v>5328</v>
      </c>
      <c r="AN18" s="561" t="s">
        <v>5329</v>
      </c>
      <c r="AO18" s="5415" t="s">
        <v>5330</v>
      </c>
      <c r="AP18" s="2411" t="s">
        <v>5331</v>
      </c>
      <c r="AQ18" s="117" t="s">
        <v>5332</v>
      </c>
      <c r="AR18" s="153" t="s">
        <v>5333</v>
      </c>
      <c r="AS18" s="153" t="s">
        <v>5334</v>
      </c>
      <c r="AT18" s="153" t="s">
        <v>5335</v>
      </c>
      <c r="AU18" s="1687" t="e">
        <f t="shared" si="1"/>
        <v>#VALUE!</v>
      </c>
      <c r="BZ18" s="2630"/>
      <c r="CA18" s="2630"/>
      <c r="CB18" s="2784" t="e">
        <f t="shared" si="2"/>
        <v>#VALUE!</v>
      </c>
      <c r="CC18" s="2784" t="str">
        <f t="shared" si="3"/>
        <v xml:space="preserve">* La variable Personas con discapacidad (con RND) no puede superar el Total. </v>
      </c>
      <c r="CD18" s="2784" t="str">
        <f t="shared" si="4"/>
        <v xml:space="preserve">* La variable Pueblos Originarios no puede superar el Total. </v>
      </c>
      <c r="CE18" s="2784" t="str">
        <f t="shared" si="5"/>
        <v xml:space="preserve">* La variable Migrantes no puede superar el Total. </v>
      </c>
      <c r="CF18" s="2630"/>
      <c r="CG18" s="2630"/>
      <c r="CH18" s="1725" t="e">
        <f t="shared" si="6"/>
        <v>#VALUE!</v>
      </c>
      <c r="CI18" s="1723"/>
      <c r="CJ18" s="1723"/>
      <c r="CK18" s="1723"/>
      <c r="CL18" s="1725">
        <f t="shared" si="0"/>
        <v>1</v>
      </c>
      <c r="CM18" s="1725">
        <f t="shared" si="0"/>
        <v>1</v>
      </c>
      <c r="CN18" s="1725">
        <f t="shared" si="0"/>
        <v>1</v>
      </c>
    </row>
    <row r="19" spans="1:114" ht="15" customHeight="1" x14ac:dyDescent="0.3">
      <c r="A19" s="6267"/>
      <c r="B19" s="5355" t="s">
        <v>31</v>
      </c>
      <c r="C19" s="4568">
        <v>0</v>
      </c>
      <c r="D19" s="4565">
        <v>0</v>
      </c>
      <c r="E19" s="5350">
        <v>0</v>
      </c>
      <c r="F19" s="5354">
        <v>0</v>
      </c>
      <c r="G19" s="5350">
        <v>0</v>
      </c>
      <c r="H19" s="5354">
        <v>0</v>
      </c>
      <c r="I19" s="5349">
        <v>0</v>
      </c>
      <c r="J19" s="5354">
        <v>0</v>
      </c>
      <c r="K19" s="5349">
        <v>0</v>
      </c>
      <c r="L19" s="5354">
        <v>0</v>
      </c>
      <c r="M19" s="5349">
        <v>0</v>
      </c>
      <c r="N19" s="5354">
        <v>0</v>
      </c>
      <c r="O19" s="5349">
        <v>0</v>
      </c>
      <c r="P19" s="5354">
        <v>0</v>
      </c>
      <c r="Q19" s="5349">
        <v>0</v>
      </c>
      <c r="R19" s="5354">
        <v>0</v>
      </c>
      <c r="S19" s="5349">
        <v>0</v>
      </c>
      <c r="T19" s="5354">
        <v>0</v>
      </c>
      <c r="U19" s="5349">
        <v>0</v>
      </c>
      <c r="V19" s="5354">
        <v>0</v>
      </c>
      <c r="W19" s="5349">
        <v>0</v>
      </c>
      <c r="X19" s="5354">
        <v>0</v>
      </c>
      <c r="Y19" s="5349">
        <v>0</v>
      </c>
      <c r="Z19" s="5354">
        <v>0</v>
      </c>
      <c r="AA19" s="5349">
        <v>0</v>
      </c>
      <c r="AB19" s="5354">
        <v>0</v>
      </c>
      <c r="AC19" s="5349">
        <v>0</v>
      </c>
      <c r="AD19" s="5354">
        <v>0</v>
      </c>
      <c r="AE19" s="5349">
        <v>0</v>
      </c>
      <c r="AF19" s="5354">
        <v>0</v>
      </c>
      <c r="AG19" s="5349">
        <v>0</v>
      </c>
      <c r="AH19" s="5354">
        <v>0</v>
      </c>
      <c r="AI19" s="5349">
        <v>0</v>
      </c>
      <c r="AJ19" s="5354">
        <v>0</v>
      </c>
      <c r="AK19" s="5349">
        <v>0</v>
      </c>
      <c r="AL19" s="5354">
        <v>0</v>
      </c>
      <c r="AM19" s="5353">
        <v>0</v>
      </c>
      <c r="AN19" s="5950">
        <v>0</v>
      </c>
      <c r="AO19" s="5951">
        <v>0</v>
      </c>
      <c r="AP19" s="5351">
        <v>0</v>
      </c>
      <c r="AQ19" s="5350">
        <v>0</v>
      </c>
      <c r="AR19" s="5349">
        <v>0</v>
      </c>
      <c r="AS19" s="5349">
        <v>0</v>
      </c>
      <c r="AT19" s="5349">
        <v>0</v>
      </c>
      <c r="AU19" s="3869"/>
      <c r="BZ19" s="2630"/>
      <c r="CA19" s="2630"/>
      <c r="CB19" s="2630"/>
      <c r="CC19" s="2630"/>
      <c r="CD19" s="2630"/>
      <c r="CE19" s="2630"/>
      <c r="CF19" s="2630"/>
      <c r="CG19" s="2630"/>
      <c r="CH19"/>
      <c r="CI19" s="1723"/>
      <c r="CJ19" s="1723"/>
      <c r="CK19" s="1723"/>
      <c r="CL19"/>
      <c r="CM19"/>
      <c r="CN19"/>
    </row>
    <row r="20" spans="1:114" ht="15" customHeight="1" x14ac:dyDescent="0.3">
      <c r="A20" s="6269">
        <v>28020570</v>
      </c>
      <c r="B20" s="5348" t="s">
        <v>3188</v>
      </c>
      <c r="C20" s="4567" t="s">
        <v>5292</v>
      </c>
      <c r="D20" s="4563" t="s">
        <v>5293</v>
      </c>
      <c r="E20" s="5347" t="s">
        <v>5294</v>
      </c>
      <c r="F20" s="90" t="s">
        <v>5295</v>
      </c>
      <c r="G20" s="91" t="s">
        <v>5296</v>
      </c>
      <c r="H20" s="90" t="s">
        <v>5297</v>
      </c>
      <c r="I20" s="92" t="s">
        <v>5298</v>
      </c>
      <c r="J20" s="90" t="s">
        <v>5299</v>
      </c>
      <c r="K20" s="92" t="s">
        <v>5300</v>
      </c>
      <c r="L20" s="90" t="s">
        <v>5301</v>
      </c>
      <c r="M20" s="92" t="s">
        <v>5302</v>
      </c>
      <c r="N20" s="90" t="s">
        <v>5303</v>
      </c>
      <c r="O20" s="92" t="s">
        <v>5304</v>
      </c>
      <c r="P20" s="90" t="s">
        <v>5305</v>
      </c>
      <c r="Q20" s="92" t="s">
        <v>5306</v>
      </c>
      <c r="R20" s="90" t="s">
        <v>5307</v>
      </c>
      <c r="S20" s="92" t="s">
        <v>5308</v>
      </c>
      <c r="T20" s="90" t="s">
        <v>5309</v>
      </c>
      <c r="U20" s="92" t="s">
        <v>5310</v>
      </c>
      <c r="V20" s="90" t="s">
        <v>5311</v>
      </c>
      <c r="W20" s="92" t="s">
        <v>5312</v>
      </c>
      <c r="X20" s="90" t="s">
        <v>5313</v>
      </c>
      <c r="Y20" s="92" t="s">
        <v>5314</v>
      </c>
      <c r="Z20" s="90" t="s">
        <v>5315</v>
      </c>
      <c r="AA20" s="92" t="s">
        <v>5316</v>
      </c>
      <c r="AB20" s="90" t="s">
        <v>5317</v>
      </c>
      <c r="AC20" s="92" t="s">
        <v>5318</v>
      </c>
      <c r="AD20" s="90" t="s">
        <v>5319</v>
      </c>
      <c r="AE20" s="92" t="s">
        <v>5320</v>
      </c>
      <c r="AF20" s="90" t="s">
        <v>5321</v>
      </c>
      <c r="AG20" s="92" t="s">
        <v>5322</v>
      </c>
      <c r="AH20" s="90" t="s">
        <v>5323</v>
      </c>
      <c r="AI20" s="92" t="s">
        <v>5324</v>
      </c>
      <c r="AJ20" s="90" t="s">
        <v>5325</v>
      </c>
      <c r="AK20" s="92" t="s">
        <v>5326</v>
      </c>
      <c r="AL20" s="90" t="s">
        <v>5327</v>
      </c>
      <c r="AM20" s="94" t="s">
        <v>5328</v>
      </c>
      <c r="AN20" s="5427" t="s">
        <v>5329</v>
      </c>
      <c r="AO20" s="127" t="s">
        <v>5330</v>
      </c>
      <c r="AP20" s="127" t="s">
        <v>5331</v>
      </c>
      <c r="AQ20" s="91" t="s">
        <v>5332</v>
      </c>
      <c r="AR20" s="5346" t="s">
        <v>5333</v>
      </c>
      <c r="AS20" s="5346" t="s">
        <v>5334</v>
      </c>
      <c r="AT20" s="5346" t="s">
        <v>5335</v>
      </c>
      <c r="AU20" s="1687" t="e">
        <f>CB20&amp;CC20&amp;CD20&amp;CE20</f>
        <v>#VALUE!</v>
      </c>
      <c r="BZ20" s="2630"/>
      <c r="CA20" s="2630"/>
      <c r="CB20" s="2784" t="e">
        <f t="shared" ref="CB20:CB24" si="7">IF(AN20+AO20+AP20+AQ20&lt;&gt;$C20,"* El número de "&amp;AN$10&amp;""&amp;" no puede ser distinto del Total. ","")</f>
        <v>#VALUE!</v>
      </c>
      <c r="CC20" s="2784" t="str">
        <f t="shared" si="3"/>
        <v xml:space="preserve">* La variable Personas con discapacidad (con RND) no puede superar el Total. </v>
      </c>
      <c r="CD20" s="2784" t="str">
        <f t="shared" si="4"/>
        <v xml:space="preserve">* La variable Pueblos Originarios no puede superar el Total. </v>
      </c>
      <c r="CE20" s="2784" t="str">
        <f t="shared" si="5"/>
        <v xml:space="preserve">* La variable Migrantes no puede superar el Total. </v>
      </c>
      <c r="CF20" s="2630"/>
      <c r="CG20" s="2630"/>
      <c r="CH20" s="1725" t="e">
        <f t="shared" si="6"/>
        <v>#VALUE!</v>
      </c>
      <c r="CI20" s="1723"/>
      <c r="CJ20" s="1723"/>
      <c r="CK20" s="1723"/>
      <c r="CL20" s="1725">
        <f t="shared" ref="CL20:CN24" si="8">IF(AND($C20&lt;&gt;0,AR20=""),1,IF(AR20&gt;$C20,1,0))</f>
        <v>1</v>
      </c>
      <c r="CM20" s="1725">
        <f t="shared" si="8"/>
        <v>1</v>
      </c>
      <c r="CN20" s="1725">
        <f t="shared" si="8"/>
        <v>1</v>
      </c>
    </row>
    <row r="21" spans="1:114" ht="15" customHeight="1" x14ac:dyDescent="0.3">
      <c r="A21" s="6269">
        <v>28020580</v>
      </c>
      <c r="B21" s="3508" t="s">
        <v>730</v>
      </c>
      <c r="C21" s="3867" t="s">
        <v>5292</v>
      </c>
      <c r="D21" s="4564" t="s">
        <v>5293</v>
      </c>
      <c r="E21" s="3191" t="s">
        <v>5294</v>
      </c>
      <c r="F21" s="1072" t="s">
        <v>5295</v>
      </c>
      <c r="G21" s="3077" t="s">
        <v>5296</v>
      </c>
      <c r="H21" s="1072" t="s">
        <v>5297</v>
      </c>
      <c r="I21" s="1060" t="s">
        <v>5298</v>
      </c>
      <c r="J21" s="1072" t="s">
        <v>5299</v>
      </c>
      <c r="K21" s="1060" t="s">
        <v>5300</v>
      </c>
      <c r="L21" s="1072" t="s">
        <v>5301</v>
      </c>
      <c r="M21" s="1060" t="s">
        <v>5302</v>
      </c>
      <c r="N21" s="1072" t="s">
        <v>5303</v>
      </c>
      <c r="O21" s="1060" t="s">
        <v>5304</v>
      </c>
      <c r="P21" s="1072" t="s">
        <v>5305</v>
      </c>
      <c r="Q21" s="1060" t="s">
        <v>5306</v>
      </c>
      <c r="R21" s="1072" t="s">
        <v>5307</v>
      </c>
      <c r="S21" s="1060" t="s">
        <v>5308</v>
      </c>
      <c r="T21" s="1072" t="s">
        <v>5309</v>
      </c>
      <c r="U21" s="1060" t="s">
        <v>5310</v>
      </c>
      <c r="V21" s="1072" t="s">
        <v>5311</v>
      </c>
      <c r="W21" s="1060" t="s">
        <v>5312</v>
      </c>
      <c r="X21" s="1072" t="s">
        <v>5313</v>
      </c>
      <c r="Y21" s="1060" t="s">
        <v>5314</v>
      </c>
      <c r="Z21" s="1072" t="s">
        <v>5315</v>
      </c>
      <c r="AA21" s="1060" t="s">
        <v>5316</v>
      </c>
      <c r="AB21" s="1072" t="s">
        <v>5317</v>
      </c>
      <c r="AC21" s="1060" t="s">
        <v>5318</v>
      </c>
      <c r="AD21" s="1072" t="s">
        <v>5319</v>
      </c>
      <c r="AE21" s="1060" t="s">
        <v>5320</v>
      </c>
      <c r="AF21" s="1072" t="s">
        <v>5321</v>
      </c>
      <c r="AG21" s="1060" t="s">
        <v>5322</v>
      </c>
      <c r="AH21" s="1072" t="s">
        <v>5323</v>
      </c>
      <c r="AI21" s="1060" t="s">
        <v>5324</v>
      </c>
      <c r="AJ21" s="1072" t="s">
        <v>5325</v>
      </c>
      <c r="AK21" s="1060" t="s">
        <v>5326</v>
      </c>
      <c r="AL21" s="1072" t="s">
        <v>5327</v>
      </c>
      <c r="AM21" s="1061" t="s">
        <v>5328</v>
      </c>
      <c r="AN21" s="916" t="s">
        <v>5329</v>
      </c>
      <c r="AO21" s="617" t="s">
        <v>5330</v>
      </c>
      <c r="AP21" s="1073" t="s">
        <v>5331</v>
      </c>
      <c r="AQ21" s="3077" t="s">
        <v>5332</v>
      </c>
      <c r="AR21" s="3145" t="s">
        <v>5333</v>
      </c>
      <c r="AS21" s="3145" t="s">
        <v>5334</v>
      </c>
      <c r="AT21" s="3145" t="s">
        <v>5335</v>
      </c>
      <c r="AU21" s="1687" t="e">
        <f>CB21&amp;CC21&amp;CD21&amp;CE21</f>
        <v>#VALUE!</v>
      </c>
      <c r="BZ21" s="2630"/>
      <c r="CA21" s="2630"/>
      <c r="CB21" s="2784" t="e">
        <f t="shared" si="7"/>
        <v>#VALUE!</v>
      </c>
      <c r="CC21" s="2784" t="str">
        <f t="shared" si="3"/>
        <v xml:space="preserve">* La variable Personas con discapacidad (con RND) no puede superar el Total. </v>
      </c>
      <c r="CD21" s="2784" t="str">
        <f t="shared" si="4"/>
        <v xml:space="preserve">* La variable Pueblos Originarios no puede superar el Total. </v>
      </c>
      <c r="CE21" s="2784" t="str">
        <f t="shared" si="5"/>
        <v xml:space="preserve">* La variable Migrantes no puede superar el Total. </v>
      </c>
      <c r="CF21" s="2630"/>
      <c r="CG21" s="2630"/>
      <c r="CH21" s="1725" t="e">
        <f t="shared" si="6"/>
        <v>#VALUE!</v>
      </c>
      <c r="CI21" s="1723"/>
      <c r="CJ21" s="1723"/>
      <c r="CK21" s="1723"/>
      <c r="CL21" s="1725">
        <f t="shared" si="8"/>
        <v>1</v>
      </c>
      <c r="CM21" s="1725">
        <f t="shared" si="8"/>
        <v>1</v>
      </c>
      <c r="CN21" s="1725">
        <f t="shared" si="8"/>
        <v>1</v>
      </c>
    </row>
    <row r="22" spans="1:114" ht="15" customHeight="1" x14ac:dyDescent="0.3">
      <c r="A22" s="6268">
        <v>28020590</v>
      </c>
      <c r="B22" s="3870" t="s">
        <v>3189</v>
      </c>
      <c r="C22" s="4569" t="s">
        <v>5292</v>
      </c>
      <c r="D22" s="4566" t="s">
        <v>5293</v>
      </c>
      <c r="E22" s="1677" t="s">
        <v>5294</v>
      </c>
      <c r="F22" s="131" t="s">
        <v>5295</v>
      </c>
      <c r="G22" s="870" t="s">
        <v>5296</v>
      </c>
      <c r="H22" s="131" t="s">
        <v>5297</v>
      </c>
      <c r="I22" s="1382" t="s">
        <v>5298</v>
      </c>
      <c r="J22" s="131" t="s">
        <v>5299</v>
      </c>
      <c r="K22" s="1382" t="s">
        <v>5300</v>
      </c>
      <c r="L22" s="131" t="s">
        <v>5301</v>
      </c>
      <c r="M22" s="1382" t="s">
        <v>5302</v>
      </c>
      <c r="N22" s="131" t="s">
        <v>5303</v>
      </c>
      <c r="O22" s="1382" t="s">
        <v>5304</v>
      </c>
      <c r="P22" s="131" t="s">
        <v>5305</v>
      </c>
      <c r="Q22" s="1382" t="s">
        <v>5306</v>
      </c>
      <c r="R22" s="131" t="s">
        <v>5307</v>
      </c>
      <c r="S22" s="1382" t="s">
        <v>5308</v>
      </c>
      <c r="T22" s="131" t="s">
        <v>5309</v>
      </c>
      <c r="U22" s="1382" t="s">
        <v>5310</v>
      </c>
      <c r="V22" s="131" t="s">
        <v>5311</v>
      </c>
      <c r="W22" s="1382" t="s">
        <v>5312</v>
      </c>
      <c r="X22" s="131" t="s">
        <v>5313</v>
      </c>
      <c r="Y22" s="1382" t="s">
        <v>5314</v>
      </c>
      <c r="Z22" s="131" t="s">
        <v>5315</v>
      </c>
      <c r="AA22" s="1382" t="s">
        <v>5316</v>
      </c>
      <c r="AB22" s="131" t="s">
        <v>5317</v>
      </c>
      <c r="AC22" s="1382" t="s">
        <v>5318</v>
      </c>
      <c r="AD22" s="131" t="s">
        <v>5319</v>
      </c>
      <c r="AE22" s="1382" t="s">
        <v>5320</v>
      </c>
      <c r="AF22" s="131" t="s">
        <v>5321</v>
      </c>
      <c r="AG22" s="1382" t="s">
        <v>5322</v>
      </c>
      <c r="AH22" s="131" t="s">
        <v>5323</v>
      </c>
      <c r="AI22" s="1382" t="s">
        <v>5324</v>
      </c>
      <c r="AJ22" s="131" t="s">
        <v>5325</v>
      </c>
      <c r="AK22" s="1382" t="s">
        <v>5326</v>
      </c>
      <c r="AL22" s="131" t="s">
        <v>5327</v>
      </c>
      <c r="AM22" s="3086" t="s">
        <v>5328</v>
      </c>
      <c r="AN22" s="3753" t="s">
        <v>5329</v>
      </c>
      <c r="AO22" s="5410" t="s">
        <v>5330</v>
      </c>
      <c r="AP22" s="132" t="s">
        <v>5331</v>
      </c>
      <c r="AQ22" s="870" t="s">
        <v>5332</v>
      </c>
      <c r="AR22" s="3752" t="s">
        <v>5333</v>
      </c>
      <c r="AS22" s="3752" t="s">
        <v>5334</v>
      </c>
      <c r="AT22" s="3752" t="s">
        <v>5335</v>
      </c>
      <c r="AU22" s="1687" t="e">
        <f>CB22&amp;CC22&amp;CD22&amp;CE22</f>
        <v>#VALUE!</v>
      </c>
      <c r="BZ22" s="2630"/>
      <c r="CA22" s="2630"/>
      <c r="CB22" s="2784" t="e">
        <f t="shared" si="7"/>
        <v>#VALUE!</v>
      </c>
      <c r="CC22" s="2784" t="str">
        <f t="shared" si="3"/>
        <v xml:space="preserve">* La variable Personas con discapacidad (con RND) no puede superar el Total. </v>
      </c>
      <c r="CD22" s="2784" t="str">
        <f t="shared" si="4"/>
        <v xml:space="preserve">* La variable Pueblos Originarios no puede superar el Total. </v>
      </c>
      <c r="CE22" s="2784" t="str">
        <f t="shared" si="5"/>
        <v xml:space="preserve">* La variable Migrantes no puede superar el Total. </v>
      </c>
      <c r="CF22" s="2630"/>
      <c r="CG22" s="2630"/>
      <c r="CH22" s="1725" t="e">
        <f t="shared" si="6"/>
        <v>#VALUE!</v>
      </c>
      <c r="CI22" s="1723"/>
      <c r="CJ22" s="1723"/>
      <c r="CK22" s="1723"/>
      <c r="CL22" s="1725">
        <f t="shared" si="8"/>
        <v>1</v>
      </c>
      <c r="CM22" s="1725">
        <f t="shared" si="8"/>
        <v>1</v>
      </c>
      <c r="CN22" s="1725">
        <f t="shared" si="8"/>
        <v>1</v>
      </c>
    </row>
    <row r="23" spans="1:114" ht="15" customHeight="1" x14ac:dyDescent="0.3">
      <c r="A23" s="6268">
        <v>28020592</v>
      </c>
      <c r="B23" s="5345" t="s">
        <v>3190</v>
      </c>
      <c r="C23" s="3867" t="s">
        <v>5292</v>
      </c>
      <c r="D23" s="4564" t="s">
        <v>5293</v>
      </c>
      <c r="E23" s="3191" t="s">
        <v>5294</v>
      </c>
      <c r="F23" s="1072" t="s">
        <v>5295</v>
      </c>
      <c r="G23" s="3077" t="s">
        <v>5296</v>
      </c>
      <c r="H23" s="1072" t="s">
        <v>5297</v>
      </c>
      <c r="I23" s="1060" t="s">
        <v>5298</v>
      </c>
      <c r="J23" s="1072" t="s">
        <v>5299</v>
      </c>
      <c r="K23" s="1060" t="s">
        <v>5300</v>
      </c>
      <c r="L23" s="1072" t="s">
        <v>5301</v>
      </c>
      <c r="M23" s="1060" t="s">
        <v>5302</v>
      </c>
      <c r="N23" s="1072" t="s">
        <v>5303</v>
      </c>
      <c r="O23" s="1060" t="s">
        <v>5304</v>
      </c>
      <c r="P23" s="1072" t="s">
        <v>5305</v>
      </c>
      <c r="Q23" s="1060" t="s">
        <v>5306</v>
      </c>
      <c r="R23" s="1072" t="s">
        <v>5307</v>
      </c>
      <c r="S23" s="1060" t="s">
        <v>5308</v>
      </c>
      <c r="T23" s="1072" t="s">
        <v>5309</v>
      </c>
      <c r="U23" s="1060" t="s">
        <v>5310</v>
      </c>
      <c r="V23" s="1072" t="s">
        <v>5311</v>
      </c>
      <c r="W23" s="1060" t="s">
        <v>5312</v>
      </c>
      <c r="X23" s="1072" t="s">
        <v>5313</v>
      </c>
      <c r="Y23" s="1060" t="s">
        <v>5314</v>
      </c>
      <c r="Z23" s="1072" t="s">
        <v>5315</v>
      </c>
      <c r="AA23" s="1060" t="s">
        <v>5316</v>
      </c>
      <c r="AB23" s="1072" t="s">
        <v>5317</v>
      </c>
      <c r="AC23" s="1060" t="s">
        <v>5318</v>
      </c>
      <c r="AD23" s="1072" t="s">
        <v>5319</v>
      </c>
      <c r="AE23" s="1060" t="s">
        <v>5320</v>
      </c>
      <c r="AF23" s="1072" t="s">
        <v>5321</v>
      </c>
      <c r="AG23" s="1060" t="s">
        <v>5322</v>
      </c>
      <c r="AH23" s="1072" t="s">
        <v>5323</v>
      </c>
      <c r="AI23" s="1060" t="s">
        <v>5324</v>
      </c>
      <c r="AJ23" s="1072" t="s">
        <v>5325</v>
      </c>
      <c r="AK23" s="1060" t="s">
        <v>5326</v>
      </c>
      <c r="AL23" s="1072" t="s">
        <v>5327</v>
      </c>
      <c r="AM23" s="1061" t="s">
        <v>5328</v>
      </c>
      <c r="AN23" s="916" t="s">
        <v>5329</v>
      </c>
      <c r="AO23" s="617" t="s">
        <v>5330</v>
      </c>
      <c r="AP23" s="1073" t="s">
        <v>5331</v>
      </c>
      <c r="AQ23" s="3077" t="s">
        <v>5332</v>
      </c>
      <c r="AR23" s="3145" t="s">
        <v>5333</v>
      </c>
      <c r="AS23" s="3145" t="s">
        <v>5334</v>
      </c>
      <c r="AT23" s="3145" t="s">
        <v>5335</v>
      </c>
      <c r="AU23" s="1687" t="e">
        <f>CB23&amp;CC23&amp;CD23&amp;CE23</f>
        <v>#VALUE!</v>
      </c>
      <c r="BZ23" s="2630"/>
      <c r="CA23" s="2630"/>
      <c r="CB23" s="2784" t="e">
        <f t="shared" si="7"/>
        <v>#VALUE!</v>
      </c>
      <c r="CC23" s="2784" t="str">
        <f t="shared" si="3"/>
        <v xml:space="preserve">* La variable Personas con discapacidad (con RND) no puede superar el Total. </v>
      </c>
      <c r="CD23" s="2784" t="str">
        <f t="shared" si="4"/>
        <v xml:space="preserve">* La variable Pueblos Originarios no puede superar el Total. </v>
      </c>
      <c r="CE23" s="2784" t="str">
        <f t="shared" si="5"/>
        <v xml:space="preserve">* La variable Migrantes no puede superar el Total. </v>
      </c>
      <c r="CF23" s="2630"/>
      <c r="CG23" s="2630"/>
      <c r="CH23" s="1725" t="e">
        <f t="shared" si="6"/>
        <v>#VALUE!</v>
      </c>
      <c r="CI23" s="1723"/>
      <c r="CJ23" s="1723"/>
      <c r="CK23" s="1723"/>
      <c r="CL23" s="1725">
        <f t="shared" si="8"/>
        <v>1</v>
      </c>
      <c r="CM23" s="1725">
        <f t="shared" si="8"/>
        <v>1</v>
      </c>
      <c r="CN23" s="1725">
        <f t="shared" si="8"/>
        <v>1</v>
      </c>
    </row>
    <row r="24" spans="1:114" ht="15" customHeight="1" x14ac:dyDescent="0.3">
      <c r="A24" s="6290">
        <v>28020593</v>
      </c>
      <c r="B24" s="584" t="s">
        <v>3191</v>
      </c>
      <c r="C24" s="4568" t="s">
        <v>5292</v>
      </c>
      <c r="D24" s="4565" t="s">
        <v>5293</v>
      </c>
      <c r="E24" s="5085" t="s">
        <v>5294</v>
      </c>
      <c r="F24" s="5090" t="s">
        <v>5295</v>
      </c>
      <c r="G24" s="5091" t="s">
        <v>5296</v>
      </c>
      <c r="H24" s="5090" t="s">
        <v>5297</v>
      </c>
      <c r="I24" s="4767" t="s">
        <v>5298</v>
      </c>
      <c r="J24" s="5090" t="s">
        <v>5299</v>
      </c>
      <c r="K24" s="4767" t="s">
        <v>5300</v>
      </c>
      <c r="L24" s="5090" t="s">
        <v>5301</v>
      </c>
      <c r="M24" s="4767" t="s">
        <v>5302</v>
      </c>
      <c r="N24" s="5090" t="s">
        <v>5303</v>
      </c>
      <c r="O24" s="4767" t="s">
        <v>5304</v>
      </c>
      <c r="P24" s="5090" t="s">
        <v>5305</v>
      </c>
      <c r="Q24" s="4767" t="s">
        <v>5306</v>
      </c>
      <c r="R24" s="5090" t="s">
        <v>5307</v>
      </c>
      <c r="S24" s="4767" t="s">
        <v>5308</v>
      </c>
      <c r="T24" s="5090" t="s">
        <v>5309</v>
      </c>
      <c r="U24" s="4767" t="s">
        <v>5310</v>
      </c>
      <c r="V24" s="5090" t="s">
        <v>5311</v>
      </c>
      <c r="W24" s="4767" t="s">
        <v>5312</v>
      </c>
      <c r="X24" s="5090" t="s">
        <v>5313</v>
      </c>
      <c r="Y24" s="4767" t="s">
        <v>5314</v>
      </c>
      <c r="Z24" s="5090" t="s">
        <v>5315</v>
      </c>
      <c r="AA24" s="4767" t="s">
        <v>5316</v>
      </c>
      <c r="AB24" s="5090" t="s">
        <v>5317</v>
      </c>
      <c r="AC24" s="4767" t="s">
        <v>5318</v>
      </c>
      <c r="AD24" s="5090" t="s">
        <v>5319</v>
      </c>
      <c r="AE24" s="4767" t="s">
        <v>5320</v>
      </c>
      <c r="AF24" s="5090" t="s">
        <v>5321</v>
      </c>
      <c r="AG24" s="4767" t="s">
        <v>5322</v>
      </c>
      <c r="AH24" s="5090" t="s">
        <v>5323</v>
      </c>
      <c r="AI24" s="4767" t="s">
        <v>5324</v>
      </c>
      <c r="AJ24" s="5090" t="s">
        <v>5325</v>
      </c>
      <c r="AK24" s="4767" t="s">
        <v>5326</v>
      </c>
      <c r="AL24" s="5090" t="s">
        <v>5327</v>
      </c>
      <c r="AM24" s="2412" t="s">
        <v>5328</v>
      </c>
      <c r="AN24" s="5418" t="s">
        <v>5329</v>
      </c>
      <c r="AO24" s="5415" t="s">
        <v>5330</v>
      </c>
      <c r="AP24" s="2411" t="s">
        <v>5331</v>
      </c>
      <c r="AQ24" s="5091" t="s">
        <v>5332</v>
      </c>
      <c r="AR24" s="4767" t="s">
        <v>5333</v>
      </c>
      <c r="AS24" s="4767" t="s">
        <v>5334</v>
      </c>
      <c r="AT24" s="4767" t="s">
        <v>5335</v>
      </c>
      <c r="AU24" s="1687" t="e">
        <f>CB24&amp;CC24&amp;CD24&amp;CE24</f>
        <v>#VALUE!</v>
      </c>
      <c r="BZ24" s="2630"/>
      <c r="CA24" s="2630"/>
      <c r="CB24" s="2784" t="e">
        <f t="shared" si="7"/>
        <v>#VALUE!</v>
      </c>
      <c r="CC24" s="2784" t="str">
        <f t="shared" si="3"/>
        <v xml:space="preserve">* La variable Personas con discapacidad (con RND) no puede superar el Total. </v>
      </c>
      <c r="CD24" s="2784" t="str">
        <f t="shared" si="4"/>
        <v xml:space="preserve">* La variable Pueblos Originarios no puede superar el Total. </v>
      </c>
      <c r="CE24" s="2784" t="str">
        <f t="shared" si="5"/>
        <v xml:space="preserve">* La variable Migrantes no puede superar el Total. </v>
      </c>
      <c r="CF24" s="2630"/>
      <c r="CG24" s="2630"/>
      <c r="CH24" s="1725" t="e">
        <f t="shared" si="6"/>
        <v>#VALUE!</v>
      </c>
      <c r="CI24" s="1723"/>
      <c r="CJ24" s="1723"/>
      <c r="CK24" s="1723"/>
      <c r="CL24" s="1725">
        <f t="shared" si="8"/>
        <v>1</v>
      </c>
      <c r="CM24" s="1725">
        <f t="shared" si="8"/>
        <v>1</v>
      </c>
      <c r="CN24" s="1725">
        <f t="shared" si="8"/>
        <v>1</v>
      </c>
    </row>
    <row r="25" spans="1:114" ht="18" customHeight="1" x14ac:dyDescent="0.3">
      <c r="B25" s="3865" t="s">
        <v>3192</v>
      </c>
      <c r="C25" s="3866"/>
      <c r="D25" s="101"/>
      <c r="E25" s="505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</row>
    <row r="26" spans="1:114" x14ac:dyDescent="0.3">
      <c r="A26" s="6236"/>
      <c r="B26" s="7523" t="s">
        <v>3193</v>
      </c>
      <c r="C26" s="6365" t="s">
        <v>23</v>
      </c>
      <c r="D26" s="8239" t="s">
        <v>24</v>
      </c>
      <c r="E26" s="6527"/>
      <c r="F26" s="7538"/>
      <c r="G26" s="8240" t="s">
        <v>30</v>
      </c>
      <c r="H26" s="6347"/>
      <c r="I26" s="6347"/>
      <c r="J26" s="6347"/>
      <c r="K26" s="6347"/>
      <c r="L26" s="6347"/>
      <c r="M26" s="6347"/>
      <c r="N26" s="6347"/>
      <c r="O26" s="6347"/>
      <c r="P26" s="6347"/>
      <c r="Q26" s="6347"/>
      <c r="R26" s="6347"/>
      <c r="S26" s="6347"/>
      <c r="T26" s="6347"/>
      <c r="U26" s="6347"/>
      <c r="V26" s="6347"/>
      <c r="W26" s="6347"/>
      <c r="X26" s="6347"/>
      <c r="Y26" s="6347"/>
      <c r="Z26" s="6347"/>
      <c r="AA26" s="6347"/>
      <c r="AB26" s="6347"/>
      <c r="AC26" s="6347"/>
      <c r="AD26" s="6347"/>
      <c r="AE26" s="6347"/>
      <c r="AF26" s="6347"/>
      <c r="AG26" s="6347"/>
      <c r="AH26" s="6347"/>
      <c r="AI26" s="6347"/>
      <c r="AJ26" s="6347"/>
      <c r="AK26" s="6347"/>
      <c r="AL26" s="6347"/>
      <c r="AM26" s="6347"/>
      <c r="AN26" s="8241"/>
      <c r="AO26" s="8242" t="s">
        <v>466</v>
      </c>
      <c r="AP26" s="6347"/>
      <c r="AQ26" s="6347"/>
      <c r="AR26" s="8243"/>
    </row>
    <row r="27" spans="1:114" x14ac:dyDescent="0.3">
      <c r="A27" s="6236"/>
      <c r="B27" s="6627"/>
      <c r="C27" s="7108"/>
      <c r="D27" s="8247"/>
      <c r="E27" s="7566"/>
      <c r="F27" s="7146"/>
      <c r="G27" s="7133" t="s">
        <v>36</v>
      </c>
      <c r="H27" s="7134"/>
      <c r="I27" s="7133" t="s">
        <v>37</v>
      </c>
      <c r="J27" s="7134"/>
      <c r="K27" s="7133" t="s">
        <v>38</v>
      </c>
      <c r="L27" s="7134"/>
      <c r="M27" s="7133" t="s">
        <v>4</v>
      </c>
      <c r="N27" s="7134"/>
      <c r="O27" s="7133" t="s">
        <v>5</v>
      </c>
      <c r="P27" s="7134"/>
      <c r="Q27" s="7133" t="s">
        <v>560</v>
      </c>
      <c r="R27" s="7134"/>
      <c r="S27" s="7133" t="s">
        <v>561</v>
      </c>
      <c r="T27" s="7134"/>
      <c r="U27" s="7133" t="s">
        <v>8</v>
      </c>
      <c r="V27" s="7134"/>
      <c r="W27" s="7133" t="s">
        <v>9</v>
      </c>
      <c r="X27" s="7134"/>
      <c r="Y27" s="7133" t="s">
        <v>576</v>
      </c>
      <c r="Z27" s="7134"/>
      <c r="AA27" s="7133" t="s">
        <v>11</v>
      </c>
      <c r="AB27" s="7134"/>
      <c r="AC27" s="7133" t="s">
        <v>18</v>
      </c>
      <c r="AD27" s="7134"/>
      <c r="AE27" s="7133" t="s">
        <v>19</v>
      </c>
      <c r="AF27" s="7134"/>
      <c r="AG27" s="7133" t="s">
        <v>20</v>
      </c>
      <c r="AH27" s="7134"/>
      <c r="AI27" s="7133" t="s">
        <v>70</v>
      </c>
      <c r="AJ27" s="7134"/>
      <c r="AK27" s="7133" t="s">
        <v>71</v>
      </c>
      <c r="AL27" s="7134"/>
      <c r="AM27" s="8240" t="s">
        <v>72</v>
      </c>
      <c r="AN27" s="8241"/>
      <c r="AO27" s="6669" t="s">
        <v>3194</v>
      </c>
      <c r="AP27" s="8244" t="s">
        <v>3181</v>
      </c>
      <c r="AQ27" s="8246" t="s">
        <v>3182</v>
      </c>
      <c r="AR27" s="6598" t="s">
        <v>3183</v>
      </c>
    </row>
    <row r="28" spans="1:114" x14ac:dyDescent="0.3">
      <c r="A28" s="6236"/>
      <c r="B28" s="7150"/>
      <c r="C28" s="8238"/>
      <c r="D28" s="5344" t="s">
        <v>26</v>
      </c>
      <c r="E28" s="5316" t="s">
        <v>22</v>
      </c>
      <c r="F28" s="5312" t="s">
        <v>27</v>
      </c>
      <c r="G28" s="5316" t="s">
        <v>22</v>
      </c>
      <c r="H28" s="5312" t="s">
        <v>27</v>
      </c>
      <c r="I28" s="5316" t="s">
        <v>22</v>
      </c>
      <c r="J28" s="5312" t="s">
        <v>27</v>
      </c>
      <c r="K28" s="5316" t="s">
        <v>22</v>
      </c>
      <c r="L28" s="5312" t="s">
        <v>27</v>
      </c>
      <c r="M28" s="5316" t="s">
        <v>22</v>
      </c>
      <c r="N28" s="5312" t="s">
        <v>27</v>
      </c>
      <c r="O28" s="5315" t="s">
        <v>22</v>
      </c>
      <c r="P28" s="5312" t="s">
        <v>27</v>
      </c>
      <c r="Q28" s="5316" t="s">
        <v>22</v>
      </c>
      <c r="R28" s="5312" t="s">
        <v>27</v>
      </c>
      <c r="S28" s="5316" t="s">
        <v>22</v>
      </c>
      <c r="T28" s="5312" t="s">
        <v>27</v>
      </c>
      <c r="U28" s="5316" t="s">
        <v>22</v>
      </c>
      <c r="V28" s="5312" t="s">
        <v>27</v>
      </c>
      <c r="W28" s="5316" t="s">
        <v>22</v>
      </c>
      <c r="X28" s="5312" t="s">
        <v>27</v>
      </c>
      <c r="Y28" s="5316" t="s">
        <v>22</v>
      </c>
      <c r="Z28" s="5312" t="s">
        <v>27</v>
      </c>
      <c r="AA28" s="5316" t="s">
        <v>22</v>
      </c>
      <c r="AB28" s="5312" t="s">
        <v>27</v>
      </c>
      <c r="AC28" s="5316" t="s">
        <v>22</v>
      </c>
      <c r="AD28" s="5312" t="s">
        <v>27</v>
      </c>
      <c r="AE28" s="5316" t="s">
        <v>22</v>
      </c>
      <c r="AF28" s="5312" t="s">
        <v>27</v>
      </c>
      <c r="AG28" s="5316" t="s">
        <v>22</v>
      </c>
      <c r="AH28" s="5312" t="s">
        <v>27</v>
      </c>
      <c r="AI28" s="5316" t="s">
        <v>22</v>
      </c>
      <c r="AJ28" s="5312" t="s">
        <v>27</v>
      </c>
      <c r="AK28" s="5316" t="s">
        <v>22</v>
      </c>
      <c r="AL28" s="5312" t="s">
        <v>27</v>
      </c>
      <c r="AM28" s="5316" t="s">
        <v>22</v>
      </c>
      <c r="AN28" s="5343" t="s">
        <v>27</v>
      </c>
      <c r="AO28" s="6650"/>
      <c r="AP28" s="8245"/>
      <c r="AQ28" s="7896"/>
      <c r="AR28" s="6652"/>
      <c r="CH28" s="6112">
        <f>IF(D29&lt;&gt;SUM(D30:D48),1,0)</f>
        <v>1</v>
      </c>
    </row>
    <row r="29" spans="1:114" x14ac:dyDescent="0.3">
      <c r="A29" s="6291">
        <v>28014800</v>
      </c>
      <c r="B29" s="8257" t="s">
        <v>3195</v>
      </c>
      <c r="C29" s="8258"/>
      <c r="D29" s="8865" t="s">
        <v>5292</v>
      </c>
      <c r="E29" s="8866" t="s">
        <v>5293</v>
      </c>
      <c r="F29" s="8867" t="s">
        <v>5294</v>
      </c>
      <c r="G29" s="8868" t="s">
        <v>5295</v>
      </c>
      <c r="H29" s="8869" t="s">
        <v>5296</v>
      </c>
      <c r="I29" s="8868" t="s">
        <v>5297</v>
      </c>
      <c r="J29" s="8870" t="s">
        <v>5298</v>
      </c>
      <c r="K29" s="8868" t="s">
        <v>5299</v>
      </c>
      <c r="L29" s="8870" t="s">
        <v>5300</v>
      </c>
      <c r="M29" s="8868" t="s">
        <v>5301</v>
      </c>
      <c r="N29" s="8869" t="s">
        <v>5302</v>
      </c>
      <c r="O29" s="8871" t="s">
        <v>5303</v>
      </c>
      <c r="P29" s="8870" t="s">
        <v>5304</v>
      </c>
      <c r="Q29" s="8871" t="s">
        <v>5305</v>
      </c>
      <c r="R29" s="8870" t="s">
        <v>5306</v>
      </c>
      <c r="S29" s="8871" t="s">
        <v>5307</v>
      </c>
      <c r="T29" s="8870" t="s">
        <v>5308</v>
      </c>
      <c r="U29" s="8871" t="s">
        <v>5309</v>
      </c>
      <c r="V29" s="8870" t="s">
        <v>5310</v>
      </c>
      <c r="W29" s="8871" t="s">
        <v>5311</v>
      </c>
      <c r="X29" s="8870" t="s">
        <v>5312</v>
      </c>
      <c r="Y29" s="8871" t="s">
        <v>5313</v>
      </c>
      <c r="Z29" s="8870" t="s">
        <v>5314</v>
      </c>
      <c r="AA29" s="8871" t="s">
        <v>5315</v>
      </c>
      <c r="AB29" s="8870" t="s">
        <v>5316</v>
      </c>
      <c r="AC29" s="8871" t="s">
        <v>5317</v>
      </c>
      <c r="AD29" s="8870" t="s">
        <v>5318</v>
      </c>
      <c r="AE29" s="8871" t="s">
        <v>5319</v>
      </c>
      <c r="AF29" s="8870" t="s">
        <v>5320</v>
      </c>
      <c r="AG29" s="8871" t="s">
        <v>5321</v>
      </c>
      <c r="AH29" s="8870" t="s">
        <v>5322</v>
      </c>
      <c r="AI29" s="8871" t="s">
        <v>5323</v>
      </c>
      <c r="AJ29" s="8870" t="s">
        <v>5324</v>
      </c>
      <c r="AK29" s="8871" t="s">
        <v>5325</v>
      </c>
      <c r="AL29" s="8870" t="s">
        <v>5326</v>
      </c>
      <c r="AM29" s="8871" t="s">
        <v>5327</v>
      </c>
      <c r="AN29" s="8872" t="s">
        <v>5328</v>
      </c>
      <c r="AO29" s="8873" t="s">
        <v>5329</v>
      </c>
      <c r="AP29" s="8874" t="s">
        <v>5330</v>
      </c>
      <c r="AQ29" s="8871" t="s">
        <v>5331</v>
      </c>
      <c r="AR29" s="8870" t="s">
        <v>5332</v>
      </c>
      <c r="AS29" s="1687" t="str">
        <f>CB29&amp;CC29&amp;CD29&amp;CE29&amp;CF29&amp;CG29</f>
        <v xml:space="preserve"> * El total de Ingresos debe ser igual a la suma de los Tipos de Estrategia. * Existen patologías que son mayores al Total de Ingresos-Persona. </v>
      </c>
      <c r="BX29" s="2630"/>
      <c r="BY29" s="2630"/>
      <c r="BZ29" s="2630"/>
      <c r="CA29" s="2630"/>
      <c r="CB29" s="2919" t="str">
        <f>IF(CH29=1," * El total de Ingresos debe ser igual a la suma de los Tipos de Estrategia. ","")</f>
        <v xml:space="preserve"> * El total de Ingresos debe ser igual a la suma de los Tipos de Estrategia. </v>
      </c>
      <c r="CC29" s="2919" t="str">
        <f>IF(CH28=1,"* Existen patologías que son mayores al Total de Ingresos-Persona. ","")</f>
        <v xml:space="preserve">* Existen patologías que son mayores al Total de Ingresos-Persona. </v>
      </c>
      <c r="CD29" s="3643"/>
      <c r="CE29" s="3643"/>
      <c r="CF29" s="3643"/>
      <c r="CG29" s="3643"/>
      <c r="CH29" s="6112">
        <f>IF(SUM(AO29:AR29)=D29,0,1)</f>
        <v>1</v>
      </c>
      <c r="CI29" s="6113"/>
      <c r="CJ29" s="6113"/>
      <c r="CK29" s="6113"/>
      <c r="CL29" s="6113"/>
      <c r="DI29"/>
      <c r="DJ29"/>
    </row>
    <row r="30" spans="1:114" x14ac:dyDescent="0.3">
      <c r="A30" s="6291">
        <v>29101620</v>
      </c>
      <c r="B30" s="8259" t="s">
        <v>3196</v>
      </c>
      <c r="C30" s="3871" t="s">
        <v>3197</v>
      </c>
      <c r="D30" s="8875" t="s">
        <v>5292</v>
      </c>
      <c r="E30" s="8876" t="s">
        <v>5293</v>
      </c>
      <c r="F30" s="8877" t="s">
        <v>5294</v>
      </c>
      <c r="G30" s="8671" t="s">
        <v>5295</v>
      </c>
      <c r="H30" s="8681" t="s">
        <v>5296</v>
      </c>
      <c r="I30" s="8671" t="s">
        <v>5297</v>
      </c>
      <c r="J30" s="8676" t="s">
        <v>5298</v>
      </c>
      <c r="K30" s="8671" t="s">
        <v>5299</v>
      </c>
      <c r="L30" s="8676" t="s">
        <v>5300</v>
      </c>
      <c r="M30" s="8671" t="s">
        <v>5301</v>
      </c>
      <c r="N30" s="8681" t="s">
        <v>5302</v>
      </c>
      <c r="O30" s="8733" t="s">
        <v>5303</v>
      </c>
      <c r="P30" s="8676" t="s">
        <v>5304</v>
      </c>
      <c r="Q30" s="8733" t="s">
        <v>5305</v>
      </c>
      <c r="R30" s="8676" t="s">
        <v>5306</v>
      </c>
      <c r="S30" s="8733" t="s">
        <v>5307</v>
      </c>
      <c r="T30" s="8676" t="s">
        <v>5308</v>
      </c>
      <c r="U30" s="8733" t="s">
        <v>5309</v>
      </c>
      <c r="V30" s="8676" t="s">
        <v>5310</v>
      </c>
      <c r="W30" s="8733" t="s">
        <v>5311</v>
      </c>
      <c r="X30" s="8676" t="s">
        <v>5312</v>
      </c>
      <c r="Y30" s="8733" t="s">
        <v>5313</v>
      </c>
      <c r="Z30" s="8676" t="s">
        <v>5314</v>
      </c>
      <c r="AA30" s="8733" t="s">
        <v>5315</v>
      </c>
      <c r="AB30" s="8676" t="s">
        <v>5316</v>
      </c>
      <c r="AC30" s="8733" t="s">
        <v>5317</v>
      </c>
      <c r="AD30" s="8676" t="s">
        <v>5318</v>
      </c>
      <c r="AE30" s="8733" t="s">
        <v>5319</v>
      </c>
      <c r="AF30" s="8676" t="s">
        <v>5320</v>
      </c>
      <c r="AG30" s="8733" t="s">
        <v>5321</v>
      </c>
      <c r="AH30" s="8676" t="s">
        <v>5322</v>
      </c>
      <c r="AI30" s="8733" t="s">
        <v>5323</v>
      </c>
      <c r="AJ30" s="8676" t="s">
        <v>5324</v>
      </c>
      <c r="AK30" s="8733" t="s">
        <v>5325</v>
      </c>
      <c r="AL30" s="8676" t="s">
        <v>5326</v>
      </c>
      <c r="AM30" s="8733" t="s">
        <v>5327</v>
      </c>
      <c r="AN30" s="8680" t="s">
        <v>5328</v>
      </c>
      <c r="AO30" s="8878" t="s">
        <v>5329</v>
      </c>
      <c r="AP30" s="8879" t="s">
        <v>5330</v>
      </c>
      <c r="AQ30" s="8733" t="s">
        <v>5331</v>
      </c>
      <c r="AR30" s="8676" t="s">
        <v>5332</v>
      </c>
      <c r="AS30" s="1687" t="str">
        <f>CB30&amp;CC30&amp;CD30&amp;CE30&amp;CF30&amp;CG30</f>
        <v xml:space="preserve"> * El total de Ingresos debe ser igual a la suma de los Tipos de Estrategia. </v>
      </c>
      <c r="BX30" s="2630"/>
      <c r="BY30" s="2630"/>
      <c r="BZ30" s="2630"/>
      <c r="CA30" s="2630"/>
      <c r="CB30" s="2919" t="str">
        <f>IF(CH30=1," * El total de Ingresos debe ser igual a la suma de los Tipos de Estrategia. ","")</f>
        <v xml:space="preserve"> * El total de Ingresos debe ser igual a la suma de los Tipos de Estrategia. </v>
      </c>
      <c r="CC30" s="2919" t="str">
        <f>IF(CI30=1,"* EN Rehabilitación Infantil Existen Patologías que son Mayores a los Ingresos-Personas. ","")</f>
        <v/>
      </c>
      <c r="CD30" s="2919" t="str">
        <f>IF(CJ30=1,"* En RBC existen Patologías que son mayores a los Ingresos-Personas. ","")</f>
        <v/>
      </c>
      <c r="CE30" s="2919" t="str">
        <f>IF(CK30=1,"* En RI Existen Patologías que son mayores a los Ingresos-Personas. ","")</f>
        <v/>
      </c>
      <c r="CF30" s="2919" t="str">
        <f>IF(CL30=1,"* En RR existen patologías que son mayores a los Ingresos-Persona. ","")</f>
        <v/>
      </c>
      <c r="CG30" s="2919"/>
      <c r="CH30" s="6112">
        <f>IF(SUM(AO30:AR30)=D30,0,1)</f>
        <v>1</v>
      </c>
      <c r="CI30" s="6112">
        <f>IF(AO29&lt;MAX(AO30:AO48),1,0)</f>
        <v>0</v>
      </c>
      <c r="CJ30" s="6112">
        <f>IF(AP29&lt;MAX(AP30:AP48),1,0)</f>
        <v>0</v>
      </c>
      <c r="CK30" s="6112">
        <f>IF(AQ29&lt;MAX(AQ30:AQ48),1,0)</f>
        <v>0</v>
      </c>
      <c r="CL30" s="6112">
        <f>IF(AR29&lt;MAX(AR30:AR48),1,0)</f>
        <v>0</v>
      </c>
      <c r="DJ30"/>
    </row>
    <row r="31" spans="1:114" x14ac:dyDescent="0.3">
      <c r="A31" s="6291">
        <v>29101621</v>
      </c>
      <c r="B31" s="7922"/>
      <c r="C31" s="3871" t="s">
        <v>3198</v>
      </c>
      <c r="D31" s="8880" t="s">
        <v>5292</v>
      </c>
      <c r="E31" s="8881" t="s">
        <v>5293</v>
      </c>
      <c r="F31" s="3751" t="s">
        <v>5294</v>
      </c>
      <c r="G31" s="8743" t="s">
        <v>5295</v>
      </c>
      <c r="H31" s="8744" t="s">
        <v>5296</v>
      </c>
      <c r="I31" s="8743" t="s">
        <v>5297</v>
      </c>
      <c r="J31" s="8788" t="s">
        <v>5298</v>
      </c>
      <c r="K31" s="8743" t="s">
        <v>5299</v>
      </c>
      <c r="L31" s="8788" t="s">
        <v>5300</v>
      </c>
      <c r="M31" s="8743" t="s">
        <v>5301</v>
      </c>
      <c r="N31" s="8744" t="s">
        <v>5302</v>
      </c>
      <c r="O31" s="8793" t="s">
        <v>5303</v>
      </c>
      <c r="P31" s="8788" t="s">
        <v>5304</v>
      </c>
      <c r="Q31" s="8793" t="s">
        <v>5305</v>
      </c>
      <c r="R31" s="8788" t="s">
        <v>5306</v>
      </c>
      <c r="S31" s="8793" t="s">
        <v>5307</v>
      </c>
      <c r="T31" s="8788" t="s">
        <v>5308</v>
      </c>
      <c r="U31" s="8793" t="s">
        <v>5309</v>
      </c>
      <c r="V31" s="8788" t="s">
        <v>5310</v>
      </c>
      <c r="W31" s="8793" t="s">
        <v>5311</v>
      </c>
      <c r="X31" s="8788" t="s">
        <v>5312</v>
      </c>
      <c r="Y31" s="8793" t="s">
        <v>5313</v>
      </c>
      <c r="Z31" s="8788" t="s">
        <v>5314</v>
      </c>
      <c r="AA31" s="8793" t="s">
        <v>5315</v>
      </c>
      <c r="AB31" s="8788" t="s">
        <v>5316</v>
      </c>
      <c r="AC31" s="8793" t="s">
        <v>5317</v>
      </c>
      <c r="AD31" s="8788" t="s">
        <v>5318</v>
      </c>
      <c r="AE31" s="8793" t="s">
        <v>5319</v>
      </c>
      <c r="AF31" s="8788" t="s">
        <v>5320</v>
      </c>
      <c r="AG31" s="8793" t="s">
        <v>5321</v>
      </c>
      <c r="AH31" s="8788" t="s">
        <v>5322</v>
      </c>
      <c r="AI31" s="8793" t="s">
        <v>5323</v>
      </c>
      <c r="AJ31" s="8788" t="s">
        <v>5324</v>
      </c>
      <c r="AK31" s="8793" t="s">
        <v>5325</v>
      </c>
      <c r="AL31" s="8788" t="s">
        <v>5326</v>
      </c>
      <c r="AM31" s="8793" t="s">
        <v>5327</v>
      </c>
      <c r="AN31" s="8882" t="s">
        <v>5328</v>
      </c>
      <c r="AO31" s="8883" t="s">
        <v>5329</v>
      </c>
      <c r="AP31" s="8884" t="s">
        <v>5330</v>
      </c>
      <c r="AQ31" s="8793" t="s">
        <v>5331</v>
      </c>
      <c r="AR31" s="8788" t="s">
        <v>5332</v>
      </c>
      <c r="AS31" s="1687" t="str">
        <f t="shared" ref="AS31:AS50" si="9">CB31&amp;CC31</f>
        <v xml:space="preserve"> * El total de Ingresos debe ser igual a la suma de los Tipos de Estrategia. </v>
      </c>
      <c r="BX31" s="2630"/>
      <c r="BY31" s="2630"/>
      <c r="BZ31" s="2630"/>
      <c r="CA31" s="2630"/>
      <c r="CB31" s="2919" t="str">
        <f>IF(CH31=1," * El total de Ingresos debe ser igual a la suma de los Tipos de Estrategia. ","")</f>
        <v xml:space="preserve"> * El total de Ingresos debe ser igual a la suma de los Tipos de Estrategia. </v>
      </c>
      <c r="CC31" s="3643"/>
      <c r="CD31" s="3643"/>
      <c r="CE31" s="3643"/>
      <c r="CF31" s="3643"/>
      <c r="CG31" s="3643"/>
      <c r="CH31" s="6112">
        <f>IF(SUM(AO31:AR31)=D31,0,1)</f>
        <v>1</v>
      </c>
      <c r="CI31" s="6113"/>
      <c r="CJ31" s="6113"/>
      <c r="CK31" s="6113"/>
      <c r="CL31" s="6113"/>
    </row>
    <row r="32" spans="1:114" x14ac:dyDescent="0.3">
      <c r="A32" s="6291">
        <v>29101622</v>
      </c>
      <c r="B32" s="7922"/>
      <c r="C32" s="3872" t="s">
        <v>3199</v>
      </c>
      <c r="D32" s="8796" t="s">
        <v>5292</v>
      </c>
      <c r="E32" s="8881" t="s">
        <v>5293</v>
      </c>
      <c r="F32" s="3751" t="s">
        <v>5294</v>
      </c>
      <c r="G32" s="8743" t="s">
        <v>5295</v>
      </c>
      <c r="H32" s="8744" t="s">
        <v>5296</v>
      </c>
      <c r="I32" s="8743" t="s">
        <v>5297</v>
      </c>
      <c r="J32" s="8788" t="s">
        <v>5298</v>
      </c>
      <c r="K32" s="8743" t="s">
        <v>5299</v>
      </c>
      <c r="L32" s="8788" t="s">
        <v>5300</v>
      </c>
      <c r="M32" s="8743" t="s">
        <v>5301</v>
      </c>
      <c r="N32" s="8744" t="s">
        <v>5302</v>
      </c>
      <c r="O32" s="8793" t="s">
        <v>5303</v>
      </c>
      <c r="P32" s="8788" t="s">
        <v>5304</v>
      </c>
      <c r="Q32" s="8793" t="s">
        <v>5305</v>
      </c>
      <c r="R32" s="8788" t="s">
        <v>5306</v>
      </c>
      <c r="S32" s="8793" t="s">
        <v>5307</v>
      </c>
      <c r="T32" s="8788" t="s">
        <v>5308</v>
      </c>
      <c r="U32" s="8793" t="s">
        <v>5309</v>
      </c>
      <c r="V32" s="8788" t="s">
        <v>5310</v>
      </c>
      <c r="W32" s="8793" t="s">
        <v>5311</v>
      </c>
      <c r="X32" s="8788" t="s">
        <v>5312</v>
      </c>
      <c r="Y32" s="8793" t="s">
        <v>5313</v>
      </c>
      <c r="Z32" s="8788" t="s">
        <v>5314</v>
      </c>
      <c r="AA32" s="8793" t="s">
        <v>5315</v>
      </c>
      <c r="AB32" s="8788" t="s">
        <v>5316</v>
      </c>
      <c r="AC32" s="8793" t="s">
        <v>5317</v>
      </c>
      <c r="AD32" s="8788" t="s">
        <v>5318</v>
      </c>
      <c r="AE32" s="8793" t="s">
        <v>5319</v>
      </c>
      <c r="AF32" s="8788" t="s">
        <v>5320</v>
      </c>
      <c r="AG32" s="8793" t="s">
        <v>5321</v>
      </c>
      <c r="AH32" s="8788" t="s">
        <v>5322</v>
      </c>
      <c r="AI32" s="8793" t="s">
        <v>5323</v>
      </c>
      <c r="AJ32" s="8788" t="s">
        <v>5324</v>
      </c>
      <c r="AK32" s="8793" t="s">
        <v>5325</v>
      </c>
      <c r="AL32" s="8788" t="s">
        <v>5326</v>
      </c>
      <c r="AM32" s="8793" t="s">
        <v>5327</v>
      </c>
      <c r="AN32" s="8882" t="s">
        <v>5328</v>
      </c>
      <c r="AO32" s="8883" t="s">
        <v>5329</v>
      </c>
      <c r="AP32" s="8884" t="s">
        <v>5330</v>
      </c>
      <c r="AQ32" s="8793" t="s">
        <v>5331</v>
      </c>
      <c r="AR32" s="8788" t="s">
        <v>5332</v>
      </c>
      <c r="AS32" s="1687" t="str">
        <f t="shared" si="9"/>
        <v xml:space="preserve"> * El total de Ingresos debe ser igual a la suma de los Tipos de Estrategia. </v>
      </c>
      <c r="BX32" s="2630"/>
      <c r="BY32" s="2630"/>
      <c r="BZ32" s="2630"/>
      <c r="CA32" s="2630"/>
      <c r="CB32" s="2919" t="str">
        <f t="shared" ref="CB32:CB50" si="10">IF(CH32=1," * El total de Ingresos debe ser igual a la suma de los Tipos de Estrategia. ","")</f>
        <v xml:space="preserve"> * El total de Ingresos debe ser igual a la suma de los Tipos de Estrategia. </v>
      </c>
      <c r="CC32" s="3643"/>
      <c r="CD32" s="3643"/>
      <c r="CE32" s="3643"/>
      <c r="CF32" s="3643"/>
      <c r="CG32" s="3643"/>
      <c r="CH32" s="6112">
        <f t="shared" ref="CH32:CH48" si="11">IF(SUM(AO32:AR32)=D32,0,1)</f>
        <v>1</v>
      </c>
      <c r="CI32" s="6113"/>
      <c r="CJ32" s="6113"/>
      <c r="CK32" s="6113"/>
      <c r="CL32" s="6113"/>
    </row>
    <row r="33" spans="1:90" x14ac:dyDescent="0.3">
      <c r="A33" s="6291">
        <v>29101623</v>
      </c>
      <c r="B33" s="7922"/>
      <c r="C33" s="3872" t="s">
        <v>3200</v>
      </c>
      <c r="D33" s="8796" t="s">
        <v>5292</v>
      </c>
      <c r="E33" s="8881" t="s">
        <v>5293</v>
      </c>
      <c r="F33" s="3751" t="s">
        <v>5294</v>
      </c>
      <c r="G33" s="8743" t="s">
        <v>5295</v>
      </c>
      <c r="H33" s="8744" t="s">
        <v>5296</v>
      </c>
      <c r="I33" s="8743" t="s">
        <v>5297</v>
      </c>
      <c r="J33" s="8788" t="s">
        <v>5298</v>
      </c>
      <c r="K33" s="8743" t="s">
        <v>5299</v>
      </c>
      <c r="L33" s="8788" t="s">
        <v>5300</v>
      </c>
      <c r="M33" s="8743" t="s">
        <v>5301</v>
      </c>
      <c r="N33" s="8744" t="s">
        <v>5302</v>
      </c>
      <c r="O33" s="8793" t="s">
        <v>5303</v>
      </c>
      <c r="P33" s="8788" t="s">
        <v>5304</v>
      </c>
      <c r="Q33" s="8793" t="s">
        <v>5305</v>
      </c>
      <c r="R33" s="8788" t="s">
        <v>5306</v>
      </c>
      <c r="S33" s="8793" t="s">
        <v>5307</v>
      </c>
      <c r="T33" s="8788" t="s">
        <v>5308</v>
      </c>
      <c r="U33" s="8793" t="s">
        <v>5309</v>
      </c>
      <c r="V33" s="8788" t="s">
        <v>5310</v>
      </c>
      <c r="W33" s="8793" t="s">
        <v>5311</v>
      </c>
      <c r="X33" s="8788" t="s">
        <v>5312</v>
      </c>
      <c r="Y33" s="8793" t="s">
        <v>5313</v>
      </c>
      <c r="Z33" s="8788" t="s">
        <v>5314</v>
      </c>
      <c r="AA33" s="8793" t="s">
        <v>5315</v>
      </c>
      <c r="AB33" s="8788" t="s">
        <v>5316</v>
      </c>
      <c r="AC33" s="8793" t="s">
        <v>5317</v>
      </c>
      <c r="AD33" s="8788" t="s">
        <v>5318</v>
      </c>
      <c r="AE33" s="8793" t="s">
        <v>5319</v>
      </c>
      <c r="AF33" s="8788" t="s">
        <v>5320</v>
      </c>
      <c r="AG33" s="8793" t="s">
        <v>5321</v>
      </c>
      <c r="AH33" s="8788" t="s">
        <v>5322</v>
      </c>
      <c r="AI33" s="8793" t="s">
        <v>5323</v>
      </c>
      <c r="AJ33" s="8788" t="s">
        <v>5324</v>
      </c>
      <c r="AK33" s="8793" t="s">
        <v>5325</v>
      </c>
      <c r="AL33" s="8788" t="s">
        <v>5326</v>
      </c>
      <c r="AM33" s="8793" t="s">
        <v>5327</v>
      </c>
      <c r="AN33" s="8882" t="s">
        <v>5328</v>
      </c>
      <c r="AO33" s="8883" t="s">
        <v>5329</v>
      </c>
      <c r="AP33" s="8884" t="s">
        <v>5330</v>
      </c>
      <c r="AQ33" s="8793" t="s">
        <v>5331</v>
      </c>
      <c r="AR33" s="8788" t="s">
        <v>5332</v>
      </c>
      <c r="AS33" s="1687" t="str">
        <f t="shared" si="9"/>
        <v xml:space="preserve"> * El total de Ingresos debe ser igual a la suma de los Tipos de Estrategia. </v>
      </c>
      <c r="BX33" s="2630"/>
      <c r="BY33" s="2630"/>
      <c r="BZ33" s="2630"/>
      <c r="CA33" s="2630"/>
      <c r="CB33" s="2919" t="str">
        <f t="shared" si="10"/>
        <v xml:space="preserve"> * El total de Ingresos debe ser igual a la suma de los Tipos de Estrategia. </v>
      </c>
      <c r="CC33" s="3643"/>
      <c r="CD33" s="3643"/>
      <c r="CE33" s="3643"/>
      <c r="CF33" s="3643"/>
      <c r="CG33" s="3643"/>
      <c r="CH33" s="6112">
        <f t="shared" si="11"/>
        <v>1</v>
      </c>
      <c r="CI33" s="6113"/>
      <c r="CJ33" s="6113"/>
      <c r="CK33" s="6113"/>
      <c r="CL33" s="6113"/>
    </row>
    <row r="34" spans="1:90" x14ac:dyDescent="0.3">
      <c r="A34" s="6291">
        <v>29101624</v>
      </c>
      <c r="B34" s="7922"/>
      <c r="C34" s="3872" t="s">
        <v>3201</v>
      </c>
      <c r="D34" s="8796" t="s">
        <v>5292</v>
      </c>
      <c r="E34" s="8881" t="s">
        <v>5293</v>
      </c>
      <c r="F34" s="3751" t="s">
        <v>5294</v>
      </c>
      <c r="G34" s="8743" t="s">
        <v>5295</v>
      </c>
      <c r="H34" s="8744" t="s">
        <v>5296</v>
      </c>
      <c r="I34" s="8743" t="s">
        <v>5297</v>
      </c>
      <c r="J34" s="8788" t="s">
        <v>5298</v>
      </c>
      <c r="K34" s="8743" t="s">
        <v>5299</v>
      </c>
      <c r="L34" s="8788" t="s">
        <v>5300</v>
      </c>
      <c r="M34" s="8743" t="s">
        <v>5301</v>
      </c>
      <c r="N34" s="8744" t="s">
        <v>5302</v>
      </c>
      <c r="O34" s="8793" t="s">
        <v>5303</v>
      </c>
      <c r="P34" s="8788" t="s">
        <v>5304</v>
      </c>
      <c r="Q34" s="8793" t="s">
        <v>5305</v>
      </c>
      <c r="R34" s="8788" t="s">
        <v>5306</v>
      </c>
      <c r="S34" s="8793" t="s">
        <v>5307</v>
      </c>
      <c r="T34" s="8788" t="s">
        <v>5308</v>
      </c>
      <c r="U34" s="8793" t="s">
        <v>5309</v>
      </c>
      <c r="V34" s="8788" t="s">
        <v>5310</v>
      </c>
      <c r="W34" s="8793" t="s">
        <v>5311</v>
      </c>
      <c r="X34" s="8788" t="s">
        <v>5312</v>
      </c>
      <c r="Y34" s="8793" t="s">
        <v>5313</v>
      </c>
      <c r="Z34" s="8788" t="s">
        <v>5314</v>
      </c>
      <c r="AA34" s="8793" t="s">
        <v>5315</v>
      </c>
      <c r="AB34" s="8788" t="s">
        <v>5316</v>
      </c>
      <c r="AC34" s="8793" t="s">
        <v>5317</v>
      </c>
      <c r="AD34" s="8788" t="s">
        <v>5318</v>
      </c>
      <c r="AE34" s="8793" t="s">
        <v>5319</v>
      </c>
      <c r="AF34" s="8788" t="s">
        <v>5320</v>
      </c>
      <c r="AG34" s="8793" t="s">
        <v>5321</v>
      </c>
      <c r="AH34" s="8788" t="s">
        <v>5322</v>
      </c>
      <c r="AI34" s="8793" t="s">
        <v>5323</v>
      </c>
      <c r="AJ34" s="8788" t="s">
        <v>5324</v>
      </c>
      <c r="AK34" s="8793" t="s">
        <v>5325</v>
      </c>
      <c r="AL34" s="8788" t="s">
        <v>5326</v>
      </c>
      <c r="AM34" s="8793" t="s">
        <v>5327</v>
      </c>
      <c r="AN34" s="8882" t="s">
        <v>5328</v>
      </c>
      <c r="AO34" s="8883" t="s">
        <v>5329</v>
      </c>
      <c r="AP34" s="8884" t="s">
        <v>5330</v>
      </c>
      <c r="AQ34" s="8793" t="s">
        <v>5331</v>
      </c>
      <c r="AR34" s="8788" t="s">
        <v>5332</v>
      </c>
      <c r="AS34" s="1687" t="str">
        <f t="shared" si="9"/>
        <v xml:space="preserve"> * El total de Ingresos debe ser igual a la suma de los Tipos de Estrategia. </v>
      </c>
      <c r="BX34" s="2630"/>
      <c r="BY34" s="2630"/>
      <c r="BZ34" s="2630"/>
      <c r="CA34" s="2630"/>
      <c r="CB34" s="2919" t="str">
        <f t="shared" si="10"/>
        <v xml:space="preserve"> * El total de Ingresos debe ser igual a la suma de los Tipos de Estrategia. </v>
      </c>
      <c r="CC34" s="3643"/>
      <c r="CD34" s="3643"/>
      <c r="CE34" s="3643"/>
      <c r="CF34" s="3643"/>
      <c r="CG34" s="3643"/>
      <c r="CH34" s="6112">
        <f t="shared" si="11"/>
        <v>1</v>
      </c>
      <c r="CI34" s="6113"/>
      <c r="CJ34" s="6113"/>
      <c r="CK34" s="6113"/>
      <c r="CL34" s="6113"/>
    </row>
    <row r="35" spans="1:90" x14ac:dyDescent="0.3">
      <c r="A35" s="6291">
        <v>29101625</v>
      </c>
      <c r="B35" s="7922"/>
      <c r="C35" s="3872" t="s">
        <v>3202</v>
      </c>
      <c r="D35" s="8796" t="s">
        <v>5292</v>
      </c>
      <c r="E35" s="8881" t="s">
        <v>5293</v>
      </c>
      <c r="F35" s="3751" t="s">
        <v>5294</v>
      </c>
      <c r="G35" s="8743" t="s">
        <v>5295</v>
      </c>
      <c r="H35" s="8744" t="s">
        <v>5296</v>
      </c>
      <c r="I35" s="8743" t="s">
        <v>5297</v>
      </c>
      <c r="J35" s="8788" t="s">
        <v>5298</v>
      </c>
      <c r="K35" s="8743" t="s">
        <v>5299</v>
      </c>
      <c r="L35" s="8788" t="s">
        <v>5300</v>
      </c>
      <c r="M35" s="8743" t="s">
        <v>5301</v>
      </c>
      <c r="N35" s="8744" t="s">
        <v>5302</v>
      </c>
      <c r="O35" s="8793" t="s">
        <v>5303</v>
      </c>
      <c r="P35" s="8788" t="s">
        <v>5304</v>
      </c>
      <c r="Q35" s="8793" t="s">
        <v>5305</v>
      </c>
      <c r="R35" s="8788" t="s">
        <v>5306</v>
      </c>
      <c r="S35" s="8793" t="s">
        <v>5307</v>
      </c>
      <c r="T35" s="8788" t="s">
        <v>5308</v>
      </c>
      <c r="U35" s="8793" t="s">
        <v>5309</v>
      </c>
      <c r="V35" s="8788" t="s">
        <v>5310</v>
      </c>
      <c r="W35" s="8793" t="s">
        <v>5311</v>
      </c>
      <c r="X35" s="8788" t="s">
        <v>5312</v>
      </c>
      <c r="Y35" s="8793" t="s">
        <v>5313</v>
      </c>
      <c r="Z35" s="8788" t="s">
        <v>5314</v>
      </c>
      <c r="AA35" s="8793" t="s">
        <v>5315</v>
      </c>
      <c r="AB35" s="8788" t="s">
        <v>5316</v>
      </c>
      <c r="AC35" s="8793" t="s">
        <v>5317</v>
      </c>
      <c r="AD35" s="8788" t="s">
        <v>5318</v>
      </c>
      <c r="AE35" s="8793" t="s">
        <v>5319</v>
      </c>
      <c r="AF35" s="8788" t="s">
        <v>5320</v>
      </c>
      <c r="AG35" s="8793" t="s">
        <v>5321</v>
      </c>
      <c r="AH35" s="8788" t="s">
        <v>5322</v>
      </c>
      <c r="AI35" s="8793" t="s">
        <v>5323</v>
      </c>
      <c r="AJ35" s="8788" t="s">
        <v>5324</v>
      </c>
      <c r="AK35" s="8793" t="s">
        <v>5325</v>
      </c>
      <c r="AL35" s="8788" t="s">
        <v>5326</v>
      </c>
      <c r="AM35" s="8793" t="s">
        <v>5327</v>
      </c>
      <c r="AN35" s="8882" t="s">
        <v>5328</v>
      </c>
      <c r="AO35" s="8883" t="s">
        <v>5329</v>
      </c>
      <c r="AP35" s="8884" t="s">
        <v>5330</v>
      </c>
      <c r="AQ35" s="8793" t="s">
        <v>5331</v>
      </c>
      <c r="AR35" s="8788" t="s">
        <v>5332</v>
      </c>
      <c r="AS35" s="1687" t="str">
        <f t="shared" si="9"/>
        <v xml:space="preserve"> * El total de Ingresos debe ser igual a la suma de los Tipos de Estrategia. </v>
      </c>
      <c r="BX35" s="2630"/>
      <c r="BY35" s="2630"/>
      <c r="BZ35" s="2630"/>
      <c r="CA35" s="2630"/>
      <c r="CB35" s="2919" t="str">
        <f t="shared" si="10"/>
        <v xml:space="preserve"> * El total de Ingresos debe ser igual a la suma de los Tipos de Estrategia. </v>
      </c>
      <c r="CC35" s="3643"/>
      <c r="CD35" s="3643"/>
      <c r="CE35" s="3643"/>
      <c r="CF35" s="3643"/>
      <c r="CG35" s="3643"/>
      <c r="CH35" s="6112">
        <f t="shared" si="11"/>
        <v>1</v>
      </c>
      <c r="CI35" s="6113"/>
      <c r="CJ35" s="6113"/>
      <c r="CK35" s="6113"/>
      <c r="CL35" s="6113"/>
    </row>
    <row r="36" spans="1:90" x14ac:dyDescent="0.3">
      <c r="A36" s="6291">
        <v>29101626</v>
      </c>
      <c r="B36" s="7922"/>
      <c r="C36" s="3873" t="s">
        <v>3203</v>
      </c>
      <c r="D36" s="8885" t="s">
        <v>5292</v>
      </c>
      <c r="E36" s="8881" t="s">
        <v>5293</v>
      </c>
      <c r="F36" s="3751" t="s">
        <v>5294</v>
      </c>
      <c r="G36" s="8743" t="s">
        <v>5295</v>
      </c>
      <c r="H36" s="8744" t="s">
        <v>5296</v>
      </c>
      <c r="I36" s="8743" t="s">
        <v>5297</v>
      </c>
      <c r="J36" s="8788" t="s">
        <v>5298</v>
      </c>
      <c r="K36" s="8743" t="s">
        <v>5299</v>
      </c>
      <c r="L36" s="8788" t="s">
        <v>5300</v>
      </c>
      <c r="M36" s="8743" t="s">
        <v>5301</v>
      </c>
      <c r="N36" s="8744" t="s">
        <v>5302</v>
      </c>
      <c r="O36" s="8793" t="s">
        <v>5303</v>
      </c>
      <c r="P36" s="8788" t="s">
        <v>5304</v>
      </c>
      <c r="Q36" s="8793" t="s">
        <v>5305</v>
      </c>
      <c r="R36" s="8788" t="s">
        <v>5306</v>
      </c>
      <c r="S36" s="8793" t="s">
        <v>5307</v>
      </c>
      <c r="T36" s="8788" t="s">
        <v>5308</v>
      </c>
      <c r="U36" s="8793" t="s">
        <v>5309</v>
      </c>
      <c r="V36" s="8788" t="s">
        <v>5310</v>
      </c>
      <c r="W36" s="8793" t="s">
        <v>5311</v>
      </c>
      <c r="X36" s="8788" t="s">
        <v>5312</v>
      </c>
      <c r="Y36" s="8793" t="s">
        <v>5313</v>
      </c>
      <c r="Z36" s="8788" t="s">
        <v>5314</v>
      </c>
      <c r="AA36" s="8793" t="s">
        <v>5315</v>
      </c>
      <c r="AB36" s="8788" t="s">
        <v>5316</v>
      </c>
      <c r="AC36" s="8793" t="s">
        <v>5317</v>
      </c>
      <c r="AD36" s="8788" t="s">
        <v>5318</v>
      </c>
      <c r="AE36" s="8793" t="s">
        <v>5319</v>
      </c>
      <c r="AF36" s="8788" t="s">
        <v>5320</v>
      </c>
      <c r="AG36" s="8793" t="s">
        <v>5321</v>
      </c>
      <c r="AH36" s="8788" t="s">
        <v>5322</v>
      </c>
      <c r="AI36" s="8793" t="s">
        <v>5323</v>
      </c>
      <c r="AJ36" s="8788" t="s">
        <v>5324</v>
      </c>
      <c r="AK36" s="8793" t="s">
        <v>5325</v>
      </c>
      <c r="AL36" s="8788" t="s">
        <v>5326</v>
      </c>
      <c r="AM36" s="8793" t="s">
        <v>5327</v>
      </c>
      <c r="AN36" s="8882" t="s">
        <v>5328</v>
      </c>
      <c r="AO36" s="8883" t="s">
        <v>5329</v>
      </c>
      <c r="AP36" s="8884" t="s">
        <v>5330</v>
      </c>
      <c r="AQ36" s="8793" t="s">
        <v>5331</v>
      </c>
      <c r="AR36" s="8788" t="s">
        <v>5332</v>
      </c>
      <c r="AS36" s="1687" t="str">
        <f t="shared" si="9"/>
        <v xml:space="preserve"> * El total de Ingresos debe ser igual a la suma de los Tipos de Estrategia. </v>
      </c>
      <c r="BX36" s="2630"/>
      <c r="BY36" s="2630"/>
      <c r="BZ36" s="2630"/>
      <c r="CA36" s="2630"/>
      <c r="CB36" s="2919" t="str">
        <f t="shared" si="10"/>
        <v xml:space="preserve"> * El total de Ingresos debe ser igual a la suma de los Tipos de Estrategia. </v>
      </c>
      <c r="CC36" s="3643"/>
      <c r="CD36" s="3643"/>
      <c r="CE36" s="3643"/>
      <c r="CF36" s="3643"/>
      <c r="CG36" s="3643"/>
      <c r="CH36" s="6112">
        <f t="shared" si="11"/>
        <v>1</v>
      </c>
      <c r="CI36" s="6113"/>
      <c r="CJ36" s="6113"/>
      <c r="CK36" s="6113"/>
      <c r="CL36" s="6113"/>
    </row>
    <row r="37" spans="1:90" x14ac:dyDescent="0.3">
      <c r="A37" s="6291" t="s">
        <v>5219</v>
      </c>
      <c r="B37" s="7922"/>
      <c r="C37" s="3751" t="s">
        <v>3204</v>
      </c>
      <c r="D37" s="8886" t="s">
        <v>5292</v>
      </c>
      <c r="E37" s="8881" t="s">
        <v>5293</v>
      </c>
      <c r="F37" s="3751" t="s">
        <v>5294</v>
      </c>
      <c r="G37" s="8743" t="s">
        <v>5295</v>
      </c>
      <c r="H37" s="8744" t="s">
        <v>5296</v>
      </c>
      <c r="I37" s="8743" t="s">
        <v>5297</v>
      </c>
      <c r="J37" s="8788" t="s">
        <v>5298</v>
      </c>
      <c r="K37" s="8743" t="s">
        <v>5299</v>
      </c>
      <c r="L37" s="8788" t="s">
        <v>5300</v>
      </c>
      <c r="M37" s="8743" t="s">
        <v>5301</v>
      </c>
      <c r="N37" s="8744" t="s">
        <v>5302</v>
      </c>
      <c r="O37" s="8793" t="s">
        <v>5303</v>
      </c>
      <c r="P37" s="8788" t="s">
        <v>5304</v>
      </c>
      <c r="Q37" s="8793" t="s">
        <v>5305</v>
      </c>
      <c r="R37" s="8788" t="s">
        <v>5306</v>
      </c>
      <c r="S37" s="8793" t="s">
        <v>5307</v>
      </c>
      <c r="T37" s="8788" t="s">
        <v>5308</v>
      </c>
      <c r="U37" s="8793" t="s">
        <v>5309</v>
      </c>
      <c r="V37" s="8788" t="s">
        <v>5310</v>
      </c>
      <c r="W37" s="8793" t="s">
        <v>5311</v>
      </c>
      <c r="X37" s="8788" t="s">
        <v>5312</v>
      </c>
      <c r="Y37" s="8793" t="s">
        <v>5313</v>
      </c>
      <c r="Z37" s="8788" t="s">
        <v>5314</v>
      </c>
      <c r="AA37" s="8793" t="s">
        <v>5315</v>
      </c>
      <c r="AB37" s="8788" t="s">
        <v>5316</v>
      </c>
      <c r="AC37" s="8793" t="s">
        <v>5317</v>
      </c>
      <c r="AD37" s="8788" t="s">
        <v>5318</v>
      </c>
      <c r="AE37" s="8793" t="s">
        <v>5319</v>
      </c>
      <c r="AF37" s="8788" t="s">
        <v>5320</v>
      </c>
      <c r="AG37" s="8793" t="s">
        <v>5321</v>
      </c>
      <c r="AH37" s="8788" t="s">
        <v>5322</v>
      </c>
      <c r="AI37" s="8793" t="s">
        <v>5323</v>
      </c>
      <c r="AJ37" s="8788" t="s">
        <v>5324</v>
      </c>
      <c r="AK37" s="8793" t="s">
        <v>5325</v>
      </c>
      <c r="AL37" s="8788" t="s">
        <v>5326</v>
      </c>
      <c r="AM37" s="8793" t="s">
        <v>5327</v>
      </c>
      <c r="AN37" s="8882" t="s">
        <v>5328</v>
      </c>
      <c r="AO37" s="8883" t="s">
        <v>5329</v>
      </c>
      <c r="AP37" s="8884" t="s">
        <v>5330</v>
      </c>
      <c r="AQ37" s="8793" t="s">
        <v>5331</v>
      </c>
      <c r="AR37" s="8788" t="s">
        <v>5332</v>
      </c>
      <c r="AS37" s="1687" t="str">
        <f t="shared" si="9"/>
        <v xml:space="preserve"> * El total de Ingresos debe ser igual a la suma de los Tipos de Estrategia. </v>
      </c>
      <c r="BX37" s="2630"/>
      <c r="BY37" s="2630"/>
      <c r="BZ37" s="2630"/>
      <c r="CA37" s="2630"/>
      <c r="CB37" s="2919" t="str">
        <f t="shared" si="10"/>
        <v xml:space="preserve"> * El total de Ingresos debe ser igual a la suma de los Tipos de Estrategia. </v>
      </c>
      <c r="CC37" s="3643"/>
      <c r="CD37" s="3643"/>
      <c r="CE37" s="3643"/>
      <c r="CF37" s="3643"/>
      <c r="CG37" s="3643"/>
      <c r="CH37" s="6112">
        <f t="shared" si="11"/>
        <v>1</v>
      </c>
      <c r="CI37" s="6113"/>
      <c r="CJ37" s="6113"/>
      <c r="CK37" s="6113"/>
      <c r="CL37" s="6113"/>
    </row>
    <row r="38" spans="1:90" x14ac:dyDescent="0.3">
      <c r="A38" s="6291" t="s">
        <v>5220</v>
      </c>
      <c r="B38" s="7922"/>
      <c r="C38" s="3278" t="s">
        <v>3205</v>
      </c>
      <c r="D38" s="6217" t="s">
        <v>5292</v>
      </c>
      <c r="E38" s="8881" t="s">
        <v>5293</v>
      </c>
      <c r="F38" s="3751" t="s">
        <v>5294</v>
      </c>
      <c r="G38" s="8743" t="s">
        <v>5295</v>
      </c>
      <c r="H38" s="8744" t="s">
        <v>5296</v>
      </c>
      <c r="I38" s="8743" t="s">
        <v>5297</v>
      </c>
      <c r="J38" s="8788" t="s">
        <v>5298</v>
      </c>
      <c r="K38" s="8743" t="s">
        <v>5299</v>
      </c>
      <c r="L38" s="8788" t="s">
        <v>5300</v>
      </c>
      <c r="M38" s="8743" t="s">
        <v>5301</v>
      </c>
      <c r="N38" s="8744" t="s">
        <v>5302</v>
      </c>
      <c r="O38" s="8793" t="s">
        <v>5303</v>
      </c>
      <c r="P38" s="8788" t="s">
        <v>5304</v>
      </c>
      <c r="Q38" s="8793" t="s">
        <v>5305</v>
      </c>
      <c r="R38" s="8788" t="s">
        <v>5306</v>
      </c>
      <c r="S38" s="8793" t="s">
        <v>5307</v>
      </c>
      <c r="T38" s="8788" t="s">
        <v>5308</v>
      </c>
      <c r="U38" s="8793" t="s">
        <v>5309</v>
      </c>
      <c r="V38" s="8788" t="s">
        <v>5310</v>
      </c>
      <c r="W38" s="8793" t="s">
        <v>5311</v>
      </c>
      <c r="X38" s="8788" t="s">
        <v>5312</v>
      </c>
      <c r="Y38" s="8793" t="s">
        <v>5313</v>
      </c>
      <c r="Z38" s="8788" t="s">
        <v>5314</v>
      </c>
      <c r="AA38" s="8793" t="s">
        <v>5315</v>
      </c>
      <c r="AB38" s="8788" t="s">
        <v>5316</v>
      </c>
      <c r="AC38" s="8793" t="s">
        <v>5317</v>
      </c>
      <c r="AD38" s="8788" t="s">
        <v>5318</v>
      </c>
      <c r="AE38" s="8793" t="s">
        <v>5319</v>
      </c>
      <c r="AF38" s="8788" t="s">
        <v>5320</v>
      </c>
      <c r="AG38" s="8793" t="s">
        <v>5321</v>
      </c>
      <c r="AH38" s="8788" t="s">
        <v>5322</v>
      </c>
      <c r="AI38" s="8793" t="s">
        <v>5323</v>
      </c>
      <c r="AJ38" s="8788" t="s">
        <v>5324</v>
      </c>
      <c r="AK38" s="8793" t="s">
        <v>5325</v>
      </c>
      <c r="AL38" s="8788" t="s">
        <v>5326</v>
      </c>
      <c r="AM38" s="8793" t="s">
        <v>5327</v>
      </c>
      <c r="AN38" s="8882" t="s">
        <v>5328</v>
      </c>
      <c r="AO38" s="8883" t="s">
        <v>5329</v>
      </c>
      <c r="AP38" s="8884" t="s">
        <v>5330</v>
      </c>
      <c r="AQ38" s="8793" t="s">
        <v>5331</v>
      </c>
      <c r="AR38" s="8788" t="s">
        <v>5332</v>
      </c>
      <c r="AS38" s="1687" t="str">
        <f t="shared" si="9"/>
        <v xml:space="preserve"> * El total de Ingresos debe ser igual a la suma de los Tipos de Estrategia. </v>
      </c>
      <c r="BX38" s="2630"/>
      <c r="BY38" s="2630"/>
      <c r="BZ38" s="2630"/>
      <c r="CA38" s="2630"/>
      <c r="CB38" s="2919" t="str">
        <f t="shared" si="10"/>
        <v xml:space="preserve"> * El total de Ingresos debe ser igual a la suma de los Tipos de Estrategia. </v>
      </c>
      <c r="CC38" s="3643"/>
      <c r="CD38" s="3643"/>
      <c r="CE38" s="3643"/>
      <c r="CF38" s="3643"/>
      <c r="CG38" s="3643"/>
      <c r="CH38" s="6112">
        <f t="shared" si="11"/>
        <v>1</v>
      </c>
      <c r="CI38" s="6113"/>
      <c r="CJ38" s="6113"/>
      <c r="CK38" s="6113"/>
      <c r="CL38" s="6113"/>
    </row>
    <row r="39" spans="1:90" x14ac:dyDescent="0.3">
      <c r="A39" s="6269">
        <v>28010600</v>
      </c>
      <c r="B39" s="7922"/>
      <c r="C39" s="3751" t="s">
        <v>3206</v>
      </c>
      <c r="D39" s="8886" t="s">
        <v>5292</v>
      </c>
      <c r="E39" s="8881" t="s">
        <v>5293</v>
      </c>
      <c r="F39" s="3751" t="s">
        <v>5294</v>
      </c>
      <c r="G39" s="8743" t="s">
        <v>5295</v>
      </c>
      <c r="H39" s="8744" t="s">
        <v>5296</v>
      </c>
      <c r="I39" s="8743" t="s">
        <v>5297</v>
      </c>
      <c r="J39" s="8788" t="s">
        <v>5298</v>
      </c>
      <c r="K39" s="8743" t="s">
        <v>5299</v>
      </c>
      <c r="L39" s="8788" t="s">
        <v>5300</v>
      </c>
      <c r="M39" s="8743" t="s">
        <v>5301</v>
      </c>
      <c r="N39" s="8744" t="s">
        <v>5302</v>
      </c>
      <c r="O39" s="8793" t="s">
        <v>5303</v>
      </c>
      <c r="P39" s="8788" t="s">
        <v>5304</v>
      </c>
      <c r="Q39" s="8793" t="s">
        <v>5305</v>
      </c>
      <c r="R39" s="8788" t="s">
        <v>5306</v>
      </c>
      <c r="S39" s="8793" t="s">
        <v>5307</v>
      </c>
      <c r="T39" s="8788" t="s">
        <v>5308</v>
      </c>
      <c r="U39" s="8793" t="s">
        <v>5309</v>
      </c>
      <c r="V39" s="8788" t="s">
        <v>5310</v>
      </c>
      <c r="W39" s="8793" t="s">
        <v>5311</v>
      </c>
      <c r="X39" s="8788" t="s">
        <v>5312</v>
      </c>
      <c r="Y39" s="8793" t="s">
        <v>5313</v>
      </c>
      <c r="Z39" s="8788" t="s">
        <v>5314</v>
      </c>
      <c r="AA39" s="8793" t="s">
        <v>5315</v>
      </c>
      <c r="AB39" s="8788" t="s">
        <v>5316</v>
      </c>
      <c r="AC39" s="8793" t="s">
        <v>5317</v>
      </c>
      <c r="AD39" s="8788" t="s">
        <v>5318</v>
      </c>
      <c r="AE39" s="8793" t="s">
        <v>5319</v>
      </c>
      <c r="AF39" s="8788" t="s">
        <v>5320</v>
      </c>
      <c r="AG39" s="8793" t="s">
        <v>5321</v>
      </c>
      <c r="AH39" s="8788" t="s">
        <v>5322</v>
      </c>
      <c r="AI39" s="8793" t="s">
        <v>5323</v>
      </c>
      <c r="AJ39" s="8788" t="s">
        <v>5324</v>
      </c>
      <c r="AK39" s="8793" t="s">
        <v>5325</v>
      </c>
      <c r="AL39" s="8788" t="s">
        <v>5326</v>
      </c>
      <c r="AM39" s="8793" t="s">
        <v>5327</v>
      </c>
      <c r="AN39" s="8882" t="s">
        <v>5328</v>
      </c>
      <c r="AO39" s="8883" t="s">
        <v>5329</v>
      </c>
      <c r="AP39" s="8884" t="s">
        <v>5330</v>
      </c>
      <c r="AQ39" s="8793" t="s">
        <v>5331</v>
      </c>
      <c r="AR39" s="8788" t="s">
        <v>5332</v>
      </c>
      <c r="AS39" s="1687" t="str">
        <f t="shared" si="9"/>
        <v xml:space="preserve"> * El total de Ingresos debe ser igual a la suma de los Tipos de Estrategia. </v>
      </c>
      <c r="BX39" s="2630"/>
      <c r="BY39" s="2630"/>
      <c r="BZ39" s="2630"/>
      <c r="CA39" s="2630"/>
      <c r="CB39" s="2919" t="str">
        <f t="shared" si="10"/>
        <v xml:space="preserve"> * El total de Ingresos debe ser igual a la suma de los Tipos de Estrategia. </v>
      </c>
      <c r="CC39" s="3643"/>
      <c r="CD39" s="3643"/>
      <c r="CE39" s="3643"/>
      <c r="CF39" s="3643"/>
      <c r="CG39" s="3643"/>
      <c r="CH39" s="6112">
        <f t="shared" si="11"/>
        <v>1</v>
      </c>
      <c r="CI39" s="6113"/>
      <c r="CJ39" s="6113"/>
      <c r="CK39" s="6113"/>
      <c r="CL39" s="6113"/>
    </row>
    <row r="40" spans="1:90" x14ac:dyDescent="0.3">
      <c r="A40" s="6291" t="s">
        <v>5221</v>
      </c>
      <c r="B40" s="7922"/>
      <c r="C40" s="3751" t="s">
        <v>3207</v>
      </c>
      <c r="D40" s="8886" t="s">
        <v>5292</v>
      </c>
      <c r="E40" s="8881" t="s">
        <v>5293</v>
      </c>
      <c r="F40" s="3751" t="s">
        <v>5294</v>
      </c>
      <c r="G40" s="8743" t="s">
        <v>5295</v>
      </c>
      <c r="H40" s="8744" t="s">
        <v>5296</v>
      </c>
      <c r="I40" s="8743" t="s">
        <v>5297</v>
      </c>
      <c r="J40" s="8788" t="s">
        <v>5298</v>
      </c>
      <c r="K40" s="8743" t="s">
        <v>5299</v>
      </c>
      <c r="L40" s="8788" t="s">
        <v>5300</v>
      </c>
      <c r="M40" s="8743" t="s">
        <v>5301</v>
      </c>
      <c r="N40" s="8744" t="s">
        <v>5302</v>
      </c>
      <c r="O40" s="8793" t="s">
        <v>5303</v>
      </c>
      <c r="P40" s="8788" t="s">
        <v>5304</v>
      </c>
      <c r="Q40" s="8793" t="s">
        <v>5305</v>
      </c>
      <c r="R40" s="8788" t="s">
        <v>5306</v>
      </c>
      <c r="S40" s="8793" t="s">
        <v>5307</v>
      </c>
      <c r="T40" s="8788" t="s">
        <v>5308</v>
      </c>
      <c r="U40" s="8793" t="s">
        <v>5309</v>
      </c>
      <c r="V40" s="8788" t="s">
        <v>5310</v>
      </c>
      <c r="W40" s="8793" t="s">
        <v>5311</v>
      </c>
      <c r="X40" s="8788" t="s">
        <v>5312</v>
      </c>
      <c r="Y40" s="8793" t="s">
        <v>5313</v>
      </c>
      <c r="Z40" s="8788" t="s">
        <v>5314</v>
      </c>
      <c r="AA40" s="8793" t="s">
        <v>5315</v>
      </c>
      <c r="AB40" s="8788" t="s">
        <v>5316</v>
      </c>
      <c r="AC40" s="8793" t="s">
        <v>5317</v>
      </c>
      <c r="AD40" s="8788" t="s">
        <v>5318</v>
      </c>
      <c r="AE40" s="8793" t="s">
        <v>5319</v>
      </c>
      <c r="AF40" s="8788" t="s">
        <v>5320</v>
      </c>
      <c r="AG40" s="8793" t="s">
        <v>5321</v>
      </c>
      <c r="AH40" s="8788" t="s">
        <v>5322</v>
      </c>
      <c r="AI40" s="8793" t="s">
        <v>5323</v>
      </c>
      <c r="AJ40" s="8788" t="s">
        <v>5324</v>
      </c>
      <c r="AK40" s="8793" t="s">
        <v>5325</v>
      </c>
      <c r="AL40" s="8788" t="s">
        <v>5326</v>
      </c>
      <c r="AM40" s="8793" t="s">
        <v>5327</v>
      </c>
      <c r="AN40" s="8882" t="s">
        <v>5328</v>
      </c>
      <c r="AO40" s="8883" t="s">
        <v>5329</v>
      </c>
      <c r="AP40" s="8884" t="s">
        <v>5330</v>
      </c>
      <c r="AQ40" s="8793" t="s">
        <v>5331</v>
      </c>
      <c r="AR40" s="8788" t="s">
        <v>5332</v>
      </c>
      <c r="AS40" s="1687" t="str">
        <f t="shared" si="9"/>
        <v xml:space="preserve"> * El total de Ingresos debe ser igual a la suma de los Tipos de Estrategia. </v>
      </c>
      <c r="BX40" s="2630"/>
      <c r="BY40" s="2630"/>
      <c r="BZ40" s="2630"/>
      <c r="CA40" s="2630"/>
      <c r="CB40" s="2919" t="str">
        <f t="shared" si="10"/>
        <v xml:space="preserve"> * El total de Ingresos debe ser igual a la suma de los Tipos de Estrategia. </v>
      </c>
      <c r="CC40" s="3643"/>
      <c r="CD40" s="3643"/>
      <c r="CE40" s="3643"/>
      <c r="CF40" s="3643"/>
      <c r="CG40" s="3643"/>
      <c r="CH40" s="6112">
        <f t="shared" si="11"/>
        <v>1</v>
      </c>
      <c r="CI40" s="6113"/>
      <c r="CJ40" s="6113"/>
      <c r="CK40" s="6113"/>
      <c r="CL40" s="6113"/>
    </row>
    <row r="41" spans="1:90" x14ac:dyDescent="0.3">
      <c r="A41" s="6291">
        <v>29101627</v>
      </c>
      <c r="B41" s="7922"/>
      <c r="C41" s="3005" t="s">
        <v>3208</v>
      </c>
      <c r="D41" s="8887" t="s">
        <v>5292</v>
      </c>
      <c r="E41" s="8881" t="s">
        <v>5293</v>
      </c>
      <c r="F41" s="3751" t="s">
        <v>5294</v>
      </c>
      <c r="G41" s="8743" t="s">
        <v>5295</v>
      </c>
      <c r="H41" s="8744" t="s">
        <v>5296</v>
      </c>
      <c r="I41" s="8743" t="s">
        <v>5297</v>
      </c>
      <c r="J41" s="8788" t="s">
        <v>5298</v>
      </c>
      <c r="K41" s="8743" t="s">
        <v>5299</v>
      </c>
      <c r="L41" s="8788" t="s">
        <v>5300</v>
      </c>
      <c r="M41" s="8743" t="s">
        <v>5301</v>
      </c>
      <c r="N41" s="8744" t="s">
        <v>5302</v>
      </c>
      <c r="O41" s="8793" t="s">
        <v>5303</v>
      </c>
      <c r="P41" s="8788" t="s">
        <v>5304</v>
      </c>
      <c r="Q41" s="8793" t="s">
        <v>5305</v>
      </c>
      <c r="R41" s="8788" t="s">
        <v>5306</v>
      </c>
      <c r="S41" s="8793" t="s">
        <v>5307</v>
      </c>
      <c r="T41" s="8788" t="s">
        <v>5308</v>
      </c>
      <c r="U41" s="8793" t="s">
        <v>5309</v>
      </c>
      <c r="V41" s="8788" t="s">
        <v>5310</v>
      </c>
      <c r="W41" s="8793" t="s">
        <v>5311</v>
      </c>
      <c r="X41" s="8788" t="s">
        <v>5312</v>
      </c>
      <c r="Y41" s="8793" t="s">
        <v>5313</v>
      </c>
      <c r="Z41" s="8788" t="s">
        <v>5314</v>
      </c>
      <c r="AA41" s="8793" t="s">
        <v>5315</v>
      </c>
      <c r="AB41" s="8788" t="s">
        <v>5316</v>
      </c>
      <c r="AC41" s="8793" t="s">
        <v>5317</v>
      </c>
      <c r="AD41" s="8788" t="s">
        <v>5318</v>
      </c>
      <c r="AE41" s="8793" t="s">
        <v>5319</v>
      </c>
      <c r="AF41" s="8788" t="s">
        <v>5320</v>
      </c>
      <c r="AG41" s="8793" t="s">
        <v>5321</v>
      </c>
      <c r="AH41" s="8788" t="s">
        <v>5322</v>
      </c>
      <c r="AI41" s="8793" t="s">
        <v>5323</v>
      </c>
      <c r="AJ41" s="8788" t="s">
        <v>5324</v>
      </c>
      <c r="AK41" s="8793" t="s">
        <v>5325</v>
      </c>
      <c r="AL41" s="8788" t="s">
        <v>5326</v>
      </c>
      <c r="AM41" s="8793" t="s">
        <v>5327</v>
      </c>
      <c r="AN41" s="8882" t="s">
        <v>5328</v>
      </c>
      <c r="AO41" s="8883" t="s">
        <v>5329</v>
      </c>
      <c r="AP41" s="8884" t="s">
        <v>5330</v>
      </c>
      <c r="AQ41" s="8793" t="s">
        <v>5331</v>
      </c>
      <c r="AR41" s="8788" t="s">
        <v>5332</v>
      </c>
      <c r="AS41" s="1687" t="str">
        <f t="shared" si="9"/>
        <v xml:space="preserve"> * El total de Ingresos debe ser igual a la suma de los Tipos de Estrategia. </v>
      </c>
      <c r="BX41" s="2630"/>
      <c r="BY41" s="2630"/>
      <c r="BZ41" s="2630"/>
      <c r="CA41" s="2630"/>
      <c r="CB41" s="2919" t="str">
        <f t="shared" si="10"/>
        <v xml:space="preserve"> * El total de Ingresos debe ser igual a la suma de los Tipos de Estrategia. </v>
      </c>
      <c r="CC41" s="3643"/>
      <c r="CD41" s="3643"/>
      <c r="CE41" s="3643"/>
      <c r="CF41" s="3643"/>
      <c r="CG41" s="3643"/>
      <c r="CH41" s="6112">
        <f t="shared" si="11"/>
        <v>1</v>
      </c>
      <c r="CI41" s="6113"/>
      <c r="CJ41" s="6113"/>
      <c r="CK41" s="6113"/>
      <c r="CL41" s="6113"/>
    </row>
    <row r="42" spans="1:90" x14ac:dyDescent="0.3">
      <c r="A42" s="6291">
        <v>29101628</v>
      </c>
      <c r="B42" s="7922"/>
      <c r="C42" s="3873" t="s">
        <v>3209</v>
      </c>
      <c r="D42" s="8888" t="s">
        <v>5292</v>
      </c>
      <c r="E42" s="8889" t="s">
        <v>5293</v>
      </c>
      <c r="F42" s="6224" t="s">
        <v>5294</v>
      </c>
      <c r="G42" s="8743" t="s">
        <v>5295</v>
      </c>
      <c r="H42" s="8744" t="s">
        <v>5296</v>
      </c>
      <c r="I42" s="8743" t="s">
        <v>5297</v>
      </c>
      <c r="J42" s="8744" t="s">
        <v>5298</v>
      </c>
      <c r="K42" s="8743" t="s">
        <v>5299</v>
      </c>
      <c r="L42" s="8788" t="s">
        <v>5300</v>
      </c>
      <c r="M42" s="8743" t="s">
        <v>5301</v>
      </c>
      <c r="N42" s="8744" t="s">
        <v>5302</v>
      </c>
      <c r="O42" s="8793" t="s">
        <v>5303</v>
      </c>
      <c r="P42" s="8744" t="s">
        <v>5304</v>
      </c>
      <c r="Q42" s="8890" t="s">
        <v>5305</v>
      </c>
      <c r="R42" s="8744" t="s">
        <v>5306</v>
      </c>
      <c r="S42" s="8890" t="s">
        <v>5307</v>
      </c>
      <c r="T42" s="8744" t="s">
        <v>5308</v>
      </c>
      <c r="U42" s="8890" t="s">
        <v>5309</v>
      </c>
      <c r="V42" s="8744" t="s">
        <v>5310</v>
      </c>
      <c r="W42" s="8890" t="s">
        <v>5311</v>
      </c>
      <c r="X42" s="8744" t="s">
        <v>5312</v>
      </c>
      <c r="Y42" s="8890" t="s">
        <v>5313</v>
      </c>
      <c r="Z42" s="8744" t="s">
        <v>5314</v>
      </c>
      <c r="AA42" s="8890" t="s">
        <v>5315</v>
      </c>
      <c r="AB42" s="8744" t="s">
        <v>5316</v>
      </c>
      <c r="AC42" s="8890" t="s">
        <v>5317</v>
      </c>
      <c r="AD42" s="8744" t="s">
        <v>5318</v>
      </c>
      <c r="AE42" s="8890" t="s">
        <v>5319</v>
      </c>
      <c r="AF42" s="8744" t="s">
        <v>5320</v>
      </c>
      <c r="AG42" s="8890" t="s">
        <v>5321</v>
      </c>
      <c r="AH42" s="8744" t="s">
        <v>5322</v>
      </c>
      <c r="AI42" s="8890" t="s">
        <v>5323</v>
      </c>
      <c r="AJ42" s="8744" t="s">
        <v>5324</v>
      </c>
      <c r="AK42" s="8890" t="s">
        <v>5325</v>
      </c>
      <c r="AL42" s="8744" t="s">
        <v>5326</v>
      </c>
      <c r="AM42" s="8890" t="s">
        <v>5327</v>
      </c>
      <c r="AN42" s="8891" t="s">
        <v>5328</v>
      </c>
      <c r="AO42" s="8883" t="s">
        <v>5329</v>
      </c>
      <c r="AP42" s="8884" t="s">
        <v>5330</v>
      </c>
      <c r="AQ42" s="8890" t="s">
        <v>5331</v>
      </c>
      <c r="AR42" s="8744" t="s">
        <v>5332</v>
      </c>
      <c r="AS42" s="1687" t="str">
        <f t="shared" si="9"/>
        <v xml:space="preserve"> * El total de Ingresos debe ser igual a la suma de los Tipos de Estrategia. </v>
      </c>
      <c r="BX42" s="2630"/>
      <c r="BY42" s="2630"/>
      <c r="BZ42" s="2630"/>
      <c r="CA42" s="2630"/>
      <c r="CB42" s="2919" t="str">
        <f t="shared" si="10"/>
        <v xml:space="preserve"> * El total de Ingresos debe ser igual a la suma de los Tipos de Estrategia. </v>
      </c>
      <c r="CC42" s="3643"/>
      <c r="CD42" s="3643"/>
      <c r="CE42" s="3643"/>
      <c r="CF42" s="3643"/>
      <c r="CG42" s="3643"/>
      <c r="CH42" s="6112">
        <f t="shared" si="11"/>
        <v>1</v>
      </c>
      <c r="CI42" s="6113"/>
      <c r="CJ42" s="6113"/>
      <c r="CK42" s="6113"/>
      <c r="CL42" s="6113"/>
    </row>
    <row r="43" spans="1:90" x14ac:dyDescent="0.3">
      <c r="A43" s="6291">
        <v>28022110</v>
      </c>
      <c r="B43" s="7922"/>
      <c r="C43" s="3874" t="s">
        <v>3210</v>
      </c>
      <c r="D43" s="8892" t="s">
        <v>5292</v>
      </c>
      <c r="E43" s="8889" t="s">
        <v>5293</v>
      </c>
      <c r="F43" s="6224" t="s">
        <v>5294</v>
      </c>
      <c r="G43" s="8743" t="s">
        <v>5295</v>
      </c>
      <c r="H43" s="8744" t="s">
        <v>5296</v>
      </c>
      <c r="I43" s="8743" t="s">
        <v>5297</v>
      </c>
      <c r="J43" s="8744" t="s">
        <v>5298</v>
      </c>
      <c r="K43" s="8743" t="s">
        <v>5299</v>
      </c>
      <c r="L43" s="8788" t="s">
        <v>5300</v>
      </c>
      <c r="M43" s="8743" t="s">
        <v>5301</v>
      </c>
      <c r="N43" s="8744" t="s">
        <v>5302</v>
      </c>
      <c r="O43" s="8793" t="s">
        <v>5303</v>
      </c>
      <c r="P43" s="8744" t="s">
        <v>5304</v>
      </c>
      <c r="Q43" s="8890" t="s">
        <v>5305</v>
      </c>
      <c r="R43" s="8744" t="s">
        <v>5306</v>
      </c>
      <c r="S43" s="8890" t="s">
        <v>5307</v>
      </c>
      <c r="T43" s="8744" t="s">
        <v>5308</v>
      </c>
      <c r="U43" s="8890" t="s">
        <v>5309</v>
      </c>
      <c r="V43" s="8744" t="s">
        <v>5310</v>
      </c>
      <c r="W43" s="8890" t="s">
        <v>5311</v>
      </c>
      <c r="X43" s="8744" t="s">
        <v>5312</v>
      </c>
      <c r="Y43" s="8890" t="s">
        <v>5313</v>
      </c>
      <c r="Z43" s="8744" t="s">
        <v>5314</v>
      </c>
      <c r="AA43" s="8890" t="s">
        <v>5315</v>
      </c>
      <c r="AB43" s="8744" t="s">
        <v>5316</v>
      </c>
      <c r="AC43" s="8890" t="s">
        <v>5317</v>
      </c>
      <c r="AD43" s="8744" t="s">
        <v>5318</v>
      </c>
      <c r="AE43" s="8890" t="s">
        <v>5319</v>
      </c>
      <c r="AF43" s="8744" t="s">
        <v>5320</v>
      </c>
      <c r="AG43" s="8890" t="s">
        <v>5321</v>
      </c>
      <c r="AH43" s="8744" t="s">
        <v>5322</v>
      </c>
      <c r="AI43" s="8890" t="s">
        <v>5323</v>
      </c>
      <c r="AJ43" s="8744" t="s">
        <v>5324</v>
      </c>
      <c r="AK43" s="8890" t="s">
        <v>5325</v>
      </c>
      <c r="AL43" s="8744" t="s">
        <v>5326</v>
      </c>
      <c r="AM43" s="8890" t="s">
        <v>5327</v>
      </c>
      <c r="AN43" s="8891" t="s">
        <v>5328</v>
      </c>
      <c r="AO43" s="8883" t="s">
        <v>5329</v>
      </c>
      <c r="AP43" s="8884" t="s">
        <v>5330</v>
      </c>
      <c r="AQ43" s="8890" t="s">
        <v>5331</v>
      </c>
      <c r="AR43" s="8744" t="s">
        <v>5332</v>
      </c>
      <c r="AS43" s="1687" t="str">
        <f t="shared" si="9"/>
        <v xml:space="preserve"> * El total de Ingresos debe ser igual a la suma de los Tipos de Estrategia. </v>
      </c>
      <c r="BX43" s="2630"/>
      <c r="BY43" s="2630"/>
      <c r="BZ43" s="2630"/>
      <c r="CA43" s="2630"/>
      <c r="CB43" s="2919" t="str">
        <f t="shared" si="10"/>
        <v xml:space="preserve"> * El total de Ingresos debe ser igual a la suma de los Tipos de Estrategia. </v>
      </c>
      <c r="CC43" s="3643"/>
      <c r="CD43" s="3643"/>
      <c r="CE43" s="3643"/>
      <c r="CF43" s="3643"/>
      <c r="CG43" s="3643"/>
      <c r="CH43" s="6112">
        <f t="shared" si="11"/>
        <v>1</v>
      </c>
      <c r="CI43" s="6113"/>
      <c r="CJ43" s="6113"/>
      <c r="CK43" s="6113"/>
      <c r="CL43" s="6113"/>
    </row>
    <row r="44" spans="1:90" x14ac:dyDescent="0.3">
      <c r="A44" s="6291">
        <v>29101629</v>
      </c>
      <c r="B44" s="7922"/>
      <c r="C44" s="3875" t="s">
        <v>3211</v>
      </c>
      <c r="D44" s="8892" t="s">
        <v>5292</v>
      </c>
      <c r="E44" s="8889" t="s">
        <v>5293</v>
      </c>
      <c r="F44" s="6224" t="s">
        <v>5294</v>
      </c>
      <c r="G44" s="8743" t="s">
        <v>5295</v>
      </c>
      <c r="H44" s="8744" t="s">
        <v>5296</v>
      </c>
      <c r="I44" s="8743" t="s">
        <v>5297</v>
      </c>
      <c r="J44" s="8744" t="s">
        <v>5298</v>
      </c>
      <c r="K44" s="8743" t="s">
        <v>5299</v>
      </c>
      <c r="L44" s="8788" t="s">
        <v>5300</v>
      </c>
      <c r="M44" s="8743" t="s">
        <v>5301</v>
      </c>
      <c r="N44" s="8744" t="s">
        <v>5302</v>
      </c>
      <c r="O44" s="8793" t="s">
        <v>5303</v>
      </c>
      <c r="P44" s="8744" t="s">
        <v>5304</v>
      </c>
      <c r="Q44" s="8890" t="s">
        <v>5305</v>
      </c>
      <c r="R44" s="8744" t="s">
        <v>5306</v>
      </c>
      <c r="S44" s="8890" t="s">
        <v>5307</v>
      </c>
      <c r="T44" s="8744" t="s">
        <v>5308</v>
      </c>
      <c r="U44" s="8890" t="s">
        <v>5309</v>
      </c>
      <c r="V44" s="8744" t="s">
        <v>5310</v>
      </c>
      <c r="W44" s="8890" t="s">
        <v>5311</v>
      </c>
      <c r="X44" s="8744" t="s">
        <v>5312</v>
      </c>
      <c r="Y44" s="8890" t="s">
        <v>5313</v>
      </c>
      <c r="Z44" s="8744" t="s">
        <v>5314</v>
      </c>
      <c r="AA44" s="8890" t="s">
        <v>5315</v>
      </c>
      <c r="AB44" s="8744" t="s">
        <v>5316</v>
      </c>
      <c r="AC44" s="8890" t="s">
        <v>5317</v>
      </c>
      <c r="AD44" s="8744" t="s">
        <v>5318</v>
      </c>
      <c r="AE44" s="8890" t="s">
        <v>5319</v>
      </c>
      <c r="AF44" s="8744" t="s">
        <v>5320</v>
      </c>
      <c r="AG44" s="8890" t="s">
        <v>5321</v>
      </c>
      <c r="AH44" s="8744" t="s">
        <v>5322</v>
      </c>
      <c r="AI44" s="8890" t="s">
        <v>5323</v>
      </c>
      <c r="AJ44" s="8744" t="s">
        <v>5324</v>
      </c>
      <c r="AK44" s="8890" t="s">
        <v>5325</v>
      </c>
      <c r="AL44" s="8744" t="s">
        <v>5326</v>
      </c>
      <c r="AM44" s="8890" t="s">
        <v>5327</v>
      </c>
      <c r="AN44" s="8891" t="s">
        <v>5328</v>
      </c>
      <c r="AO44" s="8883" t="s">
        <v>5329</v>
      </c>
      <c r="AP44" s="8884" t="s">
        <v>5330</v>
      </c>
      <c r="AQ44" s="8890" t="s">
        <v>5331</v>
      </c>
      <c r="AR44" s="8744" t="s">
        <v>5332</v>
      </c>
      <c r="AS44" s="1687" t="str">
        <f t="shared" si="9"/>
        <v xml:space="preserve"> * El total de Ingresos debe ser igual a la suma de los Tipos de Estrategia. </v>
      </c>
      <c r="BX44" s="2630"/>
      <c r="BY44" s="2630"/>
      <c r="BZ44" s="2630"/>
      <c r="CA44" s="2630"/>
      <c r="CB44" s="2919" t="str">
        <f t="shared" si="10"/>
        <v xml:space="preserve"> * El total de Ingresos debe ser igual a la suma de los Tipos de Estrategia. </v>
      </c>
      <c r="CC44" s="3643"/>
      <c r="CD44" s="3643"/>
      <c r="CE44" s="3643"/>
      <c r="CF44" s="3643"/>
      <c r="CG44" s="3643"/>
      <c r="CH44" s="6112">
        <f t="shared" si="11"/>
        <v>1</v>
      </c>
      <c r="CI44" s="6113"/>
      <c r="CJ44" s="6113"/>
      <c r="CK44" s="6113"/>
      <c r="CL44" s="6113"/>
    </row>
    <row r="45" spans="1:90" x14ac:dyDescent="0.3">
      <c r="A45" s="6291">
        <v>29101630</v>
      </c>
      <c r="B45" s="7922"/>
      <c r="C45" s="3874" t="s">
        <v>3212</v>
      </c>
      <c r="D45" s="8892" t="s">
        <v>5292</v>
      </c>
      <c r="E45" s="8889" t="s">
        <v>5293</v>
      </c>
      <c r="F45" s="6224" t="s">
        <v>5294</v>
      </c>
      <c r="G45" s="8743" t="s">
        <v>5295</v>
      </c>
      <c r="H45" s="8744" t="s">
        <v>5296</v>
      </c>
      <c r="I45" s="8743" t="s">
        <v>5297</v>
      </c>
      <c r="J45" s="8744" t="s">
        <v>5298</v>
      </c>
      <c r="K45" s="8743" t="s">
        <v>5299</v>
      </c>
      <c r="L45" s="8788" t="s">
        <v>5300</v>
      </c>
      <c r="M45" s="8743" t="s">
        <v>5301</v>
      </c>
      <c r="N45" s="8744" t="s">
        <v>5302</v>
      </c>
      <c r="O45" s="8793" t="s">
        <v>5303</v>
      </c>
      <c r="P45" s="8744" t="s">
        <v>5304</v>
      </c>
      <c r="Q45" s="8890" t="s">
        <v>5305</v>
      </c>
      <c r="R45" s="8744" t="s">
        <v>5306</v>
      </c>
      <c r="S45" s="8890" t="s">
        <v>5307</v>
      </c>
      <c r="T45" s="8744" t="s">
        <v>5308</v>
      </c>
      <c r="U45" s="8890" t="s">
        <v>5309</v>
      </c>
      <c r="V45" s="8744" t="s">
        <v>5310</v>
      </c>
      <c r="W45" s="8890" t="s">
        <v>5311</v>
      </c>
      <c r="X45" s="8744" t="s">
        <v>5312</v>
      </c>
      <c r="Y45" s="8890" t="s">
        <v>5313</v>
      </c>
      <c r="Z45" s="8744" t="s">
        <v>5314</v>
      </c>
      <c r="AA45" s="8890" t="s">
        <v>5315</v>
      </c>
      <c r="AB45" s="8744" t="s">
        <v>5316</v>
      </c>
      <c r="AC45" s="8890" t="s">
        <v>5317</v>
      </c>
      <c r="AD45" s="8744" t="s">
        <v>5318</v>
      </c>
      <c r="AE45" s="8890" t="s">
        <v>5319</v>
      </c>
      <c r="AF45" s="8744" t="s">
        <v>5320</v>
      </c>
      <c r="AG45" s="8890" t="s">
        <v>5321</v>
      </c>
      <c r="AH45" s="8744" t="s">
        <v>5322</v>
      </c>
      <c r="AI45" s="8890" t="s">
        <v>5323</v>
      </c>
      <c r="AJ45" s="8744" t="s">
        <v>5324</v>
      </c>
      <c r="AK45" s="8890" t="s">
        <v>5325</v>
      </c>
      <c r="AL45" s="8744" t="s">
        <v>5326</v>
      </c>
      <c r="AM45" s="8890" t="s">
        <v>5327</v>
      </c>
      <c r="AN45" s="8891" t="s">
        <v>5328</v>
      </c>
      <c r="AO45" s="8883" t="s">
        <v>5329</v>
      </c>
      <c r="AP45" s="8884" t="s">
        <v>5330</v>
      </c>
      <c r="AQ45" s="8890" t="s">
        <v>5331</v>
      </c>
      <c r="AR45" s="8744" t="s">
        <v>5332</v>
      </c>
      <c r="AS45" s="1687" t="str">
        <f t="shared" si="9"/>
        <v xml:space="preserve"> * El total de Ingresos debe ser igual a la suma de los Tipos de Estrategia. </v>
      </c>
      <c r="BX45" s="2630"/>
      <c r="BY45" s="2630"/>
      <c r="BZ45" s="2630"/>
      <c r="CA45" s="2630"/>
      <c r="CB45" s="2919" t="str">
        <f t="shared" si="10"/>
        <v xml:space="preserve"> * El total de Ingresos debe ser igual a la suma de los Tipos de Estrategia. </v>
      </c>
      <c r="CC45" s="3643"/>
      <c r="CD45" s="3643"/>
      <c r="CE45" s="3643"/>
      <c r="CF45" s="3643"/>
      <c r="CG45" s="3643"/>
      <c r="CH45" s="6112">
        <f t="shared" si="11"/>
        <v>1</v>
      </c>
      <c r="CI45" s="6113"/>
      <c r="CJ45" s="6113"/>
      <c r="CK45" s="6113"/>
      <c r="CL45" s="6113"/>
    </row>
    <row r="46" spans="1:90" x14ac:dyDescent="0.3">
      <c r="A46" s="6291">
        <v>29101631</v>
      </c>
      <c r="B46" s="7922"/>
      <c r="C46" s="3874" t="s">
        <v>3213</v>
      </c>
      <c r="D46" s="8892" t="s">
        <v>5292</v>
      </c>
      <c r="E46" s="8889" t="s">
        <v>5293</v>
      </c>
      <c r="F46" s="6224" t="s">
        <v>5294</v>
      </c>
      <c r="G46" s="8743" t="s">
        <v>5295</v>
      </c>
      <c r="H46" s="8744" t="s">
        <v>5296</v>
      </c>
      <c r="I46" s="8743" t="s">
        <v>5297</v>
      </c>
      <c r="J46" s="8744" t="s">
        <v>5298</v>
      </c>
      <c r="K46" s="8743" t="s">
        <v>5299</v>
      </c>
      <c r="L46" s="8788" t="s">
        <v>5300</v>
      </c>
      <c r="M46" s="8743" t="s">
        <v>5301</v>
      </c>
      <c r="N46" s="8744" t="s">
        <v>5302</v>
      </c>
      <c r="O46" s="8793" t="s">
        <v>5303</v>
      </c>
      <c r="P46" s="8744" t="s">
        <v>5304</v>
      </c>
      <c r="Q46" s="8890" t="s">
        <v>5305</v>
      </c>
      <c r="R46" s="8744" t="s">
        <v>5306</v>
      </c>
      <c r="S46" s="8890" t="s">
        <v>5307</v>
      </c>
      <c r="T46" s="8744" t="s">
        <v>5308</v>
      </c>
      <c r="U46" s="8890" t="s">
        <v>5309</v>
      </c>
      <c r="V46" s="8744" t="s">
        <v>5310</v>
      </c>
      <c r="W46" s="8890" t="s">
        <v>5311</v>
      </c>
      <c r="X46" s="8744" t="s">
        <v>5312</v>
      </c>
      <c r="Y46" s="8890" t="s">
        <v>5313</v>
      </c>
      <c r="Z46" s="8744" t="s">
        <v>5314</v>
      </c>
      <c r="AA46" s="8890" t="s">
        <v>5315</v>
      </c>
      <c r="AB46" s="8744" t="s">
        <v>5316</v>
      </c>
      <c r="AC46" s="8890" t="s">
        <v>5317</v>
      </c>
      <c r="AD46" s="8744" t="s">
        <v>5318</v>
      </c>
      <c r="AE46" s="8890" t="s">
        <v>5319</v>
      </c>
      <c r="AF46" s="8744" t="s">
        <v>5320</v>
      </c>
      <c r="AG46" s="8890" t="s">
        <v>5321</v>
      </c>
      <c r="AH46" s="8744" t="s">
        <v>5322</v>
      </c>
      <c r="AI46" s="8890" t="s">
        <v>5323</v>
      </c>
      <c r="AJ46" s="8744" t="s">
        <v>5324</v>
      </c>
      <c r="AK46" s="8890" t="s">
        <v>5325</v>
      </c>
      <c r="AL46" s="8744" t="s">
        <v>5326</v>
      </c>
      <c r="AM46" s="8890" t="s">
        <v>5327</v>
      </c>
      <c r="AN46" s="8891" t="s">
        <v>5328</v>
      </c>
      <c r="AO46" s="8883" t="s">
        <v>5329</v>
      </c>
      <c r="AP46" s="8884" t="s">
        <v>5330</v>
      </c>
      <c r="AQ46" s="8890" t="s">
        <v>5331</v>
      </c>
      <c r="AR46" s="8744" t="s">
        <v>5332</v>
      </c>
      <c r="AS46" s="1687" t="str">
        <f t="shared" si="9"/>
        <v xml:space="preserve"> * El total de Ingresos debe ser igual a la suma de los Tipos de Estrategia. </v>
      </c>
      <c r="BX46" s="2630"/>
      <c r="BY46" s="2630"/>
      <c r="BZ46" s="2630"/>
      <c r="CA46" s="2630"/>
      <c r="CB46" s="2919" t="str">
        <f t="shared" si="10"/>
        <v xml:space="preserve"> * El total de Ingresos debe ser igual a la suma de los Tipos de Estrategia. </v>
      </c>
      <c r="CC46" s="3643"/>
      <c r="CD46" s="3643"/>
      <c r="CE46" s="3643"/>
      <c r="CF46" s="3643"/>
      <c r="CG46" s="3643"/>
      <c r="CH46" s="6112">
        <f t="shared" si="11"/>
        <v>1</v>
      </c>
      <c r="CI46" s="6113"/>
      <c r="CJ46" s="6113"/>
      <c r="CK46" s="6113"/>
      <c r="CL46" s="6113"/>
    </row>
    <row r="47" spans="1:90" x14ac:dyDescent="0.3">
      <c r="A47" s="6291">
        <v>29101632</v>
      </c>
      <c r="B47" s="7922"/>
      <c r="C47" s="3874" t="s">
        <v>3214</v>
      </c>
      <c r="D47" s="8893" t="s">
        <v>5292</v>
      </c>
      <c r="E47" s="8894" t="s">
        <v>5293</v>
      </c>
      <c r="F47" s="6222" t="s">
        <v>5294</v>
      </c>
      <c r="G47" s="8713" t="s">
        <v>5295</v>
      </c>
      <c r="H47" s="8714" t="s">
        <v>5296</v>
      </c>
      <c r="I47" s="8713" t="s">
        <v>5297</v>
      </c>
      <c r="J47" s="8714" t="s">
        <v>5298</v>
      </c>
      <c r="K47" s="8713" t="s">
        <v>5299</v>
      </c>
      <c r="L47" s="8719" t="s">
        <v>5300</v>
      </c>
      <c r="M47" s="8713" t="s">
        <v>5301</v>
      </c>
      <c r="N47" s="8714" t="s">
        <v>5302</v>
      </c>
      <c r="O47" s="8715" t="s">
        <v>5303</v>
      </c>
      <c r="P47" s="8714" t="s">
        <v>5304</v>
      </c>
      <c r="Q47" s="8895" t="s">
        <v>5305</v>
      </c>
      <c r="R47" s="8714" t="s">
        <v>5306</v>
      </c>
      <c r="S47" s="8895" t="s">
        <v>5307</v>
      </c>
      <c r="T47" s="8714" t="s">
        <v>5308</v>
      </c>
      <c r="U47" s="8895" t="s">
        <v>5309</v>
      </c>
      <c r="V47" s="8714" t="s">
        <v>5310</v>
      </c>
      <c r="W47" s="8895" t="s">
        <v>5311</v>
      </c>
      <c r="X47" s="8714" t="s">
        <v>5312</v>
      </c>
      <c r="Y47" s="8895" t="s">
        <v>5313</v>
      </c>
      <c r="Z47" s="8714" t="s">
        <v>5314</v>
      </c>
      <c r="AA47" s="8895" t="s">
        <v>5315</v>
      </c>
      <c r="AB47" s="8714" t="s">
        <v>5316</v>
      </c>
      <c r="AC47" s="8895" t="s">
        <v>5317</v>
      </c>
      <c r="AD47" s="8714" t="s">
        <v>5318</v>
      </c>
      <c r="AE47" s="8895" t="s">
        <v>5319</v>
      </c>
      <c r="AF47" s="8714" t="s">
        <v>5320</v>
      </c>
      <c r="AG47" s="8895" t="s">
        <v>5321</v>
      </c>
      <c r="AH47" s="8714" t="s">
        <v>5322</v>
      </c>
      <c r="AI47" s="8895" t="s">
        <v>5323</v>
      </c>
      <c r="AJ47" s="8714" t="s">
        <v>5324</v>
      </c>
      <c r="AK47" s="8895" t="s">
        <v>5325</v>
      </c>
      <c r="AL47" s="8714" t="s">
        <v>5326</v>
      </c>
      <c r="AM47" s="8895" t="s">
        <v>5327</v>
      </c>
      <c r="AN47" s="8716" t="s">
        <v>5328</v>
      </c>
      <c r="AO47" s="8896" t="s">
        <v>5329</v>
      </c>
      <c r="AP47" s="8895" t="s">
        <v>5330</v>
      </c>
      <c r="AQ47" s="8895" t="s">
        <v>5331</v>
      </c>
      <c r="AR47" s="8714" t="s">
        <v>5332</v>
      </c>
      <c r="AS47" s="1687" t="str">
        <f t="shared" si="9"/>
        <v xml:space="preserve"> * El total de Ingresos debe ser igual a la suma de los Tipos de Estrategia. </v>
      </c>
      <c r="BX47" s="2630"/>
      <c r="BY47" s="2630"/>
      <c r="BZ47" s="2630"/>
      <c r="CA47" s="2630"/>
      <c r="CB47" s="2919" t="str">
        <f>IF(CH47=1," * El total de Ingresos debe ser igual a la suma de los Tipos de Estrategia. ","")</f>
        <v xml:space="preserve"> * El total de Ingresos debe ser igual a la suma de los Tipos de Estrategia. </v>
      </c>
      <c r="CC47" s="3643"/>
      <c r="CD47" s="3643"/>
      <c r="CE47" s="3643"/>
      <c r="CF47" s="3643"/>
      <c r="CG47" s="3643"/>
      <c r="CH47" s="6112">
        <f t="shared" si="11"/>
        <v>1</v>
      </c>
      <c r="CI47" s="6113"/>
      <c r="CJ47" s="6113"/>
      <c r="CK47" s="6113"/>
      <c r="CL47" s="6113"/>
    </row>
    <row r="48" spans="1:90" x14ac:dyDescent="0.3">
      <c r="A48" s="6269">
        <v>28021633</v>
      </c>
      <c r="B48" s="8260"/>
      <c r="C48" s="3876" t="s">
        <v>28</v>
      </c>
      <c r="D48" s="8897" t="s">
        <v>5292</v>
      </c>
      <c r="E48" s="8898" t="s">
        <v>5293</v>
      </c>
      <c r="F48" s="6223" t="s">
        <v>5294</v>
      </c>
      <c r="G48" s="8655" t="s">
        <v>5295</v>
      </c>
      <c r="H48" s="8656" t="s">
        <v>5296</v>
      </c>
      <c r="I48" s="8655" t="s">
        <v>5297</v>
      </c>
      <c r="J48" s="8656" t="s">
        <v>5298</v>
      </c>
      <c r="K48" s="8655" t="s">
        <v>5299</v>
      </c>
      <c r="L48" s="8728" t="s">
        <v>5300</v>
      </c>
      <c r="M48" s="8655" t="s">
        <v>5301</v>
      </c>
      <c r="N48" s="8656" t="s">
        <v>5302</v>
      </c>
      <c r="O48" s="8724" t="s">
        <v>5303</v>
      </c>
      <c r="P48" s="8656" t="s">
        <v>5304</v>
      </c>
      <c r="Q48" s="8899" t="s">
        <v>5305</v>
      </c>
      <c r="R48" s="8656" t="s">
        <v>5306</v>
      </c>
      <c r="S48" s="8899" t="s">
        <v>5307</v>
      </c>
      <c r="T48" s="8656" t="s">
        <v>5308</v>
      </c>
      <c r="U48" s="8899" t="s">
        <v>5309</v>
      </c>
      <c r="V48" s="8656" t="s">
        <v>5310</v>
      </c>
      <c r="W48" s="8899" t="s">
        <v>5311</v>
      </c>
      <c r="X48" s="8656" t="s">
        <v>5312</v>
      </c>
      <c r="Y48" s="8899" t="s">
        <v>5313</v>
      </c>
      <c r="Z48" s="8656" t="s">
        <v>5314</v>
      </c>
      <c r="AA48" s="8899" t="s">
        <v>5315</v>
      </c>
      <c r="AB48" s="8656" t="s">
        <v>5316</v>
      </c>
      <c r="AC48" s="8899" t="s">
        <v>5317</v>
      </c>
      <c r="AD48" s="8656" t="s">
        <v>5318</v>
      </c>
      <c r="AE48" s="8899" t="s">
        <v>5319</v>
      </c>
      <c r="AF48" s="8656" t="s">
        <v>5320</v>
      </c>
      <c r="AG48" s="8899" t="s">
        <v>5321</v>
      </c>
      <c r="AH48" s="8656" t="s">
        <v>5322</v>
      </c>
      <c r="AI48" s="8899" t="s">
        <v>5323</v>
      </c>
      <c r="AJ48" s="8656" t="s">
        <v>5324</v>
      </c>
      <c r="AK48" s="8899" t="s">
        <v>5325</v>
      </c>
      <c r="AL48" s="8656" t="s">
        <v>5326</v>
      </c>
      <c r="AM48" s="8899" t="s">
        <v>5327</v>
      </c>
      <c r="AN48" s="8900" t="s">
        <v>5328</v>
      </c>
      <c r="AO48" s="8901" t="s">
        <v>5329</v>
      </c>
      <c r="AP48" s="8899" t="s">
        <v>5330</v>
      </c>
      <c r="AQ48" s="8899" t="s">
        <v>5331</v>
      </c>
      <c r="AR48" s="8656" t="s">
        <v>5332</v>
      </c>
      <c r="AS48" s="1687" t="str">
        <f t="shared" si="9"/>
        <v xml:space="preserve"> * El total de Ingresos debe ser igual a la suma de los Tipos de Estrategia. </v>
      </c>
      <c r="BX48" s="2630"/>
      <c r="BY48" s="2630"/>
      <c r="BZ48" s="2630"/>
      <c r="CA48" s="2630"/>
      <c r="CB48" s="2919" t="str">
        <f t="shared" si="10"/>
        <v xml:space="preserve"> * El total de Ingresos debe ser igual a la suma de los Tipos de Estrategia. </v>
      </c>
      <c r="CC48" s="3643"/>
      <c r="CD48" s="3643"/>
      <c r="CE48" s="3643"/>
      <c r="CF48" s="3643"/>
      <c r="CG48" s="3643"/>
      <c r="CH48" s="6112">
        <f t="shared" si="11"/>
        <v>1</v>
      </c>
      <c r="CI48" s="6113"/>
      <c r="CJ48" s="6113"/>
      <c r="CK48" s="6113"/>
      <c r="CL48" s="6113"/>
    </row>
    <row r="49" spans="1:131" x14ac:dyDescent="0.3">
      <c r="A49" s="6269">
        <v>28022210</v>
      </c>
      <c r="B49" s="5342" t="s">
        <v>3215</v>
      </c>
      <c r="C49" s="5341"/>
      <c r="D49" s="8902" t="s">
        <v>5292</v>
      </c>
      <c r="E49" s="8889" t="s">
        <v>5293</v>
      </c>
      <c r="F49" s="6224" t="s">
        <v>5294</v>
      </c>
      <c r="G49" s="8671" t="s">
        <v>5295</v>
      </c>
      <c r="H49" s="8681" t="s">
        <v>5296</v>
      </c>
      <c r="I49" s="8671" t="s">
        <v>5297</v>
      </c>
      <c r="J49" s="8676" t="s">
        <v>5298</v>
      </c>
      <c r="K49" s="8671" t="s">
        <v>5299</v>
      </c>
      <c r="L49" s="8676" t="s">
        <v>5300</v>
      </c>
      <c r="M49" s="8671" t="s">
        <v>5301</v>
      </c>
      <c r="N49" s="8681" t="s">
        <v>5302</v>
      </c>
      <c r="O49" s="8733" t="s">
        <v>5303</v>
      </c>
      <c r="P49" s="8676" t="s">
        <v>5304</v>
      </c>
      <c r="Q49" s="8733" t="s">
        <v>5305</v>
      </c>
      <c r="R49" s="8676" t="s">
        <v>5306</v>
      </c>
      <c r="S49" s="8733" t="s">
        <v>5307</v>
      </c>
      <c r="T49" s="8676" t="s">
        <v>5308</v>
      </c>
      <c r="U49" s="8733" t="s">
        <v>5309</v>
      </c>
      <c r="V49" s="8676" t="s">
        <v>5310</v>
      </c>
      <c r="W49" s="8733" t="s">
        <v>5311</v>
      </c>
      <c r="X49" s="8676" t="s">
        <v>5312</v>
      </c>
      <c r="Y49" s="8733" t="s">
        <v>5313</v>
      </c>
      <c r="Z49" s="8676" t="s">
        <v>5314</v>
      </c>
      <c r="AA49" s="8733" t="s">
        <v>5315</v>
      </c>
      <c r="AB49" s="8676" t="s">
        <v>5316</v>
      </c>
      <c r="AC49" s="8733" t="s">
        <v>5317</v>
      </c>
      <c r="AD49" s="8676" t="s">
        <v>5318</v>
      </c>
      <c r="AE49" s="8733" t="s">
        <v>5319</v>
      </c>
      <c r="AF49" s="8676" t="s">
        <v>5320</v>
      </c>
      <c r="AG49" s="8733" t="s">
        <v>5321</v>
      </c>
      <c r="AH49" s="8676" t="s">
        <v>5322</v>
      </c>
      <c r="AI49" s="8733" t="s">
        <v>5323</v>
      </c>
      <c r="AJ49" s="8676" t="s">
        <v>5324</v>
      </c>
      <c r="AK49" s="8733" t="s">
        <v>5325</v>
      </c>
      <c r="AL49" s="8676" t="s">
        <v>5326</v>
      </c>
      <c r="AM49" s="8733" t="s">
        <v>5327</v>
      </c>
      <c r="AN49" s="8680" t="s">
        <v>5328</v>
      </c>
      <c r="AO49" s="8878" t="s">
        <v>5329</v>
      </c>
      <c r="AP49" s="8879" t="s">
        <v>5330</v>
      </c>
      <c r="AQ49" s="8733" t="s">
        <v>5331</v>
      </c>
      <c r="AR49" s="8676" t="s">
        <v>5332</v>
      </c>
      <c r="AS49" s="1687" t="str">
        <f t="shared" si="9"/>
        <v xml:space="preserve"> * El total de Ingresos debe ser igual a la suma de los Tipos de Estrategia. </v>
      </c>
      <c r="BX49" s="2630"/>
      <c r="BY49" s="2630"/>
      <c r="BZ49" s="2630"/>
      <c r="CA49" s="2630"/>
      <c r="CB49" s="2919" t="str">
        <f t="shared" si="10"/>
        <v xml:space="preserve"> * El total de Ingresos debe ser igual a la suma de los Tipos de Estrategia. </v>
      </c>
      <c r="CC49" s="3643"/>
      <c r="CD49" s="3643"/>
      <c r="CE49" s="3643"/>
      <c r="CF49" s="3643"/>
      <c r="CG49" s="3643"/>
      <c r="CH49" s="6112">
        <f>IF(SUM(AO49:AR49)=D49,0,1)</f>
        <v>1</v>
      </c>
      <c r="CI49" s="6113"/>
      <c r="CJ49" s="6113"/>
      <c r="CK49" s="6113"/>
      <c r="CL49" s="6113"/>
    </row>
    <row r="50" spans="1:131" x14ac:dyDescent="0.3">
      <c r="A50" s="6269">
        <v>28022220</v>
      </c>
      <c r="B50" s="269" t="s">
        <v>3216</v>
      </c>
      <c r="C50" s="5340"/>
      <c r="D50" s="6231" t="s">
        <v>5292</v>
      </c>
      <c r="E50" s="8898" t="s">
        <v>5293</v>
      </c>
      <c r="F50" s="6223" t="s">
        <v>5294</v>
      </c>
      <c r="G50" s="8655" t="s">
        <v>5295</v>
      </c>
      <c r="H50" s="8656" t="s">
        <v>5296</v>
      </c>
      <c r="I50" s="8655" t="s">
        <v>5297</v>
      </c>
      <c r="J50" s="8728" t="s">
        <v>5298</v>
      </c>
      <c r="K50" s="8655" t="s">
        <v>5299</v>
      </c>
      <c r="L50" s="8728" t="s">
        <v>5300</v>
      </c>
      <c r="M50" s="8655" t="s">
        <v>5301</v>
      </c>
      <c r="N50" s="8656" t="s">
        <v>5302</v>
      </c>
      <c r="O50" s="8724" t="s">
        <v>5303</v>
      </c>
      <c r="P50" s="8728" t="s">
        <v>5304</v>
      </c>
      <c r="Q50" s="8724" t="s">
        <v>5305</v>
      </c>
      <c r="R50" s="8728" t="s">
        <v>5306</v>
      </c>
      <c r="S50" s="8724" t="s">
        <v>5307</v>
      </c>
      <c r="T50" s="8728" t="s">
        <v>5308</v>
      </c>
      <c r="U50" s="8724" t="s">
        <v>5309</v>
      </c>
      <c r="V50" s="8728" t="s">
        <v>5310</v>
      </c>
      <c r="W50" s="8724" t="s">
        <v>5311</v>
      </c>
      <c r="X50" s="8728" t="s">
        <v>5312</v>
      </c>
      <c r="Y50" s="8724" t="s">
        <v>5313</v>
      </c>
      <c r="Z50" s="8728" t="s">
        <v>5314</v>
      </c>
      <c r="AA50" s="8724" t="s">
        <v>5315</v>
      </c>
      <c r="AB50" s="8728" t="s">
        <v>5316</v>
      </c>
      <c r="AC50" s="8724" t="s">
        <v>5317</v>
      </c>
      <c r="AD50" s="8728" t="s">
        <v>5318</v>
      </c>
      <c r="AE50" s="8724" t="s">
        <v>5319</v>
      </c>
      <c r="AF50" s="8728" t="s">
        <v>5320</v>
      </c>
      <c r="AG50" s="8724" t="s">
        <v>5321</v>
      </c>
      <c r="AH50" s="8728" t="s">
        <v>5322</v>
      </c>
      <c r="AI50" s="8724" t="s">
        <v>5323</v>
      </c>
      <c r="AJ50" s="8728" t="s">
        <v>5324</v>
      </c>
      <c r="AK50" s="8724" t="s">
        <v>5325</v>
      </c>
      <c r="AL50" s="8728" t="s">
        <v>5326</v>
      </c>
      <c r="AM50" s="8724" t="s">
        <v>5327</v>
      </c>
      <c r="AN50" s="8664" t="s">
        <v>5328</v>
      </c>
      <c r="AO50" s="8901" t="s">
        <v>5329</v>
      </c>
      <c r="AP50" s="8899" t="s">
        <v>5330</v>
      </c>
      <c r="AQ50" s="8724" t="s">
        <v>5331</v>
      </c>
      <c r="AR50" s="8728" t="s">
        <v>5332</v>
      </c>
      <c r="AS50" s="1687" t="str">
        <f t="shared" si="9"/>
        <v xml:space="preserve"> * El total de Ingresos debe ser igual a la suma de los Tipos de Estrategia. </v>
      </c>
      <c r="BX50" s="2630"/>
      <c r="BY50" s="2630"/>
      <c r="BZ50" s="2630"/>
      <c r="CA50" s="2630"/>
      <c r="CB50" s="2919" t="str">
        <f t="shared" si="10"/>
        <v xml:space="preserve"> * El total de Ingresos debe ser igual a la suma de los Tipos de Estrategia. </v>
      </c>
      <c r="CC50" s="3643"/>
      <c r="CD50" s="3643"/>
      <c r="CE50" s="3643"/>
      <c r="CF50" s="3643"/>
      <c r="CG50" s="3643"/>
      <c r="CH50" s="6112">
        <f>IF(SUM(AO50:AR50)=D50,0,1)</f>
        <v>1</v>
      </c>
      <c r="CI50" s="6113"/>
      <c r="CJ50" s="6113"/>
      <c r="CK50" s="6113"/>
      <c r="CL50" s="6113"/>
    </row>
    <row r="51" spans="1:131" ht="18" customHeight="1" x14ac:dyDescent="0.3">
      <c r="B51" s="122" t="s">
        <v>3217</v>
      </c>
      <c r="C51" s="1681"/>
      <c r="D51" s="3877"/>
      <c r="E51" s="1681"/>
      <c r="F51" s="1681"/>
      <c r="G51" s="1681"/>
      <c r="H51" s="1681"/>
      <c r="I51" s="1681"/>
      <c r="CB51" s="777"/>
      <c r="CC51" s="2572"/>
      <c r="CD51" s="2572"/>
      <c r="CE51" s="2572"/>
      <c r="CF51" s="2572"/>
      <c r="CG51" s="2572"/>
      <c r="CH51" s="777"/>
      <c r="CI51" s="2572"/>
      <c r="CJ51" s="2572"/>
      <c r="CK51" s="2572"/>
      <c r="CL51" s="2572"/>
    </row>
    <row r="52" spans="1:131" x14ac:dyDescent="0.3">
      <c r="B52" s="8253" t="s">
        <v>61</v>
      </c>
      <c r="C52" s="6365" t="s">
        <v>1</v>
      </c>
      <c r="D52" s="6347" t="s">
        <v>3803</v>
      </c>
      <c r="E52" s="6347"/>
      <c r="F52" s="6347"/>
      <c r="G52" s="8241"/>
      <c r="H52" s="8248" t="s">
        <v>3804</v>
      </c>
      <c r="I52" s="7142"/>
    </row>
    <row r="53" spans="1:131" ht="20.399999999999999" x14ac:dyDescent="0.3">
      <c r="B53" s="8254"/>
      <c r="C53" s="8238"/>
      <c r="D53" s="5587" t="s">
        <v>3194</v>
      </c>
      <c r="E53" s="5952" t="s">
        <v>3181</v>
      </c>
      <c r="F53" s="5314" t="s">
        <v>3182</v>
      </c>
      <c r="G53" s="5313" t="s">
        <v>3183</v>
      </c>
      <c r="H53" s="5955" t="s">
        <v>3218</v>
      </c>
      <c r="I53" s="5956" t="s">
        <v>3219</v>
      </c>
    </row>
    <row r="54" spans="1:131" x14ac:dyDescent="0.3">
      <c r="A54" s="6269">
        <v>28010100</v>
      </c>
      <c r="B54" s="3878" t="s">
        <v>74</v>
      </c>
      <c r="C54" s="1682" t="s">
        <v>5292</v>
      </c>
      <c r="D54" s="947" t="s">
        <v>5293</v>
      </c>
      <c r="E54" s="4783" t="s">
        <v>5294</v>
      </c>
      <c r="F54" s="4783" t="s">
        <v>5295</v>
      </c>
      <c r="G54" s="4784" t="s">
        <v>5296</v>
      </c>
      <c r="H54" s="5957" t="s">
        <v>5297</v>
      </c>
      <c r="I54" s="5958" t="s">
        <v>5298</v>
      </c>
    </row>
    <row r="55" spans="1:131" x14ac:dyDescent="0.3">
      <c r="A55" s="6269">
        <v>28010200</v>
      </c>
      <c r="B55" s="3875" t="s">
        <v>277</v>
      </c>
      <c r="C55" s="1682" t="s">
        <v>5292</v>
      </c>
      <c r="D55" s="5953" t="s">
        <v>5293</v>
      </c>
      <c r="E55" s="5521" t="s">
        <v>5294</v>
      </c>
      <c r="F55" s="963" t="s">
        <v>5295</v>
      </c>
      <c r="G55" s="5339" t="s">
        <v>5296</v>
      </c>
      <c r="H55" s="5959" t="s">
        <v>5297</v>
      </c>
      <c r="I55" s="5522" t="s">
        <v>5298</v>
      </c>
    </row>
    <row r="56" spans="1:131" x14ac:dyDescent="0.3">
      <c r="A56" s="6269">
        <v>28010300</v>
      </c>
      <c r="B56" s="3875" t="s">
        <v>79</v>
      </c>
      <c r="C56" s="1682" t="s">
        <v>5292</v>
      </c>
      <c r="D56" s="5953" t="s">
        <v>5293</v>
      </c>
      <c r="E56" s="5521" t="s">
        <v>5294</v>
      </c>
      <c r="F56" s="963" t="s">
        <v>5295</v>
      </c>
      <c r="G56" s="5339" t="s">
        <v>5296</v>
      </c>
      <c r="H56" s="5959" t="s">
        <v>5297</v>
      </c>
      <c r="I56" s="5522" t="s">
        <v>5298</v>
      </c>
    </row>
    <row r="57" spans="1:131" x14ac:dyDescent="0.3">
      <c r="A57" s="6269">
        <v>28010400</v>
      </c>
      <c r="B57" s="3875" t="s">
        <v>249</v>
      </c>
      <c r="C57" s="1682" t="s">
        <v>5292</v>
      </c>
      <c r="D57" s="5953" t="s">
        <v>5293</v>
      </c>
      <c r="E57" s="5521" t="s">
        <v>5294</v>
      </c>
      <c r="F57" s="963" t="s">
        <v>5295</v>
      </c>
      <c r="G57" s="5339" t="s">
        <v>5296</v>
      </c>
      <c r="H57" s="5959" t="s">
        <v>5297</v>
      </c>
      <c r="I57" s="5522" t="s">
        <v>5298</v>
      </c>
    </row>
    <row r="58" spans="1:131" x14ac:dyDescent="0.3">
      <c r="A58" s="6269">
        <v>28010500</v>
      </c>
      <c r="B58" s="3875" t="s">
        <v>75</v>
      </c>
      <c r="C58" s="1682" t="s">
        <v>5292</v>
      </c>
      <c r="D58" s="938" t="s">
        <v>5293</v>
      </c>
      <c r="E58" s="3880" t="s">
        <v>5294</v>
      </c>
      <c r="F58" s="3880" t="s">
        <v>5295</v>
      </c>
      <c r="G58" s="3881" t="s">
        <v>5296</v>
      </c>
      <c r="H58" s="942" t="s">
        <v>5297</v>
      </c>
      <c r="I58" s="5545" t="s">
        <v>5298</v>
      </c>
    </row>
    <row r="59" spans="1:131" x14ac:dyDescent="0.3">
      <c r="A59" s="6278"/>
      <c r="B59" s="5332" t="s">
        <v>24</v>
      </c>
      <c r="C59" s="5338">
        <f t="shared" ref="C59:I59" si="12">SUM(C54:C58)</f>
        <v>0</v>
      </c>
      <c r="D59" s="5954">
        <f t="shared" si="12"/>
        <v>0</v>
      </c>
      <c r="E59" s="3882">
        <f t="shared" si="12"/>
        <v>0</v>
      </c>
      <c r="F59" s="3882">
        <f t="shared" si="12"/>
        <v>0</v>
      </c>
      <c r="G59" s="3883">
        <f t="shared" si="12"/>
        <v>0</v>
      </c>
      <c r="H59" s="5960">
        <f t="shared" si="12"/>
        <v>0</v>
      </c>
      <c r="I59" s="5961">
        <f t="shared" si="12"/>
        <v>0</v>
      </c>
    </row>
    <row r="60" spans="1:131" ht="18" customHeight="1" x14ac:dyDescent="0.3">
      <c r="A60" s="20"/>
      <c r="B60" s="122" t="s">
        <v>3220</v>
      </c>
      <c r="C60" s="101"/>
      <c r="D60" s="101"/>
      <c r="E60" s="123"/>
      <c r="F60" s="123"/>
      <c r="G60" s="123"/>
      <c r="H60" s="123"/>
      <c r="I60" s="123"/>
      <c r="J60" s="123"/>
      <c r="K60" s="123"/>
      <c r="L60" s="123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</row>
    <row r="61" spans="1:131" x14ac:dyDescent="0.3">
      <c r="A61" s="20"/>
      <c r="B61" s="8253" t="s">
        <v>61</v>
      </c>
      <c r="C61" s="7538" t="s">
        <v>1</v>
      </c>
      <c r="D61" s="8255" t="s">
        <v>558</v>
      </c>
      <c r="E61" s="8255"/>
      <c r="F61" s="8255"/>
      <c r="G61" s="8255"/>
      <c r="H61" s="8255"/>
      <c r="I61" s="8255"/>
      <c r="J61" s="8255"/>
      <c r="K61" s="8255"/>
      <c r="L61" s="8255"/>
      <c r="M61" s="8255"/>
      <c r="N61" s="8255"/>
      <c r="O61" s="8255"/>
      <c r="P61" s="8255"/>
      <c r="Q61" s="8255"/>
      <c r="R61" s="8255"/>
      <c r="S61" s="8255"/>
      <c r="T61" s="8256"/>
      <c r="U61" s="8242" t="s">
        <v>466</v>
      </c>
      <c r="V61" s="6347"/>
      <c r="W61" s="6347"/>
      <c r="X61" s="8241"/>
      <c r="Y61" s="7141" t="s">
        <v>3221</v>
      </c>
      <c r="Z61" s="7141"/>
      <c r="AA61" s="7142"/>
    </row>
    <row r="62" spans="1:131" ht="20.399999999999999" x14ac:dyDescent="0.3">
      <c r="A62" s="20"/>
      <c r="B62" s="8254"/>
      <c r="C62" s="7146"/>
      <c r="D62" s="5336" t="s">
        <v>36</v>
      </c>
      <c r="E62" s="5336" t="s">
        <v>37</v>
      </c>
      <c r="F62" s="5336" t="s">
        <v>38</v>
      </c>
      <c r="G62" s="5336" t="s">
        <v>4</v>
      </c>
      <c r="H62" s="5336" t="s">
        <v>5</v>
      </c>
      <c r="I62" s="5336" t="s">
        <v>560</v>
      </c>
      <c r="J62" s="5336" t="s">
        <v>561</v>
      </c>
      <c r="K62" s="5336" t="s">
        <v>8</v>
      </c>
      <c r="L62" s="5336" t="s">
        <v>9</v>
      </c>
      <c r="M62" s="5336" t="s">
        <v>576</v>
      </c>
      <c r="N62" s="5336" t="s">
        <v>11</v>
      </c>
      <c r="O62" s="5336" t="s">
        <v>18</v>
      </c>
      <c r="P62" s="5336" t="s">
        <v>19</v>
      </c>
      <c r="Q62" s="5336" t="s">
        <v>20</v>
      </c>
      <c r="R62" s="5336" t="s">
        <v>70</v>
      </c>
      <c r="S62" s="5336" t="s">
        <v>71</v>
      </c>
      <c r="T62" s="5335" t="s">
        <v>72</v>
      </c>
      <c r="U62" s="5334" t="s">
        <v>3194</v>
      </c>
      <c r="V62" s="5315" t="s">
        <v>3181</v>
      </c>
      <c r="W62" s="5314" t="s">
        <v>3222</v>
      </c>
      <c r="X62" s="5313" t="s">
        <v>3183</v>
      </c>
      <c r="Y62" s="5955" t="s">
        <v>3223</v>
      </c>
      <c r="Z62" s="5952" t="s">
        <v>3224</v>
      </c>
      <c r="AA62" s="5860" t="s">
        <v>3219</v>
      </c>
    </row>
    <row r="63" spans="1:131" x14ac:dyDescent="0.3">
      <c r="A63" s="6269">
        <v>28011000</v>
      </c>
      <c r="B63" s="3875" t="s">
        <v>277</v>
      </c>
      <c r="C63" s="1683" t="s">
        <v>5292</v>
      </c>
      <c r="D63" s="3884" t="s">
        <v>5293</v>
      </c>
      <c r="E63" s="3879" t="s">
        <v>5294</v>
      </c>
      <c r="F63" s="3879" t="s">
        <v>5295</v>
      </c>
      <c r="G63" s="3879" t="s">
        <v>5296</v>
      </c>
      <c r="H63" s="3879" t="s">
        <v>5297</v>
      </c>
      <c r="I63" s="3879" t="s">
        <v>5298</v>
      </c>
      <c r="J63" s="3879" t="s">
        <v>5299</v>
      </c>
      <c r="K63" s="3879" t="s">
        <v>5300</v>
      </c>
      <c r="L63" s="3879" t="s">
        <v>5301</v>
      </c>
      <c r="M63" s="3879" t="s">
        <v>5302</v>
      </c>
      <c r="N63" s="3879" t="s">
        <v>5303</v>
      </c>
      <c r="O63" s="3879" t="s">
        <v>5304</v>
      </c>
      <c r="P63" s="3879" t="s">
        <v>5305</v>
      </c>
      <c r="Q63" s="3879" t="s">
        <v>5306</v>
      </c>
      <c r="R63" s="3879" t="s">
        <v>5307</v>
      </c>
      <c r="S63" s="3879" t="s">
        <v>5308</v>
      </c>
      <c r="T63" s="3885" t="s">
        <v>5309</v>
      </c>
      <c r="U63" s="5333" t="s">
        <v>5310</v>
      </c>
      <c r="V63" s="5048" t="s">
        <v>5311</v>
      </c>
      <c r="W63" s="5048" t="s">
        <v>5312</v>
      </c>
      <c r="X63" s="767" t="s">
        <v>5313</v>
      </c>
      <c r="Y63" s="5333" t="s">
        <v>5314</v>
      </c>
      <c r="Z63" s="5048" t="s">
        <v>5315</v>
      </c>
      <c r="AA63" s="5047" t="s">
        <v>5316</v>
      </c>
      <c r="AB63" s="1687" t="e">
        <f>CB63&amp;CC63&amp;CD63&amp;CE63</f>
        <v>#VALUE!</v>
      </c>
      <c r="BG63" s="2630"/>
      <c r="BH63" s="2630"/>
      <c r="BI63" s="2630"/>
      <c r="BJ63" s="2630"/>
      <c r="BK63" s="2630"/>
      <c r="BL63" s="2630"/>
      <c r="BM63" s="2630"/>
      <c r="BN63" s="2630"/>
      <c r="BO63" s="2630"/>
      <c r="BP63" s="2630"/>
      <c r="BQ63" s="2630"/>
      <c r="BR63" s="2630"/>
      <c r="BS63" s="2630"/>
      <c r="BT63" s="2630"/>
      <c r="BU63" s="2630"/>
      <c r="BV63" s="2630"/>
      <c r="BW63" s="2630"/>
      <c r="BX63" s="2630"/>
      <c r="BY63" s="2630"/>
      <c r="BZ63" s="2630"/>
      <c r="CA63" s="2630"/>
      <c r="CB63" s="4752"/>
      <c r="CC63" s="4752"/>
      <c r="CD63" s="2784" t="e">
        <f>IF(U63+V63+W63+X63&lt;&gt;$C63,"* El número de "&amp;U$61&amp;""&amp;" no debe ser distinto del Total. ","")</f>
        <v>#VALUE!</v>
      </c>
      <c r="CE63" s="2784" t="e">
        <f>IF(Y63+Z63+AA63&gt;$C63,"* El número de "&amp;Y$61&amp;""&amp;" no puede superar el Total. ","")</f>
        <v>#VALUE!</v>
      </c>
      <c r="CF63" s="2630"/>
      <c r="CG63" s="2630"/>
      <c r="CH63" s="1725" t="e">
        <f>IF(U63+V63+W63+X63&lt;&gt;$C63,1,0)</f>
        <v>#VALUE!</v>
      </c>
      <c r="CI63" s="1725" t="e">
        <f>IF(Y63+Z63+AA63&gt;$C63,1,0)</f>
        <v>#VALUE!</v>
      </c>
      <c r="CJ63" s="1723"/>
      <c r="CK63" s="1723"/>
      <c r="CL63" s="1723"/>
      <c r="CM63" s="1723"/>
      <c r="CN63" s="1723"/>
      <c r="CO63"/>
      <c r="CP63"/>
      <c r="CQ63"/>
      <c r="CR63"/>
      <c r="DK63" s="1116"/>
      <c r="DL63" s="1116"/>
      <c r="DM63" s="1116"/>
      <c r="DN63" s="1116"/>
      <c r="DO63" s="1116"/>
      <c r="DP63" s="1116"/>
      <c r="DQ63" s="1116"/>
      <c r="DR63" s="1116"/>
      <c r="DS63" s="1116"/>
      <c r="DT63" s="1116"/>
      <c r="DU63" s="1116"/>
      <c r="DV63" s="1116"/>
      <c r="DW63" s="1116"/>
      <c r="DX63" s="1116"/>
      <c r="DY63" s="1116"/>
      <c r="DZ63" s="1116"/>
      <c r="EA63" s="1116"/>
    </row>
    <row r="64" spans="1:131" x14ac:dyDescent="0.3">
      <c r="A64" s="6269">
        <v>28011100</v>
      </c>
      <c r="B64" s="3875" t="s">
        <v>79</v>
      </c>
      <c r="C64" s="3847" t="s">
        <v>5292</v>
      </c>
      <c r="D64" s="3884" t="s">
        <v>5293</v>
      </c>
      <c r="E64" s="3879" t="s">
        <v>5294</v>
      </c>
      <c r="F64" s="3879" t="s">
        <v>5295</v>
      </c>
      <c r="G64" s="3879" t="s">
        <v>5296</v>
      </c>
      <c r="H64" s="3879" t="s">
        <v>5297</v>
      </c>
      <c r="I64" s="3879" t="s">
        <v>5298</v>
      </c>
      <c r="J64" s="3879" t="s">
        <v>5299</v>
      </c>
      <c r="K64" s="3879" t="s">
        <v>5300</v>
      </c>
      <c r="L64" s="3879" t="s">
        <v>5301</v>
      </c>
      <c r="M64" s="3879" t="s">
        <v>5302</v>
      </c>
      <c r="N64" s="3879" t="s">
        <v>5303</v>
      </c>
      <c r="O64" s="3879" t="s">
        <v>5304</v>
      </c>
      <c r="P64" s="3879" t="s">
        <v>5305</v>
      </c>
      <c r="Q64" s="3879" t="s">
        <v>5306</v>
      </c>
      <c r="R64" s="3879" t="s">
        <v>5307</v>
      </c>
      <c r="S64" s="3879" t="s">
        <v>5308</v>
      </c>
      <c r="T64" s="3885" t="s">
        <v>5309</v>
      </c>
      <c r="U64" s="1114" t="s">
        <v>5310</v>
      </c>
      <c r="V64" s="1073" t="s">
        <v>5311</v>
      </c>
      <c r="W64" s="1073" t="s">
        <v>5312</v>
      </c>
      <c r="X64" s="3144" t="s">
        <v>5313</v>
      </c>
      <c r="Y64" s="916" t="s">
        <v>5314</v>
      </c>
      <c r="Z64" s="617" t="s">
        <v>5315</v>
      </c>
      <c r="AA64" s="626" t="s">
        <v>5316</v>
      </c>
      <c r="AB64" s="1687" t="e">
        <f t="shared" ref="AB64:AB66" si="13">CB64&amp;CC64&amp;CD64&amp;CE64</f>
        <v>#VALUE!</v>
      </c>
      <c r="BG64" s="2630"/>
      <c r="BH64" s="2630"/>
      <c r="BI64" s="2630"/>
      <c r="BJ64" s="2630"/>
      <c r="BK64" s="2630"/>
      <c r="BL64" s="2630"/>
      <c r="BM64" s="2630"/>
      <c r="BN64" s="2630"/>
      <c r="BO64" s="2630"/>
      <c r="BP64" s="2630"/>
      <c r="BQ64" s="2630"/>
      <c r="BR64" s="2630"/>
      <c r="BS64" s="2630"/>
      <c r="BT64" s="2630"/>
      <c r="BU64" s="2630"/>
      <c r="BV64" s="2630"/>
      <c r="BW64" s="2630"/>
      <c r="BX64" s="2630"/>
      <c r="BY64" s="2630"/>
      <c r="BZ64" s="2630"/>
      <c r="CA64" s="2630"/>
      <c r="CB64" s="4752"/>
      <c r="CC64" s="4752"/>
      <c r="CD64" s="2784" t="e">
        <f t="shared" ref="CD64:CD66" si="14">IF(U64+V64+W64+X64&lt;&gt;$C64,"* El número de "&amp;U$61&amp;""&amp;" no debe ser distinto del Total. ","")</f>
        <v>#VALUE!</v>
      </c>
      <c r="CE64" s="2784" t="e">
        <f t="shared" ref="CE64:CE66" si="15">IF(Y64+Z64+AA64&gt;$C64,"* El número de "&amp;Y$61&amp;""&amp;" no puede superar el Total. ","")</f>
        <v>#VALUE!</v>
      </c>
      <c r="CF64" s="2630"/>
      <c r="CG64" s="2630"/>
      <c r="CH64" s="1725" t="e">
        <f t="shared" ref="CH64:CH66" si="16">IF(U64+V64+W64+X64&lt;&gt;$C64,1,0)</f>
        <v>#VALUE!</v>
      </c>
      <c r="CI64" s="1725" t="e">
        <f t="shared" ref="CI64:CI66" si="17">IF(Y64+Z64+AA64&gt;$C64,1,0)</f>
        <v>#VALUE!</v>
      </c>
      <c r="CJ64" s="1723"/>
      <c r="CK64" s="1723"/>
      <c r="CL64" s="1723"/>
      <c r="CM64" s="1723"/>
      <c r="CN64" s="1723"/>
    </row>
    <row r="65" spans="1:92" x14ac:dyDescent="0.3">
      <c r="A65" s="6269">
        <v>28011200</v>
      </c>
      <c r="B65" s="3875" t="s">
        <v>249</v>
      </c>
      <c r="C65" s="3847" t="s">
        <v>5292</v>
      </c>
      <c r="D65" s="3884" t="s">
        <v>5293</v>
      </c>
      <c r="E65" s="3879" t="s">
        <v>5294</v>
      </c>
      <c r="F65" s="3879" t="s">
        <v>5295</v>
      </c>
      <c r="G65" s="3879" t="s">
        <v>5296</v>
      </c>
      <c r="H65" s="3879" t="s">
        <v>5297</v>
      </c>
      <c r="I65" s="3879" t="s">
        <v>5298</v>
      </c>
      <c r="J65" s="3879" t="s">
        <v>5299</v>
      </c>
      <c r="K65" s="3879" t="s">
        <v>5300</v>
      </c>
      <c r="L65" s="3879" t="s">
        <v>5301</v>
      </c>
      <c r="M65" s="3879" t="s">
        <v>5302</v>
      </c>
      <c r="N65" s="3879" t="s">
        <v>5303</v>
      </c>
      <c r="O65" s="3879" t="s">
        <v>5304</v>
      </c>
      <c r="P65" s="3879" t="s">
        <v>5305</v>
      </c>
      <c r="Q65" s="3879" t="s">
        <v>5306</v>
      </c>
      <c r="R65" s="3879" t="s">
        <v>5307</v>
      </c>
      <c r="S65" s="3879" t="s">
        <v>5308</v>
      </c>
      <c r="T65" s="3885" t="s">
        <v>5309</v>
      </c>
      <c r="U65" s="1114" t="s">
        <v>5310</v>
      </c>
      <c r="V65" s="1073" t="s">
        <v>5311</v>
      </c>
      <c r="W65" s="1073" t="s">
        <v>5312</v>
      </c>
      <c r="X65" s="3144" t="s">
        <v>5313</v>
      </c>
      <c r="Y65" s="916" t="s">
        <v>5314</v>
      </c>
      <c r="Z65" s="617" t="s">
        <v>5315</v>
      </c>
      <c r="AA65" s="626" t="s">
        <v>5316</v>
      </c>
      <c r="AB65" s="1687" t="e">
        <f t="shared" si="13"/>
        <v>#VALUE!</v>
      </c>
      <c r="BG65" s="2630"/>
      <c r="BH65" s="2630"/>
      <c r="BI65" s="2630"/>
      <c r="BJ65" s="2630"/>
      <c r="BK65" s="2630"/>
      <c r="BL65" s="2630"/>
      <c r="BM65" s="2630"/>
      <c r="BN65" s="2630"/>
      <c r="BO65" s="2630"/>
      <c r="BP65" s="2630"/>
      <c r="BQ65" s="2630"/>
      <c r="BR65" s="2630"/>
      <c r="BS65" s="2630"/>
      <c r="BT65" s="2630"/>
      <c r="BU65" s="2630"/>
      <c r="BV65" s="2630"/>
      <c r="BW65" s="2630"/>
      <c r="BX65" s="2630"/>
      <c r="BY65" s="2630"/>
      <c r="BZ65" s="2630"/>
      <c r="CA65" s="2630"/>
      <c r="CB65" s="4752"/>
      <c r="CC65" s="4752"/>
      <c r="CD65" s="2784" t="e">
        <f t="shared" si="14"/>
        <v>#VALUE!</v>
      </c>
      <c r="CE65" s="2784" t="e">
        <f t="shared" si="15"/>
        <v>#VALUE!</v>
      </c>
      <c r="CF65" s="2630"/>
      <c r="CG65" s="2630"/>
      <c r="CH65" s="1725" t="e">
        <f t="shared" si="16"/>
        <v>#VALUE!</v>
      </c>
      <c r="CI65" s="1725" t="e">
        <f t="shared" si="17"/>
        <v>#VALUE!</v>
      </c>
      <c r="CJ65" s="1723"/>
      <c r="CK65" s="1723"/>
      <c r="CL65" s="1723"/>
      <c r="CM65" s="1723"/>
      <c r="CN65" s="1723"/>
    </row>
    <row r="66" spans="1:92" x14ac:dyDescent="0.3">
      <c r="A66" s="6269">
        <v>28011300</v>
      </c>
      <c r="B66" s="3875" t="s">
        <v>75</v>
      </c>
      <c r="C66" s="1684" t="s">
        <v>5292</v>
      </c>
      <c r="D66" s="3884" t="s">
        <v>5293</v>
      </c>
      <c r="E66" s="3879" t="s">
        <v>5294</v>
      </c>
      <c r="F66" s="3879" t="s">
        <v>5295</v>
      </c>
      <c r="G66" s="3879" t="s">
        <v>5296</v>
      </c>
      <c r="H66" s="3879" t="s">
        <v>5297</v>
      </c>
      <c r="I66" s="3879" t="s">
        <v>5298</v>
      </c>
      <c r="J66" s="3879" t="s">
        <v>5299</v>
      </c>
      <c r="K66" s="3879" t="s">
        <v>5300</v>
      </c>
      <c r="L66" s="3879" t="s">
        <v>5301</v>
      </c>
      <c r="M66" s="3879" t="s">
        <v>5302</v>
      </c>
      <c r="N66" s="3879" t="s">
        <v>5303</v>
      </c>
      <c r="O66" s="3879" t="s">
        <v>5304</v>
      </c>
      <c r="P66" s="3879" t="s">
        <v>5305</v>
      </c>
      <c r="Q66" s="3879" t="s">
        <v>5306</v>
      </c>
      <c r="R66" s="3879" t="s">
        <v>5307</v>
      </c>
      <c r="S66" s="3879" t="s">
        <v>5308</v>
      </c>
      <c r="T66" s="3885" t="s">
        <v>5309</v>
      </c>
      <c r="U66" s="3754" t="s">
        <v>5310</v>
      </c>
      <c r="V66" s="3020" t="s">
        <v>5311</v>
      </c>
      <c r="W66" s="3020" t="s">
        <v>5312</v>
      </c>
      <c r="X66" s="770" t="s">
        <v>5313</v>
      </c>
      <c r="Y66" s="561" t="s">
        <v>5314</v>
      </c>
      <c r="Z66" s="3020" t="s">
        <v>5315</v>
      </c>
      <c r="AA66" s="3035" t="s">
        <v>5316</v>
      </c>
      <c r="AB66" s="1687" t="e">
        <f t="shared" si="13"/>
        <v>#VALUE!</v>
      </c>
      <c r="BG66" s="2630"/>
      <c r="BH66" s="2630"/>
      <c r="BI66" s="2630"/>
      <c r="BJ66" s="2630"/>
      <c r="BK66" s="2630"/>
      <c r="BL66" s="2630"/>
      <c r="BM66" s="2630"/>
      <c r="BN66" s="2630"/>
      <c r="BO66" s="2630"/>
      <c r="BP66" s="2630"/>
      <c r="BQ66" s="2630"/>
      <c r="BR66" s="2630"/>
      <c r="BS66" s="2630"/>
      <c r="BT66" s="2630"/>
      <c r="BU66" s="2630"/>
      <c r="BV66" s="2630"/>
      <c r="BW66" s="2630"/>
      <c r="BX66" s="2630"/>
      <c r="BY66" s="2630"/>
      <c r="BZ66" s="2630"/>
      <c r="CA66" s="2630"/>
      <c r="CB66" s="4752"/>
      <c r="CC66" s="4752"/>
      <c r="CD66" s="2784" t="e">
        <f t="shared" si="14"/>
        <v>#VALUE!</v>
      </c>
      <c r="CE66" s="2784" t="e">
        <f t="shared" si="15"/>
        <v>#VALUE!</v>
      </c>
      <c r="CF66" s="2630"/>
      <c r="CG66" s="2630"/>
      <c r="CH66" s="1725" t="e">
        <f t="shared" si="16"/>
        <v>#VALUE!</v>
      </c>
      <c r="CI66" s="1725" t="e">
        <f t="shared" si="17"/>
        <v>#VALUE!</v>
      </c>
      <c r="CJ66" s="1723"/>
      <c r="CK66" s="1723"/>
      <c r="CL66" s="1723"/>
      <c r="CM66" s="1723"/>
      <c r="CN66" s="1723"/>
    </row>
    <row r="67" spans="1:92" x14ac:dyDescent="0.3">
      <c r="A67" s="6242"/>
      <c r="B67" s="5332" t="s">
        <v>24</v>
      </c>
      <c r="C67" s="5327">
        <f t="shared" ref="C67:AA67" si="18">SUM(C63:C66)</f>
        <v>0</v>
      </c>
      <c r="D67" s="5331">
        <f t="shared" si="18"/>
        <v>0</v>
      </c>
      <c r="E67" s="5331">
        <f t="shared" si="18"/>
        <v>0</v>
      </c>
      <c r="F67" s="5331">
        <f t="shared" si="18"/>
        <v>0</v>
      </c>
      <c r="G67" s="5331">
        <f t="shared" si="18"/>
        <v>0</v>
      </c>
      <c r="H67" s="5331">
        <f t="shared" si="18"/>
        <v>0</v>
      </c>
      <c r="I67" s="5331">
        <f t="shared" si="18"/>
        <v>0</v>
      </c>
      <c r="J67" s="5331">
        <f t="shared" si="18"/>
        <v>0</v>
      </c>
      <c r="K67" s="5331">
        <f t="shared" si="18"/>
        <v>0</v>
      </c>
      <c r="L67" s="5331">
        <f t="shared" si="18"/>
        <v>0</v>
      </c>
      <c r="M67" s="5331">
        <f t="shared" si="18"/>
        <v>0</v>
      </c>
      <c r="N67" s="5331">
        <f t="shared" si="18"/>
        <v>0</v>
      </c>
      <c r="O67" s="5331">
        <f t="shared" si="18"/>
        <v>0</v>
      </c>
      <c r="P67" s="5331">
        <f t="shared" si="18"/>
        <v>0</v>
      </c>
      <c r="Q67" s="5331">
        <f t="shared" si="18"/>
        <v>0</v>
      </c>
      <c r="R67" s="5331">
        <f t="shared" si="18"/>
        <v>0</v>
      </c>
      <c r="S67" s="5331">
        <f t="shared" si="18"/>
        <v>0</v>
      </c>
      <c r="T67" s="5330">
        <f t="shared" si="18"/>
        <v>0</v>
      </c>
      <c r="U67" s="5337">
        <f t="shared" si="18"/>
        <v>0</v>
      </c>
      <c r="V67" s="5331">
        <f t="shared" si="18"/>
        <v>0</v>
      </c>
      <c r="W67" s="5331">
        <f t="shared" si="18"/>
        <v>0</v>
      </c>
      <c r="X67" s="5330">
        <f t="shared" si="18"/>
        <v>0</v>
      </c>
      <c r="Y67" s="5962">
        <f t="shared" si="18"/>
        <v>0</v>
      </c>
      <c r="Z67" s="5963">
        <f t="shared" si="18"/>
        <v>0</v>
      </c>
      <c r="AA67" s="5964">
        <f t="shared" si="18"/>
        <v>0</v>
      </c>
      <c r="CB67" s="2464"/>
      <c r="CC67" s="2464"/>
    </row>
    <row r="68" spans="1:92" ht="18" customHeight="1" x14ac:dyDescent="0.3">
      <c r="B68" s="122" t="s">
        <v>3225</v>
      </c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CB68" s="2464"/>
      <c r="CC68" s="2464"/>
    </row>
    <row r="69" spans="1:92" x14ac:dyDescent="0.3">
      <c r="B69" s="8253" t="s">
        <v>61</v>
      </c>
      <c r="C69" s="6365" t="s">
        <v>1</v>
      </c>
      <c r="D69" s="8255" t="s">
        <v>558</v>
      </c>
      <c r="E69" s="8255"/>
      <c r="F69" s="8255"/>
      <c r="G69" s="8255"/>
      <c r="H69" s="8255"/>
      <c r="I69" s="8255"/>
      <c r="J69" s="8255"/>
      <c r="K69" s="8255"/>
      <c r="L69" s="8255"/>
      <c r="M69" s="8255"/>
      <c r="N69" s="8255"/>
      <c r="O69" s="8255"/>
      <c r="P69" s="8255"/>
      <c r="Q69" s="8255"/>
      <c r="R69" s="8255"/>
      <c r="S69" s="8255"/>
      <c r="T69" s="8256"/>
      <c r="U69" s="8242" t="s">
        <v>466</v>
      </c>
      <c r="V69" s="6347"/>
      <c r="W69" s="6347"/>
      <c r="X69" s="8241"/>
      <c r="Y69" s="7141" t="s">
        <v>3221</v>
      </c>
      <c r="Z69" s="7141"/>
      <c r="AA69" s="7142"/>
      <c r="CB69" s="2464"/>
      <c r="CC69" s="2464"/>
    </row>
    <row r="70" spans="1:92" ht="20.399999999999999" x14ac:dyDescent="0.3">
      <c r="B70" s="8254"/>
      <c r="C70" s="8238"/>
      <c r="D70" s="5336" t="s">
        <v>36</v>
      </c>
      <c r="E70" s="5336" t="s">
        <v>37</v>
      </c>
      <c r="F70" s="5336" t="s">
        <v>38</v>
      </c>
      <c r="G70" s="5336" t="s">
        <v>4</v>
      </c>
      <c r="H70" s="5336" t="s">
        <v>5</v>
      </c>
      <c r="I70" s="5336" t="s">
        <v>560</v>
      </c>
      <c r="J70" s="5336" t="s">
        <v>561</v>
      </c>
      <c r="K70" s="5336" t="s">
        <v>8</v>
      </c>
      <c r="L70" s="5336" t="s">
        <v>9</v>
      </c>
      <c r="M70" s="5336" t="s">
        <v>576</v>
      </c>
      <c r="N70" s="5336" t="s">
        <v>11</v>
      </c>
      <c r="O70" s="5336" t="s">
        <v>18</v>
      </c>
      <c r="P70" s="5336" t="s">
        <v>19</v>
      </c>
      <c r="Q70" s="5336" t="s">
        <v>20</v>
      </c>
      <c r="R70" s="5336" t="s">
        <v>70</v>
      </c>
      <c r="S70" s="5336" t="s">
        <v>71</v>
      </c>
      <c r="T70" s="5335" t="s">
        <v>72</v>
      </c>
      <c r="U70" s="5334" t="s">
        <v>3194</v>
      </c>
      <c r="V70" s="5315" t="s">
        <v>3181</v>
      </c>
      <c r="W70" s="5314" t="s">
        <v>3222</v>
      </c>
      <c r="X70" s="5313" t="s">
        <v>3183</v>
      </c>
      <c r="Y70" s="5955" t="s">
        <v>3223</v>
      </c>
      <c r="Z70" s="5952" t="s">
        <v>3224</v>
      </c>
      <c r="AA70" s="5860" t="s">
        <v>3219</v>
      </c>
      <c r="CB70" s="2464"/>
      <c r="CC70" s="2464"/>
    </row>
    <row r="71" spans="1:92" x14ac:dyDescent="0.3">
      <c r="A71" s="6269">
        <v>28020660</v>
      </c>
      <c r="B71" s="3875" t="s">
        <v>277</v>
      </c>
      <c r="C71" s="1683" t="s">
        <v>5292</v>
      </c>
      <c r="D71" s="3884" t="s">
        <v>5293</v>
      </c>
      <c r="E71" s="3879" t="s">
        <v>5294</v>
      </c>
      <c r="F71" s="3879" t="s">
        <v>5295</v>
      </c>
      <c r="G71" s="3879" t="s">
        <v>5296</v>
      </c>
      <c r="H71" s="3879" t="s">
        <v>5297</v>
      </c>
      <c r="I71" s="3879" t="s">
        <v>5298</v>
      </c>
      <c r="J71" s="3879" t="s">
        <v>5299</v>
      </c>
      <c r="K71" s="3879" t="s">
        <v>5300</v>
      </c>
      <c r="L71" s="3879" t="s">
        <v>5301</v>
      </c>
      <c r="M71" s="3879" t="s">
        <v>5302</v>
      </c>
      <c r="N71" s="3879" t="s">
        <v>5303</v>
      </c>
      <c r="O71" s="3879" t="s">
        <v>5304</v>
      </c>
      <c r="P71" s="3879" t="s">
        <v>5305</v>
      </c>
      <c r="Q71" s="3879" t="s">
        <v>5306</v>
      </c>
      <c r="R71" s="3879" t="s">
        <v>5307</v>
      </c>
      <c r="S71" s="3879" t="s">
        <v>5308</v>
      </c>
      <c r="T71" s="3885" t="s">
        <v>5309</v>
      </c>
      <c r="U71" s="5333" t="s">
        <v>5310</v>
      </c>
      <c r="V71" s="588" t="s">
        <v>5311</v>
      </c>
      <c r="W71" s="5048" t="s">
        <v>5312</v>
      </c>
      <c r="X71" s="5106" t="s">
        <v>5313</v>
      </c>
      <c r="Y71" s="5333" t="s">
        <v>5314</v>
      </c>
      <c r="Z71" s="5048" t="s">
        <v>5315</v>
      </c>
      <c r="AA71" s="5047" t="s">
        <v>5316</v>
      </c>
      <c r="AB71" s="1687" t="e">
        <f>CB71&amp;CC71&amp;CD71&amp;CE71</f>
        <v>#VALUE!</v>
      </c>
      <c r="BG71" s="2630"/>
      <c r="BH71" s="2630"/>
      <c r="BI71" s="2630"/>
      <c r="BJ71" s="2630"/>
      <c r="BK71" s="2630"/>
      <c r="BL71" s="2630"/>
      <c r="BM71" s="2630"/>
      <c r="BN71" s="2630"/>
      <c r="BO71" s="2630"/>
      <c r="BP71" s="2630"/>
      <c r="BQ71" s="2630"/>
      <c r="BR71" s="2630"/>
      <c r="BS71" s="2630"/>
      <c r="BT71" s="2630"/>
      <c r="BU71" s="2630"/>
      <c r="BV71" s="2630"/>
      <c r="BW71" s="2630"/>
      <c r="BX71" s="2630"/>
      <c r="BY71" s="2630"/>
      <c r="BZ71" s="2630"/>
      <c r="CA71" s="2630"/>
      <c r="CB71" s="4752"/>
      <c r="CC71" s="4752"/>
      <c r="CD71" s="2784" t="e">
        <f t="shared" ref="CD71:CD74" si="19">IF(U71+V71+W71+X71&lt;&gt;$C71,"* El número de "&amp;U$61&amp;""&amp;" no debe ser distinto del Total. ","")</f>
        <v>#VALUE!</v>
      </c>
      <c r="CE71" s="2784" t="e">
        <f>IF(Y71+Z71+AA71&gt;$C71,"* El número de "&amp;Y$61&amp;""&amp;" no puede superar el Total. ","")</f>
        <v>#VALUE!</v>
      </c>
      <c r="CF71" s="2630"/>
      <c r="CG71" s="2630"/>
      <c r="CH71" s="1725" t="e">
        <f t="shared" ref="CH71:CH74" si="20">IF(U71+V71+W71+X71&lt;&gt;$C71,1,0)</f>
        <v>#VALUE!</v>
      </c>
      <c r="CI71" s="1725" t="e">
        <f t="shared" ref="CI71:CI74" si="21">IF(Y71+Z71+AA71&gt;$C71,1,0)</f>
        <v>#VALUE!</v>
      </c>
      <c r="CJ71" s="1723"/>
      <c r="CK71" s="1723"/>
      <c r="CL71" s="1723"/>
      <c r="CM71" s="1723"/>
      <c r="CN71" s="1723"/>
    </row>
    <row r="72" spans="1:92" x14ac:dyDescent="0.3">
      <c r="A72" s="6269">
        <v>28020670</v>
      </c>
      <c r="B72" s="3875" t="s">
        <v>79</v>
      </c>
      <c r="C72" s="3847" t="s">
        <v>5292</v>
      </c>
      <c r="D72" s="3884" t="s">
        <v>5293</v>
      </c>
      <c r="E72" s="3879" t="s">
        <v>5294</v>
      </c>
      <c r="F72" s="3879" t="s">
        <v>5295</v>
      </c>
      <c r="G72" s="3879" t="s">
        <v>5296</v>
      </c>
      <c r="H72" s="3879" t="s">
        <v>5297</v>
      </c>
      <c r="I72" s="3879" t="s">
        <v>5298</v>
      </c>
      <c r="J72" s="3879" t="s">
        <v>5299</v>
      </c>
      <c r="K72" s="3879" t="s">
        <v>5300</v>
      </c>
      <c r="L72" s="3879" t="s">
        <v>5301</v>
      </c>
      <c r="M72" s="3879" t="s">
        <v>5302</v>
      </c>
      <c r="N72" s="3879" t="s">
        <v>5303</v>
      </c>
      <c r="O72" s="3879" t="s">
        <v>5304</v>
      </c>
      <c r="P72" s="3879" t="s">
        <v>5305</v>
      </c>
      <c r="Q72" s="3879" t="s">
        <v>5306</v>
      </c>
      <c r="R72" s="3879" t="s">
        <v>5307</v>
      </c>
      <c r="S72" s="3879" t="s">
        <v>5308</v>
      </c>
      <c r="T72" s="3885" t="s">
        <v>5309</v>
      </c>
      <c r="U72" s="1114" t="s">
        <v>5310</v>
      </c>
      <c r="V72" s="3143" t="s">
        <v>5311</v>
      </c>
      <c r="W72" s="1073" t="s">
        <v>5312</v>
      </c>
      <c r="X72" s="1061" t="s">
        <v>5313</v>
      </c>
      <c r="Y72" s="916" t="s">
        <v>5314</v>
      </c>
      <c r="Z72" s="617" t="s">
        <v>5315</v>
      </c>
      <c r="AA72" s="626" t="s">
        <v>5316</v>
      </c>
      <c r="AB72" s="1687" t="e">
        <f t="shared" ref="AB72:AB74" si="22">CB72&amp;CC72&amp;CD72&amp;CE72</f>
        <v>#VALUE!</v>
      </c>
      <c r="BG72" s="2630"/>
      <c r="BH72" s="2630"/>
      <c r="BI72" s="2630"/>
      <c r="BJ72" s="2630"/>
      <c r="BK72" s="2630"/>
      <c r="BL72" s="2630"/>
      <c r="BM72" s="2630"/>
      <c r="BN72" s="2630"/>
      <c r="BO72" s="2630"/>
      <c r="BP72" s="2630"/>
      <c r="BQ72" s="2630"/>
      <c r="BR72" s="2630"/>
      <c r="BS72" s="2630"/>
      <c r="BT72" s="2630"/>
      <c r="BU72" s="2630"/>
      <c r="BV72" s="2630"/>
      <c r="BW72" s="2630"/>
      <c r="BX72" s="2630"/>
      <c r="BY72" s="2630"/>
      <c r="BZ72" s="2630"/>
      <c r="CA72" s="2630"/>
      <c r="CB72" s="4752"/>
      <c r="CC72" s="4752"/>
      <c r="CD72" s="2784" t="e">
        <f t="shared" si="19"/>
        <v>#VALUE!</v>
      </c>
      <c r="CE72" s="2784" t="e">
        <f t="shared" ref="CE72:CE74" si="23">IF(Y72+Z72+AA72&gt;$C72,"* El número de "&amp;Y$61&amp;""&amp;" no puede superar el Total. ","")</f>
        <v>#VALUE!</v>
      </c>
      <c r="CF72" s="2630"/>
      <c r="CG72" s="2630"/>
      <c r="CH72" s="1725" t="e">
        <f t="shared" si="20"/>
        <v>#VALUE!</v>
      </c>
      <c r="CI72" s="1725" t="e">
        <f t="shared" si="21"/>
        <v>#VALUE!</v>
      </c>
      <c r="CJ72" s="1723"/>
      <c r="CK72" s="1723"/>
      <c r="CL72" s="1723"/>
      <c r="CM72" s="1723"/>
      <c r="CN72" s="1723"/>
    </row>
    <row r="73" spans="1:92" x14ac:dyDescent="0.3">
      <c r="A73" s="6269">
        <v>28020680</v>
      </c>
      <c r="B73" s="3875" t="s">
        <v>249</v>
      </c>
      <c r="C73" s="3847" t="s">
        <v>5292</v>
      </c>
      <c r="D73" s="3884" t="s">
        <v>5293</v>
      </c>
      <c r="E73" s="3879" t="s">
        <v>5294</v>
      </c>
      <c r="F73" s="3879" t="s">
        <v>5295</v>
      </c>
      <c r="G73" s="3879" t="s">
        <v>5296</v>
      </c>
      <c r="H73" s="3879" t="s">
        <v>5297</v>
      </c>
      <c r="I73" s="3879" t="s">
        <v>5298</v>
      </c>
      <c r="J73" s="3879" t="s">
        <v>5299</v>
      </c>
      <c r="K73" s="3879" t="s">
        <v>5300</v>
      </c>
      <c r="L73" s="3879" t="s">
        <v>5301</v>
      </c>
      <c r="M73" s="3879" t="s">
        <v>5302</v>
      </c>
      <c r="N73" s="3879" t="s">
        <v>5303</v>
      </c>
      <c r="O73" s="3879" t="s">
        <v>5304</v>
      </c>
      <c r="P73" s="3879" t="s">
        <v>5305</v>
      </c>
      <c r="Q73" s="3879" t="s">
        <v>5306</v>
      </c>
      <c r="R73" s="3879" t="s">
        <v>5307</v>
      </c>
      <c r="S73" s="3879" t="s">
        <v>5308</v>
      </c>
      <c r="T73" s="3885" t="s">
        <v>5309</v>
      </c>
      <c r="U73" s="1114" t="s">
        <v>5310</v>
      </c>
      <c r="V73" s="3143" t="s">
        <v>5311</v>
      </c>
      <c r="W73" s="1073" t="s">
        <v>5312</v>
      </c>
      <c r="X73" s="1061" t="s">
        <v>5313</v>
      </c>
      <c r="Y73" s="916" t="s">
        <v>5314</v>
      </c>
      <c r="Z73" s="617" t="s">
        <v>5315</v>
      </c>
      <c r="AA73" s="626" t="s">
        <v>5316</v>
      </c>
      <c r="AB73" s="1687" t="e">
        <f t="shared" si="22"/>
        <v>#VALUE!</v>
      </c>
      <c r="BG73" s="2630"/>
      <c r="BH73" s="2630"/>
      <c r="BI73" s="2630"/>
      <c r="BJ73" s="2630"/>
      <c r="BK73" s="2630"/>
      <c r="BL73" s="2630"/>
      <c r="BM73" s="2630"/>
      <c r="BN73" s="2630"/>
      <c r="BO73" s="2630"/>
      <c r="BP73" s="2630"/>
      <c r="BQ73" s="2630"/>
      <c r="BR73" s="2630"/>
      <c r="BS73" s="2630"/>
      <c r="BT73" s="2630"/>
      <c r="BU73" s="2630"/>
      <c r="BV73" s="2630"/>
      <c r="BW73" s="2630"/>
      <c r="BX73" s="2630"/>
      <c r="BY73" s="2630"/>
      <c r="BZ73" s="2630"/>
      <c r="CA73" s="2630"/>
      <c r="CB73" s="4752"/>
      <c r="CC73" s="4752"/>
      <c r="CD73" s="2784" t="e">
        <f t="shared" si="19"/>
        <v>#VALUE!</v>
      </c>
      <c r="CE73" s="2784" t="e">
        <f t="shared" si="23"/>
        <v>#VALUE!</v>
      </c>
      <c r="CF73" s="2630"/>
      <c r="CG73" s="2630"/>
      <c r="CH73" s="1725" t="e">
        <f t="shared" si="20"/>
        <v>#VALUE!</v>
      </c>
      <c r="CI73" s="1725" t="e">
        <f t="shared" si="21"/>
        <v>#VALUE!</v>
      </c>
      <c r="CJ73" s="1723"/>
      <c r="CK73" s="1723"/>
      <c r="CL73" s="1723"/>
      <c r="CM73" s="1723"/>
      <c r="CN73" s="1723"/>
    </row>
    <row r="74" spans="1:92" x14ac:dyDescent="0.3">
      <c r="A74" s="6269">
        <v>28020690</v>
      </c>
      <c r="B74" s="3875" t="s">
        <v>75</v>
      </c>
      <c r="C74" s="1684" t="s">
        <v>5292</v>
      </c>
      <c r="D74" s="3884" t="s">
        <v>5293</v>
      </c>
      <c r="E74" s="3879" t="s">
        <v>5294</v>
      </c>
      <c r="F74" s="3879" t="s">
        <v>5295</v>
      </c>
      <c r="G74" s="3879" t="s">
        <v>5296</v>
      </c>
      <c r="H74" s="3879" t="s">
        <v>5297</v>
      </c>
      <c r="I74" s="3879" t="s">
        <v>5298</v>
      </c>
      <c r="J74" s="3879" t="s">
        <v>5299</v>
      </c>
      <c r="K74" s="3879" t="s">
        <v>5300</v>
      </c>
      <c r="L74" s="3879" t="s">
        <v>5301</v>
      </c>
      <c r="M74" s="3879" t="s">
        <v>5302</v>
      </c>
      <c r="N74" s="3879" t="s">
        <v>5303</v>
      </c>
      <c r="O74" s="3879" t="s">
        <v>5304</v>
      </c>
      <c r="P74" s="3879" t="s">
        <v>5305</v>
      </c>
      <c r="Q74" s="3879" t="s">
        <v>5306</v>
      </c>
      <c r="R74" s="3879" t="s">
        <v>5307</v>
      </c>
      <c r="S74" s="3879" t="s">
        <v>5308</v>
      </c>
      <c r="T74" s="3885" t="s">
        <v>5309</v>
      </c>
      <c r="U74" s="3754" t="s">
        <v>5310</v>
      </c>
      <c r="V74" s="121" t="s">
        <v>5311</v>
      </c>
      <c r="W74" s="3020" t="s">
        <v>5312</v>
      </c>
      <c r="X74" s="3080" t="s">
        <v>5313</v>
      </c>
      <c r="Y74" s="561" t="s">
        <v>5314</v>
      </c>
      <c r="Z74" s="3020" t="s">
        <v>5315</v>
      </c>
      <c r="AA74" s="3035" t="s">
        <v>5316</v>
      </c>
      <c r="AB74" s="1687" t="e">
        <f t="shared" si="22"/>
        <v>#VALUE!</v>
      </c>
      <c r="BG74" s="2630"/>
      <c r="BH74" s="2630"/>
      <c r="BI74" s="2630"/>
      <c r="BJ74" s="2630"/>
      <c r="BK74" s="2630"/>
      <c r="BL74" s="2630"/>
      <c r="BM74" s="2630"/>
      <c r="BN74" s="2630"/>
      <c r="BO74" s="2630"/>
      <c r="BP74" s="2630"/>
      <c r="BQ74" s="2630"/>
      <c r="BR74" s="2630"/>
      <c r="BS74" s="2630"/>
      <c r="BT74" s="2630"/>
      <c r="BU74" s="2630"/>
      <c r="BV74" s="2630"/>
      <c r="BW74" s="2630"/>
      <c r="BX74" s="2630"/>
      <c r="BY74" s="2630"/>
      <c r="BZ74" s="2630"/>
      <c r="CA74" s="2630"/>
      <c r="CB74" s="4752"/>
      <c r="CC74" s="4752"/>
      <c r="CD74" s="2784" t="e">
        <f t="shared" si="19"/>
        <v>#VALUE!</v>
      </c>
      <c r="CE74" s="2784" t="e">
        <f t="shared" si="23"/>
        <v>#VALUE!</v>
      </c>
      <c r="CF74" s="2630"/>
      <c r="CG74" s="2630"/>
      <c r="CH74" s="1725" t="e">
        <f t="shared" si="20"/>
        <v>#VALUE!</v>
      </c>
      <c r="CI74" s="1725" t="e">
        <f t="shared" si="21"/>
        <v>#VALUE!</v>
      </c>
      <c r="CJ74" s="1723"/>
      <c r="CK74" s="1723"/>
      <c r="CL74" s="1723"/>
      <c r="CM74" s="1723"/>
      <c r="CN74" s="1723"/>
    </row>
    <row r="75" spans="1:92" x14ac:dyDescent="0.3">
      <c r="A75" s="6242"/>
      <c r="B75" s="5332" t="s">
        <v>24</v>
      </c>
      <c r="C75" s="5327">
        <f t="shared" ref="C75:AA75" si="24">SUM(C71:C74)</f>
        <v>0</v>
      </c>
      <c r="D75" s="5331">
        <f t="shared" si="24"/>
        <v>0</v>
      </c>
      <c r="E75" s="5331">
        <f t="shared" si="24"/>
        <v>0</v>
      </c>
      <c r="F75" s="5331">
        <f t="shared" si="24"/>
        <v>0</v>
      </c>
      <c r="G75" s="5331">
        <f t="shared" si="24"/>
        <v>0</v>
      </c>
      <c r="H75" s="5331">
        <f t="shared" si="24"/>
        <v>0</v>
      </c>
      <c r="I75" s="5331">
        <f t="shared" si="24"/>
        <v>0</v>
      </c>
      <c r="J75" s="5331">
        <f t="shared" si="24"/>
        <v>0</v>
      </c>
      <c r="K75" s="5331">
        <f t="shared" si="24"/>
        <v>0</v>
      </c>
      <c r="L75" s="5331">
        <f t="shared" si="24"/>
        <v>0</v>
      </c>
      <c r="M75" s="5331">
        <f t="shared" si="24"/>
        <v>0</v>
      </c>
      <c r="N75" s="5331">
        <f t="shared" si="24"/>
        <v>0</v>
      </c>
      <c r="O75" s="5331">
        <f t="shared" si="24"/>
        <v>0</v>
      </c>
      <c r="P75" s="5331">
        <f t="shared" si="24"/>
        <v>0</v>
      </c>
      <c r="Q75" s="5331">
        <f t="shared" si="24"/>
        <v>0</v>
      </c>
      <c r="R75" s="5331">
        <f t="shared" si="24"/>
        <v>0</v>
      </c>
      <c r="S75" s="5331">
        <f t="shared" si="24"/>
        <v>0</v>
      </c>
      <c r="T75" s="5330">
        <f t="shared" si="24"/>
        <v>0</v>
      </c>
      <c r="U75" s="5329">
        <f t="shared" si="24"/>
        <v>0</v>
      </c>
      <c r="V75" s="5325">
        <f t="shared" si="24"/>
        <v>0</v>
      </c>
      <c r="W75" s="5325">
        <f t="shared" si="24"/>
        <v>0</v>
      </c>
      <c r="X75" s="5328">
        <f t="shared" si="24"/>
        <v>0</v>
      </c>
      <c r="Y75" s="5319">
        <f t="shared" si="24"/>
        <v>0</v>
      </c>
      <c r="Z75" s="5325">
        <f t="shared" si="24"/>
        <v>0</v>
      </c>
      <c r="AA75" s="5327">
        <f t="shared" si="24"/>
        <v>0</v>
      </c>
    </row>
    <row r="76" spans="1:92" ht="18" customHeight="1" x14ac:dyDescent="0.3">
      <c r="A76" s="20"/>
      <c r="B76" s="778" t="s">
        <v>3226</v>
      </c>
      <c r="C76" s="3886"/>
      <c r="D76" s="101"/>
      <c r="E76" s="163"/>
      <c r="F76" s="101"/>
    </row>
    <row r="77" spans="1:92" ht="20.399999999999999" x14ac:dyDescent="0.3">
      <c r="A77" s="20"/>
      <c r="B77" s="5326" t="s">
        <v>3227</v>
      </c>
      <c r="C77" s="5316" t="s">
        <v>3194</v>
      </c>
      <c r="D77" s="5323" t="s">
        <v>3228</v>
      </c>
      <c r="E77" s="5322" t="s">
        <v>3229</v>
      </c>
      <c r="F77" s="5321" t="s">
        <v>3230</v>
      </c>
    </row>
    <row r="78" spans="1:92" ht="15" customHeight="1" x14ac:dyDescent="0.3">
      <c r="A78" s="6269">
        <v>28011500</v>
      </c>
      <c r="B78" s="3887" t="s">
        <v>3231</v>
      </c>
      <c r="C78" s="106" t="s">
        <v>5292</v>
      </c>
      <c r="D78" s="588" t="s">
        <v>5293</v>
      </c>
      <c r="E78" s="5048" t="s">
        <v>5294</v>
      </c>
      <c r="F78" s="5047" t="s">
        <v>5295</v>
      </c>
    </row>
    <row r="79" spans="1:92" ht="15" customHeight="1" x14ac:dyDescent="0.3">
      <c r="A79" s="6269">
        <v>29101633</v>
      </c>
      <c r="B79" s="3887" t="s">
        <v>2882</v>
      </c>
      <c r="C79" s="1072" t="s">
        <v>5292</v>
      </c>
      <c r="D79" s="3143" t="s">
        <v>5293</v>
      </c>
      <c r="E79" s="1073" t="s">
        <v>5294</v>
      </c>
      <c r="F79" s="1060" t="s">
        <v>5295</v>
      </c>
    </row>
    <row r="80" spans="1:92" ht="15" customHeight="1" x14ac:dyDescent="0.3">
      <c r="A80" s="6269">
        <v>28011700</v>
      </c>
      <c r="B80" s="3887" t="s">
        <v>3232</v>
      </c>
      <c r="C80" s="1072" t="s">
        <v>5292</v>
      </c>
      <c r="D80" s="3143" t="s">
        <v>5293</v>
      </c>
      <c r="E80" s="1073" t="s">
        <v>5294</v>
      </c>
      <c r="F80" s="1060" t="s">
        <v>5295</v>
      </c>
    </row>
    <row r="81" spans="1:6" ht="21.75" customHeight="1" x14ac:dyDescent="0.3">
      <c r="A81" s="6269">
        <v>28012200</v>
      </c>
      <c r="B81" s="3239" t="s">
        <v>3233</v>
      </c>
      <c r="C81" s="1072" t="s">
        <v>5292</v>
      </c>
      <c r="D81" s="3143" t="s">
        <v>5293</v>
      </c>
      <c r="E81" s="1073" t="s">
        <v>5294</v>
      </c>
      <c r="F81" s="1060" t="s">
        <v>5295</v>
      </c>
    </row>
    <row r="82" spans="1:6" ht="15" customHeight="1" x14ac:dyDescent="0.3">
      <c r="A82" s="6269">
        <v>28020710</v>
      </c>
      <c r="B82" s="3887" t="s">
        <v>3234</v>
      </c>
      <c r="C82" s="90" t="s">
        <v>5292</v>
      </c>
      <c r="D82" s="4425" t="s">
        <v>5293</v>
      </c>
      <c r="E82" s="127" t="s">
        <v>5294</v>
      </c>
      <c r="F82" s="92" t="s">
        <v>5295</v>
      </c>
    </row>
    <row r="83" spans="1:6" ht="15" customHeight="1" x14ac:dyDescent="0.3">
      <c r="A83" s="6269">
        <v>28012500</v>
      </c>
      <c r="B83" s="3887" t="s">
        <v>3235</v>
      </c>
      <c r="C83" s="90" t="s">
        <v>5292</v>
      </c>
      <c r="D83" s="3143" t="s">
        <v>5293</v>
      </c>
      <c r="E83" s="127" t="s">
        <v>5294</v>
      </c>
      <c r="F83" s="92" t="s">
        <v>5295</v>
      </c>
    </row>
    <row r="84" spans="1:6" ht="15" customHeight="1" x14ac:dyDescent="0.3">
      <c r="A84" s="6269">
        <v>28022340</v>
      </c>
      <c r="B84" s="3887" t="s">
        <v>3236</v>
      </c>
      <c r="C84" s="90" t="s">
        <v>5292</v>
      </c>
      <c r="D84" s="3143" t="s">
        <v>5293</v>
      </c>
      <c r="E84" s="127" t="s">
        <v>5294</v>
      </c>
      <c r="F84" s="92" t="s">
        <v>5295</v>
      </c>
    </row>
    <row r="85" spans="1:6" ht="15" customHeight="1" x14ac:dyDescent="0.3">
      <c r="A85" s="6269">
        <v>28012300</v>
      </c>
      <c r="B85" s="3887" t="s">
        <v>3237</v>
      </c>
      <c r="C85" s="90" t="s">
        <v>5292</v>
      </c>
      <c r="D85" s="3143" t="s">
        <v>5293</v>
      </c>
      <c r="E85" s="127" t="s">
        <v>5294</v>
      </c>
      <c r="F85" s="92" t="s">
        <v>5295</v>
      </c>
    </row>
    <row r="86" spans="1:6" ht="15" customHeight="1" x14ac:dyDescent="0.3">
      <c r="A86" s="6269">
        <v>28012000</v>
      </c>
      <c r="B86" s="3887" t="s">
        <v>3238</v>
      </c>
      <c r="C86" s="90" t="s">
        <v>5292</v>
      </c>
      <c r="D86" s="3143" t="s">
        <v>5293</v>
      </c>
      <c r="E86" s="127" t="s">
        <v>5294</v>
      </c>
      <c r="F86" s="92" t="s">
        <v>5295</v>
      </c>
    </row>
    <row r="87" spans="1:6" ht="15" customHeight="1" x14ac:dyDescent="0.3">
      <c r="A87" s="6269">
        <v>29101634</v>
      </c>
      <c r="B87" s="3888" t="s">
        <v>3239</v>
      </c>
      <c r="C87" s="90" t="s">
        <v>5292</v>
      </c>
      <c r="D87" s="3143" t="s">
        <v>5293</v>
      </c>
      <c r="E87" s="127" t="s">
        <v>5294</v>
      </c>
      <c r="F87" s="92" t="s">
        <v>5295</v>
      </c>
    </row>
    <row r="88" spans="1:6" ht="15" customHeight="1" x14ac:dyDescent="0.3">
      <c r="A88" s="6269">
        <v>29101635</v>
      </c>
      <c r="B88" s="3887" t="s">
        <v>3240</v>
      </c>
      <c r="C88" s="90" t="s">
        <v>5292</v>
      </c>
      <c r="D88" s="3143" t="s">
        <v>5293</v>
      </c>
      <c r="E88" s="127" t="s">
        <v>5294</v>
      </c>
      <c r="F88" s="92" t="s">
        <v>5295</v>
      </c>
    </row>
    <row r="89" spans="1:6" ht="15" customHeight="1" x14ac:dyDescent="0.3">
      <c r="A89" s="6269">
        <v>28022300</v>
      </c>
      <c r="B89" s="3887" t="s">
        <v>3241</v>
      </c>
      <c r="C89" s="90" t="s">
        <v>5292</v>
      </c>
      <c r="D89" s="3143" t="s">
        <v>5293</v>
      </c>
      <c r="E89" s="127" t="s">
        <v>5294</v>
      </c>
      <c r="F89" s="92" t="s">
        <v>5295</v>
      </c>
    </row>
    <row r="90" spans="1:6" ht="15" customHeight="1" x14ac:dyDescent="0.3">
      <c r="A90" s="6269">
        <v>28022280</v>
      </c>
      <c r="B90" s="3239" t="s">
        <v>3242</v>
      </c>
      <c r="C90" s="90" t="s">
        <v>5292</v>
      </c>
      <c r="D90" s="3143" t="s">
        <v>5293</v>
      </c>
      <c r="E90" s="127" t="s">
        <v>5294</v>
      </c>
      <c r="F90" s="92" t="s">
        <v>5295</v>
      </c>
    </row>
    <row r="91" spans="1:6" ht="15" customHeight="1" x14ac:dyDescent="0.3">
      <c r="A91" s="6269">
        <v>28101030</v>
      </c>
      <c r="B91" s="3889" t="s">
        <v>3243</v>
      </c>
      <c r="C91" s="90" t="s">
        <v>5292</v>
      </c>
      <c r="D91" s="3143" t="s">
        <v>5293</v>
      </c>
      <c r="E91" s="127" t="s">
        <v>5294</v>
      </c>
      <c r="F91" s="92" t="s">
        <v>5295</v>
      </c>
    </row>
    <row r="92" spans="1:6" ht="15" customHeight="1" x14ac:dyDescent="0.3">
      <c r="A92" s="6269">
        <v>29101636</v>
      </c>
      <c r="B92" s="326" t="s">
        <v>3244</v>
      </c>
      <c r="C92" s="90" t="s">
        <v>5292</v>
      </c>
      <c r="D92" s="3143" t="s">
        <v>5293</v>
      </c>
      <c r="E92" s="127" t="s">
        <v>5294</v>
      </c>
      <c r="F92" s="92" t="s">
        <v>5295</v>
      </c>
    </row>
    <row r="93" spans="1:6" ht="15" customHeight="1" x14ac:dyDescent="0.3">
      <c r="A93" s="6269">
        <v>29101637</v>
      </c>
      <c r="B93" s="3887" t="s">
        <v>3245</v>
      </c>
      <c r="C93" s="90" t="s">
        <v>5292</v>
      </c>
      <c r="D93" s="3143" t="s">
        <v>5293</v>
      </c>
      <c r="E93" s="127" t="s">
        <v>5294</v>
      </c>
      <c r="F93" s="92" t="s">
        <v>5295</v>
      </c>
    </row>
    <row r="94" spans="1:6" ht="15" customHeight="1" x14ac:dyDescent="0.3">
      <c r="A94" s="6269">
        <v>29101638</v>
      </c>
      <c r="B94" s="3887" t="s">
        <v>3246</v>
      </c>
      <c r="C94" s="90" t="s">
        <v>5292</v>
      </c>
      <c r="D94" s="3143" t="s">
        <v>5293</v>
      </c>
      <c r="E94" s="127" t="s">
        <v>5294</v>
      </c>
      <c r="F94" s="92" t="s">
        <v>5295</v>
      </c>
    </row>
    <row r="95" spans="1:6" ht="15" customHeight="1" x14ac:dyDescent="0.3">
      <c r="A95" s="6267"/>
      <c r="B95" s="5326" t="s">
        <v>24</v>
      </c>
      <c r="C95" s="5325">
        <f>SUM(C78:C94)</f>
        <v>0</v>
      </c>
      <c r="D95" s="5319">
        <f>SUM(D78:D94)</f>
        <v>0</v>
      </c>
      <c r="E95" s="5318">
        <f>SUM(E78:E94)</f>
        <v>0</v>
      </c>
      <c r="F95" s="5317">
        <f>SUM(F78:F94)</f>
        <v>0</v>
      </c>
    </row>
    <row r="96" spans="1:6" ht="18" customHeight="1" x14ac:dyDescent="0.3">
      <c r="B96" s="562" t="s">
        <v>3247</v>
      </c>
      <c r="C96" s="101"/>
      <c r="D96" s="101"/>
      <c r="E96" s="101"/>
      <c r="F96" s="101"/>
    </row>
    <row r="97" spans="1:9" ht="20.399999999999999" x14ac:dyDescent="0.3">
      <c r="B97" s="5324" t="s">
        <v>61</v>
      </c>
      <c r="C97" s="5314" t="s">
        <v>3194</v>
      </c>
      <c r="D97" s="5323" t="s">
        <v>3228</v>
      </c>
      <c r="E97" s="5322" t="s">
        <v>3229</v>
      </c>
      <c r="F97" s="5321" t="s">
        <v>3230</v>
      </c>
    </row>
    <row r="98" spans="1:9" x14ac:dyDescent="0.3">
      <c r="A98" s="6269">
        <v>28012600</v>
      </c>
      <c r="B98" s="3875" t="s">
        <v>277</v>
      </c>
      <c r="C98" s="1073" t="s">
        <v>5292</v>
      </c>
      <c r="D98" s="3143" t="s">
        <v>5293</v>
      </c>
      <c r="E98" s="1073" t="s">
        <v>5294</v>
      </c>
      <c r="F98" s="1060" t="s">
        <v>5295</v>
      </c>
    </row>
    <row r="99" spans="1:9" x14ac:dyDescent="0.3">
      <c r="A99" s="6269">
        <v>28012700</v>
      </c>
      <c r="B99" s="3875" t="s">
        <v>79</v>
      </c>
      <c r="C99" s="1073" t="s">
        <v>5292</v>
      </c>
      <c r="D99" s="3143" t="s">
        <v>5293</v>
      </c>
      <c r="E99" s="1073" t="s">
        <v>5294</v>
      </c>
      <c r="F99" s="1060" t="s">
        <v>5295</v>
      </c>
    </row>
    <row r="100" spans="1:9" x14ac:dyDescent="0.3">
      <c r="A100" s="6269">
        <v>28012800</v>
      </c>
      <c r="B100" s="3875" t="s">
        <v>249</v>
      </c>
      <c r="C100" s="1073" t="s">
        <v>5292</v>
      </c>
      <c r="D100" s="3143" t="s">
        <v>5293</v>
      </c>
      <c r="E100" s="1073" t="s">
        <v>5294</v>
      </c>
      <c r="F100" s="1060" t="s">
        <v>5295</v>
      </c>
    </row>
    <row r="101" spans="1:9" x14ac:dyDescent="0.3">
      <c r="A101" s="6269">
        <v>28012900</v>
      </c>
      <c r="B101" s="3875" t="s">
        <v>75</v>
      </c>
      <c r="C101" s="1073" t="s">
        <v>5292</v>
      </c>
      <c r="D101" s="3143" t="s">
        <v>5293</v>
      </c>
      <c r="E101" s="1073" t="s">
        <v>5294</v>
      </c>
      <c r="F101" s="1060" t="s">
        <v>5295</v>
      </c>
    </row>
    <row r="102" spans="1:9" x14ac:dyDescent="0.3">
      <c r="A102" s="6269">
        <v>28013000</v>
      </c>
      <c r="B102" s="3890" t="s">
        <v>566</v>
      </c>
      <c r="C102" s="3020" t="s">
        <v>5292</v>
      </c>
      <c r="D102" s="121" t="s">
        <v>5293</v>
      </c>
      <c r="E102" s="3020" t="s">
        <v>5294</v>
      </c>
      <c r="F102" s="3035" t="s">
        <v>5295</v>
      </c>
    </row>
    <row r="103" spans="1:9" x14ac:dyDescent="0.3">
      <c r="A103" s="6278"/>
      <c r="B103" s="5320" t="s">
        <v>24</v>
      </c>
      <c r="C103" s="5319">
        <f>SUM(C98:C102)</f>
        <v>0</v>
      </c>
      <c r="D103" s="5319">
        <f>SUM(D98:D102)</f>
        <v>0</v>
      </c>
      <c r="E103" s="5318">
        <f>SUM(E98:E102)</f>
        <v>0</v>
      </c>
      <c r="F103" s="5317">
        <f>SUM(F98:F102)</f>
        <v>0</v>
      </c>
    </row>
    <row r="104" spans="1:9" ht="18" customHeight="1" x14ac:dyDescent="0.3">
      <c r="A104" s="20"/>
      <c r="B104" s="562" t="s">
        <v>3248</v>
      </c>
      <c r="C104" s="101"/>
      <c r="D104" s="101"/>
      <c r="E104" s="101"/>
      <c r="F104" s="101"/>
    </row>
    <row r="105" spans="1:9" ht="20.399999999999999" x14ac:dyDescent="0.3">
      <c r="A105" s="20"/>
      <c r="B105" s="5324" t="s">
        <v>61</v>
      </c>
      <c r="C105" s="5314" t="s">
        <v>3194</v>
      </c>
      <c r="D105" s="5323" t="s">
        <v>3228</v>
      </c>
      <c r="E105" s="5322" t="s">
        <v>3229</v>
      </c>
      <c r="F105" s="5321" t="s">
        <v>3230</v>
      </c>
    </row>
    <row r="106" spans="1:9" x14ac:dyDescent="0.3">
      <c r="A106" s="6269">
        <v>28013100</v>
      </c>
      <c r="B106" s="3875" t="s">
        <v>277</v>
      </c>
      <c r="C106" s="1073" t="s">
        <v>5292</v>
      </c>
      <c r="D106" s="3143" t="s">
        <v>5293</v>
      </c>
      <c r="E106" s="1073" t="s">
        <v>5294</v>
      </c>
      <c r="F106" s="1060" t="s">
        <v>5295</v>
      </c>
    </row>
    <row r="107" spans="1:9" x14ac:dyDescent="0.3">
      <c r="A107" s="6269">
        <v>28013200</v>
      </c>
      <c r="B107" s="3875" t="s">
        <v>79</v>
      </c>
      <c r="C107" s="1073" t="s">
        <v>5292</v>
      </c>
      <c r="D107" s="3143" t="s">
        <v>5293</v>
      </c>
      <c r="E107" s="1073" t="s">
        <v>5294</v>
      </c>
      <c r="F107" s="1060" t="s">
        <v>5295</v>
      </c>
    </row>
    <row r="108" spans="1:9" x14ac:dyDescent="0.3">
      <c r="A108" s="6269">
        <v>28013300</v>
      </c>
      <c r="B108" s="3875" t="s">
        <v>249</v>
      </c>
      <c r="C108" s="1073" t="s">
        <v>5292</v>
      </c>
      <c r="D108" s="3143" t="s">
        <v>5293</v>
      </c>
      <c r="E108" s="1073" t="s">
        <v>5294</v>
      </c>
      <c r="F108" s="1060" t="s">
        <v>5295</v>
      </c>
    </row>
    <row r="109" spans="1:9" x14ac:dyDescent="0.3">
      <c r="A109" s="6269">
        <v>28013400</v>
      </c>
      <c r="B109" s="3875" t="s">
        <v>75</v>
      </c>
      <c r="C109" s="1073" t="s">
        <v>5292</v>
      </c>
      <c r="D109" s="3143" t="s">
        <v>5293</v>
      </c>
      <c r="E109" s="1073" t="s">
        <v>5294</v>
      </c>
      <c r="F109" s="1060" t="s">
        <v>5295</v>
      </c>
    </row>
    <row r="110" spans="1:9" x14ac:dyDescent="0.3">
      <c r="A110" s="6269">
        <v>28013500</v>
      </c>
      <c r="B110" s="3890" t="s">
        <v>566</v>
      </c>
      <c r="C110" s="3020" t="s">
        <v>5292</v>
      </c>
      <c r="D110" s="121" t="s">
        <v>5293</v>
      </c>
      <c r="E110" s="3020" t="s">
        <v>5294</v>
      </c>
      <c r="F110" s="3035" t="s">
        <v>5295</v>
      </c>
    </row>
    <row r="111" spans="1:9" x14ac:dyDescent="0.3">
      <c r="A111" s="6278"/>
      <c r="B111" s="5320" t="s">
        <v>24</v>
      </c>
      <c r="C111" s="5319">
        <f>SUM(C106:C110)</f>
        <v>0</v>
      </c>
      <c r="D111" s="5319">
        <f>SUM(D106:D110)</f>
        <v>0</v>
      </c>
      <c r="E111" s="5318">
        <f>SUM(E106:E110)</f>
        <v>0</v>
      </c>
      <c r="F111" s="5317">
        <f>SUM(F106:F110)</f>
        <v>0</v>
      </c>
    </row>
    <row r="112" spans="1:9" ht="18" customHeight="1" x14ac:dyDescent="0.3">
      <c r="A112" s="20"/>
      <c r="B112" s="778" t="s">
        <v>3249</v>
      </c>
      <c r="C112" s="3891"/>
      <c r="D112" s="3891"/>
      <c r="E112" s="3892"/>
      <c r="F112" s="101"/>
      <c r="G112" s="101"/>
      <c r="H112" s="101"/>
      <c r="I112" s="101"/>
    </row>
    <row r="113" spans="1:129" ht="15" customHeight="1" x14ac:dyDescent="0.3">
      <c r="A113" s="20"/>
      <c r="B113" s="8249" t="s">
        <v>3250</v>
      </c>
      <c r="C113" s="8251" t="s">
        <v>24</v>
      </c>
      <c r="D113" s="8240" t="s">
        <v>3802</v>
      </c>
      <c r="E113" s="6347"/>
      <c r="F113" s="6347"/>
      <c r="G113" s="8241"/>
      <c r="H113" s="8248" t="s">
        <v>3805</v>
      </c>
      <c r="I113" s="7142"/>
    </row>
    <row r="114" spans="1:129" ht="24.75" customHeight="1" x14ac:dyDescent="0.3">
      <c r="A114" s="20"/>
      <c r="B114" s="8250"/>
      <c r="C114" s="8252"/>
      <c r="D114" s="5316" t="s">
        <v>3194</v>
      </c>
      <c r="E114" s="5315" t="s">
        <v>3181</v>
      </c>
      <c r="F114" s="5314" t="s">
        <v>3182</v>
      </c>
      <c r="G114" s="5313" t="s">
        <v>3183</v>
      </c>
      <c r="H114" s="5312" t="s">
        <v>3223</v>
      </c>
      <c r="I114" s="5312" t="s">
        <v>3224</v>
      </c>
    </row>
    <row r="115" spans="1:129" ht="15" customHeight="1" x14ac:dyDescent="0.3">
      <c r="A115" s="6269">
        <v>27300800</v>
      </c>
      <c r="B115" s="5311" t="s">
        <v>3251</v>
      </c>
      <c r="C115" s="5310" t="s">
        <v>5292</v>
      </c>
      <c r="D115" s="5309" t="s">
        <v>5293</v>
      </c>
      <c r="E115" s="5308" t="s">
        <v>5294</v>
      </c>
      <c r="F115" s="5228" t="s">
        <v>5295</v>
      </c>
      <c r="G115" s="5307" t="s">
        <v>5296</v>
      </c>
      <c r="H115" s="5306" t="s">
        <v>5297</v>
      </c>
      <c r="I115" s="5257" t="s">
        <v>5298</v>
      </c>
    </row>
    <row r="116" spans="1:129" ht="15" customHeight="1" x14ac:dyDescent="0.3">
      <c r="A116" s="6269">
        <v>28013600</v>
      </c>
      <c r="B116" s="5305" t="s">
        <v>3252</v>
      </c>
      <c r="C116" s="5304" t="s">
        <v>5292</v>
      </c>
      <c r="D116" s="5090" t="s">
        <v>5293</v>
      </c>
      <c r="E116" s="5252" t="s">
        <v>5294</v>
      </c>
      <c r="F116" s="2411" t="s">
        <v>5295</v>
      </c>
      <c r="G116" s="2412" t="s">
        <v>5296</v>
      </c>
      <c r="H116" s="5091" t="s">
        <v>5297</v>
      </c>
      <c r="I116" s="4767" t="s">
        <v>5298</v>
      </c>
    </row>
    <row r="117" spans="1:129" ht="18" customHeight="1" x14ac:dyDescent="0.3">
      <c r="B117" s="3866" t="s">
        <v>3253</v>
      </c>
      <c r="C117" s="3891"/>
      <c r="D117" s="3891"/>
      <c r="E117" s="3864"/>
      <c r="F117" s="5303"/>
      <c r="G117" s="5302"/>
      <c r="H117" s="5301"/>
      <c r="I117" s="5300"/>
      <c r="J117" s="3893"/>
      <c r="K117" s="3893"/>
      <c r="L117" s="3893"/>
    </row>
    <row r="118" spans="1:129" x14ac:dyDescent="0.3">
      <c r="B118" s="8267" t="s">
        <v>3254</v>
      </c>
      <c r="C118" s="7521" t="s">
        <v>24</v>
      </c>
      <c r="D118" s="8268" t="s">
        <v>3806</v>
      </c>
      <c r="E118" s="8269"/>
      <c r="F118" s="8269"/>
      <c r="G118" s="8269" t="s">
        <v>3255</v>
      </c>
      <c r="H118" s="8270" t="s">
        <v>3256</v>
      </c>
      <c r="I118" s="8271" t="s">
        <v>3802</v>
      </c>
      <c r="J118" s="7556"/>
      <c r="K118" s="7556"/>
      <c r="L118" s="7549"/>
    </row>
    <row r="119" spans="1:129" ht="44.25" customHeight="1" x14ac:dyDescent="0.3">
      <c r="B119" s="8254"/>
      <c r="C119" s="8238"/>
      <c r="D119" s="5967" t="s">
        <v>3257</v>
      </c>
      <c r="E119" s="5968" t="s">
        <v>3258</v>
      </c>
      <c r="F119" s="5947" t="s">
        <v>3259</v>
      </c>
      <c r="G119" s="8269"/>
      <c r="H119" s="8270"/>
      <c r="I119" s="5966" t="s">
        <v>3194</v>
      </c>
      <c r="J119" s="5952" t="s">
        <v>3181</v>
      </c>
      <c r="K119" s="5952" t="s">
        <v>3182</v>
      </c>
      <c r="L119" s="5860" t="s">
        <v>3183</v>
      </c>
    </row>
    <row r="120" spans="1:129" ht="15" customHeight="1" x14ac:dyDescent="0.3">
      <c r="A120" s="6269">
        <v>28020730</v>
      </c>
      <c r="B120" s="5166" t="s">
        <v>3196</v>
      </c>
      <c r="C120" s="5215" t="s">
        <v>5292</v>
      </c>
      <c r="D120" s="5687" t="s">
        <v>5293</v>
      </c>
      <c r="E120" s="5965" t="s">
        <v>5294</v>
      </c>
      <c r="F120" s="5965" t="s">
        <v>5295</v>
      </c>
      <c r="G120" s="5965" t="s">
        <v>5296</v>
      </c>
      <c r="H120" s="5881" t="s">
        <v>5297</v>
      </c>
      <c r="I120" s="5691" t="s">
        <v>5298</v>
      </c>
      <c r="J120" s="5965" t="s">
        <v>5299</v>
      </c>
      <c r="K120" s="5965" t="s">
        <v>5300</v>
      </c>
      <c r="L120" s="5748" t="s">
        <v>5301</v>
      </c>
      <c r="M120" s="1687" t="e">
        <f>CB120&amp;CC120&amp;CD120</f>
        <v>#VALUE!</v>
      </c>
      <c r="AR120" s="2630"/>
      <c r="AS120" s="2630"/>
      <c r="AT120" s="2630"/>
      <c r="AU120" s="2630"/>
      <c r="AV120" s="2630"/>
      <c r="AW120" s="2630"/>
      <c r="AX120" s="2630"/>
      <c r="AY120" s="2630"/>
      <c r="AZ120" s="2630"/>
      <c r="BA120" s="2630"/>
      <c r="BB120" s="2630"/>
      <c r="BC120" s="2630"/>
      <c r="BD120" s="2630"/>
      <c r="BE120" s="2630"/>
      <c r="BF120" s="2630"/>
      <c r="BG120" s="2630"/>
      <c r="BH120" s="2630"/>
      <c r="BI120" s="2630"/>
      <c r="BJ120" s="2630"/>
      <c r="BK120" s="2630"/>
      <c r="BL120" s="2630"/>
      <c r="BM120" s="2630"/>
      <c r="BN120" s="2630"/>
      <c r="BO120" s="2630"/>
      <c r="BP120" s="2630"/>
      <c r="BQ120" s="2630"/>
      <c r="BR120" s="2630"/>
      <c r="BS120" s="2630"/>
      <c r="BT120" s="2630"/>
      <c r="BU120" s="2630"/>
      <c r="BV120" s="2630"/>
      <c r="BW120" s="2630"/>
      <c r="BX120" s="2630"/>
      <c r="BY120" s="2630"/>
      <c r="BZ120" s="2630"/>
      <c r="CA120" s="2630"/>
      <c r="CB120" s="4752"/>
      <c r="CC120" s="2920" t="e">
        <f>IF(I120+J120+K120+L120&lt;&gt;$C120,"* El número de "&amp;I$118&amp;""&amp;" no debe ser distinto del Total. ","")</f>
        <v>#VALUE!</v>
      </c>
      <c r="CD120" s="2630"/>
      <c r="CE120" s="2630"/>
      <c r="CF120" s="2630"/>
      <c r="CG120" s="2630"/>
      <c r="CH120" s="1725" t="e">
        <f>IF(I120+J120+K120+L120&lt;&gt;$C120,1,0)</f>
        <v>#VALUE!</v>
      </c>
      <c r="CI120" s="1723"/>
      <c r="CJ120" s="1723"/>
      <c r="CK120" s="1723"/>
      <c r="CL120"/>
      <c r="CM120"/>
      <c r="CN120"/>
      <c r="CO120"/>
      <c r="CP120"/>
      <c r="DK120" s="1116"/>
      <c r="DL120" s="1116"/>
      <c r="DM120" s="1116"/>
      <c r="DN120" s="1116"/>
      <c r="DO120" s="1116"/>
      <c r="DP120" s="1116"/>
      <c r="DQ120" s="1116"/>
      <c r="DR120" s="1116"/>
      <c r="DS120" s="1116"/>
      <c r="DT120" s="1116"/>
      <c r="DU120" s="1116"/>
      <c r="DV120" s="1116"/>
      <c r="DW120" s="1116"/>
      <c r="DX120" s="1116"/>
      <c r="DY120" s="1116"/>
    </row>
    <row r="121" spans="1:129" ht="15" customHeight="1" x14ac:dyDescent="0.3">
      <c r="A121" s="6269">
        <v>28020740</v>
      </c>
      <c r="B121" s="3239" t="s">
        <v>3215</v>
      </c>
      <c r="C121" s="3046" t="s">
        <v>5292</v>
      </c>
      <c r="D121" s="616" t="s">
        <v>5293</v>
      </c>
      <c r="E121" s="617" t="s">
        <v>5294</v>
      </c>
      <c r="F121" s="617" t="s">
        <v>5295</v>
      </c>
      <c r="G121" s="617" t="s">
        <v>5296</v>
      </c>
      <c r="H121" s="624" t="s">
        <v>5297</v>
      </c>
      <c r="I121" s="916" t="s">
        <v>5298</v>
      </c>
      <c r="J121" s="617" t="s">
        <v>5299</v>
      </c>
      <c r="K121" s="617" t="s">
        <v>5300</v>
      </c>
      <c r="L121" s="626" t="s">
        <v>5301</v>
      </c>
      <c r="M121" s="1687" t="e">
        <f>CB121&amp;CC121&amp;CD121</f>
        <v>#VALUE!</v>
      </c>
      <c r="AR121" s="2630"/>
      <c r="AS121" s="2630"/>
      <c r="AT121" s="2630"/>
      <c r="AU121" s="2630"/>
      <c r="AV121" s="2630"/>
      <c r="AW121" s="2630"/>
      <c r="AX121" s="2630"/>
      <c r="AY121" s="2630"/>
      <c r="AZ121" s="2630"/>
      <c r="BA121" s="2630"/>
      <c r="BB121" s="2630"/>
      <c r="BC121" s="2630"/>
      <c r="BD121" s="2630"/>
      <c r="BE121" s="2630"/>
      <c r="BF121" s="2630"/>
      <c r="BG121" s="2630"/>
      <c r="BH121" s="2630"/>
      <c r="BI121" s="2630"/>
      <c r="BJ121" s="2630"/>
      <c r="BK121" s="2630"/>
      <c r="BL121" s="2630"/>
      <c r="BM121" s="2630"/>
      <c r="BN121" s="2630"/>
      <c r="BO121" s="2630"/>
      <c r="BP121" s="2630"/>
      <c r="BQ121" s="2630"/>
      <c r="BR121" s="2630"/>
      <c r="BS121" s="2630"/>
      <c r="BT121" s="2630"/>
      <c r="BU121" s="2630"/>
      <c r="BV121" s="2630"/>
      <c r="BW121" s="2630"/>
      <c r="BX121" s="2630"/>
      <c r="BY121" s="2630"/>
      <c r="BZ121" s="2630"/>
      <c r="CA121" s="2630"/>
      <c r="CB121" s="4752"/>
      <c r="CC121" s="2920" t="e">
        <f t="shared" ref="CC121:CC122" si="25">IF(I121+J121+K121+L121&lt;&gt;$C121,"* El número de "&amp;I$118&amp;""&amp;" no debe ser distinto del Total. ","")</f>
        <v>#VALUE!</v>
      </c>
      <c r="CD121" s="2630"/>
      <c r="CE121" s="2630"/>
      <c r="CF121" s="2630"/>
      <c r="CG121" s="2630"/>
      <c r="CH121" s="1725" t="e">
        <f t="shared" ref="CH121:CH122" si="26">IF(I121+J121+K121+L121&lt;&gt;$C121,1,0)</f>
        <v>#VALUE!</v>
      </c>
      <c r="CI121" s="1723"/>
      <c r="CJ121" s="1723"/>
      <c r="CK121" s="1723"/>
      <c r="DK121" s="1116"/>
    </row>
    <row r="122" spans="1:129" ht="15" customHeight="1" x14ac:dyDescent="0.3">
      <c r="A122" s="6269">
        <v>28020750</v>
      </c>
      <c r="B122" s="207" t="s">
        <v>3216</v>
      </c>
      <c r="C122" s="150" t="s">
        <v>5292</v>
      </c>
      <c r="D122" s="114" t="s">
        <v>5293</v>
      </c>
      <c r="E122" s="3020" t="s">
        <v>5294</v>
      </c>
      <c r="F122" s="3020" t="s">
        <v>5295</v>
      </c>
      <c r="G122" s="3020" t="s">
        <v>5296</v>
      </c>
      <c r="H122" s="3080" t="s">
        <v>5297</v>
      </c>
      <c r="I122" s="561" t="s">
        <v>5298</v>
      </c>
      <c r="J122" s="3020" t="s">
        <v>5299</v>
      </c>
      <c r="K122" s="3020" t="s">
        <v>5300</v>
      </c>
      <c r="L122" s="3035" t="s">
        <v>5301</v>
      </c>
      <c r="M122" s="1687" t="e">
        <f>CB122&amp;CC122&amp;CD122</f>
        <v>#VALUE!</v>
      </c>
      <c r="AR122" s="2630"/>
      <c r="AS122" s="2630"/>
      <c r="AT122" s="2630"/>
      <c r="AU122" s="2630"/>
      <c r="AV122" s="2630"/>
      <c r="AW122" s="2630"/>
      <c r="AX122" s="2630"/>
      <c r="AY122" s="2630"/>
      <c r="AZ122" s="2630"/>
      <c r="BA122" s="2630"/>
      <c r="BB122" s="2630"/>
      <c r="BC122" s="2630"/>
      <c r="BD122" s="2630"/>
      <c r="BE122" s="2630"/>
      <c r="BF122" s="2630"/>
      <c r="BG122" s="2630"/>
      <c r="BH122" s="2630"/>
      <c r="BI122" s="2630"/>
      <c r="BJ122" s="2630"/>
      <c r="BK122" s="2630"/>
      <c r="BL122" s="2630"/>
      <c r="BM122" s="2630"/>
      <c r="BN122" s="2630"/>
      <c r="BO122" s="2630"/>
      <c r="BP122" s="2630"/>
      <c r="BQ122" s="2630"/>
      <c r="BR122" s="2630"/>
      <c r="BS122" s="2630"/>
      <c r="BT122" s="2630"/>
      <c r="BU122" s="2630"/>
      <c r="BV122" s="2630"/>
      <c r="BW122" s="2630"/>
      <c r="BX122" s="2630"/>
      <c r="BY122" s="2630"/>
      <c r="BZ122" s="2630"/>
      <c r="CA122" s="2630"/>
      <c r="CB122" s="4752"/>
      <c r="CC122" s="2920" t="e">
        <f t="shared" si="25"/>
        <v>#VALUE!</v>
      </c>
      <c r="CD122" s="2630"/>
      <c r="CE122" s="2630"/>
      <c r="CF122" s="2630"/>
      <c r="CG122" s="2630"/>
      <c r="CH122" s="1725" t="e">
        <f t="shared" si="26"/>
        <v>#VALUE!</v>
      </c>
      <c r="CI122" s="1723"/>
      <c r="CJ122" s="1723"/>
      <c r="CK122" s="1723"/>
      <c r="DK122" s="1116"/>
    </row>
    <row r="123" spans="1:129" ht="18" customHeight="1" x14ac:dyDescent="0.3">
      <c r="A123" s="20"/>
      <c r="B123" s="562" t="s">
        <v>3260</v>
      </c>
      <c r="C123" s="3891"/>
      <c r="D123" s="3891"/>
      <c r="E123" s="3892"/>
      <c r="F123" s="3892"/>
      <c r="G123" s="3892"/>
      <c r="H123" s="3892"/>
      <c r="I123" s="3892"/>
      <c r="J123" s="3892"/>
      <c r="K123" s="3892"/>
      <c r="L123" s="3892"/>
      <c r="M123" s="3892"/>
    </row>
    <row r="124" spans="1:129" ht="21.75" customHeight="1" x14ac:dyDescent="0.3">
      <c r="A124" s="20"/>
      <c r="B124" s="8267" t="s">
        <v>3261</v>
      </c>
      <c r="C124" s="7521" t="s">
        <v>1310</v>
      </c>
      <c r="D124" s="7567" t="s">
        <v>3262</v>
      </c>
      <c r="E124" s="8272"/>
      <c r="F124" s="7567" t="s">
        <v>3263</v>
      </c>
      <c r="G124" s="8272"/>
      <c r="H124" s="7568" t="s">
        <v>3264</v>
      </c>
      <c r="I124" s="8272"/>
      <c r="J124" s="7567" t="s">
        <v>3265</v>
      </c>
      <c r="K124" s="7591"/>
      <c r="L124" s="8273" t="s">
        <v>3807</v>
      </c>
      <c r="M124" s="8274"/>
    </row>
    <row r="125" spans="1:129" ht="20.399999999999999" x14ac:dyDescent="0.3">
      <c r="A125" s="2497"/>
      <c r="B125" s="8254"/>
      <c r="C125" s="8238"/>
      <c r="D125" s="5133" t="s">
        <v>3266</v>
      </c>
      <c r="E125" s="5162" t="s">
        <v>3267</v>
      </c>
      <c r="F125" s="5133" t="s">
        <v>3266</v>
      </c>
      <c r="G125" s="5162" t="s">
        <v>3267</v>
      </c>
      <c r="H125" s="5133" t="s">
        <v>3266</v>
      </c>
      <c r="I125" s="5132" t="s">
        <v>3267</v>
      </c>
      <c r="J125" s="5133" t="s">
        <v>3266</v>
      </c>
      <c r="K125" s="5209" t="s">
        <v>3267</v>
      </c>
      <c r="L125" s="5966" t="s">
        <v>3223</v>
      </c>
      <c r="M125" s="5860" t="s">
        <v>3224</v>
      </c>
    </row>
    <row r="126" spans="1:129" x14ac:dyDescent="0.3">
      <c r="A126" s="6269">
        <v>28020760</v>
      </c>
      <c r="B126" s="7600" t="s">
        <v>3268</v>
      </c>
      <c r="C126" s="5166" t="s">
        <v>2890</v>
      </c>
      <c r="D126" s="5227" t="s">
        <v>5292</v>
      </c>
      <c r="E126" s="5231" t="s">
        <v>5293</v>
      </c>
      <c r="F126" s="5227" t="s">
        <v>5294</v>
      </c>
      <c r="G126" s="5231" t="s">
        <v>5295</v>
      </c>
      <c r="H126" s="5227" t="s">
        <v>5296</v>
      </c>
      <c r="I126" s="5231" t="s">
        <v>5297</v>
      </c>
      <c r="J126" s="5227" t="s">
        <v>5298</v>
      </c>
      <c r="K126" s="5229" t="s">
        <v>5299</v>
      </c>
      <c r="L126" s="916" t="s">
        <v>5300</v>
      </c>
      <c r="M126" s="5748" t="s">
        <v>5301</v>
      </c>
    </row>
    <row r="127" spans="1:129" x14ac:dyDescent="0.3">
      <c r="A127" s="6269">
        <v>28020770</v>
      </c>
      <c r="B127" s="6634"/>
      <c r="C127" s="3239" t="s">
        <v>3269</v>
      </c>
      <c r="D127" s="1072" t="s">
        <v>5292</v>
      </c>
      <c r="E127" s="3077" t="s">
        <v>5293</v>
      </c>
      <c r="F127" s="1072" t="s">
        <v>5294</v>
      </c>
      <c r="G127" s="3077" t="s">
        <v>5295</v>
      </c>
      <c r="H127" s="1072" t="s">
        <v>5296</v>
      </c>
      <c r="I127" s="3077" t="s">
        <v>5297</v>
      </c>
      <c r="J127" s="1072" t="s">
        <v>5298</v>
      </c>
      <c r="K127" s="3144" t="s">
        <v>5299</v>
      </c>
      <c r="L127" s="916" t="s">
        <v>5300</v>
      </c>
      <c r="M127" s="626" t="s">
        <v>5301</v>
      </c>
    </row>
    <row r="128" spans="1:129" x14ac:dyDescent="0.3">
      <c r="A128" s="6269">
        <v>28020780</v>
      </c>
      <c r="B128" s="6634"/>
      <c r="C128" s="3239" t="s">
        <v>3270</v>
      </c>
      <c r="D128" s="1072" t="s">
        <v>5292</v>
      </c>
      <c r="E128" s="3077" t="s">
        <v>5293</v>
      </c>
      <c r="F128" s="1072" t="s">
        <v>5294</v>
      </c>
      <c r="G128" s="3077" t="s">
        <v>5295</v>
      </c>
      <c r="H128" s="1072" t="s">
        <v>5296</v>
      </c>
      <c r="I128" s="3077" t="s">
        <v>5297</v>
      </c>
      <c r="J128" s="1072" t="s">
        <v>5298</v>
      </c>
      <c r="K128" s="3144" t="s">
        <v>5299</v>
      </c>
      <c r="L128" s="916" t="s">
        <v>5300</v>
      </c>
      <c r="M128" s="626" t="s">
        <v>5301</v>
      </c>
    </row>
    <row r="129" spans="1:42" x14ac:dyDescent="0.3">
      <c r="A129" s="6269">
        <v>28020790</v>
      </c>
      <c r="B129" s="8261"/>
      <c r="C129" s="3239" t="s">
        <v>3271</v>
      </c>
      <c r="D129" s="3023" t="s">
        <v>5292</v>
      </c>
      <c r="E129" s="117" t="s">
        <v>5293</v>
      </c>
      <c r="F129" s="3023" t="s">
        <v>5294</v>
      </c>
      <c r="G129" s="117" t="s">
        <v>5295</v>
      </c>
      <c r="H129" s="3023" t="s">
        <v>5296</v>
      </c>
      <c r="I129" s="117" t="s">
        <v>5297</v>
      </c>
      <c r="J129" s="3023" t="s">
        <v>5298</v>
      </c>
      <c r="K129" s="770" t="s">
        <v>5299</v>
      </c>
      <c r="L129" s="561" t="s">
        <v>5300</v>
      </c>
      <c r="M129" s="3035" t="s">
        <v>5301</v>
      </c>
    </row>
    <row r="130" spans="1:42" x14ac:dyDescent="0.3">
      <c r="A130" s="6269">
        <v>28020800</v>
      </c>
      <c r="B130" s="8275" t="s">
        <v>3272</v>
      </c>
      <c r="C130" s="5166" t="s">
        <v>2890</v>
      </c>
      <c r="D130" s="5227" t="s">
        <v>5292</v>
      </c>
      <c r="E130" s="5231" t="s">
        <v>5293</v>
      </c>
      <c r="F130" s="5227" t="s">
        <v>5294</v>
      </c>
      <c r="G130" s="5231" t="s">
        <v>5295</v>
      </c>
      <c r="H130" s="5227" t="s">
        <v>5296</v>
      </c>
      <c r="I130" s="5231" t="s">
        <v>5297</v>
      </c>
      <c r="J130" s="5227" t="s">
        <v>5298</v>
      </c>
      <c r="K130" s="5229" t="s">
        <v>5299</v>
      </c>
      <c r="L130" s="5691" t="s">
        <v>5300</v>
      </c>
      <c r="M130" s="5748" t="s">
        <v>5301</v>
      </c>
    </row>
    <row r="131" spans="1:42" x14ac:dyDescent="0.3">
      <c r="A131" s="6269">
        <v>28020810</v>
      </c>
      <c r="B131" s="8276"/>
      <c r="C131" s="3239" t="s">
        <v>3273</v>
      </c>
      <c r="D131" s="1072" t="s">
        <v>5292</v>
      </c>
      <c r="E131" s="3077" t="s">
        <v>5293</v>
      </c>
      <c r="F131" s="1072" t="s">
        <v>5294</v>
      </c>
      <c r="G131" s="3077" t="s">
        <v>5295</v>
      </c>
      <c r="H131" s="1072" t="s">
        <v>5296</v>
      </c>
      <c r="I131" s="3077" t="s">
        <v>5297</v>
      </c>
      <c r="J131" s="1072" t="s">
        <v>5298</v>
      </c>
      <c r="K131" s="3144" t="s">
        <v>5299</v>
      </c>
      <c r="L131" s="916" t="s">
        <v>5300</v>
      </c>
      <c r="M131" s="626" t="s">
        <v>5301</v>
      </c>
    </row>
    <row r="132" spans="1:42" x14ac:dyDescent="0.3">
      <c r="A132" s="6269">
        <v>28020820</v>
      </c>
      <c r="B132" s="8276"/>
      <c r="C132" s="3239" t="s">
        <v>3271</v>
      </c>
      <c r="D132" s="1072" t="s">
        <v>5292</v>
      </c>
      <c r="E132" s="3077" t="s">
        <v>5293</v>
      </c>
      <c r="F132" s="1072" t="s">
        <v>5294</v>
      </c>
      <c r="G132" s="3077" t="s">
        <v>5295</v>
      </c>
      <c r="H132" s="1072" t="s">
        <v>5296</v>
      </c>
      <c r="I132" s="3077" t="s">
        <v>5297</v>
      </c>
      <c r="J132" s="1072" t="s">
        <v>5298</v>
      </c>
      <c r="K132" s="3144" t="s">
        <v>5299</v>
      </c>
      <c r="L132" s="916" t="s">
        <v>5300</v>
      </c>
      <c r="M132" s="626" t="s">
        <v>5301</v>
      </c>
    </row>
    <row r="133" spans="1:42" x14ac:dyDescent="0.3">
      <c r="A133" s="6269">
        <v>28020830</v>
      </c>
      <c r="B133" s="8276"/>
      <c r="C133" s="3894" t="s">
        <v>3274</v>
      </c>
      <c r="D133" s="90" t="s">
        <v>5292</v>
      </c>
      <c r="E133" s="91" t="s">
        <v>5293</v>
      </c>
      <c r="F133" s="90" t="s">
        <v>5294</v>
      </c>
      <c r="G133" s="91" t="s">
        <v>5295</v>
      </c>
      <c r="H133" s="90" t="s">
        <v>5296</v>
      </c>
      <c r="I133" s="91" t="s">
        <v>5297</v>
      </c>
      <c r="J133" s="90" t="s">
        <v>5298</v>
      </c>
      <c r="K133" s="1078" t="s">
        <v>5299</v>
      </c>
      <c r="L133" s="2833" t="s">
        <v>5300</v>
      </c>
      <c r="M133" s="92" t="s">
        <v>5301</v>
      </c>
    </row>
    <row r="134" spans="1:42" x14ac:dyDescent="0.3">
      <c r="A134" s="6269">
        <v>28020840</v>
      </c>
      <c r="B134" s="8276"/>
      <c r="C134" s="207" t="s">
        <v>3275</v>
      </c>
      <c r="D134" s="3023" t="s">
        <v>5292</v>
      </c>
      <c r="E134" s="117" t="s">
        <v>5293</v>
      </c>
      <c r="F134" s="3023" t="s">
        <v>5294</v>
      </c>
      <c r="G134" s="117" t="s">
        <v>5295</v>
      </c>
      <c r="H134" s="3023" t="s">
        <v>5296</v>
      </c>
      <c r="I134" s="117" t="s">
        <v>5297</v>
      </c>
      <c r="J134" s="3023" t="s">
        <v>5298</v>
      </c>
      <c r="K134" s="770" t="s">
        <v>5299</v>
      </c>
      <c r="L134" s="561" t="s">
        <v>5300</v>
      </c>
      <c r="M134" s="3035" t="s">
        <v>5301</v>
      </c>
    </row>
    <row r="135" spans="1:42" x14ac:dyDescent="0.3">
      <c r="A135" s="6269">
        <v>28020850</v>
      </c>
      <c r="B135" s="7600" t="s">
        <v>3276</v>
      </c>
      <c r="C135" s="5166" t="s">
        <v>3277</v>
      </c>
      <c r="D135" s="5227" t="s">
        <v>5292</v>
      </c>
      <c r="E135" s="5231" t="s">
        <v>5293</v>
      </c>
      <c r="F135" s="5227" t="s">
        <v>5294</v>
      </c>
      <c r="G135" s="5231" t="s">
        <v>5295</v>
      </c>
      <c r="H135" s="5227" t="s">
        <v>5296</v>
      </c>
      <c r="I135" s="5231" t="s">
        <v>5297</v>
      </c>
      <c r="J135" s="5227" t="s">
        <v>5298</v>
      </c>
      <c r="K135" s="5229" t="s">
        <v>5299</v>
      </c>
      <c r="L135" s="5691" t="s">
        <v>5300</v>
      </c>
      <c r="M135" s="5748" t="s">
        <v>5301</v>
      </c>
    </row>
    <row r="136" spans="1:42" x14ac:dyDescent="0.3">
      <c r="A136" s="6269">
        <v>28020860</v>
      </c>
      <c r="B136" s="6634"/>
      <c r="C136" s="3239" t="s">
        <v>3273</v>
      </c>
      <c r="D136" s="1072" t="s">
        <v>5292</v>
      </c>
      <c r="E136" s="3077" t="s">
        <v>5293</v>
      </c>
      <c r="F136" s="1072" t="s">
        <v>5294</v>
      </c>
      <c r="G136" s="3077" t="s">
        <v>5295</v>
      </c>
      <c r="H136" s="1072" t="s">
        <v>5296</v>
      </c>
      <c r="I136" s="3077" t="s">
        <v>5297</v>
      </c>
      <c r="J136" s="1072" t="s">
        <v>5298</v>
      </c>
      <c r="K136" s="3144" t="s">
        <v>5299</v>
      </c>
      <c r="L136" s="916" t="s">
        <v>5300</v>
      </c>
      <c r="M136" s="626" t="s">
        <v>5301</v>
      </c>
    </row>
    <row r="137" spans="1:42" x14ac:dyDescent="0.3">
      <c r="A137" s="6269">
        <v>28020870</v>
      </c>
      <c r="B137" s="6634"/>
      <c r="C137" s="3239" t="s">
        <v>3271</v>
      </c>
      <c r="D137" s="1072" t="s">
        <v>5292</v>
      </c>
      <c r="E137" s="3077" t="s">
        <v>5293</v>
      </c>
      <c r="F137" s="1072" t="s">
        <v>5294</v>
      </c>
      <c r="G137" s="3077" t="s">
        <v>5295</v>
      </c>
      <c r="H137" s="1072" t="s">
        <v>5296</v>
      </c>
      <c r="I137" s="3077" t="s">
        <v>5297</v>
      </c>
      <c r="J137" s="1072" t="s">
        <v>5298</v>
      </c>
      <c r="K137" s="3144" t="s">
        <v>5299</v>
      </c>
      <c r="L137" s="916" t="s">
        <v>5300</v>
      </c>
      <c r="M137" s="626" t="s">
        <v>5301</v>
      </c>
    </row>
    <row r="138" spans="1:42" x14ac:dyDescent="0.3">
      <c r="A138" s="6269">
        <v>28020880</v>
      </c>
      <c r="B138" s="6634"/>
      <c r="C138" s="3239" t="s">
        <v>3278</v>
      </c>
      <c r="D138" s="1072" t="s">
        <v>5292</v>
      </c>
      <c r="E138" s="3077" t="s">
        <v>5293</v>
      </c>
      <c r="F138" s="1072" t="s">
        <v>5294</v>
      </c>
      <c r="G138" s="3077" t="s">
        <v>5295</v>
      </c>
      <c r="H138" s="1072" t="s">
        <v>5296</v>
      </c>
      <c r="I138" s="3077" t="s">
        <v>5297</v>
      </c>
      <c r="J138" s="1072" t="s">
        <v>5298</v>
      </c>
      <c r="K138" s="3144" t="s">
        <v>5299</v>
      </c>
      <c r="L138" s="916" t="s">
        <v>5300</v>
      </c>
      <c r="M138" s="626" t="s">
        <v>5301</v>
      </c>
    </row>
    <row r="139" spans="1:42" x14ac:dyDescent="0.3">
      <c r="A139" s="6269">
        <v>28020890</v>
      </c>
      <c r="B139" s="6634"/>
      <c r="C139" s="3894" t="s">
        <v>3274</v>
      </c>
      <c r="D139" s="1072" t="s">
        <v>5292</v>
      </c>
      <c r="E139" s="3077" t="s">
        <v>5293</v>
      </c>
      <c r="F139" s="1072" t="s">
        <v>5294</v>
      </c>
      <c r="G139" s="3077" t="s">
        <v>5295</v>
      </c>
      <c r="H139" s="1072" t="s">
        <v>5296</v>
      </c>
      <c r="I139" s="3077" t="s">
        <v>5297</v>
      </c>
      <c r="J139" s="1072" t="s">
        <v>5298</v>
      </c>
      <c r="K139" s="3144" t="s">
        <v>5299</v>
      </c>
      <c r="L139" s="916" t="s">
        <v>5300</v>
      </c>
      <c r="M139" s="626" t="s">
        <v>5301</v>
      </c>
    </row>
    <row r="140" spans="1:42" x14ac:dyDescent="0.3">
      <c r="A140" s="6269">
        <v>28020900</v>
      </c>
      <c r="B140" s="8261"/>
      <c r="C140" s="207" t="s">
        <v>3275</v>
      </c>
      <c r="D140" s="131" t="s">
        <v>5292</v>
      </c>
      <c r="E140" s="870" t="s">
        <v>5293</v>
      </c>
      <c r="F140" s="131" t="s">
        <v>5294</v>
      </c>
      <c r="G140" s="870" t="s">
        <v>5295</v>
      </c>
      <c r="H140" s="131" t="s">
        <v>5296</v>
      </c>
      <c r="I140" s="870" t="s">
        <v>5297</v>
      </c>
      <c r="J140" s="131" t="s">
        <v>5298</v>
      </c>
      <c r="K140" s="3030" t="s">
        <v>5299</v>
      </c>
      <c r="L140" s="3753" t="s">
        <v>5300</v>
      </c>
      <c r="M140" s="1382" t="s">
        <v>5301</v>
      </c>
    </row>
    <row r="141" spans="1:42" x14ac:dyDescent="0.3">
      <c r="A141" s="6269">
        <v>28101040</v>
      </c>
      <c r="B141" s="5299" t="s">
        <v>3279</v>
      </c>
      <c r="C141" s="5299" t="s">
        <v>3270</v>
      </c>
      <c r="D141" s="5298" t="s">
        <v>5292</v>
      </c>
      <c r="E141" s="5296" t="s">
        <v>5293</v>
      </c>
      <c r="F141" s="5298" t="s">
        <v>5294</v>
      </c>
      <c r="G141" s="5296" t="s">
        <v>5295</v>
      </c>
      <c r="H141" s="5298" t="s">
        <v>5296</v>
      </c>
      <c r="I141" s="5296" t="s">
        <v>5297</v>
      </c>
      <c r="J141" s="5298" t="s">
        <v>5298</v>
      </c>
      <c r="K141" s="5297" t="s">
        <v>5299</v>
      </c>
      <c r="L141" s="5948" t="s">
        <v>5300</v>
      </c>
      <c r="M141" s="5606" t="s">
        <v>5301</v>
      </c>
    </row>
    <row r="142" spans="1:42" ht="18" customHeight="1" x14ac:dyDescent="0.3">
      <c r="B142" s="123" t="s">
        <v>3280</v>
      </c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</row>
    <row r="143" spans="1:42" ht="18" customHeight="1" x14ac:dyDescent="0.3">
      <c r="B143" s="122" t="s">
        <v>3281</v>
      </c>
      <c r="C143" s="123"/>
      <c r="D143" s="101"/>
      <c r="E143" s="163"/>
      <c r="F143" s="5294"/>
      <c r="G143" s="163"/>
      <c r="H143" s="5294"/>
      <c r="I143" s="5294"/>
      <c r="J143" s="163"/>
      <c r="K143" s="5295"/>
      <c r="L143" s="5295"/>
      <c r="M143" s="5295"/>
      <c r="N143" s="5295"/>
      <c r="O143" s="5295"/>
      <c r="P143" s="5295"/>
      <c r="Q143" s="5295"/>
      <c r="R143" s="5295"/>
      <c r="S143" s="5294"/>
      <c r="T143" s="163"/>
      <c r="U143" s="5295"/>
      <c r="V143" s="5295"/>
      <c r="W143" s="5294"/>
      <c r="X143" s="5293"/>
      <c r="Y143" s="163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  <c r="AP143" s="101"/>
    </row>
    <row r="144" spans="1:42" x14ac:dyDescent="0.3">
      <c r="B144" s="8262" t="s">
        <v>3282</v>
      </c>
      <c r="C144" s="7544" t="s">
        <v>24</v>
      </c>
      <c r="D144" s="6527"/>
      <c r="E144" s="7538"/>
      <c r="F144" s="8265" t="s">
        <v>30</v>
      </c>
      <c r="G144" s="7542"/>
      <c r="H144" s="7542"/>
      <c r="I144" s="7542"/>
      <c r="J144" s="7542"/>
      <c r="K144" s="7542"/>
      <c r="L144" s="7542"/>
      <c r="M144" s="7542"/>
      <c r="N144" s="7542"/>
      <c r="O144" s="7542"/>
      <c r="P144" s="7542"/>
      <c r="Q144" s="7542"/>
      <c r="R144" s="7542"/>
      <c r="S144" s="7542"/>
      <c r="T144" s="7542"/>
      <c r="U144" s="7542"/>
      <c r="V144" s="7542"/>
      <c r="W144" s="7542"/>
      <c r="X144" s="7542"/>
      <c r="Y144" s="7542"/>
      <c r="Z144" s="7542"/>
      <c r="AA144" s="7542"/>
      <c r="AB144" s="7542"/>
      <c r="AC144" s="7542"/>
      <c r="AD144" s="7542"/>
      <c r="AE144" s="7542"/>
      <c r="AF144" s="7542"/>
      <c r="AG144" s="7542"/>
      <c r="AH144" s="7542"/>
      <c r="AI144" s="7542"/>
      <c r="AJ144" s="7542"/>
      <c r="AK144" s="7542"/>
      <c r="AL144" s="7542"/>
      <c r="AM144" s="7542"/>
      <c r="AN144" s="8277" t="s">
        <v>3283</v>
      </c>
      <c r="AO144" s="8278"/>
      <c r="AP144" s="8279"/>
    </row>
    <row r="145" spans="1:118" x14ac:dyDescent="0.3">
      <c r="B145" s="8263"/>
      <c r="C145" s="7545"/>
      <c r="D145" s="7566"/>
      <c r="E145" s="7146"/>
      <c r="F145" s="8266" t="s">
        <v>36</v>
      </c>
      <c r="G145" s="8266"/>
      <c r="H145" s="8266" t="s">
        <v>37</v>
      </c>
      <c r="I145" s="8266"/>
      <c r="J145" s="8266" t="s">
        <v>38</v>
      </c>
      <c r="K145" s="8266"/>
      <c r="L145" s="8280" t="s">
        <v>4</v>
      </c>
      <c r="M145" s="8280"/>
      <c r="N145" s="8266" t="s">
        <v>5</v>
      </c>
      <c r="O145" s="7567"/>
      <c r="P145" s="8266" t="s">
        <v>560</v>
      </c>
      <c r="Q145" s="8266"/>
      <c r="R145" s="8266" t="s">
        <v>561</v>
      </c>
      <c r="S145" s="8266"/>
      <c r="T145" s="8266" t="s">
        <v>8</v>
      </c>
      <c r="U145" s="8266"/>
      <c r="V145" s="8266" t="s">
        <v>9</v>
      </c>
      <c r="W145" s="8266"/>
      <c r="X145" s="8266" t="s">
        <v>576</v>
      </c>
      <c r="Y145" s="8266"/>
      <c r="Z145" s="8266" t="s">
        <v>11</v>
      </c>
      <c r="AA145" s="8266"/>
      <c r="AB145" s="8266" t="s">
        <v>18</v>
      </c>
      <c r="AC145" s="8266"/>
      <c r="AD145" s="8266" t="s">
        <v>19</v>
      </c>
      <c r="AE145" s="7567"/>
      <c r="AF145" s="8266" t="s">
        <v>20</v>
      </c>
      <c r="AG145" s="8266"/>
      <c r="AH145" s="8266" t="s">
        <v>70</v>
      </c>
      <c r="AI145" s="8266"/>
      <c r="AJ145" s="8266" t="s">
        <v>71</v>
      </c>
      <c r="AK145" s="8266"/>
      <c r="AL145" s="7549" t="s">
        <v>72</v>
      </c>
      <c r="AM145" s="7548"/>
      <c r="AN145" s="8283" t="s">
        <v>3284</v>
      </c>
      <c r="AO145" s="8281" t="s">
        <v>3285</v>
      </c>
      <c r="AP145" s="8282"/>
    </row>
    <row r="146" spans="1:118" ht="20.399999999999999" x14ac:dyDescent="0.3">
      <c r="B146" s="8264"/>
      <c r="C146" s="5292" t="s">
        <v>26</v>
      </c>
      <c r="D146" s="5291" t="s">
        <v>22</v>
      </c>
      <c r="E146" s="5262" t="s">
        <v>27</v>
      </c>
      <c r="F146" s="5290" t="s">
        <v>22</v>
      </c>
      <c r="G146" s="5289" t="s">
        <v>27</v>
      </c>
      <c r="H146" s="5290" t="s">
        <v>22</v>
      </c>
      <c r="I146" s="5289" t="s">
        <v>27</v>
      </c>
      <c r="J146" s="5290" t="s">
        <v>22</v>
      </c>
      <c r="K146" s="5289" t="s">
        <v>27</v>
      </c>
      <c r="L146" s="5290" t="s">
        <v>22</v>
      </c>
      <c r="M146" s="5289" t="s">
        <v>27</v>
      </c>
      <c r="N146" s="5290" t="s">
        <v>22</v>
      </c>
      <c r="O146" s="5287" t="s">
        <v>27</v>
      </c>
      <c r="P146" s="5290" t="s">
        <v>22</v>
      </c>
      <c r="Q146" s="5289" t="s">
        <v>27</v>
      </c>
      <c r="R146" s="5290" t="s">
        <v>22</v>
      </c>
      <c r="S146" s="5289" t="s">
        <v>27</v>
      </c>
      <c r="T146" s="5290" t="s">
        <v>22</v>
      </c>
      <c r="U146" s="5289" t="s">
        <v>27</v>
      </c>
      <c r="V146" s="5290" t="s">
        <v>22</v>
      </c>
      <c r="W146" s="5289" t="s">
        <v>27</v>
      </c>
      <c r="X146" s="5290" t="s">
        <v>22</v>
      </c>
      <c r="Y146" s="5289" t="s">
        <v>27</v>
      </c>
      <c r="Z146" s="5290" t="s">
        <v>22</v>
      </c>
      <c r="AA146" s="5289" t="s">
        <v>27</v>
      </c>
      <c r="AB146" s="5290" t="s">
        <v>22</v>
      </c>
      <c r="AC146" s="5289" t="s">
        <v>27</v>
      </c>
      <c r="AD146" s="5290" t="s">
        <v>22</v>
      </c>
      <c r="AE146" s="5287" t="s">
        <v>27</v>
      </c>
      <c r="AF146" s="5290" t="s">
        <v>22</v>
      </c>
      <c r="AG146" s="5289" t="s">
        <v>27</v>
      </c>
      <c r="AH146" s="5290" t="s">
        <v>22</v>
      </c>
      <c r="AI146" s="5289" t="s">
        <v>27</v>
      </c>
      <c r="AJ146" s="5290" t="s">
        <v>22</v>
      </c>
      <c r="AK146" s="5289" t="s">
        <v>27</v>
      </c>
      <c r="AL146" s="5288" t="s">
        <v>22</v>
      </c>
      <c r="AM146" s="5287" t="s">
        <v>27</v>
      </c>
      <c r="AN146" s="8284"/>
      <c r="AO146" s="5945" t="s">
        <v>3286</v>
      </c>
      <c r="AP146" s="5946" t="s">
        <v>3287</v>
      </c>
    </row>
    <row r="147" spans="1:118" x14ac:dyDescent="0.3">
      <c r="A147" s="6269">
        <v>28021620</v>
      </c>
      <c r="B147" s="5286" t="s">
        <v>3288</v>
      </c>
      <c r="C147" s="3895" t="s">
        <v>5292</v>
      </c>
      <c r="D147" s="3896" t="s">
        <v>5293</v>
      </c>
      <c r="E147" s="5285" t="s">
        <v>5294</v>
      </c>
      <c r="F147" s="5227" t="s">
        <v>5295</v>
      </c>
      <c r="G147" s="5257" t="s">
        <v>5296</v>
      </c>
      <c r="H147" s="5227" t="s">
        <v>5297</v>
      </c>
      <c r="I147" s="5257" t="s">
        <v>5298</v>
      </c>
      <c r="J147" s="5227" t="s">
        <v>5299</v>
      </c>
      <c r="K147" s="5257" t="s">
        <v>5300</v>
      </c>
      <c r="L147" s="5227" t="s">
        <v>5301</v>
      </c>
      <c r="M147" s="5228" t="s">
        <v>5302</v>
      </c>
      <c r="N147" s="5228" t="s">
        <v>5303</v>
      </c>
      <c r="O147" s="5283" t="s">
        <v>5304</v>
      </c>
      <c r="P147" s="5227" t="s">
        <v>5305</v>
      </c>
      <c r="Q147" s="5257" t="s">
        <v>5306</v>
      </c>
      <c r="R147" s="5227" t="s">
        <v>5307</v>
      </c>
      <c r="S147" s="5257" t="s">
        <v>5308</v>
      </c>
      <c r="T147" s="5227" t="s">
        <v>5309</v>
      </c>
      <c r="U147" s="5257" t="s">
        <v>5310</v>
      </c>
      <c r="V147" s="5227" t="s">
        <v>5311</v>
      </c>
      <c r="W147" s="5257" t="s">
        <v>5312</v>
      </c>
      <c r="X147" s="5227" t="s">
        <v>5313</v>
      </c>
      <c r="Y147" s="5257" t="s">
        <v>5314</v>
      </c>
      <c r="Z147" s="5227" t="s">
        <v>5315</v>
      </c>
      <c r="AA147" s="5257" t="s">
        <v>5316</v>
      </c>
      <c r="AB147" s="5227" t="s">
        <v>5317</v>
      </c>
      <c r="AC147" s="5257" t="s">
        <v>5318</v>
      </c>
      <c r="AD147" s="5227" t="s">
        <v>5319</v>
      </c>
      <c r="AE147" s="5283" t="s">
        <v>5320</v>
      </c>
      <c r="AF147" s="5227" t="s">
        <v>5321</v>
      </c>
      <c r="AG147" s="5257" t="s">
        <v>5322</v>
      </c>
      <c r="AH147" s="5227" t="s">
        <v>5323</v>
      </c>
      <c r="AI147" s="5257" t="s">
        <v>5324</v>
      </c>
      <c r="AJ147" s="5227" t="s">
        <v>5325</v>
      </c>
      <c r="AK147" s="5257" t="s">
        <v>5326</v>
      </c>
      <c r="AL147" s="5284" t="s">
        <v>5327</v>
      </c>
      <c r="AM147" s="5283" t="s">
        <v>5328</v>
      </c>
      <c r="AN147" s="5691" t="s">
        <v>5329</v>
      </c>
      <c r="AO147" s="5965" t="s">
        <v>5330</v>
      </c>
      <c r="AP147" s="5748" t="s">
        <v>5331</v>
      </c>
      <c r="AQ147" s="1687" t="e">
        <f t="shared" ref="AQ147:AQ175" si="27">$CB147&amp;CC147</f>
        <v>#VALUE!</v>
      </c>
      <c r="BV147" s="2630"/>
      <c r="BW147" s="2630"/>
      <c r="BX147" s="2630"/>
      <c r="BY147" s="2630"/>
      <c r="BZ147" s="2630"/>
      <c r="CA147" s="2630"/>
      <c r="CB147" s="2920"/>
      <c r="CC147" s="4752" t="e">
        <f>IF(AN147+AO147+AP147&lt;&gt;$C147,"* El número de "&amp;AN$144&amp;""&amp;" no debe ser distinto del Total. ","")</f>
        <v>#VALUE!</v>
      </c>
      <c r="CD147" s="2630"/>
      <c r="CE147" s="2630"/>
      <c r="CF147" s="2630"/>
      <c r="CG147" s="2630"/>
      <c r="CH147" s="1725" t="e">
        <f>IF(AN147+AO147+AP147&lt;&gt;$C147,1,0)</f>
        <v>#VALUE!</v>
      </c>
      <c r="CI147" s="1723"/>
      <c r="CJ147" s="1723"/>
      <c r="CK147"/>
      <c r="CL147"/>
      <c r="CM147"/>
      <c r="CN147"/>
      <c r="DK147" s="1116"/>
      <c r="DL147" s="1116"/>
      <c r="DM147" s="1116"/>
      <c r="DN147" s="1116"/>
    </row>
    <row r="148" spans="1:118" x14ac:dyDescent="0.3">
      <c r="A148" s="6269">
        <v>28021625</v>
      </c>
      <c r="B148" s="3897" t="s">
        <v>3289</v>
      </c>
      <c r="C148" s="3895" t="s">
        <v>5292</v>
      </c>
      <c r="D148" s="3896" t="s">
        <v>5293</v>
      </c>
      <c r="E148" s="3896" t="s">
        <v>5294</v>
      </c>
      <c r="F148" s="1072" t="s">
        <v>5295</v>
      </c>
      <c r="G148" s="1060" t="s">
        <v>5296</v>
      </c>
      <c r="H148" s="1072" t="s">
        <v>5297</v>
      </c>
      <c r="I148" s="1060" t="s">
        <v>5298</v>
      </c>
      <c r="J148" s="1072" t="s">
        <v>5299</v>
      </c>
      <c r="K148" s="1060" t="s">
        <v>5300</v>
      </c>
      <c r="L148" s="1072" t="s">
        <v>5301</v>
      </c>
      <c r="M148" s="1073" t="s">
        <v>5302</v>
      </c>
      <c r="N148" s="1073" t="s">
        <v>5303</v>
      </c>
      <c r="O148" s="1080" t="s">
        <v>5304</v>
      </c>
      <c r="P148" s="1072" t="s">
        <v>5305</v>
      </c>
      <c r="Q148" s="1060" t="s">
        <v>5306</v>
      </c>
      <c r="R148" s="1072" t="s">
        <v>5307</v>
      </c>
      <c r="S148" s="1060" t="s">
        <v>5308</v>
      </c>
      <c r="T148" s="1072" t="s">
        <v>5309</v>
      </c>
      <c r="U148" s="1060" t="s">
        <v>5310</v>
      </c>
      <c r="V148" s="1072" t="s">
        <v>5311</v>
      </c>
      <c r="W148" s="1060" t="s">
        <v>5312</v>
      </c>
      <c r="X148" s="1072" t="s">
        <v>5313</v>
      </c>
      <c r="Y148" s="1060" t="s">
        <v>5314</v>
      </c>
      <c r="Z148" s="1072" t="s">
        <v>5315</v>
      </c>
      <c r="AA148" s="1060" t="s">
        <v>5316</v>
      </c>
      <c r="AB148" s="1072" t="s">
        <v>5317</v>
      </c>
      <c r="AC148" s="1060" t="s">
        <v>5318</v>
      </c>
      <c r="AD148" s="1072" t="s">
        <v>5319</v>
      </c>
      <c r="AE148" s="1080" t="s">
        <v>5320</v>
      </c>
      <c r="AF148" s="1072" t="s">
        <v>5321</v>
      </c>
      <c r="AG148" s="1060" t="s">
        <v>5322</v>
      </c>
      <c r="AH148" s="1072" t="s">
        <v>5323</v>
      </c>
      <c r="AI148" s="1060" t="s">
        <v>5324</v>
      </c>
      <c r="AJ148" s="1072" t="s">
        <v>5325</v>
      </c>
      <c r="AK148" s="1060" t="s">
        <v>5326</v>
      </c>
      <c r="AL148" s="3143" t="s">
        <v>5327</v>
      </c>
      <c r="AM148" s="1080" t="s">
        <v>5328</v>
      </c>
      <c r="AN148" s="916" t="s">
        <v>5329</v>
      </c>
      <c r="AO148" s="617" t="s">
        <v>5330</v>
      </c>
      <c r="AP148" s="626" t="s">
        <v>5331</v>
      </c>
      <c r="AQ148" s="1687" t="e">
        <f t="shared" si="27"/>
        <v>#VALUE!</v>
      </c>
      <c r="BV148" s="2630"/>
      <c r="BW148" s="2630"/>
      <c r="BX148" s="2630"/>
      <c r="BY148" s="2630"/>
      <c r="BZ148" s="2630"/>
      <c r="CA148" s="2630"/>
      <c r="CB148" s="2920"/>
      <c r="CC148" s="4752" t="e">
        <f t="shared" ref="CC148:CC181" si="28">IF(AN148+AO148+AP148&lt;&gt;$C148,"* El número de "&amp;AN$144&amp;""&amp;" no debe ser distinto del Total. ","")</f>
        <v>#VALUE!</v>
      </c>
      <c r="CD148" s="2630"/>
      <c r="CE148" s="2630"/>
      <c r="CF148" s="2630"/>
      <c r="CG148" s="2630"/>
      <c r="CH148" s="1725" t="e">
        <f t="shared" ref="CH148:CH181" si="29">IF(AN148+AO148+AP148&lt;&gt;$C148,1,0)</f>
        <v>#VALUE!</v>
      </c>
      <c r="CI148" s="1723"/>
      <c r="CJ148" s="1723"/>
      <c r="DJ148"/>
    </row>
    <row r="149" spans="1:118" x14ac:dyDescent="0.3">
      <c r="A149" s="6269">
        <v>28020960</v>
      </c>
      <c r="B149" s="3874" t="s">
        <v>3204</v>
      </c>
      <c r="C149" s="3895" t="s">
        <v>5292</v>
      </c>
      <c r="D149" s="3896" t="s">
        <v>5293</v>
      </c>
      <c r="E149" s="3896" t="s">
        <v>5294</v>
      </c>
      <c r="F149" s="1072" t="s">
        <v>5295</v>
      </c>
      <c r="G149" s="1060" t="s">
        <v>5296</v>
      </c>
      <c r="H149" s="1072" t="s">
        <v>5297</v>
      </c>
      <c r="I149" s="1060" t="s">
        <v>5298</v>
      </c>
      <c r="J149" s="1072" t="s">
        <v>5299</v>
      </c>
      <c r="K149" s="1060" t="s">
        <v>5300</v>
      </c>
      <c r="L149" s="1072" t="s">
        <v>5301</v>
      </c>
      <c r="M149" s="1073" t="s">
        <v>5302</v>
      </c>
      <c r="N149" s="1073" t="s">
        <v>5303</v>
      </c>
      <c r="O149" s="1080" t="s">
        <v>5304</v>
      </c>
      <c r="P149" s="1072" t="s">
        <v>5305</v>
      </c>
      <c r="Q149" s="1060" t="s">
        <v>5306</v>
      </c>
      <c r="R149" s="1072" t="s">
        <v>5307</v>
      </c>
      <c r="S149" s="1060" t="s">
        <v>5308</v>
      </c>
      <c r="T149" s="1072" t="s">
        <v>5309</v>
      </c>
      <c r="U149" s="1060" t="s">
        <v>5310</v>
      </c>
      <c r="V149" s="1072" t="s">
        <v>5311</v>
      </c>
      <c r="W149" s="1060" t="s">
        <v>5312</v>
      </c>
      <c r="X149" s="1072" t="s">
        <v>5313</v>
      </c>
      <c r="Y149" s="1060" t="s">
        <v>5314</v>
      </c>
      <c r="Z149" s="1072" t="s">
        <v>5315</v>
      </c>
      <c r="AA149" s="1060" t="s">
        <v>5316</v>
      </c>
      <c r="AB149" s="1072" t="s">
        <v>5317</v>
      </c>
      <c r="AC149" s="1060" t="s">
        <v>5318</v>
      </c>
      <c r="AD149" s="1072" t="s">
        <v>5319</v>
      </c>
      <c r="AE149" s="1080" t="s">
        <v>5320</v>
      </c>
      <c r="AF149" s="1072" t="s">
        <v>5321</v>
      </c>
      <c r="AG149" s="1060" t="s">
        <v>5322</v>
      </c>
      <c r="AH149" s="1072" t="s">
        <v>5323</v>
      </c>
      <c r="AI149" s="1060" t="s">
        <v>5324</v>
      </c>
      <c r="AJ149" s="1072" t="s">
        <v>5325</v>
      </c>
      <c r="AK149" s="1060" t="s">
        <v>5326</v>
      </c>
      <c r="AL149" s="3143" t="s">
        <v>5327</v>
      </c>
      <c r="AM149" s="1080" t="s">
        <v>5328</v>
      </c>
      <c r="AN149" s="916" t="s">
        <v>5329</v>
      </c>
      <c r="AO149" s="617" t="s">
        <v>5330</v>
      </c>
      <c r="AP149" s="626" t="s">
        <v>5331</v>
      </c>
      <c r="AQ149" s="1687" t="e">
        <f t="shared" si="27"/>
        <v>#VALUE!</v>
      </c>
      <c r="BV149" s="2630"/>
      <c r="BW149" s="2630"/>
      <c r="BX149" s="2630"/>
      <c r="BY149" s="2630"/>
      <c r="BZ149" s="2630"/>
      <c r="CA149" s="2630"/>
      <c r="CB149" s="2920"/>
      <c r="CC149" s="4752" t="e">
        <f t="shared" si="28"/>
        <v>#VALUE!</v>
      </c>
      <c r="CD149" s="2630"/>
      <c r="CE149" s="2630"/>
      <c r="CF149" s="2630"/>
      <c r="CG149" s="2630"/>
      <c r="CH149" s="1725" t="e">
        <f t="shared" si="29"/>
        <v>#VALUE!</v>
      </c>
      <c r="CI149" s="1723"/>
      <c r="CJ149" s="1723"/>
      <c r="DJ149"/>
    </row>
    <row r="150" spans="1:118" x14ac:dyDescent="0.3">
      <c r="A150" s="6269">
        <v>28020940</v>
      </c>
      <c r="B150" s="3874" t="s">
        <v>3205</v>
      </c>
      <c r="C150" s="3895" t="s">
        <v>5292</v>
      </c>
      <c r="D150" s="3896" t="s">
        <v>5293</v>
      </c>
      <c r="E150" s="3896" t="s">
        <v>5294</v>
      </c>
      <c r="F150" s="1072" t="s">
        <v>5295</v>
      </c>
      <c r="G150" s="1060" t="s">
        <v>5296</v>
      </c>
      <c r="H150" s="1072" t="s">
        <v>5297</v>
      </c>
      <c r="I150" s="1060" t="s">
        <v>5298</v>
      </c>
      <c r="J150" s="1072" t="s">
        <v>5299</v>
      </c>
      <c r="K150" s="1060" t="s">
        <v>5300</v>
      </c>
      <c r="L150" s="1072" t="s">
        <v>5301</v>
      </c>
      <c r="M150" s="1073" t="s">
        <v>5302</v>
      </c>
      <c r="N150" s="1073" t="s">
        <v>5303</v>
      </c>
      <c r="O150" s="1080" t="s">
        <v>5304</v>
      </c>
      <c r="P150" s="1072" t="s">
        <v>5305</v>
      </c>
      <c r="Q150" s="1060" t="s">
        <v>5306</v>
      </c>
      <c r="R150" s="1072" t="s">
        <v>5307</v>
      </c>
      <c r="S150" s="1060" t="s">
        <v>5308</v>
      </c>
      <c r="T150" s="1072" t="s">
        <v>5309</v>
      </c>
      <c r="U150" s="1060" t="s">
        <v>5310</v>
      </c>
      <c r="V150" s="1072" t="s">
        <v>5311</v>
      </c>
      <c r="W150" s="1060" t="s">
        <v>5312</v>
      </c>
      <c r="X150" s="1072" t="s">
        <v>5313</v>
      </c>
      <c r="Y150" s="1060" t="s">
        <v>5314</v>
      </c>
      <c r="Z150" s="1072" t="s">
        <v>5315</v>
      </c>
      <c r="AA150" s="1060" t="s">
        <v>5316</v>
      </c>
      <c r="AB150" s="1072" t="s">
        <v>5317</v>
      </c>
      <c r="AC150" s="1060" t="s">
        <v>5318</v>
      </c>
      <c r="AD150" s="1072" t="s">
        <v>5319</v>
      </c>
      <c r="AE150" s="1080" t="s">
        <v>5320</v>
      </c>
      <c r="AF150" s="1072" t="s">
        <v>5321</v>
      </c>
      <c r="AG150" s="1060" t="s">
        <v>5322</v>
      </c>
      <c r="AH150" s="1072" t="s">
        <v>5323</v>
      </c>
      <c r="AI150" s="1060" t="s">
        <v>5324</v>
      </c>
      <c r="AJ150" s="1072" t="s">
        <v>5325</v>
      </c>
      <c r="AK150" s="1060" t="s">
        <v>5326</v>
      </c>
      <c r="AL150" s="3143" t="s">
        <v>5327</v>
      </c>
      <c r="AM150" s="1080" t="s">
        <v>5328</v>
      </c>
      <c r="AN150" s="916" t="s">
        <v>5329</v>
      </c>
      <c r="AO150" s="617" t="s">
        <v>5330</v>
      </c>
      <c r="AP150" s="626" t="s">
        <v>5331</v>
      </c>
      <c r="AQ150" s="1687" t="e">
        <f t="shared" si="27"/>
        <v>#VALUE!</v>
      </c>
      <c r="BV150" s="2630"/>
      <c r="BW150" s="2630"/>
      <c r="BX150" s="2630"/>
      <c r="BY150" s="2630"/>
      <c r="BZ150" s="2630"/>
      <c r="CA150" s="2630"/>
      <c r="CB150" s="2920"/>
      <c r="CC150" s="4752" t="e">
        <f t="shared" si="28"/>
        <v>#VALUE!</v>
      </c>
      <c r="CD150" s="2630"/>
      <c r="CE150" s="2630"/>
      <c r="CF150" s="2630"/>
      <c r="CG150" s="2630"/>
      <c r="CH150" s="1725" t="e">
        <f t="shared" si="29"/>
        <v>#VALUE!</v>
      </c>
      <c r="CI150" s="1723"/>
      <c r="CJ150" s="1723"/>
      <c r="DJ150"/>
    </row>
    <row r="151" spans="1:118" x14ac:dyDescent="0.3">
      <c r="A151" s="6269">
        <v>28020950</v>
      </c>
      <c r="B151" s="3874" t="s">
        <v>3206</v>
      </c>
      <c r="C151" s="3895" t="s">
        <v>5292</v>
      </c>
      <c r="D151" s="3896" t="s">
        <v>5293</v>
      </c>
      <c r="E151" s="3896" t="s">
        <v>5294</v>
      </c>
      <c r="F151" s="1072" t="s">
        <v>5295</v>
      </c>
      <c r="G151" s="1060" t="s">
        <v>5296</v>
      </c>
      <c r="H151" s="1072" t="s">
        <v>5297</v>
      </c>
      <c r="I151" s="1060" t="s">
        <v>5298</v>
      </c>
      <c r="J151" s="1072" t="s">
        <v>5299</v>
      </c>
      <c r="K151" s="1060" t="s">
        <v>5300</v>
      </c>
      <c r="L151" s="1072" t="s">
        <v>5301</v>
      </c>
      <c r="M151" s="1073" t="s">
        <v>5302</v>
      </c>
      <c r="N151" s="1073" t="s">
        <v>5303</v>
      </c>
      <c r="O151" s="1080" t="s">
        <v>5304</v>
      </c>
      <c r="P151" s="1072" t="s">
        <v>5305</v>
      </c>
      <c r="Q151" s="1060" t="s">
        <v>5306</v>
      </c>
      <c r="R151" s="1072" t="s">
        <v>5307</v>
      </c>
      <c r="S151" s="1060" t="s">
        <v>5308</v>
      </c>
      <c r="T151" s="1072" t="s">
        <v>5309</v>
      </c>
      <c r="U151" s="1060" t="s">
        <v>5310</v>
      </c>
      <c r="V151" s="1072" t="s">
        <v>5311</v>
      </c>
      <c r="W151" s="1060" t="s">
        <v>5312</v>
      </c>
      <c r="X151" s="1072" t="s">
        <v>5313</v>
      </c>
      <c r="Y151" s="1060" t="s">
        <v>5314</v>
      </c>
      <c r="Z151" s="1072" t="s">
        <v>5315</v>
      </c>
      <c r="AA151" s="1060" t="s">
        <v>5316</v>
      </c>
      <c r="AB151" s="1072" t="s">
        <v>5317</v>
      </c>
      <c r="AC151" s="1060" t="s">
        <v>5318</v>
      </c>
      <c r="AD151" s="1072" t="s">
        <v>5319</v>
      </c>
      <c r="AE151" s="1080" t="s">
        <v>5320</v>
      </c>
      <c r="AF151" s="1072" t="s">
        <v>5321</v>
      </c>
      <c r="AG151" s="1060" t="s">
        <v>5322</v>
      </c>
      <c r="AH151" s="1072" t="s">
        <v>5323</v>
      </c>
      <c r="AI151" s="1060" t="s">
        <v>5324</v>
      </c>
      <c r="AJ151" s="1072" t="s">
        <v>5325</v>
      </c>
      <c r="AK151" s="1060" t="s">
        <v>5326</v>
      </c>
      <c r="AL151" s="3143" t="s">
        <v>5327</v>
      </c>
      <c r="AM151" s="1080" t="s">
        <v>5328</v>
      </c>
      <c r="AN151" s="916" t="s">
        <v>5329</v>
      </c>
      <c r="AO151" s="617" t="s">
        <v>5330</v>
      </c>
      <c r="AP151" s="626" t="s">
        <v>5331</v>
      </c>
      <c r="AQ151" s="1687" t="e">
        <f t="shared" si="27"/>
        <v>#VALUE!</v>
      </c>
      <c r="BV151" s="2630"/>
      <c r="BW151" s="2630"/>
      <c r="BX151" s="2630"/>
      <c r="BY151" s="2630"/>
      <c r="BZ151" s="2630"/>
      <c r="CA151" s="2630"/>
      <c r="CB151" s="2920"/>
      <c r="CC151" s="4752" t="e">
        <f t="shared" si="28"/>
        <v>#VALUE!</v>
      </c>
      <c r="CD151" s="2630"/>
      <c r="CE151" s="2630"/>
      <c r="CF151" s="2630"/>
      <c r="CG151" s="2630"/>
      <c r="CH151" s="1725" t="e">
        <f t="shared" si="29"/>
        <v>#VALUE!</v>
      </c>
      <c r="CI151" s="1723"/>
      <c r="CJ151" s="1723"/>
      <c r="DJ151"/>
    </row>
    <row r="152" spans="1:118" x14ac:dyDescent="0.3">
      <c r="A152" s="6269">
        <v>28021160</v>
      </c>
      <c r="B152" s="3874" t="s">
        <v>3290</v>
      </c>
      <c r="C152" s="3895" t="s">
        <v>5292</v>
      </c>
      <c r="D152" s="3896" t="s">
        <v>5293</v>
      </c>
      <c r="E152" s="3896" t="s">
        <v>5294</v>
      </c>
      <c r="F152" s="1072" t="s">
        <v>5295</v>
      </c>
      <c r="G152" s="1060" t="s">
        <v>5296</v>
      </c>
      <c r="H152" s="1072" t="s">
        <v>5297</v>
      </c>
      <c r="I152" s="1060" t="s">
        <v>5298</v>
      </c>
      <c r="J152" s="1072" t="s">
        <v>5299</v>
      </c>
      <c r="K152" s="1060" t="s">
        <v>5300</v>
      </c>
      <c r="L152" s="1072" t="s">
        <v>5301</v>
      </c>
      <c r="M152" s="1073" t="s">
        <v>5302</v>
      </c>
      <c r="N152" s="1073" t="s">
        <v>5303</v>
      </c>
      <c r="O152" s="1080" t="s">
        <v>5304</v>
      </c>
      <c r="P152" s="1072" t="s">
        <v>5305</v>
      </c>
      <c r="Q152" s="1060" t="s">
        <v>5306</v>
      </c>
      <c r="R152" s="1072" t="s">
        <v>5307</v>
      </c>
      <c r="S152" s="1060" t="s">
        <v>5308</v>
      </c>
      <c r="T152" s="1072" t="s">
        <v>5309</v>
      </c>
      <c r="U152" s="1060" t="s">
        <v>5310</v>
      </c>
      <c r="V152" s="1072" t="s">
        <v>5311</v>
      </c>
      <c r="W152" s="1060" t="s">
        <v>5312</v>
      </c>
      <c r="X152" s="1072" t="s">
        <v>5313</v>
      </c>
      <c r="Y152" s="1060" t="s">
        <v>5314</v>
      </c>
      <c r="Z152" s="1072" t="s">
        <v>5315</v>
      </c>
      <c r="AA152" s="1060" t="s">
        <v>5316</v>
      </c>
      <c r="AB152" s="1072" t="s">
        <v>5317</v>
      </c>
      <c r="AC152" s="1060" t="s">
        <v>5318</v>
      </c>
      <c r="AD152" s="1072" t="s">
        <v>5319</v>
      </c>
      <c r="AE152" s="1080" t="s">
        <v>5320</v>
      </c>
      <c r="AF152" s="1072" t="s">
        <v>5321</v>
      </c>
      <c r="AG152" s="1060" t="s">
        <v>5322</v>
      </c>
      <c r="AH152" s="1072" t="s">
        <v>5323</v>
      </c>
      <c r="AI152" s="1060" t="s">
        <v>5324</v>
      </c>
      <c r="AJ152" s="1072" t="s">
        <v>5325</v>
      </c>
      <c r="AK152" s="1060" t="s">
        <v>5326</v>
      </c>
      <c r="AL152" s="3143" t="s">
        <v>5327</v>
      </c>
      <c r="AM152" s="1080" t="s">
        <v>5328</v>
      </c>
      <c r="AN152" s="916" t="s">
        <v>5329</v>
      </c>
      <c r="AO152" s="617" t="s">
        <v>5330</v>
      </c>
      <c r="AP152" s="626" t="s">
        <v>5331</v>
      </c>
      <c r="AQ152" s="1687" t="e">
        <f t="shared" si="27"/>
        <v>#VALUE!</v>
      </c>
      <c r="BV152" s="2630"/>
      <c r="BW152" s="2630"/>
      <c r="BX152" s="2630"/>
      <c r="BY152" s="2630"/>
      <c r="BZ152" s="2630"/>
      <c r="CA152" s="2630"/>
      <c r="CB152" s="2920"/>
      <c r="CC152" s="4752" t="e">
        <f t="shared" si="28"/>
        <v>#VALUE!</v>
      </c>
      <c r="CD152" s="2630"/>
      <c r="CE152" s="2630"/>
      <c r="CF152" s="2630"/>
      <c r="CG152" s="2630"/>
      <c r="CH152" s="1725" t="e">
        <f t="shared" si="29"/>
        <v>#VALUE!</v>
      </c>
      <c r="CI152" s="1723"/>
      <c r="CJ152" s="1723"/>
      <c r="DJ152"/>
    </row>
    <row r="153" spans="1:118" x14ac:dyDescent="0.3">
      <c r="A153" s="6269">
        <v>28021170</v>
      </c>
      <c r="B153" s="3874" t="s">
        <v>3291</v>
      </c>
      <c r="C153" s="3895" t="s">
        <v>5292</v>
      </c>
      <c r="D153" s="3896" t="s">
        <v>5293</v>
      </c>
      <c r="E153" s="3896" t="s">
        <v>5294</v>
      </c>
      <c r="F153" s="1072" t="s">
        <v>5295</v>
      </c>
      <c r="G153" s="1060" t="s">
        <v>5296</v>
      </c>
      <c r="H153" s="1072" t="s">
        <v>5297</v>
      </c>
      <c r="I153" s="1060" t="s">
        <v>5298</v>
      </c>
      <c r="J153" s="1072" t="s">
        <v>5299</v>
      </c>
      <c r="K153" s="1060" t="s">
        <v>5300</v>
      </c>
      <c r="L153" s="1072" t="s">
        <v>5301</v>
      </c>
      <c r="M153" s="1073" t="s">
        <v>5302</v>
      </c>
      <c r="N153" s="1073" t="s">
        <v>5303</v>
      </c>
      <c r="O153" s="1080" t="s">
        <v>5304</v>
      </c>
      <c r="P153" s="1072" t="s">
        <v>5305</v>
      </c>
      <c r="Q153" s="1060" t="s">
        <v>5306</v>
      </c>
      <c r="R153" s="1072" t="s">
        <v>5307</v>
      </c>
      <c r="S153" s="1060" t="s">
        <v>5308</v>
      </c>
      <c r="T153" s="1072" t="s">
        <v>5309</v>
      </c>
      <c r="U153" s="1060" t="s">
        <v>5310</v>
      </c>
      <c r="V153" s="1072" t="s">
        <v>5311</v>
      </c>
      <c r="W153" s="1060" t="s">
        <v>5312</v>
      </c>
      <c r="X153" s="1072" t="s">
        <v>5313</v>
      </c>
      <c r="Y153" s="1060" t="s">
        <v>5314</v>
      </c>
      <c r="Z153" s="1072" t="s">
        <v>5315</v>
      </c>
      <c r="AA153" s="1060" t="s">
        <v>5316</v>
      </c>
      <c r="AB153" s="1072" t="s">
        <v>5317</v>
      </c>
      <c r="AC153" s="1060" t="s">
        <v>5318</v>
      </c>
      <c r="AD153" s="1072" t="s">
        <v>5319</v>
      </c>
      <c r="AE153" s="1080" t="s">
        <v>5320</v>
      </c>
      <c r="AF153" s="1072" t="s">
        <v>5321</v>
      </c>
      <c r="AG153" s="1060" t="s">
        <v>5322</v>
      </c>
      <c r="AH153" s="1072" t="s">
        <v>5323</v>
      </c>
      <c r="AI153" s="1060" t="s">
        <v>5324</v>
      </c>
      <c r="AJ153" s="1072" t="s">
        <v>5325</v>
      </c>
      <c r="AK153" s="1060" t="s">
        <v>5326</v>
      </c>
      <c r="AL153" s="3143" t="s">
        <v>5327</v>
      </c>
      <c r="AM153" s="1080" t="s">
        <v>5328</v>
      </c>
      <c r="AN153" s="916" t="s">
        <v>5329</v>
      </c>
      <c r="AO153" s="617" t="s">
        <v>5330</v>
      </c>
      <c r="AP153" s="626" t="s">
        <v>5331</v>
      </c>
      <c r="AQ153" s="1687" t="e">
        <f t="shared" si="27"/>
        <v>#VALUE!</v>
      </c>
      <c r="BV153" s="2630"/>
      <c r="BW153" s="2630"/>
      <c r="BX153" s="2630"/>
      <c r="BY153" s="2630"/>
      <c r="BZ153" s="2630"/>
      <c r="CA153" s="2630"/>
      <c r="CB153" s="2920"/>
      <c r="CC153" s="4752" t="e">
        <f t="shared" si="28"/>
        <v>#VALUE!</v>
      </c>
      <c r="CD153" s="2630"/>
      <c r="CE153" s="2630"/>
      <c r="CF153" s="2630"/>
      <c r="CG153" s="2630"/>
      <c r="CH153" s="1725" t="e">
        <f t="shared" si="29"/>
        <v>#VALUE!</v>
      </c>
      <c r="CI153" s="1723"/>
      <c r="CJ153" s="1723"/>
      <c r="DJ153"/>
    </row>
    <row r="154" spans="1:118" x14ac:dyDescent="0.3">
      <c r="A154" s="6269">
        <v>28022380</v>
      </c>
      <c r="B154" s="3874" t="s">
        <v>3210</v>
      </c>
      <c r="C154" s="3895" t="s">
        <v>5292</v>
      </c>
      <c r="D154" s="3896" t="s">
        <v>5293</v>
      </c>
      <c r="E154" s="3896" t="s">
        <v>5294</v>
      </c>
      <c r="F154" s="1072" t="s">
        <v>5295</v>
      </c>
      <c r="G154" s="1060" t="s">
        <v>5296</v>
      </c>
      <c r="H154" s="1072" t="s">
        <v>5297</v>
      </c>
      <c r="I154" s="1060" t="s">
        <v>5298</v>
      </c>
      <c r="J154" s="1072" t="s">
        <v>5299</v>
      </c>
      <c r="K154" s="1060" t="s">
        <v>5300</v>
      </c>
      <c r="L154" s="1072" t="s">
        <v>5301</v>
      </c>
      <c r="M154" s="1073" t="s">
        <v>5302</v>
      </c>
      <c r="N154" s="1073" t="s">
        <v>5303</v>
      </c>
      <c r="O154" s="1080" t="s">
        <v>5304</v>
      </c>
      <c r="P154" s="1072" t="s">
        <v>5305</v>
      </c>
      <c r="Q154" s="1060" t="s">
        <v>5306</v>
      </c>
      <c r="R154" s="1072" t="s">
        <v>5307</v>
      </c>
      <c r="S154" s="1060" t="s">
        <v>5308</v>
      </c>
      <c r="T154" s="1072" t="s">
        <v>5309</v>
      </c>
      <c r="U154" s="1060" t="s">
        <v>5310</v>
      </c>
      <c r="V154" s="1072" t="s">
        <v>5311</v>
      </c>
      <c r="W154" s="1060" t="s">
        <v>5312</v>
      </c>
      <c r="X154" s="1072" t="s">
        <v>5313</v>
      </c>
      <c r="Y154" s="1060" t="s">
        <v>5314</v>
      </c>
      <c r="Z154" s="1072" t="s">
        <v>5315</v>
      </c>
      <c r="AA154" s="1060" t="s">
        <v>5316</v>
      </c>
      <c r="AB154" s="1072" t="s">
        <v>5317</v>
      </c>
      <c r="AC154" s="1060" t="s">
        <v>5318</v>
      </c>
      <c r="AD154" s="1072" t="s">
        <v>5319</v>
      </c>
      <c r="AE154" s="1080" t="s">
        <v>5320</v>
      </c>
      <c r="AF154" s="1072" t="s">
        <v>5321</v>
      </c>
      <c r="AG154" s="1060" t="s">
        <v>5322</v>
      </c>
      <c r="AH154" s="1072" t="s">
        <v>5323</v>
      </c>
      <c r="AI154" s="1060" t="s">
        <v>5324</v>
      </c>
      <c r="AJ154" s="1072" t="s">
        <v>5325</v>
      </c>
      <c r="AK154" s="1060" t="s">
        <v>5326</v>
      </c>
      <c r="AL154" s="3143" t="s">
        <v>5327</v>
      </c>
      <c r="AM154" s="1080" t="s">
        <v>5328</v>
      </c>
      <c r="AN154" s="916" t="s">
        <v>5329</v>
      </c>
      <c r="AO154" s="617" t="s">
        <v>5330</v>
      </c>
      <c r="AP154" s="626" t="s">
        <v>5331</v>
      </c>
      <c r="AQ154" s="1687" t="e">
        <f t="shared" si="27"/>
        <v>#VALUE!</v>
      </c>
      <c r="BV154" s="2630"/>
      <c r="BW154" s="2630"/>
      <c r="BX154" s="2630"/>
      <c r="BY154" s="2630"/>
      <c r="BZ154" s="2630"/>
      <c r="CA154" s="2630"/>
      <c r="CB154" s="2920"/>
      <c r="CC154" s="4752" t="e">
        <f t="shared" si="28"/>
        <v>#VALUE!</v>
      </c>
      <c r="CD154" s="2630"/>
      <c r="CE154" s="2630"/>
      <c r="CF154" s="2630"/>
      <c r="CG154" s="2630"/>
      <c r="CH154" s="1725" t="e">
        <f t="shared" si="29"/>
        <v>#VALUE!</v>
      </c>
      <c r="CI154" s="1723"/>
      <c r="CJ154" s="1723"/>
      <c r="DJ154"/>
    </row>
    <row r="155" spans="1:118" x14ac:dyDescent="0.3">
      <c r="A155" s="6269">
        <v>29101639</v>
      </c>
      <c r="B155" s="3874" t="s">
        <v>3292</v>
      </c>
      <c r="C155" s="3895" t="s">
        <v>5292</v>
      </c>
      <c r="D155" s="3896" t="s">
        <v>5293</v>
      </c>
      <c r="E155" s="3896" t="s">
        <v>5294</v>
      </c>
      <c r="F155" s="1072" t="s">
        <v>5295</v>
      </c>
      <c r="G155" s="1060" t="s">
        <v>5296</v>
      </c>
      <c r="H155" s="1072" t="s">
        <v>5297</v>
      </c>
      <c r="I155" s="1060" t="s">
        <v>5298</v>
      </c>
      <c r="J155" s="1072" t="s">
        <v>5299</v>
      </c>
      <c r="K155" s="1060" t="s">
        <v>5300</v>
      </c>
      <c r="L155" s="1072" t="s">
        <v>5301</v>
      </c>
      <c r="M155" s="1073" t="s">
        <v>5302</v>
      </c>
      <c r="N155" s="1073" t="s">
        <v>5303</v>
      </c>
      <c r="O155" s="1080" t="s">
        <v>5304</v>
      </c>
      <c r="P155" s="1072" t="s">
        <v>5305</v>
      </c>
      <c r="Q155" s="1060" t="s">
        <v>5306</v>
      </c>
      <c r="R155" s="1072" t="s">
        <v>5307</v>
      </c>
      <c r="S155" s="1060" t="s">
        <v>5308</v>
      </c>
      <c r="T155" s="1072" t="s">
        <v>5309</v>
      </c>
      <c r="U155" s="1060" t="s">
        <v>5310</v>
      </c>
      <c r="V155" s="1072" t="s">
        <v>5311</v>
      </c>
      <c r="W155" s="1060" t="s">
        <v>5312</v>
      </c>
      <c r="X155" s="1072" t="s">
        <v>5313</v>
      </c>
      <c r="Y155" s="1060" t="s">
        <v>5314</v>
      </c>
      <c r="Z155" s="1072" t="s">
        <v>5315</v>
      </c>
      <c r="AA155" s="1060" t="s">
        <v>5316</v>
      </c>
      <c r="AB155" s="1072" t="s">
        <v>5317</v>
      </c>
      <c r="AC155" s="1060" t="s">
        <v>5318</v>
      </c>
      <c r="AD155" s="1072" t="s">
        <v>5319</v>
      </c>
      <c r="AE155" s="1080" t="s">
        <v>5320</v>
      </c>
      <c r="AF155" s="1072" t="s">
        <v>5321</v>
      </c>
      <c r="AG155" s="1060" t="s">
        <v>5322</v>
      </c>
      <c r="AH155" s="1072" t="s">
        <v>5323</v>
      </c>
      <c r="AI155" s="1060" t="s">
        <v>5324</v>
      </c>
      <c r="AJ155" s="1072" t="s">
        <v>5325</v>
      </c>
      <c r="AK155" s="1060" t="s">
        <v>5326</v>
      </c>
      <c r="AL155" s="3143" t="s">
        <v>5327</v>
      </c>
      <c r="AM155" s="1080" t="s">
        <v>5328</v>
      </c>
      <c r="AN155" s="916" t="s">
        <v>5329</v>
      </c>
      <c r="AO155" s="617" t="s">
        <v>5330</v>
      </c>
      <c r="AP155" s="626" t="s">
        <v>5331</v>
      </c>
      <c r="AQ155" s="1687" t="e">
        <f t="shared" si="27"/>
        <v>#VALUE!</v>
      </c>
      <c r="BV155" s="2630"/>
      <c r="BW155" s="2630"/>
      <c r="BX155" s="2630"/>
      <c r="BY155" s="2630"/>
      <c r="BZ155" s="2630"/>
      <c r="CA155" s="2630"/>
      <c r="CB155" s="2920"/>
      <c r="CC155" s="4752" t="e">
        <f t="shared" si="28"/>
        <v>#VALUE!</v>
      </c>
      <c r="CD155" s="2630"/>
      <c r="CE155" s="2630"/>
      <c r="CF155" s="2630"/>
      <c r="CG155" s="2630"/>
      <c r="CH155" s="1725" t="e">
        <f t="shared" si="29"/>
        <v>#VALUE!</v>
      </c>
      <c r="CI155" s="1723"/>
      <c r="CJ155" s="1723"/>
      <c r="DJ155"/>
    </row>
    <row r="156" spans="1:118" x14ac:dyDescent="0.3">
      <c r="A156" s="6269">
        <v>29101640</v>
      </c>
      <c r="B156" s="3874" t="s">
        <v>3293</v>
      </c>
      <c r="C156" s="3895" t="s">
        <v>5292</v>
      </c>
      <c r="D156" s="3896" t="s">
        <v>5293</v>
      </c>
      <c r="E156" s="3896" t="s">
        <v>5294</v>
      </c>
      <c r="F156" s="1072" t="s">
        <v>5295</v>
      </c>
      <c r="G156" s="1060" t="s">
        <v>5296</v>
      </c>
      <c r="H156" s="1072" t="s">
        <v>5297</v>
      </c>
      <c r="I156" s="1060" t="s">
        <v>5298</v>
      </c>
      <c r="J156" s="1072" t="s">
        <v>5299</v>
      </c>
      <c r="K156" s="1060" t="s">
        <v>5300</v>
      </c>
      <c r="L156" s="1072" t="s">
        <v>5301</v>
      </c>
      <c r="M156" s="1073" t="s">
        <v>5302</v>
      </c>
      <c r="N156" s="1073" t="s">
        <v>5303</v>
      </c>
      <c r="O156" s="1080" t="s">
        <v>5304</v>
      </c>
      <c r="P156" s="1072" t="s">
        <v>5305</v>
      </c>
      <c r="Q156" s="1060" t="s">
        <v>5306</v>
      </c>
      <c r="R156" s="1072" t="s">
        <v>5307</v>
      </c>
      <c r="S156" s="1060" t="s">
        <v>5308</v>
      </c>
      <c r="T156" s="1072" t="s">
        <v>5309</v>
      </c>
      <c r="U156" s="1060" t="s">
        <v>5310</v>
      </c>
      <c r="V156" s="1072" t="s">
        <v>5311</v>
      </c>
      <c r="W156" s="1060" t="s">
        <v>5312</v>
      </c>
      <c r="X156" s="1072" t="s">
        <v>5313</v>
      </c>
      <c r="Y156" s="1060" t="s">
        <v>5314</v>
      </c>
      <c r="Z156" s="1072" t="s">
        <v>5315</v>
      </c>
      <c r="AA156" s="1060" t="s">
        <v>5316</v>
      </c>
      <c r="AB156" s="1072" t="s">
        <v>5317</v>
      </c>
      <c r="AC156" s="1060" t="s">
        <v>5318</v>
      </c>
      <c r="AD156" s="1072" t="s">
        <v>5319</v>
      </c>
      <c r="AE156" s="1080" t="s">
        <v>5320</v>
      </c>
      <c r="AF156" s="1072" t="s">
        <v>5321</v>
      </c>
      <c r="AG156" s="1060" t="s">
        <v>5322</v>
      </c>
      <c r="AH156" s="1072" t="s">
        <v>5323</v>
      </c>
      <c r="AI156" s="1060" t="s">
        <v>5324</v>
      </c>
      <c r="AJ156" s="1072" t="s">
        <v>5325</v>
      </c>
      <c r="AK156" s="1060" t="s">
        <v>5326</v>
      </c>
      <c r="AL156" s="3143" t="s">
        <v>5327</v>
      </c>
      <c r="AM156" s="1080" t="s">
        <v>5328</v>
      </c>
      <c r="AN156" s="916" t="s">
        <v>5329</v>
      </c>
      <c r="AO156" s="617" t="s">
        <v>5330</v>
      </c>
      <c r="AP156" s="626" t="s">
        <v>5331</v>
      </c>
      <c r="AQ156" s="1687" t="e">
        <f t="shared" si="27"/>
        <v>#VALUE!</v>
      </c>
      <c r="BV156" s="2630"/>
      <c r="BW156" s="2630"/>
      <c r="BX156" s="2630"/>
      <c r="BY156" s="2630"/>
      <c r="BZ156" s="2630"/>
      <c r="CA156" s="2630"/>
      <c r="CB156" s="2920"/>
      <c r="CC156" s="4752" t="e">
        <f t="shared" si="28"/>
        <v>#VALUE!</v>
      </c>
      <c r="CD156" s="2630"/>
      <c r="CE156" s="2630"/>
      <c r="CF156" s="2630"/>
      <c r="CG156" s="2630"/>
      <c r="CH156" s="1725" t="e">
        <f t="shared" si="29"/>
        <v>#VALUE!</v>
      </c>
      <c r="CI156" s="1723"/>
      <c r="CJ156" s="1723"/>
      <c r="DJ156"/>
    </row>
    <row r="157" spans="1:118" x14ac:dyDescent="0.3">
      <c r="A157" s="6269">
        <v>28020980</v>
      </c>
      <c r="B157" s="3874" t="s">
        <v>3294</v>
      </c>
      <c r="C157" s="3895" t="s">
        <v>5292</v>
      </c>
      <c r="D157" s="3896" t="s">
        <v>5293</v>
      </c>
      <c r="E157" s="3896" t="s">
        <v>5294</v>
      </c>
      <c r="F157" s="1072" t="s">
        <v>5295</v>
      </c>
      <c r="G157" s="1060" t="s">
        <v>5296</v>
      </c>
      <c r="H157" s="1072" t="s">
        <v>5297</v>
      </c>
      <c r="I157" s="1060" t="s">
        <v>5298</v>
      </c>
      <c r="J157" s="1072" t="s">
        <v>5299</v>
      </c>
      <c r="K157" s="1060" t="s">
        <v>5300</v>
      </c>
      <c r="L157" s="1072" t="s">
        <v>5301</v>
      </c>
      <c r="M157" s="1073" t="s">
        <v>5302</v>
      </c>
      <c r="N157" s="1073" t="s">
        <v>5303</v>
      </c>
      <c r="O157" s="1080" t="s">
        <v>5304</v>
      </c>
      <c r="P157" s="1072" t="s">
        <v>5305</v>
      </c>
      <c r="Q157" s="1060" t="s">
        <v>5306</v>
      </c>
      <c r="R157" s="1072" t="s">
        <v>5307</v>
      </c>
      <c r="S157" s="1060" t="s">
        <v>5308</v>
      </c>
      <c r="T157" s="1072" t="s">
        <v>5309</v>
      </c>
      <c r="U157" s="1060" t="s">
        <v>5310</v>
      </c>
      <c r="V157" s="1072" t="s">
        <v>5311</v>
      </c>
      <c r="W157" s="1060" t="s">
        <v>5312</v>
      </c>
      <c r="X157" s="1072" t="s">
        <v>5313</v>
      </c>
      <c r="Y157" s="1060" t="s">
        <v>5314</v>
      </c>
      <c r="Z157" s="1072" t="s">
        <v>5315</v>
      </c>
      <c r="AA157" s="1060" t="s">
        <v>5316</v>
      </c>
      <c r="AB157" s="1072" t="s">
        <v>5317</v>
      </c>
      <c r="AC157" s="1060" t="s">
        <v>5318</v>
      </c>
      <c r="AD157" s="1072" t="s">
        <v>5319</v>
      </c>
      <c r="AE157" s="1080" t="s">
        <v>5320</v>
      </c>
      <c r="AF157" s="1072" t="s">
        <v>5321</v>
      </c>
      <c r="AG157" s="1060" t="s">
        <v>5322</v>
      </c>
      <c r="AH157" s="1072" t="s">
        <v>5323</v>
      </c>
      <c r="AI157" s="1060" t="s">
        <v>5324</v>
      </c>
      <c r="AJ157" s="1072" t="s">
        <v>5325</v>
      </c>
      <c r="AK157" s="1060" t="s">
        <v>5326</v>
      </c>
      <c r="AL157" s="3143" t="s">
        <v>5327</v>
      </c>
      <c r="AM157" s="1080" t="s">
        <v>5328</v>
      </c>
      <c r="AN157" s="916" t="s">
        <v>5329</v>
      </c>
      <c r="AO157" s="617" t="s">
        <v>5330</v>
      </c>
      <c r="AP157" s="626" t="s">
        <v>5331</v>
      </c>
      <c r="AQ157" s="1687" t="e">
        <f t="shared" si="27"/>
        <v>#VALUE!</v>
      </c>
      <c r="BV157" s="2630"/>
      <c r="BW157" s="2630"/>
      <c r="BX157" s="2630"/>
      <c r="BY157" s="2630"/>
      <c r="BZ157" s="2630"/>
      <c r="CA157" s="2630"/>
      <c r="CB157" s="2920"/>
      <c r="CC157" s="4752" t="e">
        <f t="shared" si="28"/>
        <v>#VALUE!</v>
      </c>
      <c r="CD157" s="2630"/>
      <c r="CE157" s="2630"/>
      <c r="CF157" s="2630"/>
      <c r="CG157" s="2630"/>
      <c r="CH157" s="1725" t="e">
        <f t="shared" si="29"/>
        <v>#VALUE!</v>
      </c>
      <c r="CI157" s="1723"/>
      <c r="CJ157" s="1723"/>
      <c r="DJ157"/>
    </row>
    <row r="158" spans="1:118" x14ac:dyDescent="0.3">
      <c r="A158" s="6269">
        <v>29101641</v>
      </c>
      <c r="B158" s="3874" t="s">
        <v>3295</v>
      </c>
      <c r="C158" s="3895" t="s">
        <v>5292</v>
      </c>
      <c r="D158" s="3896" t="s">
        <v>5293</v>
      </c>
      <c r="E158" s="3896" t="s">
        <v>5294</v>
      </c>
      <c r="F158" s="1072" t="s">
        <v>5295</v>
      </c>
      <c r="G158" s="1060" t="s">
        <v>5296</v>
      </c>
      <c r="H158" s="1072" t="s">
        <v>5297</v>
      </c>
      <c r="I158" s="1060" t="s">
        <v>5298</v>
      </c>
      <c r="J158" s="1072" t="s">
        <v>5299</v>
      </c>
      <c r="K158" s="1060" t="s">
        <v>5300</v>
      </c>
      <c r="L158" s="1072" t="s">
        <v>5301</v>
      </c>
      <c r="M158" s="1073" t="s">
        <v>5302</v>
      </c>
      <c r="N158" s="1073" t="s">
        <v>5303</v>
      </c>
      <c r="O158" s="1080" t="s">
        <v>5304</v>
      </c>
      <c r="P158" s="1072" t="s">
        <v>5305</v>
      </c>
      <c r="Q158" s="1060" t="s">
        <v>5306</v>
      </c>
      <c r="R158" s="1072" t="s">
        <v>5307</v>
      </c>
      <c r="S158" s="1060" t="s">
        <v>5308</v>
      </c>
      <c r="T158" s="1072" t="s">
        <v>5309</v>
      </c>
      <c r="U158" s="1060" t="s">
        <v>5310</v>
      </c>
      <c r="V158" s="1072" t="s">
        <v>5311</v>
      </c>
      <c r="W158" s="1060" t="s">
        <v>5312</v>
      </c>
      <c r="X158" s="1072" t="s">
        <v>5313</v>
      </c>
      <c r="Y158" s="1060" t="s">
        <v>5314</v>
      </c>
      <c r="Z158" s="1072" t="s">
        <v>5315</v>
      </c>
      <c r="AA158" s="1060" t="s">
        <v>5316</v>
      </c>
      <c r="AB158" s="1072" t="s">
        <v>5317</v>
      </c>
      <c r="AC158" s="1060" t="s">
        <v>5318</v>
      </c>
      <c r="AD158" s="1072" t="s">
        <v>5319</v>
      </c>
      <c r="AE158" s="1080" t="s">
        <v>5320</v>
      </c>
      <c r="AF158" s="1072" t="s">
        <v>5321</v>
      </c>
      <c r="AG158" s="1060" t="s">
        <v>5322</v>
      </c>
      <c r="AH158" s="1072" t="s">
        <v>5323</v>
      </c>
      <c r="AI158" s="1060" t="s">
        <v>5324</v>
      </c>
      <c r="AJ158" s="1072" t="s">
        <v>5325</v>
      </c>
      <c r="AK158" s="1060" t="s">
        <v>5326</v>
      </c>
      <c r="AL158" s="3143" t="s">
        <v>5327</v>
      </c>
      <c r="AM158" s="1080" t="s">
        <v>5328</v>
      </c>
      <c r="AN158" s="916" t="s">
        <v>5329</v>
      </c>
      <c r="AO158" s="617" t="s">
        <v>5330</v>
      </c>
      <c r="AP158" s="626" t="s">
        <v>5331</v>
      </c>
      <c r="AQ158" s="1687" t="e">
        <f t="shared" si="27"/>
        <v>#VALUE!</v>
      </c>
      <c r="BV158" s="2630"/>
      <c r="BW158" s="2630"/>
      <c r="BX158" s="2630"/>
      <c r="BY158" s="2630"/>
      <c r="BZ158" s="2630"/>
      <c r="CA158" s="2630"/>
      <c r="CB158" s="2920"/>
      <c r="CC158" s="4752" t="e">
        <f t="shared" si="28"/>
        <v>#VALUE!</v>
      </c>
      <c r="CD158" s="2630"/>
      <c r="CE158" s="2630"/>
      <c r="CF158" s="2630"/>
      <c r="CG158" s="2630"/>
      <c r="CH158" s="1725" t="e">
        <f t="shared" si="29"/>
        <v>#VALUE!</v>
      </c>
      <c r="CI158" s="1723"/>
      <c r="CJ158" s="1723"/>
      <c r="DJ158"/>
    </row>
    <row r="159" spans="1:118" x14ac:dyDescent="0.3">
      <c r="A159" s="6269">
        <v>29101642</v>
      </c>
      <c r="B159" s="3874" t="s">
        <v>3296</v>
      </c>
      <c r="C159" s="3895" t="s">
        <v>5292</v>
      </c>
      <c r="D159" s="3896" t="s">
        <v>5293</v>
      </c>
      <c r="E159" s="3896" t="s">
        <v>5294</v>
      </c>
      <c r="F159" s="1072" t="s">
        <v>5295</v>
      </c>
      <c r="G159" s="1060" t="s">
        <v>5296</v>
      </c>
      <c r="H159" s="1072" t="s">
        <v>5297</v>
      </c>
      <c r="I159" s="1060" t="s">
        <v>5298</v>
      </c>
      <c r="J159" s="1072" t="s">
        <v>5299</v>
      </c>
      <c r="K159" s="1060" t="s">
        <v>5300</v>
      </c>
      <c r="L159" s="1072" t="s">
        <v>5301</v>
      </c>
      <c r="M159" s="1073" t="s">
        <v>5302</v>
      </c>
      <c r="N159" s="1073" t="s">
        <v>5303</v>
      </c>
      <c r="O159" s="1080" t="s">
        <v>5304</v>
      </c>
      <c r="P159" s="1072" t="s">
        <v>5305</v>
      </c>
      <c r="Q159" s="1060" t="s">
        <v>5306</v>
      </c>
      <c r="R159" s="1072" t="s">
        <v>5307</v>
      </c>
      <c r="S159" s="1060" t="s">
        <v>5308</v>
      </c>
      <c r="T159" s="1072" t="s">
        <v>5309</v>
      </c>
      <c r="U159" s="1060" t="s">
        <v>5310</v>
      </c>
      <c r="V159" s="1072" t="s">
        <v>5311</v>
      </c>
      <c r="W159" s="1060" t="s">
        <v>5312</v>
      </c>
      <c r="X159" s="1072" t="s">
        <v>5313</v>
      </c>
      <c r="Y159" s="1060" t="s">
        <v>5314</v>
      </c>
      <c r="Z159" s="1072" t="s">
        <v>5315</v>
      </c>
      <c r="AA159" s="1060" t="s">
        <v>5316</v>
      </c>
      <c r="AB159" s="1072" t="s">
        <v>5317</v>
      </c>
      <c r="AC159" s="1060" t="s">
        <v>5318</v>
      </c>
      <c r="AD159" s="1072" t="s">
        <v>5319</v>
      </c>
      <c r="AE159" s="1080" t="s">
        <v>5320</v>
      </c>
      <c r="AF159" s="1072" t="s">
        <v>5321</v>
      </c>
      <c r="AG159" s="1060" t="s">
        <v>5322</v>
      </c>
      <c r="AH159" s="1072" t="s">
        <v>5323</v>
      </c>
      <c r="AI159" s="1060" t="s">
        <v>5324</v>
      </c>
      <c r="AJ159" s="1072" t="s">
        <v>5325</v>
      </c>
      <c r="AK159" s="1060" t="s">
        <v>5326</v>
      </c>
      <c r="AL159" s="3143" t="s">
        <v>5327</v>
      </c>
      <c r="AM159" s="1080" t="s">
        <v>5328</v>
      </c>
      <c r="AN159" s="916" t="s">
        <v>5329</v>
      </c>
      <c r="AO159" s="617" t="s">
        <v>5330</v>
      </c>
      <c r="AP159" s="626" t="s">
        <v>5331</v>
      </c>
      <c r="AQ159" s="1687" t="e">
        <f t="shared" si="27"/>
        <v>#VALUE!</v>
      </c>
      <c r="BV159" s="2630"/>
      <c r="BW159" s="2630"/>
      <c r="BX159" s="2630"/>
      <c r="BY159" s="2630"/>
      <c r="BZ159" s="2630"/>
      <c r="CA159" s="2630"/>
      <c r="CB159" s="2920"/>
      <c r="CC159" s="4752" t="e">
        <f t="shared" si="28"/>
        <v>#VALUE!</v>
      </c>
      <c r="CD159" s="2630"/>
      <c r="CE159" s="2630"/>
      <c r="CF159" s="2630"/>
      <c r="CG159" s="2630"/>
      <c r="CH159" s="1725" t="e">
        <f t="shared" si="29"/>
        <v>#VALUE!</v>
      </c>
      <c r="CI159" s="1723"/>
      <c r="CJ159" s="1723"/>
      <c r="DJ159"/>
    </row>
    <row r="160" spans="1:118" x14ac:dyDescent="0.3">
      <c r="A160" s="6269">
        <v>29101643</v>
      </c>
      <c r="B160" s="3874" t="s">
        <v>3214</v>
      </c>
      <c r="C160" s="3895" t="s">
        <v>5292</v>
      </c>
      <c r="D160" s="3896" t="s">
        <v>5293</v>
      </c>
      <c r="E160" s="3896" t="s">
        <v>5294</v>
      </c>
      <c r="F160" s="1072" t="s">
        <v>5295</v>
      </c>
      <c r="G160" s="1060" t="s">
        <v>5296</v>
      </c>
      <c r="H160" s="1072" t="s">
        <v>5297</v>
      </c>
      <c r="I160" s="1060" t="s">
        <v>5298</v>
      </c>
      <c r="J160" s="1072" t="s">
        <v>5299</v>
      </c>
      <c r="K160" s="1060" t="s">
        <v>5300</v>
      </c>
      <c r="L160" s="1072" t="s">
        <v>5301</v>
      </c>
      <c r="M160" s="1073" t="s">
        <v>5302</v>
      </c>
      <c r="N160" s="1073" t="s">
        <v>5303</v>
      </c>
      <c r="O160" s="1080" t="s">
        <v>5304</v>
      </c>
      <c r="P160" s="1072" t="s">
        <v>5305</v>
      </c>
      <c r="Q160" s="1060" t="s">
        <v>5306</v>
      </c>
      <c r="R160" s="1072" t="s">
        <v>5307</v>
      </c>
      <c r="S160" s="1060" t="s">
        <v>5308</v>
      </c>
      <c r="T160" s="1072" t="s">
        <v>5309</v>
      </c>
      <c r="U160" s="1060" t="s">
        <v>5310</v>
      </c>
      <c r="V160" s="1072" t="s">
        <v>5311</v>
      </c>
      <c r="W160" s="1060" t="s">
        <v>5312</v>
      </c>
      <c r="X160" s="1072" t="s">
        <v>5313</v>
      </c>
      <c r="Y160" s="1060" t="s">
        <v>5314</v>
      </c>
      <c r="Z160" s="1072" t="s">
        <v>5315</v>
      </c>
      <c r="AA160" s="1060" t="s">
        <v>5316</v>
      </c>
      <c r="AB160" s="1072" t="s">
        <v>5317</v>
      </c>
      <c r="AC160" s="1060" t="s">
        <v>5318</v>
      </c>
      <c r="AD160" s="1072" t="s">
        <v>5319</v>
      </c>
      <c r="AE160" s="1080" t="s">
        <v>5320</v>
      </c>
      <c r="AF160" s="1072" t="s">
        <v>5321</v>
      </c>
      <c r="AG160" s="1060" t="s">
        <v>5322</v>
      </c>
      <c r="AH160" s="1072" t="s">
        <v>5323</v>
      </c>
      <c r="AI160" s="1060" t="s">
        <v>5324</v>
      </c>
      <c r="AJ160" s="1072" t="s">
        <v>5325</v>
      </c>
      <c r="AK160" s="1060" t="s">
        <v>5326</v>
      </c>
      <c r="AL160" s="3143" t="s">
        <v>5327</v>
      </c>
      <c r="AM160" s="1080" t="s">
        <v>5328</v>
      </c>
      <c r="AN160" s="916" t="s">
        <v>5329</v>
      </c>
      <c r="AO160" s="617" t="s">
        <v>5330</v>
      </c>
      <c r="AP160" s="626" t="s">
        <v>5331</v>
      </c>
      <c r="AQ160" s="1687" t="e">
        <f t="shared" si="27"/>
        <v>#VALUE!</v>
      </c>
      <c r="BV160" s="2630"/>
      <c r="BW160" s="2630"/>
      <c r="BX160" s="2630"/>
      <c r="BY160" s="2630"/>
      <c r="BZ160" s="2630"/>
      <c r="CA160" s="2630"/>
      <c r="CB160" s="2920"/>
      <c r="CC160" s="4752" t="e">
        <f t="shared" si="28"/>
        <v>#VALUE!</v>
      </c>
      <c r="CD160" s="2630"/>
      <c r="CE160" s="2630"/>
      <c r="CF160" s="2630"/>
      <c r="CG160" s="2630"/>
      <c r="CH160" s="1725" t="e">
        <f t="shared" si="29"/>
        <v>#VALUE!</v>
      </c>
      <c r="CI160" s="1723"/>
      <c r="CJ160" s="1723"/>
      <c r="DJ160"/>
    </row>
    <row r="161" spans="1:114" x14ac:dyDescent="0.3">
      <c r="A161" s="6269">
        <v>28021150</v>
      </c>
      <c r="B161" s="3874" t="s">
        <v>3297</v>
      </c>
      <c r="C161" s="3895" t="s">
        <v>5292</v>
      </c>
      <c r="D161" s="3896" t="s">
        <v>5293</v>
      </c>
      <c r="E161" s="3896" t="s">
        <v>5294</v>
      </c>
      <c r="F161" s="1072" t="s">
        <v>5295</v>
      </c>
      <c r="G161" s="1060" t="s">
        <v>5296</v>
      </c>
      <c r="H161" s="1072" t="s">
        <v>5297</v>
      </c>
      <c r="I161" s="1060" t="s">
        <v>5298</v>
      </c>
      <c r="J161" s="1072" t="s">
        <v>5299</v>
      </c>
      <c r="K161" s="1060" t="s">
        <v>5300</v>
      </c>
      <c r="L161" s="1072" t="s">
        <v>5301</v>
      </c>
      <c r="M161" s="1073" t="s">
        <v>5302</v>
      </c>
      <c r="N161" s="1073" t="s">
        <v>5303</v>
      </c>
      <c r="O161" s="1080" t="s">
        <v>5304</v>
      </c>
      <c r="P161" s="1072" t="s">
        <v>5305</v>
      </c>
      <c r="Q161" s="1060" t="s">
        <v>5306</v>
      </c>
      <c r="R161" s="1072" t="s">
        <v>5307</v>
      </c>
      <c r="S161" s="1060" t="s">
        <v>5308</v>
      </c>
      <c r="T161" s="1072" t="s">
        <v>5309</v>
      </c>
      <c r="U161" s="1060" t="s">
        <v>5310</v>
      </c>
      <c r="V161" s="1072" t="s">
        <v>5311</v>
      </c>
      <c r="W161" s="1060" t="s">
        <v>5312</v>
      </c>
      <c r="X161" s="1072" t="s">
        <v>5313</v>
      </c>
      <c r="Y161" s="1060" t="s">
        <v>5314</v>
      </c>
      <c r="Z161" s="1072" t="s">
        <v>5315</v>
      </c>
      <c r="AA161" s="1060" t="s">
        <v>5316</v>
      </c>
      <c r="AB161" s="1072" t="s">
        <v>5317</v>
      </c>
      <c r="AC161" s="1060" t="s">
        <v>5318</v>
      </c>
      <c r="AD161" s="1072" t="s">
        <v>5319</v>
      </c>
      <c r="AE161" s="1080" t="s">
        <v>5320</v>
      </c>
      <c r="AF161" s="1072" t="s">
        <v>5321</v>
      </c>
      <c r="AG161" s="1060" t="s">
        <v>5322</v>
      </c>
      <c r="AH161" s="1072" t="s">
        <v>5323</v>
      </c>
      <c r="AI161" s="1060" t="s">
        <v>5324</v>
      </c>
      <c r="AJ161" s="1072" t="s">
        <v>5325</v>
      </c>
      <c r="AK161" s="1060" t="s">
        <v>5326</v>
      </c>
      <c r="AL161" s="3143" t="s">
        <v>5327</v>
      </c>
      <c r="AM161" s="1080" t="s">
        <v>5328</v>
      </c>
      <c r="AN161" s="916" t="s">
        <v>5329</v>
      </c>
      <c r="AO161" s="617" t="s">
        <v>5330</v>
      </c>
      <c r="AP161" s="626" t="s">
        <v>5331</v>
      </c>
      <c r="AQ161" s="1687" t="e">
        <f t="shared" si="27"/>
        <v>#VALUE!</v>
      </c>
      <c r="BV161" s="2630"/>
      <c r="BW161" s="2630"/>
      <c r="BX161" s="2630"/>
      <c r="BY161" s="2630"/>
      <c r="BZ161" s="2630"/>
      <c r="CA161" s="2630"/>
      <c r="CB161" s="2920"/>
      <c r="CC161" s="4752" t="e">
        <f t="shared" si="28"/>
        <v>#VALUE!</v>
      </c>
      <c r="CD161" s="2630"/>
      <c r="CE161" s="2630"/>
      <c r="CF161" s="2630"/>
      <c r="CG161" s="2630"/>
      <c r="CH161" s="1725" t="e">
        <f t="shared" si="29"/>
        <v>#VALUE!</v>
      </c>
      <c r="CI161" s="1723"/>
      <c r="CJ161" s="1723"/>
      <c r="DJ161"/>
    </row>
    <row r="162" spans="1:114" x14ac:dyDescent="0.3">
      <c r="A162" s="6269">
        <v>28101060</v>
      </c>
      <c r="B162" s="3874" t="s">
        <v>3298</v>
      </c>
      <c r="C162" s="3895" t="s">
        <v>5292</v>
      </c>
      <c r="D162" s="3896" t="s">
        <v>5293</v>
      </c>
      <c r="E162" s="3896" t="s">
        <v>5294</v>
      </c>
      <c r="F162" s="1072" t="s">
        <v>5295</v>
      </c>
      <c r="G162" s="1060" t="s">
        <v>5296</v>
      </c>
      <c r="H162" s="1072" t="s">
        <v>5297</v>
      </c>
      <c r="I162" s="1060" t="s">
        <v>5298</v>
      </c>
      <c r="J162" s="1072" t="s">
        <v>5299</v>
      </c>
      <c r="K162" s="1060" t="s">
        <v>5300</v>
      </c>
      <c r="L162" s="1072" t="s">
        <v>5301</v>
      </c>
      <c r="M162" s="1073" t="s">
        <v>5302</v>
      </c>
      <c r="N162" s="1073" t="s">
        <v>5303</v>
      </c>
      <c r="O162" s="1080" t="s">
        <v>5304</v>
      </c>
      <c r="P162" s="1072" t="s">
        <v>5305</v>
      </c>
      <c r="Q162" s="1060" t="s">
        <v>5306</v>
      </c>
      <c r="R162" s="1072" t="s">
        <v>5307</v>
      </c>
      <c r="S162" s="1060" t="s">
        <v>5308</v>
      </c>
      <c r="T162" s="1072" t="s">
        <v>5309</v>
      </c>
      <c r="U162" s="1060" t="s">
        <v>5310</v>
      </c>
      <c r="V162" s="1072" t="s">
        <v>5311</v>
      </c>
      <c r="W162" s="1060" t="s">
        <v>5312</v>
      </c>
      <c r="X162" s="1072" t="s">
        <v>5313</v>
      </c>
      <c r="Y162" s="1060" t="s">
        <v>5314</v>
      </c>
      <c r="Z162" s="1072" t="s">
        <v>5315</v>
      </c>
      <c r="AA162" s="1060" t="s">
        <v>5316</v>
      </c>
      <c r="AB162" s="1072" t="s">
        <v>5317</v>
      </c>
      <c r="AC162" s="1060" t="s">
        <v>5318</v>
      </c>
      <c r="AD162" s="1072" t="s">
        <v>5319</v>
      </c>
      <c r="AE162" s="1080" t="s">
        <v>5320</v>
      </c>
      <c r="AF162" s="1072" t="s">
        <v>5321</v>
      </c>
      <c r="AG162" s="1060" t="s">
        <v>5322</v>
      </c>
      <c r="AH162" s="1072" t="s">
        <v>5323</v>
      </c>
      <c r="AI162" s="1060" t="s">
        <v>5324</v>
      </c>
      <c r="AJ162" s="1072" t="s">
        <v>5325</v>
      </c>
      <c r="AK162" s="1060" t="s">
        <v>5326</v>
      </c>
      <c r="AL162" s="3143" t="s">
        <v>5327</v>
      </c>
      <c r="AM162" s="1080" t="s">
        <v>5328</v>
      </c>
      <c r="AN162" s="916" t="s">
        <v>5329</v>
      </c>
      <c r="AO162" s="617" t="s">
        <v>5330</v>
      </c>
      <c r="AP162" s="626" t="s">
        <v>5331</v>
      </c>
      <c r="AQ162" s="1687" t="e">
        <f t="shared" si="27"/>
        <v>#VALUE!</v>
      </c>
      <c r="BV162" s="2630"/>
      <c r="BW162" s="2630"/>
      <c r="BX162" s="2630"/>
      <c r="BY162" s="2630"/>
      <c r="BZ162" s="2630"/>
      <c r="CA162" s="2630"/>
      <c r="CB162" s="2920"/>
      <c r="CC162" s="4752" t="e">
        <f t="shared" si="28"/>
        <v>#VALUE!</v>
      </c>
      <c r="CD162" s="2630"/>
      <c r="CE162" s="2630"/>
      <c r="CF162" s="2630"/>
      <c r="CG162" s="2630"/>
      <c r="CH162" s="1725" t="e">
        <f t="shared" si="29"/>
        <v>#VALUE!</v>
      </c>
      <c r="CI162" s="1723"/>
      <c r="CJ162" s="1723"/>
      <c r="DJ162"/>
    </row>
    <row r="163" spans="1:114" x14ac:dyDescent="0.3">
      <c r="A163" s="6269">
        <v>29101644</v>
      </c>
      <c r="B163" s="3874" t="s">
        <v>3299</v>
      </c>
      <c r="C163" s="3895" t="s">
        <v>5292</v>
      </c>
      <c r="D163" s="3896" t="s">
        <v>5293</v>
      </c>
      <c r="E163" s="3896" t="s">
        <v>5294</v>
      </c>
      <c r="F163" s="1072" t="s">
        <v>5295</v>
      </c>
      <c r="G163" s="1060" t="s">
        <v>5296</v>
      </c>
      <c r="H163" s="1072" t="s">
        <v>5297</v>
      </c>
      <c r="I163" s="1060" t="s">
        <v>5298</v>
      </c>
      <c r="J163" s="1072" t="s">
        <v>5299</v>
      </c>
      <c r="K163" s="1060" t="s">
        <v>5300</v>
      </c>
      <c r="L163" s="1072" t="s">
        <v>5301</v>
      </c>
      <c r="M163" s="1073" t="s">
        <v>5302</v>
      </c>
      <c r="N163" s="1073" t="s">
        <v>5303</v>
      </c>
      <c r="O163" s="1080" t="s">
        <v>5304</v>
      </c>
      <c r="P163" s="1072" t="s">
        <v>5305</v>
      </c>
      <c r="Q163" s="1060" t="s">
        <v>5306</v>
      </c>
      <c r="R163" s="1072" t="s">
        <v>5307</v>
      </c>
      <c r="S163" s="1060" t="s">
        <v>5308</v>
      </c>
      <c r="T163" s="1072" t="s">
        <v>5309</v>
      </c>
      <c r="U163" s="1060" t="s">
        <v>5310</v>
      </c>
      <c r="V163" s="1072" t="s">
        <v>5311</v>
      </c>
      <c r="W163" s="1060" t="s">
        <v>5312</v>
      </c>
      <c r="X163" s="1072" t="s">
        <v>5313</v>
      </c>
      <c r="Y163" s="1060" t="s">
        <v>5314</v>
      </c>
      <c r="Z163" s="1072" t="s">
        <v>5315</v>
      </c>
      <c r="AA163" s="1060" t="s">
        <v>5316</v>
      </c>
      <c r="AB163" s="1072" t="s">
        <v>5317</v>
      </c>
      <c r="AC163" s="1060" t="s">
        <v>5318</v>
      </c>
      <c r="AD163" s="1072" t="s">
        <v>5319</v>
      </c>
      <c r="AE163" s="1080" t="s">
        <v>5320</v>
      </c>
      <c r="AF163" s="1072" t="s">
        <v>5321</v>
      </c>
      <c r="AG163" s="1060" t="s">
        <v>5322</v>
      </c>
      <c r="AH163" s="1072" t="s">
        <v>5323</v>
      </c>
      <c r="AI163" s="1060" t="s">
        <v>5324</v>
      </c>
      <c r="AJ163" s="1072" t="s">
        <v>5325</v>
      </c>
      <c r="AK163" s="1060" t="s">
        <v>5326</v>
      </c>
      <c r="AL163" s="3143" t="s">
        <v>5327</v>
      </c>
      <c r="AM163" s="1080" t="s">
        <v>5328</v>
      </c>
      <c r="AN163" s="916" t="s">
        <v>5329</v>
      </c>
      <c r="AO163" s="617" t="s">
        <v>5330</v>
      </c>
      <c r="AP163" s="626" t="s">
        <v>5331</v>
      </c>
      <c r="AQ163" s="1687" t="e">
        <f t="shared" si="27"/>
        <v>#VALUE!</v>
      </c>
      <c r="BV163" s="2630"/>
      <c r="BW163" s="2630"/>
      <c r="BX163" s="2630"/>
      <c r="BY163" s="2630"/>
      <c r="BZ163" s="2630"/>
      <c r="CA163" s="2630"/>
      <c r="CB163" s="2920"/>
      <c r="CC163" s="4752" t="e">
        <f t="shared" si="28"/>
        <v>#VALUE!</v>
      </c>
      <c r="CD163" s="2630"/>
      <c r="CE163" s="2630"/>
      <c r="CF163" s="2630"/>
      <c r="CG163" s="2630"/>
      <c r="CH163" s="1725" t="e">
        <f t="shared" si="29"/>
        <v>#VALUE!</v>
      </c>
      <c r="CI163" s="1723"/>
      <c r="CJ163" s="1723"/>
      <c r="DJ163"/>
    </row>
    <row r="164" spans="1:114" x14ac:dyDescent="0.3">
      <c r="A164" s="6269">
        <v>29101645</v>
      </c>
      <c r="B164" s="3874" t="s">
        <v>3202</v>
      </c>
      <c r="C164" s="3895" t="s">
        <v>5292</v>
      </c>
      <c r="D164" s="3896" t="s">
        <v>5293</v>
      </c>
      <c r="E164" s="3896" t="s">
        <v>5294</v>
      </c>
      <c r="F164" s="1072" t="s">
        <v>5295</v>
      </c>
      <c r="G164" s="1060" t="s">
        <v>5296</v>
      </c>
      <c r="H164" s="1072" t="s">
        <v>5297</v>
      </c>
      <c r="I164" s="1060" t="s">
        <v>5298</v>
      </c>
      <c r="J164" s="1072" t="s">
        <v>5299</v>
      </c>
      <c r="K164" s="1060" t="s">
        <v>5300</v>
      </c>
      <c r="L164" s="1072" t="s">
        <v>5301</v>
      </c>
      <c r="M164" s="1073" t="s">
        <v>5302</v>
      </c>
      <c r="N164" s="1073" t="s">
        <v>5303</v>
      </c>
      <c r="O164" s="1080" t="s">
        <v>5304</v>
      </c>
      <c r="P164" s="1072" t="s">
        <v>5305</v>
      </c>
      <c r="Q164" s="1060" t="s">
        <v>5306</v>
      </c>
      <c r="R164" s="1072" t="s">
        <v>5307</v>
      </c>
      <c r="S164" s="1060" t="s">
        <v>5308</v>
      </c>
      <c r="T164" s="1072" t="s">
        <v>5309</v>
      </c>
      <c r="U164" s="1060" t="s">
        <v>5310</v>
      </c>
      <c r="V164" s="1072" t="s">
        <v>5311</v>
      </c>
      <c r="W164" s="1060" t="s">
        <v>5312</v>
      </c>
      <c r="X164" s="1072" t="s">
        <v>5313</v>
      </c>
      <c r="Y164" s="1060" t="s">
        <v>5314</v>
      </c>
      <c r="Z164" s="1072" t="s">
        <v>5315</v>
      </c>
      <c r="AA164" s="1060" t="s">
        <v>5316</v>
      </c>
      <c r="AB164" s="1072" t="s">
        <v>5317</v>
      </c>
      <c r="AC164" s="1060" t="s">
        <v>5318</v>
      </c>
      <c r="AD164" s="1072" t="s">
        <v>5319</v>
      </c>
      <c r="AE164" s="1080" t="s">
        <v>5320</v>
      </c>
      <c r="AF164" s="1072" t="s">
        <v>5321</v>
      </c>
      <c r="AG164" s="1060" t="s">
        <v>5322</v>
      </c>
      <c r="AH164" s="1072" t="s">
        <v>5323</v>
      </c>
      <c r="AI164" s="1060" t="s">
        <v>5324</v>
      </c>
      <c r="AJ164" s="1072" t="s">
        <v>5325</v>
      </c>
      <c r="AK164" s="1060" t="s">
        <v>5326</v>
      </c>
      <c r="AL164" s="3143" t="s">
        <v>5327</v>
      </c>
      <c r="AM164" s="1080" t="s">
        <v>5328</v>
      </c>
      <c r="AN164" s="916" t="s">
        <v>5329</v>
      </c>
      <c r="AO164" s="617" t="s">
        <v>5330</v>
      </c>
      <c r="AP164" s="626" t="s">
        <v>5331</v>
      </c>
      <c r="AQ164" s="1687" t="e">
        <f t="shared" si="27"/>
        <v>#VALUE!</v>
      </c>
      <c r="BV164" s="2630"/>
      <c r="BW164" s="2630"/>
      <c r="BX164" s="2630"/>
      <c r="BY164" s="2630"/>
      <c r="BZ164" s="2630"/>
      <c r="CA164" s="2630"/>
      <c r="CB164" s="2920"/>
      <c r="CC164" s="4752" t="e">
        <f t="shared" si="28"/>
        <v>#VALUE!</v>
      </c>
      <c r="CD164" s="2630"/>
      <c r="CE164" s="2630"/>
      <c r="CF164" s="2630"/>
      <c r="CG164" s="2630"/>
      <c r="CH164" s="1725" t="e">
        <f t="shared" si="29"/>
        <v>#VALUE!</v>
      </c>
      <c r="CI164" s="1723"/>
      <c r="CJ164" s="1723"/>
      <c r="DJ164"/>
    </row>
    <row r="165" spans="1:114" x14ac:dyDescent="0.3">
      <c r="A165" s="6269">
        <v>29101646</v>
      </c>
      <c r="B165" s="3874" t="s">
        <v>3300</v>
      </c>
      <c r="C165" s="3895" t="s">
        <v>5292</v>
      </c>
      <c r="D165" s="3896" t="s">
        <v>5293</v>
      </c>
      <c r="E165" s="3896" t="s">
        <v>5294</v>
      </c>
      <c r="F165" s="1072" t="s">
        <v>5295</v>
      </c>
      <c r="G165" s="1060" t="s">
        <v>5296</v>
      </c>
      <c r="H165" s="1072" t="s">
        <v>5297</v>
      </c>
      <c r="I165" s="1060" t="s">
        <v>5298</v>
      </c>
      <c r="J165" s="1072" t="s">
        <v>5299</v>
      </c>
      <c r="K165" s="1060" t="s">
        <v>5300</v>
      </c>
      <c r="L165" s="1072" t="s">
        <v>5301</v>
      </c>
      <c r="M165" s="1073" t="s">
        <v>5302</v>
      </c>
      <c r="N165" s="1073" t="s">
        <v>5303</v>
      </c>
      <c r="O165" s="1080" t="s">
        <v>5304</v>
      </c>
      <c r="P165" s="1072" t="s">
        <v>5305</v>
      </c>
      <c r="Q165" s="1060" t="s">
        <v>5306</v>
      </c>
      <c r="R165" s="1072" t="s">
        <v>5307</v>
      </c>
      <c r="S165" s="1060" t="s">
        <v>5308</v>
      </c>
      <c r="T165" s="1072" t="s">
        <v>5309</v>
      </c>
      <c r="U165" s="1060" t="s">
        <v>5310</v>
      </c>
      <c r="V165" s="1072" t="s">
        <v>5311</v>
      </c>
      <c r="W165" s="1060" t="s">
        <v>5312</v>
      </c>
      <c r="X165" s="1072" t="s">
        <v>5313</v>
      </c>
      <c r="Y165" s="1060" t="s">
        <v>5314</v>
      </c>
      <c r="Z165" s="1072" t="s">
        <v>5315</v>
      </c>
      <c r="AA165" s="1060" t="s">
        <v>5316</v>
      </c>
      <c r="AB165" s="1072" t="s">
        <v>5317</v>
      </c>
      <c r="AC165" s="1060" t="s">
        <v>5318</v>
      </c>
      <c r="AD165" s="1072" t="s">
        <v>5319</v>
      </c>
      <c r="AE165" s="1080" t="s">
        <v>5320</v>
      </c>
      <c r="AF165" s="1072" t="s">
        <v>5321</v>
      </c>
      <c r="AG165" s="1060" t="s">
        <v>5322</v>
      </c>
      <c r="AH165" s="1072" t="s">
        <v>5323</v>
      </c>
      <c r="AI165" s="1060" t="s">
        <v>5324</v>
      </c>
      <c r="AJ165" s="1072" t="s">
        <v>5325</v>
      </c>
      <c r="AK165" s="1060" t="s">
        <v>5326</v>
      </c>
      <c r="AL165" s="3143" t="s">
        <v>5327</v>
      </c>
      <c r="AM165" s="1080" t="s">
        <v>5328</v>
      </c>
      <c r="AN165" s="916" t="s">
        <v>5329</v>
      </c>
      <c r="AO165" s="617" t="s">
        <v>5330</v>
      </c>
      <c r="AP165" s="626" t="s">
        <v>5331</v>
      </c>
      <c r="AQ165" s="1687" t="e">
        <f t="shared" si="27"/>
        <v>#VALUE!</v>
      </c>
      <c r="BV165" s="2630"/>
      <c r="BW165" s="2630"/>
      <c r="BX165" s="2630"/>
      <c r="BY165" s="2630"/>
      <c r="BZ165" s="2630"/>
      <c r="CA165" s="2630"/>
      <c r="CB165" s="2920"/>
      <c r="CC165" s="4752" t="e">
        <f t="shared" si="28"/>
        <v>#VALUE!</v>
      </c>
      <c r="CD165" s="2630"/>
      <c r="CE165" s="2630"/>
      <c r="CF165" s="2630"/>
      <c r="CG165" s="2630"/>
      <c r="CH165" s="1725" t="e">
        <f t="shared" si="29"/>
        <v>#VALUE!</v>
      </c>
      <c r="CI165" s="1723"/>
      <c r="CJ165" s="1723"/>
      <c r="DJ165"/>
    </row>
    <row r="166" spans="1:114" x14ac:dyDescent="0.3">
      <c r="A166" s="6269">
        <v>28021120</v>
      </c>
      <c r="B166" s="3874" t="s">
        <v>3301</v>
      </c>
      <c r="C166" s="3895" t="s">
        <v>5292</v>
      </c>
      <c r="D166" s="3896" t="s">
        <v>5293</v>
      </c>
      <c r="E166" s="3896" t="s">
        <v>5294</v>
      </c>
      <c r="F166" s="1072" t="s">
        <v>5295</v>
      </c>
      <c r="G166" s="1060" t="s">
        <v>5296</v>
      </c>
      <c r="H166" s="1072" t="s">
        <v>5297</v>
      </c>
      <c r="I166" s="1060" t="s">
        <v>5298</v>
      </c>
      <c r="J166" s="1072" t="s">
        <v>5299</v>
      </c>
      <c r="K166" s="1060" t="s">
        <v>5300</v>
      </c>
      <c r="L166" s="1072" t="s">
        <v>5301</v>
      </c>
      <c r="M166" s="1073" t="s">
        <v>5302</v>
      </c>
      <c r="N166" s="1073" t="s">
        <v>5303</v>
      </c>
      <c r="O166" s="1080" t="s">
        <v>5304</v>
      </c>
      <c r="P166" s="1072" t="s">
        <v>5305</v>
      </c>
      <c r="Q166" s="1060" t="s">
        <v>5306</v>
      </c>
      <c r="R166" s="1072" t="s">
        <v>5307</v>
      </c>
      <c r="S166" s="1060" t="s">
        <v>5308</v>
      </c>
      <c r="T166" s="1072" t="s">
        <v>5309</v>
      </c>
      <c r="U166" s="1060" t="s">
        <v>5310</v>
      </c>
      <c r="V166" s="1072" t="s">
        <v>5311</v>
      </c>
      <c r="W166" s="1060" t="s">
        <v>5312</v>
      </c>
      <c r="X166" s="1072" t="s">
        <v>5313</v>
      </c>
      <c r="Y166" s="1060" t="s">
        <v>5314</v>
      </c>
      <c r="Z166" s="1072" t="s">
        <v>5315</v>
      </c>
      <c r="AA166" s="1060" t="s">
        <v>5316</v>
      </c>
      <c r="AB166" s="1072" t="s">
        <v>5317</v>
      </c>
      <c r="AC166" s="1060" t="s">
        <v>5318</v>
      </c>
      <c r="AD166" s="1072" t="s">
        <v>5319</v>
      </c>
      <c r="AE166" s="1080" t="s">
        <v>5320</v>
      </c>
      <c r="AF166" s="1072" t="s">
        <v>5321</v>
      </c>
      <c r="AG166" s="1060" t="s">
        <v>5322</v>
      </c>
      <c r="AH166" s="1072" t="s">
        <v>5323</v>
      </c>
      <c r="AI166" s="1060" t="s">
        <v>5324</v>
      </c>
      <c r="AJ166" s="1072" t="s">
        <v>5325</v>
      </c>
      <c r="AK166" s="1060" t="s">
        <v>5326</v>
      </c>
      <c r="AL166" s="3143" t="s">
        <v>5327</v>
      </c>
      <c r="AM166" s="1080" t="s">
        <v>5328</v>
      </c>
      <c r="AN166" s="916" t="s">
        <v>5329</v>
      </c>
      <c r="AO166" s="617" t="s">
        <v>5330</v>
      </c>
      <c r="AP166" s="626" t="s">
        <v>5331</v>
      </c>
      <c r="AQ166" s="1687" t="e">
        <f t="shared" si="27"/>
        <v>#VALUE!</v>
      </c>
      <c r="BV166" s="2630"/>
      <c r="BW166" s="2630"/>
      <c r="BX166" s="2630"/>
      <c r="BY166" s="2630"/>
      <c r="BZ166" s="2630"/>
      <c r="CA166" s="2630"/>
      <c r="CB166" s="2920"/>
      <c r="CC166" s="4752" t="e">
        <f t="shared" si="28"/>
        <v>#VALUE!</v>
      </c>
      <c r="CD166" s="2630"/>
      <c r="CE166" s="2630"/>
      <c r="CF166" s="2630"/>
      <c r="CG166" s="2630"/>
      <c r="CH166" s="1725" t="e">
        <f t="shared" si="29"/>
        <v>#VALUE!</v>
      </c>
      <c r="CI166" s="1723"/>
      <c r="CJ166" s="1723"/>
      <c r="DJ166"/>
    </row>
    <row r="167" spans="1:114" x14ac:dyDescent="0.3">
      <c r="A167" s="6269">
        <v>29101647</v>
      </c>
      <c r="B167" s="3874" t="s">
        <v>3302</v>
      </c>
      <c r="C167" s="3895" t="s">
        <v>5292</v>
      </c>
      <c r="D167" s="3896" t="s">
        <v>5293</v>
      </c>
      <c r="E167" s="3896" t="s">
        <v>5294</v>
      </c>
      <c r="F167" s="1072" t="s">
        <v>5295</v>
      </c>
      <c r="G167" s="1060" t="s">
        <v>5296</v>
      </c>
      <c r="H167" s="1072" t="s">
        <v>5297</v>
      </c>
      <c r="I167" s="1060" t="s">
        <v>5298</v>
      </c>
      <c r="J167" s="1072" t="s">
        <v>5299</v>
      </c>
      <c r="K167" s="1060" t="s">
        <v>5300</v>
      </c>
      <c r="L167" s="1072" t="s">
        <v>5301</v>
      </c>
      <c r="M167" s="1073" t="s">
        <v>5302</v>
      </c>
      <c r="N167" s="1073" t="s">
        <v>5303</v>
      </c>
      <c r="O167" s="1080" t="s">
        <v>5304</v>
      </c>
      <c r="P167" s="1072" t="s">
        <v>5305</v>
      </c>
      <c r="Q167" s="1060" t="s">
        <v>5306</v>
      </c>
      <c r="R167" s="1072" t="s">
        <v>5307</v>
      </c>
      <c r="S167" s="1060" t="s">
        <v>5308</v>
      </c>
      <c r="T167" s="1072" t="s">
        <v>5309</v>
      </c>
      <c r="U167" s="1060" t="s">
        <v>5310</v>
      </c>
      <c r="V167" s="1072" t="s">
        <v>5311</v>
      </c>
      <c r="W167" s="1060" t="s">
        <v>5312</v>
      </c>
      <c r="X167" s="1072" t="s">
        <v>5313</v>
      </c>
      <c r="Y167" s="1060" t="s">
        <v>5314</v>
      </c>
      <c r="Z167" s="1072" t="s">
        <v>5315</v>
      </c>
      <c r="AA167" s="1060" t="s">
        <v>5316</v>
      </c>
      <c r="AB167" s="1072" t="s">
        <v>5317</v>
      </c>
      <c r="AC167" s="1060" t="s">
        <v>5318</v>
      </c>
      <c r="AD167" s="1072" t="s">
        <v>5319</v>
      </c>
      <c r="AE167" s="1080" t="s">
        <v>5320</v>
      </c>
      <c r="AF167" s="1072" t="s">
        <v>5321</v>
      </c>
      <c r="AG167" s="1060" t="s">
        <v>5322</v>
      </c>
      <c r="AH167" s="1072" t="s">
        <v>5323</v>
      </c>
      <c r="AI167" s="1060" t="s">
        <v>5324</v>
      </c>
      <c r="AJ167" s="1072" t="s">
        <v>5325</v>
      </c>
      <c r="AK167" s="1060" t="s">
        <v>5326</v>
      </c>
      <c r="AL167" s="3143" t="s">
        <v>5327</v>
      </c>
      <c r="AM167" s="1080" t="s">
        <v>5328</v>
      </c>
      <c r="AN167" s="916" t="s">
        <v>5329</v>
      </c>
      <c r="AO167" s="617" t="s">
        <v>5330</v>
      </c>
      <c r="AP167" s="626" t="s">
        <v>5331</v>
      </c>
      <c r="AQ167" s="1687" t="e">
        <f t="shared" si="27"/>
        <v>#VALUE!</v>
      </c>
      <c r="BV167" s="2630"/>
      <c r="BW167" s="2630"/>
      <c r="BX167" s="2630"/>
      <c r="BY167" s="2630"/>
      <c r="BZ167" s="2630"/>
      <c r="CA167" s="2630"/>
      <c r="CB167" s="2920"/>
      <c r="CC167" s="4752" t="e">
        <f t="shared" si="28"/>
        <v>#VALUE!</v>
      </c>
      <c r="CD167" s="2630"/>
      <c r="CE167" s="2630"/>
      <c r="CF167" s="2630"/>
      <c r="CG167" s="2630"/>
      <c r="CH167" s="1725" t="e">
        <f t="shared" si="29"/>
        <v>#VALUE!</v>
      </c>
      <c r="CI167" s="1723"/>
      <c r="CJ167" s="1723"/>
      <c r="DJ167"/>
    </row>
    <row r="168" spans="1:114" x14ac:dyDescent="0.3">
      <c r="A168" s="6269">
        <v>28022420</v>
      </c>
      <c r="B168" s="3874" t="s">
        <v>3303</v>
      </c>
      <c r="C168" s="3895" t="s">
        <v>5292</v>
      </c>
      <c r="D168" s="3896" t="s">
        <v>5293</v>
      </c>
      <c r="E168" s="3896" t="s">
        <v>5294</v>
      </c>
      <c r="F168" s="1072" t="s">
        <v>5295</v>
      </c>
      <c r="G168" s="1060" t="s">
        <v>5296</v>
      </c>
      <c r="H168" s="1072" t="s">
        <v>5297</v>
      </c>
      <c r="I168" s="1060" t="s">
        <v>5298</v>
      </c>
      <c r="J168" s="1072" t="s">
        <v>5299</v>
      </c>
      <c r="K168" s="1060" t="s">
        <v>5300</v>
      </c>
      <c r="L168" s="1072" t="s">
        <v>5301</v>
      </c>
      <c r="M168" s="1073" t="s">
        <v>5302</v>
      </c>
      <c r="N168" s="1073" t="s">
        <v>5303</v>
      </c>
      <c r="O168" s="1080" t="s">
        <v>5304</v>
      </c>
      <c r="P168" s="1072" t="s">
        <v>5305</v>
      </c>
      <c r="Q168" s="1060" t="s">
        <v>5306</v>
      </c>
      <c r="R168" s="1072" t="s">
        <v>5307</v>
      </c>
      <c r="S168" s="1060" t="s">
        <v>5308</v>
      </c>
      <c r="T168" s="1072" t="s">
        <v>5309</v>
      </c>
      <c r="U168" s="1060" t="s">
        <v>5310</v>
      </c>
      <c r="V168" s="1072" t="s">
        <v>5311</v>
      </c>
      <c r="W168" s="1060" t="s">
        <v>5312</v>
      </c>
      <c r="X168" s="1072" t="s">
        <v>5313</v>
      </c>
      <c r="Y168" s="1060" t="s">
        <v>5314</v>
      </c>
      <c r="Z168" s="1072" t="s">
        <v>5315</v>
      </c>
      <c r="AA168" s="1060" t="s">
        <v>5316</v>
      </c>
      <c r="AB168" s="1072" t="s">
        <v>5317</v>
      </c>
      <c r="AC168" s="1060" t="s">
        <v>5318</v>
      </c>
      <c r="AD168" s="1072" t="s">
        <v>5319</v>
      </c>
      <c r="AE168" s="1080" t="s">
        <v>5320</v>
      </c>
      <c r="AF168" s="1072" t="s">
        <v>5321</v>
      </c>
      <c r="AG168" s="1060" t="s">
        <v>5322</v>
      </c>
      <c r="AH168" s="1072" t="s">
        <v>5323</v>
      </c>
      <c r="AI168" s="1060" t="s">
        <v>5324</v>
      </c>
      <c r="AJ168" s="1072" t="s">
        <v>5325</v>
      </c>
      <c r="AK168" s="1060" t="s">
        <v>5326</v>
      </c>
      <c r="AL168" s="3143" t="s">
        <v>5327</v>
      </c>
      <c r="AM168" s="1080" t="s">
        <v>5328</v>
      </c>
      <c r="AN168" s="916" t="s">
        <v>5329</v>
      </c>
      <c r="AO168" s="617" t="s">
        <v>5330</v>
      </c>
      <c r="AP168" s="626" t="s">
        <v>5331</v>
      </c>
      <c r="AQ168" s="1687" t="e">
        <f t="shared" si="27"/>
        <v>#VALUE!</v>
      </c>
      <c r="BV168" s="2630"/>
      <c r="BW168" s="2630"/>
      <c r="BX168" s="2630"/>
      <c r="BY168" s="2630"/>
      <c r="BZ168" s="2630"/>
      <c r="CA168" s="2630"/>
      <c r="CB168" s="2920"/>
      <c r="CC168" s="4752" t="e">
        <f t="shared" si="28"/>
        <v>#VALUE!</v>
      </c>
      <c r="CD168" s="2630"/>
      <c r="CE168" s="2630"/>
      <c r="CF168" s="2630"/>
      <c r="CG168" s="2630"/>
      <c r="CH168" s="1725" t="e">
        <f t="shared" si="29"/>
        <v>#VALUE!</v>
      </c>
      <c r="CI168" s="1723"/>
      <c r="CJ168" s="1723"/>
      <c r="DJ168"/>
    </row>
    <row r="169" spans="1:114" x14ac:dyDescent="0.3">
      <c r="A169" s="6269">
        <v>29101648</v>
      </c>
      <c r="B169" s="3874" t="s">
        <v>3304</v>
      </c>
      <c r="C169" s="3895" t="s">
        <v>5292</v>
      </c>
      <c r="D169" s="3896" t="s">
        <v>5293</v>
      </c>
      <c r="E169" s="3896" t="s">
        <v>5294</v>
      </c>
      <c r="F169" s="1072" t="s">
        <v>5295</v>
      </c>
      <c r="G169" s="1060" t="s">
        <v>5296</v>
      </c>
      <c r="H169" s="1072" t="s">
        <v>5297</v>
      </c>
      <c r="I169" s="1060" t="s">
        <v>5298</v>
      </c>
      <c r="J169" s="1072" t="s">
        <v>5299</v>
      </c>
      <c r="K169" s="1060" t="s">
        <v>5300</v>
      </c>
      <c r="L169" s="1072" t="s">
        <v>5301</v>
      </c>
      <c r="M169" s="1073" t="s">
        <v>5302</v>
      </c>
      <c r="N169" s="1073" t="s">
        <v>5303</v>
      </c>
      <c r="O169" s="1080" t="s">
        <v>5304</v>
      </c>
      <c r="P169" s="1072" t="s">
        <v>5305</v>
      </c>
      <c r="Q169" s="1060" t="s">
        <v>5306</v>
      </c>
      <c r="R169" s="1072" t="s">
        <v>5307</v>
      </c>
      <c r="S169" s="1060" t="s">
        <v>5308</v>
      </c>
      <c r="T169" s="1072" t="s">
        <v>5309</v>
      </c>
      <c r="U169" s="1060" t="s">
        <v>5310</v>
      </c>
      <c r="V169" s="1072" t="s">
        <v>5311</v>
      </c>
      <c r="W169" s="1060" t="s">
        <v>5312</v>
      </c>
      <c r="X169" s="1072" t="s">
        <v>5313</v>
      </c>
      <c r="Y169" s="1060" t="s">
        <v>5314</v>
      </c>
      <c r="Z169" s="1072" t="s">
        <v>5315</v>
      </c>
      <c r="AA169" s="1060" t="s">
        <v>5316</v>
      </c>
      <c r="AB169" s="1072" t="s">
        <v>5317</v>
      </c>
      <c r="AC169" s="1060" t="s">
        <v>5318</v>
      </c>
      <c r="AD169" s="1072" t="s">
        <v>5319</v>
      </c>
      <c r="AE169" s="1080" t="s">
        <v>5320</v>
      </c>
      <c r="AF169" s="1072" t="s">
        <v>5321</v>
      </c>
      <c r="AG169" s="1060" t="s">
        <v>5322</v>
      </c>
      <c r="AH169" s="1072" t="s">
        <v>5323</v>
      </c>
      <c r="AI169" s="1060" t="s">
        <v>5324</v>
      </c>
      <c r="AJ169" s="1072" t="s">
        <v>5325</v>
      </c>
      <c r="AK169" s="1060" t="s">
        <v>5326</v>
      </c>
      <c r="AL169" s="3143" t="s">
        <v>5327</v>
      </c>
      <c r="AM169" s="1080" t="s">
        <v>5328</v>
      </c>
      <c r="AN169" s="916" t="s">
        <v>5329</v>
      </c>
      <c r="AO169" s="617" t="s">
        <v>5330</v>
      </c>
      <c r="AP169" s="626" t="s">
        <v>5331</v>
      </c>
      <c r="AQ169" s="1687" t="e">
        <f t="shared" si="27"/>
        <v>#VALUE!</v>
      </c>
      <c r="BV169" s="2630"/>
      <c r="BW169" s="2630"/>
      <c r="BX169" s="2630"/>
      <c r="BY169" s="2630"/>
      <c r="BZ169" s="2630"/>
      <c r="CA169" s="2630"/>
      <c r="CB169" s="2920"/>
      <c r="CC169" s="4752" t="e">
        <f t="shared" si="28"/>
        <v>#VALUE!</v>
      </c>
      <c r="CD169" s="2630"/>
      <c r="CE169" s="2630"/>
      <c r="CF169" s="2630"/>
      <c r="CG169" s="2630"/>
      <c r="CH169" s="1725" t="e">
        <f t="shared" si="29"/>
        <v>#VALUE!</v>
      </c>
      <c r="CI169" s="1723"/>
      <c r="CJ169" s="1723"/>
      <c r="DJ169"/>
    </row>
    <row r="170" spans="1:114" x14ac:dyDescent="0.3">
      <c r="A170" s="6269">
        <v>29101649</v>
      </c>
      <c r="B170" s="3874" t="s">
        <v>3212</v>
      </c>
      <c r="C170" s="3895" t="s">
        <v>5292</v>
      </c>
      <c r="D170" s="3896" t="s">
        <v>5293</v>
      </c>
      <c r="E170" s="3896" t="s">
        <v>5294</v>
      </c>
      <c r="F170" s="1072" t="s">
        <v>5295</v>
      </c>
      <c r="G170" s="1060" t="s">
        <v>5296</v>
      </c>
      <c r="H170" s="1072" t="s">
        <v>5297</v>
      </c>
      <c r="I170" s="1060" t="s">
        <v>5298</v>
      </c>
      <c r="J170" s="1072" t="s">
        <v>5299</v>
      </c>
      <c r="K170" s="1060" t="s">
        <v>5300</v>
      </c>
      <c r="L170" s="1072" t="s">
        <v>5301</v>
      </c>
      <c r="M170" s="1073" t="s">
        <v>5302</v>
      </c>
      <c r="N170" s="1073" t="s">
        <v>5303</v>
      </c>
      <c r="O170" s="1080" t="s">
        <v>5304</v>
      </c>
      <c r="P170" s="1072" t="s">
        <v>5305</v>
      </c>
      <c r="Q170" s="1060" t="s">
        <v>5306</v>
      </c>
      <c r="R170" s="1072" t="s">
        <v>5307</v>
      </c>
      <c r="S170" s="1060" t="s">
        <v>5308</v>
      </c>
      <c r="T170" s="1072" t="s">
        <v>5309</v>
      </c>
      <c r="U170" s="1060" t="s">
        <v>5310</v>
      </c>
      <c r="V170" s="1072" t="s">
        <v>5311</v>
      </c>
      <c r="W170" s="1060" t="s">
        <v>5312</v>
      </c>
      <c r="X170" s="1072" t="s">
        <v>5313</v>
      </c>
      <c r="Y170" s="1060" t="s">
        <v>5314</v>
      </c>
      <c r="Z170" s="1072" t="s">
        <v>5315</v>
      </c>
      <c r="AA170" s="1060" t="s">
        <v>5316</v>
      </c>
      <c r="AB170" s="1072" t="s">
        <v>5317</v>
      </c>
      <c r="AC170" s="1060" t="s">
        <v>5318</v>
      </c>
      <c r="AD170" s="1072" t="s">
        <v>5319</v>
      </c>
      <c r="AE170" s="1080" t="s">
        <v>5320</v>
      </c>
      <c r="AF170" s="1072" t="s">
        <v>5321</v>
      </c>
      <c r="AG170" s="1060" t="s">
        <v>5322</v>
      </c>
      <c r="AH170" s="1072" t="s">
        <v>5323</v>
      </c>
      <c r="AI170" s="1060" t="s">
        <v>5324</v>
      </c>
      <c r="AJ170" s="1072" t="s">
        <v>5325</v>
      </c>
      <c r="AK170" s="1060" t="s">
        <v>5326</v>
      </c>
      <c r="AL170" s="3143" t="s">
        <v>5327</v>
      </c>
      <c r="AM170" s="1080" t="s">
        <v>5328</v>
      </c>
      <c r="AN170" s="916" t="s">
        <v>5329</v>
      </c>
      <c r="AO170" s="617" t="s">
        <v>5330</v>
      </c>
      <c r="AP170" s="626" t="s">
        <v>5331</v>
      </c>
      <c r="AQ170" s="1687" t="e">
        <f t="shared" si="27"/>
        <v>#VALUE!</v>
      </c>
      <c r="BV170" s="2630"/>
      <c r="BW170" s="2630"/>
      <c r="BX170" s="2630"/>
      <c r="BY170" s="2630"/>
      <c r="BZ170" s="2630"/>
      <c r="CA170" s="2630"/>
      <c r="CB170" s="2920"/>
      <c r="CC170" s="4752" t="e">
        <f t="shared" si="28"/>
        <v>#VALUE!</v>
      </c>
      <c r="CD170" s="2630"/>
      <c r="CE170" s="2630"/>
      <c r="CF170" s="2630"/>
      <c r="CG170" s="2630"/>
      <c r="CH170" s="1725" t="e">
        <f t="shared" si="29"/>
        <v>#VALUE!</v>
      </c>
      <c r="CI170" s="1723"/>
      <c r="CJ170" s="1723"/>
      <c r="DJ170"/>
    </row>
    <row r="171" spans="1:114" x14ac:dyDescent="0.3">
      <c r="A171" s="6269">
        <v>29101650</v>
      </c>
      <c r="B171" s="3874" t="s">
        <v>3213</v>
      </c>
      <c r="C171" s="3895" t="s">
        <v>5292</v>
      </c>
      <c r="D171" s="3896" t="s">
        <v>5293</v>
      </c>
      <c r="E171" s="3896" t="s">
        <v>5294</v>
      </c>
      <c r="F171" s="1072" t="s">
        <v>5295</v>
      </c>
      <c r="G171" s="1060" t="s">
        <v>5296</v>
      </c>
      <c r="H171" s="1072" t="s">
        <v>5297</v>
      </c>
      <c r="I171" s="1060" t="s">
        <v>5298</v>
      </c>
      <c r="J171" s="1072" t="s">
        <v>5299</v>
      </c>
      <c r="K171" s="1060" t="s">
        <v>5300</v>
      </c>
      <c r="L171" s="1072" t="s">
        <v>5301</v>
      </c>
      <c r="M171" s="1073" t="s">
        <v>5302</v>
      </c>
      <c r="N171" s="1073" t="s">
        <v>5303</v>
      </c>
      <c r="O171" s="1080" t="s">
        <v>5304</v>
      </c>
      <c r="P171" s="1072" t="s">
        <v>5305</v>
      </c>
      <c r="Q171" s="1060" t="s">
        <v>5306</v>
      </c>
      <c r="R171" s="1072" t="s">
        <v>5307</v>
      </c>
      <c r="S171" s="1060" t="s">
        <v>5308</v>
      </c>
      <c r="T171" s="1072" t="s">
        <v>5309</v>
      </c>
      <c r="U171" s="1060" t="s">
        <v>5310</v>
      </c>
      <c r="V171" s="1072" t="s">
        <v>5311</v>
      </c>
      <c r="W171" s="1060" t="s">
        <v>5312</v>
      </c>
      <c r="X171" s="1072" t="s">
        <v>5313</v>
      </c>
      <c r="Y171" s="1060" t="s">
        <v>5314</v>
      </c>
      <c r="Z171" s="1072" t="s">
        <v>5315</v>
      </c>
      <c r="AA171" s="1060" t="s">
        <v>5316</v>
      </c>
      <c r="AB171" s="1072" t="s">
        <v>5317</v>
      </c>
      <c r="AC171" s="1060" t="s">
        <v>5318</v>
      </c>
      <c r="AD171" s="1072" t="s">
        <v>5319</v>
      </c>
      <c r="AE171" s="1080" t="s">
        <v>5320</v>
      </c>
      <c r="AF171" s="1072" t="s">
        <v>5321</v>
      </c>
      <c r="AG171" s="1060" t="s">
        <v>5322</v>
      </c>
      <c r="AH171" s="1072" t="s">
        <v>5323</v>
      </c>
      <c r="AI171" s="1060" t="s">
        <v>5324</v>
      </c>
      <c r="AJ171" s="1072" t="s">
        <v>5325</v>
      </c>
      <c r="AK171" s="1060" t="s">
        <v>5326</v>
      </c>
      <c r="AL171" s="3143" t="s">
        <v>5327</v>
      </c>
      <c r="AM171" s="1080" t="s">
        <v>5328</v>
      </c>
      <c r="AN171" s="916" t="s">
        <v>5329</v>
      </c>
      <c r="AO171" s="617" t="s">
        <v>5330</v>
      </c>
      <c r="AP171" s="626" t="s">
        <v>5331</v>
      </c>
      <c r="AQ171" s="1687" t="e">
        <f t="shared" si="27"/>
        <v>#VALUE!</v>
      </c>
      <c r="BV171" s="2630"/>
      <c r="BW171" s="2630"/>
      <c r="BX171" s="2630"/>
      <c r="BY171" s="2630"/>
      <c r="BZ171" s="2630"/>
      <c r="CA171" s="2630"/>
      <c r="CB171" s="2920"/>
      <c r="CC171" s="4752" t="e">
        <f t="shared" si="28"/>
        <v>#VALUE!</v>
      </c>
      <c r="CD171" s="2630"/>
      <c r="CE171" s="2630"/>
      <c r="CF171" s="2630"/>
      <c r="CG171" s="2630"/>
      <c r="CH171" s="1725" t="e">
        <f t="shared" si="29"/>
        <v>#VALUE!</v>
      </c>
      <c r="CI171" s="1723"/>
      <c r="CJ171" s="1723"/>
      <c r="DJ171"/>
    </row>
    <row r="172" spans="1:114" x14ac:dyDescent="0.3">
      <c r="A172" s="6269">
        <v>28021000</v>
      </c>
      <c r="B172" s="3874" t="s">
        <v>3305</v>
      </c>
      <c r="C172" s="3895" t="s">
        <v>5292</v>
      </c>
      <c r="D172" s="3896" t="s">
        <v>5293</v>
      </c>
      <c r="E172" s="3896" t="s">
        <v>5294</v>
      </c>
      <c r="F172" s="1072" t="s">
        <v>5295</v>
      </c>
      <c r="G172" s="1060" t="s">
        <v>5296</v>
      </c>
      <c r="H172" s="1072" t="s">
        <v>5297</v>
      </c>
      <c r="I172" s="1060" t="s">
        <v>5298</v>
      </c>
      <c r="J172" s="1072" t="s">
        <v>5299</v>
      </c>
      <c r="K172" s="1060" t="s">
        <v>5300</v>
      </c>
      <c r="L172" s="1072" t="s">
        <v>5301</v>
      </c>
      <c r="M172" s="1073" t="s">
        <v>5302</v>
      </c>
      <c r="N172" s="1073" t="s">
        <v>5303</v>
      </c>
      <c r="O172" s="1080" t="s">
        <v>5304</v>
      </c>
      <c r="P172" s="1072" t="s">
        <v>5305</v>
      </c>
      <c r="Q172" s="1060" t="s">
        <v>5306</v>
      </c>
      <c r="R172" s="1072" t="s">
        <v>5307</v>
      </c>
      <c r="S172" s="1060" t="s">
        <v>5308</v>
      </c>
      <c r="T172" s="1072" t="s">
        <v>5309</v>
      </c>
      <c r="U172" s="1060" t="s">
        <v>5310</v>
      </c>
      <c r="V172" s="1072" t="s">
        <v>5311</v>
      </c>
      <c r="W172" s="1060" t="s">
        <v>5312</v>
      </c>
      <c r="X172" s="1072" t="s">
        <v>5313</v>
      </c>
      <c r="Y172" s="1060" t="s">
        <v>5314</v>
      </c>
      <c r="Z172" s="1072" t="s">
        <v>5315</v>
      </c>
      <c r="AA172" s="1060" t="s">
        <v>5316</v>
      </c>
      <c r="AB172" s="1072" t="s">
        <v>5317</v>
      </c>
      <c r="AC172" s="1060" t="s">
        <v>5318</v>
      </c>
      <c r="AD172" s="1072" t="s">
        <v>5319</v>
      </c>
      <c r="AE172" s="1080" t="s">
        <v>5320</v>
      </c>
      <c r="AF172" s="1072" t="s">
        <v>5321</v>
      </c>
      <c r="AG172" s="1060" t="s">
        <v>5322</v>
      </c>
      <c r="AH172" s="1072" t="s">
        <v>5323</v>
      </c>
      <c r="AI172" s="1060" t="s">
        <v>5324</v>
      </c>
      <c r="AJ172" s="1072" t="s">
        <v>5325</v>
      </c>
      <c r="AK172" s="1060" t="s">
        <v>5326</v>
      </c>
      <c r="AL172" s="3143" t="s">
        <v>5327</v>
      </c>
      <c r="AM172" s="1080" t="s">
        <v>5328</v>
      </c>
      <c r="AN172" s="916" t="s">
        <v>5329</v>
      </c>
      <c r="AO172" s="617" t="s">
        <v>5330</v>
      </c>
      <c r="AP172" s="626" t="s">
        <v>5331</v>
      </c>
      <c r="AQ172" s="1687" t="e">
        <f t="shared" si="27"/>
        <v>#VALUE!</v>
      </c>
      <c r="BV172" s="2630"/>
      <c r="BW172" s="2630"/>
      <c r="BX172" s="2630"/>
      <c r="BY172" s="2630"/>
      <c r="BZ172" s="2630"/>
      <c r="CA172" s="2630"/>
      <c r="CB172" s="2920"/>
      <c r="CC172" s="4752" t="e">
        <f t="shared" si="28"/>
        <v>#VALUE!</v>
      </c>
      <c r="CD172" s="2630"/>
      <c r="CE172" s="2630"/>
      <c r="CF172" s="2630"/>
      <c r="CG172" s="2630"/>
      <c r="CH172" s="1725" t="e">
        <f t="shared" si="29"/>
        <v>#VALUE!</v>
      </c>
      <c r="CI172" s="1723"/>
      <c r="CJ172" s="1723"/>
      <c r="DJ172"/>
    </row>
    <row r="173" spans="1:114" x14ac:dyDescent="0.3">
      <c r="A173" s="6269">
        <v>28021110</v>
      </c>
      <c r="B173" s="3874" t="s">
        <v>3306</v>
      </c>
      <c r="C173" s="3895" t="s">
        <v>5292</v>
      </c>
      <c r="D173" s="3896" t="s">
        <v>5293</v>
      </c>
      <c r="E173" s="3896" t="s">
        <v>5294</v>
      </c>
      <c r="F173" s="1072" t="s">
        <v>5295</v>
      </c>
      <c r="G173" s="1060" t="s">
        <v>5296</v>
      </c>
      <c r="H173" s="1072" t="s">
        <v>5297</v>
      </c>
      <c r="I173" s="1060" t="s">
        <v>5298</v>
      </c>
      <c r="J173" s="1072" t="s">
        <v>5299</v>
      </c>
      <c r="K173" s="1060" t="s">
        <v>5300</v>
      </c>
      <c r="L173" s="1072" t="s">
        <v>5301</v>
      </c>
      <c r="M173" s="1073" t="s">
        <v>5302</v>
      </c>
      <c r="N173" s="1073" t="s">
        <v>5303</v>
      </c>
      <c r="O173" s="1080" t="s">
        <v>5304</v>
      </c>
      <c r="P173" s="1072" t="s">
        <v>5305</v>
      </c>
      <c r="Q173" s="1060" t="s">
        <v>5306</v>
      </c>
      <c r="R173" s="1072" t="s">
        <v>5307</v>
      </c>
      <c r="S173" s="1060" t="s">
        <v>5308</v>
      </c>
      <c r="T173" s="1072" t="s">
        <v>5309</v>
      </c>
      <c r="U173" s="1060" t="s">
        <v>5310</v>
      </c>
      <c r="V173" s="1072" t="s">
        <v>5311</v>
      </c>
      <c r="W173" s="1060" t="s">
        <v>5312</v>
      </c>
      <c r="X173" s="1072" t="s">
        <v>5313</v>
      </c>
      <c r="Y173" s="1060" t="s">
        <v>5314</v>
      </c>
      <c r="Z173" s="1072" t="s">
        <v>5315</v>
      </c>
      <c r="AA173" s="1060" t="s">
        <v>5316</v>
      </c>
      <c r="AB173" s="1072" t="s">
        <v>5317</v>
      </c>
      <c r="AC173" s="1060" t="s">
        <v>5318</v>
      </c>
      <c r="AD173" s="1072" t="s">
        <v>5319</v>
      </c>
      <c r="AE173" s="1080" t="s">
        <v>5320</v>
      </c>
      <c r="AF173" s="1072" t="s">
        <v>5321</v>
      </c>
      <c r="AG173" s="1060" t="s">
        <v>5322</v>
      </c>
      <c r="AH173" s="1072" t="s">
        <v>5323</v>
      </c>
      <c r="AI173" s="1060" t="s">
        <v>5324</v>
      </c>
      <c r="AJ173" s="1072" t="s">
        <v>5325</v>
      </c>
      <c r="AK173" s="1060" t="s">
        <v>5326</v>
      </c>
      <c r="AL173" s="3143" t="s">
        <v>5327</v>
      </c>
      <c r="AM173" s="1080" t="s">
        <v>5328</v>
      </c>
      <c r="AN173" s="916" t="s">
        <v>5329</v>
      </c>
      <c r="AO173" s="617" t="s">
        <v>5330</v>
      </c>
      <c r="AP173" s="626" t="s">
        <v>5331</v>
      </c>
      <c r="AQ173" s="1687" t="e">
        <f t="shared" si="27"/>
        <v>#VALUE!</v>
      </c>
      <c r="BV173" s="2630"/>
      <c r="BW173" s="2630"/>
      <c r="BX173" s="2630"/>
      <c r="BY173" s="2630"/>
      <c r="BZ173" s="2630"/>
      <c r="CA173" s="2630"/>
      <c r="CB173" s="2920"/>
      <c r="CC173" s="4752" t="e">
        <f t="shared" si="28"/>
        <v>#VALUE!</v>
      </c>
      <c r="CD173" s="2630"/>
      <c r="CE173" s="2630"/>
      <c r="CF173" s="2630"/>
      <c r="CG173" s="2630"/>
      <c r="CH173" s="1725" t="e">
        <f t="shared" si="29"/>
        <v>#VALUE!</v>
      </c>
      <c r="CI173" s="1723"/>
      <c r="CJ173" s="1723"/>
      <c r="DJ173"/>
    </row>
    <row r="174" spans="1:114" x14ac:dyDescent="0.3">
      <c r="A174" s="6269">
        <v>29101651</v>
      </c>
      <c r="B174" s="3874" t="s">
        <v>3307</v>
      </c>
      <c r="C174" s="3895" t="s">
        <v>5292</v>
      </c>
      <c r="D174" s="3896" t="s">
        <v>5293</v>
      </c>
      <c r="E174" s="3896" t="s">
        <v>5294</v>
      </c>
      <c r="F174" s="1072" t="s">
        <v>5295</v>
      </c>
      <c r="G174" s="1060" t="s">
        <v>5296</v>
      </c>
      <c r="H174" s="1072" t="s">
        <v>5297</v>
      </c>
      <c r="I174" s="1060" t="s">
        <v>5298</v>
      </c>
      <c r="J174" s="1072" t="s">
        <v>5299</v>
      </c>
      <c r="K174" s="1060" t="s">
        <v>5300</v>
      </c>
      <c r="L174" s="1072" t="s">
        <v>5301</v>
      </c>
      <c r="M174" s="1073" t="s">
        <v>5302</v>
      </c>
      <c r="N174" s="1073" t="s">
        <v>5303</v>
      </c>
      <c r="O174" s="1080" t="s">
        <v>5304</v>
      </c>
      <c r="P174" s="1072" t="s">
        <v>5305</v>
      </c>
      <c r="Q174" s="1060" t="s">
        <v>5306</v>
      </c>
      <c r="R174" s="1072" t="s">
        <v>5307</v>
      </c>
      <c r="S174" s="1060" t="s">
        <v>5308</v>
      </c>
      <c r="T174" s="1072" t="s">
        <v>5309</v>
      </c>
      <c r="U174" s="1060" t="s">
        <v>5310</v>
      </c>
      <c r="V174" s="1072" t="s">
        <v>5311</v>
      </c>
      <c r="W174" s="1060" t="s">
        <v>5312</v>
      </c>
      <c r="X174" s="1072" t="s">
        <v>5313</v>
      </c>
      <c r="Y174" s="1060" t="s">
        <v>5314</v>
      </c>
      <c r="Z174" s="1072" t="s">
        <v>5315</v>
      </c>
      <c r="AA174" s="1060" t="s">
        <v>5316</v>
      </c>
      <c r="AB174" s="1072" t="s">
        <v>5317</v>
      </c>
      <c r="AC174" s="1060" t="s">
        <v>5318</v>
      </c>
      <c r="AD174" s="1072" t="s">
        <v>5319</v>
      </c>
      <c r="AE174" s="1080" t="s">
        <v>5320</v>
      </c>
      <c r="AF174" s="1072" t="s">
        <v>5321</v>
      </c>
      <c r="AG174" s="1060" t="s">
        <v>5322</v>
      </c>
      <c r="AH174" s="1072" t="s">
        <v>5323</v>
      </c>
      <c r="AI174" s="1060" t="s">
        <v>5324</v>
      </c>
      <c r="AJ174" s="1072" t="s">
        <v>5325</v>
      </c>
      <c r="AK174" s="1060" t="s">
        <v>5326</v>
      </c>
      <c r="AL174" s="3143" t="s">
        <v>5327</v>
      </c>
      <c r="AM174" s="1080" t="s">
        <v>5328</v>
      </c>
      <c r="AN174" s="916" t="s">
        <v>5329</v>
      </c>
      <c r="AO174" s="617" t="s">
        <v>5330</v>
      </c>
      <c r="AP174" s="626" t="s">
        <v>5331</v>
      </c>
      <c r="AQ174" s="1687" t="e">
        <f t="shared" si="27"/>
        <v>#VALUE!</v>
      </c>
      <c r="BV174" s="2630"/>
      <c r="BW174" s="2630"/>
      <c r="BX174" s="2630"/>
      <c r="BY174" s="2630"/>
      <c r="BZ174" s="2630"/>
      <c r="CA174" s="2630"/>
      <c r="CB174" s="2920"/>
      <c r="CC174" s="4752" t="e">
        <f t="shared" si="28"/>
        <v>#VALUE!</v>
      </c>
      <c r="CD174" s="2630"/>
      <c r="CE174" s="2630"/>
      <c r="CF174" s="2630"/>
      <c r="CG174" s="2630"/>
      <c r="CH174" s="1725" t="e">
        <f t="shared" si="29"/>
        <v>#VALUE!</v>
      </c>
      <c r="CI174" s="1723"/>
      <c r="CJ174" s="1723"/>
      <c r="DJ174"/>
    </row>
    <row r="175" spans="1:114" x14ac:dyDescent="0.3">
      <c r="A175" s="6269">
        <v>28021190</v>
      </c>
      <c r="B175" s="5282" t="s">
        <v>28</v>
      </c>
      <c r="C175" s="3895" t="s">
        <v>5292</v>
      </c>
      <c r="D175" s="3896" t="s">
        <v>5293</v>
      </c>
      <c r="E175" s="3896" t="s">
        <v>5294</v>
      </c>
      <c r="F175" s="90" t="s">
        <v>5295</v>
      </c>
      <c r="G175" s="92" t="s">
        <v>5296</v>
      </c>
      <c r="H175" s="90" t="s">
        <v>5297</v>
      </c>
      <c r="I175" s="92" t="s">
        <v>5298</v>
      </c>
      <c r="J175" s="90" t="s">
        <v>5299</v>
      </c>
      <c r="K175" s="92" t="s">
        <v>5300</v>
      </c>
      <c r="L175" s="90" t="s">
        <v>5301</v>
      </c>
      <c r="M175" s="127" t="s">
        <v>5302</v>
      </c>
      <c r="N175" s="127" t="s">
        <v>5303</v>
      </c>
      <c r="O175" s="128" t="s">
        <v>5304</v>
      </c>
      <c r="P175" s="90" t="s">
        <v>5305</v>
      </c>
      <c r="Q175" s="92" t="s">
        <v>5306</v>
      </c>
      <c r="R175" s="90" t="s">
        <v>5307</v>
      </c>
      <c r="S175" s="92" t="s">
        <v>5308</v>
      </c>
      <c r="T175" s="90" t="s">
        <v>5309</v>
      </c>
      <c r="U175" s="92" t="s">
        <v>5310</v>
      </c>
      <c r="V175" s="90" t="s">
        <v>5311</v>
      </c>
      <c r="W175" s="92" t="s">
        <v>5312</v>
      </c>
      <c r="X175" s="90" t="s">
        <v>5313</v>
      </c>
      <c r="Y175" s="92" t="s">
        <v>5314</v>
      </c>
      <c r="Z175" s="90" t="s">
        <v>5315</v>
      </c>
      <c r="AA175" s="92" t="s">
        <v>5316</v>
      </c>
      <c r="AB175" s="90" t="s">
        <v>5317</v>
      </c>
      <c r="AC175" s="92" t="s">
        <v>5318</v>
      </c>
      <c r="AD175" s="90" t="s">
        <v>5319</v>
      </c>
      <c r="AE175" s="128" t="s">
        <v>5320</v>
      </c>
      <c r="AF175" s="90" t="s">
        <v>5321</v>
      </c>
      <c r="AG175" s="92" t="s">
        <v>5322</v>
      </c>
      <c r="AH175" s="90" t="s">
        <v>5323</v>
      </c>
      <c r="AI175" s="92" t="s">
        <v>5324</v>
      </c>
      <c r="AJ175" s="90" t="s">
        <v>5325</v>
      </c>
      <c r="AK175" s="92" t="s">
        <v>5326</v>
      </c>
      <c r="AL175" s="129" t="s">
        <v>5327</v>
      </c>
      <c r="AM175" s="128" t="s">
        <v>5328</v>
      </c>
      <c r="AN175" s="2833" t="s">
        <v>5329</v>
      </c>
      <c r="AO175" s="127" t="s">
        <v>5330</v>
      </c>
      <c r="AP175" s="92" t="s">
        <v>5331</v>
      </c>
      <c r="AQ175" s="1687" t="e">
        <f t="shared" si="27"/>
        <v>#VALUE!</v>
      </c>
      <c r="BV175" s="2630"/>
      <c r="BW175" s="2630"/>
      <c r="BX175" s="2630"/>
      <c r="BY175" s="2630"/>
      <c r="BZ175" s="2630"/>
      <c r="CA175" s="2630"/>
      <c r="CB175" s="2920"/>
      <c r="CC175" s="4752" t="e">
        <f t="shared" si="28"/>
        <v>#VALUE!</v>
      </c>
      <c r="CD175" s="2630"/>
      <c r="CE175" s="2630"/>
      <c r="CF175" s="2630"/>
      <c r="CG175" s="2630"/>
      <c r="CH175" s="1725" t="e">
        <f t="shared" si="29"/>
        <v>#VALUE!</v>
      </c>
      <c r="CI175" s="1723"/>
      <c r="CJ175" s="1723"/>
      <c r="DJ175"/>
    </row>
    <row r="176" spans="1:114" x14ac:dyDescent="0.3">
      <c r="A176" s="6278"/>
      <c r="B176" s="5281" t="s">
        <v>1468</v>
      </c>
      <c r="C176" s="5280">
        <v>0</v>
      </c>
      <c r="D176" s="5279">
        <v>0</v>
      </c>
      <c r="E176" s="5279">
        <v>0</v>
      </c>
      <c r="F176" s="5277">
        <v>0</v>
      </c>
      <c r="G176" s="5274">
        <v>0</v>
      </c>
      <c r="H176" s="5277">
        <v>0</v>
      </c>
      <c r="I176" s="5274">
        <v>0</v>
      </c>
      <c r="J176" s="5277">
        <v>0</v>
      </c>
      <c r="K176" s="5274">
        <v>0</v>
      </c>
      <c r="L176" s="5277">
        <v>0</v>
      </c>
      <c r="M176" s="5277">
        <v>0</v>
      </c>
      <c r="N176" s="5277">
        <v>0</v>
      </c>
      <c r="O176" s="5278">
        <v>0</v>
      </c>
      <c r="P176" s="5277">
        <v>0</v>
      </c>
      <c r="Q176" s="5274">
        <v>0</v>
      </c>
      <c r="R176" s="5277">
        <v>0</v>
      </c>
      <c r="S176" s="5274">
        <v>0</v>
      </c>
      <c r="T176" s="5277">
        <v>0</v>
      </c>
      <c r="U176" s="5274">
        <v>0</v>
      </c>
      <c r="V176" s="5277">
        <v>0</v>
      </c>
      <c r="W176" s="5274">
        <v>0</v>
      </c>
      <c r="X176" s="5277">
        <v>0</v>
      </c>
      <c r="Y176" s="5274">
        <v>0</v>
      </c>
      <c r="Z176" s="5277">
        <v>0</v>
      </c>
      <c r="AA176" s="5274">
        <v>0</v>
      </c>
      <c r="AB176" s="5277">
        <v>0</v>
      </c>
      <c r="AC176" s="5274">
        <v>0</v>
      </c>
      <c r="AD176" s="5277">
        <v>0</v>
      </c>
      <c r="AE176" s="5278">
        <v>0</v>
      </c>
      <c r="AF176" s="5277">
        <v>0</v>
      </c>
      <c r="AG176" s="5274">
        <v>0</v>
      </c>
      <c r="AH176" s="5277">
        <v>0</v>
      </c>
      <c r="AI176" s="5274">
        <v>0</v>
      </c>
      <c r="AJ176" s="5277">
        <v>0</v>
      </c>
      <c r="AK176" s="5274">
        <v>0</v>
      </c>
      <c r="AL176" s="5276">
        <v>0</v>
      </c>
      <c r="AM176" s="5275">
        <v>0</v>
      </c>
      <c r="AN176" s="5950">
        <v>0</v>
      </c>
      <c r="AO176" s="5951">
        <v>0</v>
      </c>
      <c r="AP176" s="5888">
        <v>0</v>
      </c>
      <c r="AQ176" s="3869"/>
      <c r="BV176" s="2630"/>
      <c r="BW176" s="2630"/>
      <c r="BX176" s="2630"/>
      <c r="BY176" s="2630"/>
      <c r="BZ176" s="2630"/>
      <c r="CA176" s="2630"/>
      <c r="CB176" s="2630"/>
      <c r="CC176" s="2630"/>
      <c r="CD176" s="2630"/>
      <c r="CE176" s="2630"/>
      <c r="CF176" s="2630"/>
      <c r="CG176" s="2630"/>
      <c r="CH176"/>
      <c r="CI176"/>
      <c r="CJ176"/>
      <c r="DJ176"/>
    </row>
    <row r="177" spans="1:130" x14ac:dyDescent="0.3">
      <c r="A177" s="6269">
        <v>28021200</v>
      </c>
      <c r="B177" s="3875" t="s">
        <v>3188</v>
      </c>
      <c r="C177" s="3898" t="s">
        <v>5292</v>
      </c>
      <c r="D177" s="3896" t="s">
        <v>5293</v>
      </c>
      <c r="E177" s="3896" t="s">
        <v>5294</v>
      </c>
      <c r="F177" s="106" t="s">
        <v>5295</v>
      </c>
      <c r="G177" s="5047" t="s">
        <v>5296</v>
      </c>
      <c r="H177" s="106" t="s">
        <v>5297</v>
      </c>
      <c r="I177" s="5047" t="s">
        <v>5298</v>
      </c>
      <c r="J177" s="106" t="s">
        <v>5299</v>
      </c>
      <c r="K177" s="5047" t="s">
        <v>5300</v>
      </c>
      <c r="L177" s="106" t="s">
        <v>5301</v>
      </c>
      <c r="M177" s="5048" t="s">
        <v>5302</v>
      </c>
      <c r="N177" s="5048" t="s">
        <v>5303</v>
      </c>
      <c r="O177" s="4771" t="s">
        <v>5304</v>
      </c>
      <c r="P177" s="106" t="s">
        <v>5305</v>
      </c>
      <c r="Q177" s="5047" t="s">
        <v>5306</v>
      </c>
      <c r="R177" s="106" t="s">
        <v>5307</v>
      </c>
      <c r="S177" s="5047" t="s">
        <v>5308</v>
      </c>
      <c r="T177" s="106" t="s">
        <v>5309</v>
      </c>
      <c r="U177" s="5047" t="s">
        <v>5310</v>
      </c>
      <c r="V177" s="106" t="s">
        <v>5311</v>
      </c>
      <c r="W177" s="5047" t="s">
        <v>5312</v>
      </c>
      <c r="X177" s="106" t="s">
        <v>5313</v>
      </c>
      <c r="Y177" s="5047" t="s">
        <v>5314</v>
      </c>
      <c r="Z177" s="106" t="s">
        <v>5315</v>
      </c>
      <c r="AA177" s="5047" t="s">
        <v>5316</v>
      </c>
      <c r="AB177" s="106" t="s">
        <v>5317</v>
      </c>
      <c r="AC177" s="5047" t="s">
        <v>5318</v>
      </c>
      <c r="AD177" s="106" t="s">
        <v>5319</v>
      </c>
      <c r="AE177" s="4771" t="s">
        <v>5320</v>
      </c>
      <c r="AF177" s="106" t="s">
        <v>5321</v>
      </c>
      <c r="AG177" s="5047" t="s">
        <v>5322</v>
      </c>
      <c r="AH177" s="106" t="s">
        <v>5323</v>
      </c>
      <c r="AI177" s="5047" t="s">
        <v>5324</v>
      </c>
      <c r="AJ177" s="106" t="s">
        <v>5325</v>
      </c>
      <c r="AK177" s="5047" t="s">
        <v>5326</v>
      </c>
      <c r="AL177" s="588" t="s">
        <v>5327</v>
      </c>
      <c r="AM177" s="4771" t="s">
        <v>5328</v>
      </c>
      <c r="AN177" s="5333" t="s">
        <v>5329</v>
      </c>
      <c r="AO177" s="5048" t="s">
        <v>5330</v>
      </c>
      <c r="AP177" s="5047" t="s">
        <v>5331</v>
      </c>
      <c r="AQ177" s="1687" t="e">
        <f>$CB177&amp;CC177</f>
        <v>#VALUE!</v>
      </c>
      <c r="BV177" s="2630"/>
      <c r="BW177" s="2630"/>
      <c r="BX177" s="2630"/>
      <c r="BY177" s="2630"/>
      <c r="BZ177" s="2630"/>
      <c r="CA177" s="2630"/>
      <c r="CB177" s="2920"/>
      <c r="CC177" s="4752" t="e">
        <f t="shared" si="28"/>
        <v>#VALUE!</v>
      </c>
      <c r="CD177" s="2630"/>
      <c r="CE177" s="2630"/>
      <c r="CF177" s="2630"/>
      <c r="CG177" s="2630"/>
      <c r="CH177" s="1725" t="e">
        <f>IF(AN177+AO177+AP177&lt;&gt;$C177,1,0)</f>
        <v>#VALUE!</v>
      </c>
      <c r="CI177" s="1723"/>
      <c r="CJ177" s="1723"/>
      <c r="DJ177"/>
    </row>
    <row r="178" spans="1:130" x14ac:dyDescent="0.3">
      <c r="A178" s="6269">
        <v>28021210</v>
      </c>
      <c r="B178" s="3875" t="s">
        <v>730</v>
      </c>
      <c r="C178" s="954" t="s">
        <v>5292</v>
      </c>
      <c r="D178" s="3896" t="s">
        <v>5293</v>
      </c>
      <c r="E178" s="3896" t="s">
        <v>5294</v>
      </c>
      <c r="F178" s="1072" t="s">
        <v>5295</v>
      </c>
      <c r="G178" s="1060" t="s">
        <v>5296</v>
      </c>
      <c r="H178" s="1072" t="s">
        <v>5297</v>
      </c>
      <c r="I178" s="1060" t="s">
        <v>5298</v>
      </c>
      <c r="J178" s="1072" t="s">
        <v>5299</v>
      </c>
      <c r="K178" s="1060" t="s">
        <v>5300</v>
      </c>
      <c r="L178" s="1072" t="s">
        <v>5301</v>
      </c>
      <c r="M178" s="1073" t="s">
        <v>5302</v>
      </c>
      <c r="N178" s="1073" t="s">
        <v>5303</v>
      </c>
      <c r="O178" s="1080" t="s">
        <v>5304</v>
      </c>
      <c r="P178" s="1072" t="s">
        <v>5305</v>
      </c>
      <c r="Q178" s="1060" t="s">
        <v>5306</v>
      </c>
      <c r="R178" s="1072" t="s">
        <v>5307</v>
      </c>
      <c r="S178" s="1060" t="s">
        <v>5308</v>
      </c>
      <c r="T178" s="1072" t="s">
        <v>5309</v>
      </c>
      <c r="U178" s="1060" t="s">
        <v>5310</v>
      </c>
      <c r="V178" s="1072" t="s">
        <v>5311</v>
      </c>
      <c r="W178" s="1060" t="s">
        <v>5312</v>
      </c>
      <c r="X178" s="1072" t="s">
        <v>5313</v>
      </c>
      <c r="Y178" s="1060" t="s">
        <v>5314</v>
      </c>
      <c r="Z178" s="1072" t="s">
        <v>5315</v>
      </c>
      <c r="AA178" s="1060" t="s">
        <v>5316</v>
      </c>
      <c r="AB178" s="1072" t="s">
        <v>5317</v>
      </c>
      <c r="AC178" s="1060" t="s">
        <v>5318</v>
      </c>
      <c r="AD178" s="1072" t="s">
        <v>5319</v>
      </c>
      <c r="AE178" s="1080" t="s">
        <v>5320</v>
      </c>
      <c r="AF178" s="1072" t="s">
        <v>5321</v>
      </c>
      <c r="AG178" s="1060" t="s">
        <v>5322</v>
      </c>
      <c r="AH178" s="1072" t="s">
        <v>5323</v>
      </c>
      <c r="AI178" s="1060" t="s">
        <v>5324</v>
      </c>
      <c r="AJ178" s="1072" t="s">
        <v>5325</v>
      </c>
      <c r="AK178" s="1060" t="s">
        <v>5326</v>
      </c>
      <c r="AL178" s="3143" t="s">
        <v>5327</v>
      </c>
      <c r="AM178" s="1080" t="s">
        <v>5328</v>
      </c>
      <c r="AN178" s="916" t="s">
        <v>5329</v>
      </c>
      <c r="AO178" s="617" t="s">
        <v>5330</v>
      </c>
      <c r="AP178" s="626" t="s">
        <v>5331</v>
      </c>
      <c r="AQ178" s="1687" t="e">
        <f>$CB178&amp;CC178</f>
        <v>#VALUE!</v>
      </c>
      <c r="BV178" s="2630"/>
      <c r="BW178" s="2630"/>
      <c r="BX178" s="2630"/>
      <c r="BY178" s="2630"/>
      <c r="BZ178" s="2630"/>
      <c r="CA178" s="2630"/>
      <c r="CB178" s="2920"/>
      <c r="CC178" s="4752" t="e">
        <f t="shared" si="28"/>
        <v>#VALUE!</v>
      </c>
      <c r="CD178" s="2630"/>
      <c r="CE178" s="2630"/>
      <c r="CF178" s="2630"/>
      <c r="CG178" s="2630"/>
      <c r="CH178" s="1725" t="e">
        <f t="shared" si="29"/>
        <v>#VALUE!</v>
      </c>
      <c r="CI178" s="1723"/>
      <c r="CJ178" s="1723"/>
      <c r="DJ178"/>
    </row>
    <row r="179" spans="1:130" x14ac:dyDescent="0.3">
      <c r="A179" s="6269">
        <v>28021220</v>
      </c>
      <c r="B179" s="3875" t="s">
        <v>3189</v>
      </c>
      <c r="C179" s="954" t="s">
        <v>5292</v>
      </c>
      <c r="D179" s="3896" t="s">
        <v>5293</v>
      </c>
      <c r="E179" s="3896" t="s">
        <v>5294</v>
      </c>
      <c r="F179" s="1072" t="s">
        <v>5295</v>
      </c>
      <c r="G179" s="1060" t="s">
        <v>5296</v>
      </c>
      <c r="H179" s="1072" t="s">
        <v>5297</v>
      </c>
      <c r="I179" s="1060" t="s">
        <v>5298</v>
      </c>
      <c r="J179" s="1072" t="s">
        <v>5299</v>
      </c>
      <c r="K179" s="1060" t="s">
        <v>5300</v>
      </c>
      <c r="L179" s="1072" t="s">
        <v>5301</v>
      </c>
      <c r="M179" s="1073" t="s">
        <v>5302</v>
      </c>
      <c r="N179" s="1073" t="s">
        <v>5303</v>
      </c>
      <c r="O179" s="1080" t="s">
        <v>5304</v>
      </c>
      <c r="P179" s="1072" t="s">
        <v>5305</v>
      </c>
      <c r="Q179" s="1060" t="s">
        <v>5306</v>
      </c>
      <c r="R179" s="1072" t="s">
        <v>5307</v>
      </c>
      <c r="S179" s="1060" t="s">
        <v>5308</v>
      </c>
      <c r="T179" s="1072" t="s">
        <v>5309</v>
      </c>
      <c r="U179" s="1060" t="s">
        <v>5310</v>
      </c>
      <c r="V179" s="1072" t="s">
        <v>5311</v>
      </c>
      <c r="W179" s="1060" t="s">
        <v>5312</v>
      </c>
      <c r="X179" s="1072" t="s">
        <v>5313</v>
      </c>
      <c r="Y179" s="1060" t="s">
        <v>5314</v>
      </c>
      <c r="Z179" s="1072" t="s">
        <v>5315</v>
      </c>
      <c r="AA179" s="1060" t="s">
        <v>5316</v>
      </c>
      <c r="AB179" s="1072" t="s">
        <v>5317</v>
      </c>
      <c r="AC179" s="1060" t="s">
        <v>5318</v>
      </c>
      <c r="AD179" s="1072" t="s">
        <v>5319</v>
      </c>
      <c r="AE179" s="1080" t="s">
        <v>5320</v>
      </c>
      <c r="AF179" s="1072" t="s">
        <v>5321</v>
      </c>
      <c r="AG179" s="1060" t="s">
        <v>5322</v>
      </c>
      <c r="AH179" s="1072" t="s">
        <v>5323</v>
      </c>
      <c r="AI179" s="1060" t="s">
        <v>5324</v>
      </c>
      <c r="AJ179" s="1072" t="s">
        <v>5325</v>
      </c>
      <c r="AK179" s="1060" t="s">
        <v>5326</v>
      </c>
      <c r="AL179" s="3143" t="s">
        <v>5327</v>
      </c>
      <c r="AM179" s="1080" t="s">
        <v>5328</v>
      </c>
      <c r="AN179" s="916" t="s">
        <v>5329</v>
      </c>
      <c r="AO179" s="617" t="s">
        <v>5330</v>
      </c>
      <c r="AP179" s="626" t="s">
        <v>5331</v>
      </c>
      <c r="AQ179" s="1687" t="e">
        <f>$CB179&amp;CC179</f>
        <v>#VALUE!</v>
      </c>
      <c r="BV179" s="2630"/>
      <c r="BW179" s="2630"/>
      <c r="BX179" s="2630"/>
      <c r="BY179" s="2630"/>
      <c r="BZ179" s="2630"/>
      <c r="CA179" s="2630"/>
      <c r="CB179" s="2920"/>
      <c r="CC179" s="4752" t="e">
        <f t="shared" si="28"/>
        <v>#VALUE!</v>
      </c>
      <c r="CD179" s="2630"/>
      <c r="CE179" s="2630"/>
      <c r="CF179" s="2630"/>
      <c r="CG179" s="2630"/>
      <c r="CH179" s="1725" t="e">
        <f t="shared" si="29"/>
        <v>#VALUE!</v>
      </c>
      <c r="CI179" s="1723"/>
      <c r="CJ179" s="1723"/>
      <c r="DJ179"/>
    </row>
    <row r="180" spans="1:130" x14ac:dyDescent="0.3">
      <c r="A180" s="6269">
        <v>28021626</v>
      </c>
      <c r="B180" s="3875" t="s">
        <v>3308</v>
      </c>
      <c r="C180" s="954" t="s">
        <v>5292</v>
      </c>
      <c r="D180" s="3896" t="s">
        <v>5293</v>
      </c>
      <c r="E180" s="3896" t="s">
        <v>5294</v>
      </c>
      <c r="F180" s="1072" t="s">
        <v>5295</v>
      </c>
      <c r="G180" s="1060" t="s">
        <v>5296</v>
      </c>
      <c r="H180" s="1072" t="s">
        <v>5297</v>
      </c>
      <c r="I180" s="1060" t="s">
        <v>5298</v>
      </c>
      <c r="J180" s="1072" t="s">
        <v>5299</v>
      </c>
      <c r="K180" s="1060" t="s">
        <v>5300</v>
      </c>
      <c r="L180" s="1072" t="s">
        <v>5301</v>
      </c>
      <c r="M180" s="1073" t="s">
        <v>5302</v>
      </c>
      <c r="N180" s="1073" t="s">
        <v>5303</v>
      </c>
      <c r="O180" s="1080" t="s">
        <v>5304</v>
      </c>
      <c r="P180" s="1072" t="s">
        <v>5305</v>
      </c>
      <c r="Q180" s="1060" t="s">
        <v>5306</v>
      </c>
      <c r="R180" s="1072" t="s">
        <v>5307</v>
      </c>
      <c r="S180" s="1060" t="s">
        <v>5308</v>
      </c>
      <c r="T180" s="1072" t="s">
        <v>5309</v>
      </c>
      <c r="U180" s="1060" t="s">
        <v>5310</v>
      </c>
      <c r="V180" s="1072" t="s">
        <v>5311</v>
      </c>
      <c r="W180" s="1060" t="s">
        <v>5312</v>
      </c>
      <c r="X180" s="1072" t="s">
        <v>5313</v>
      </c>
      <c r="Y180" s="1060" t="s">
        <v>5314</v>
      </c>
      <c r="Z180" s="1072" t="s">
        <v>5315</v>
      </c>
      <c r="AA180" s="1060" t="s">
        <v>5316</v>
      </c>
      <c r="AB180" s="1072" t="s">
        <v>5317</v>
      </c>
      <c r="AC180" s="1060" t="s">
        <v>5318</v>
      </c>
      <c r="AD180" s="1072" t="s">
        <v>5319</v>
      </c>
      <c r="AE180" s="1080" t="s">
        <v>5320</v>
      </c>
      <c r="AF180" s="1072" t="s">
        <v>5321</v>
      </c>
      <c r="AG180" s="1060" t="s">
        <v>5322</v>
      </c>
      <c r="AH180" s="1072" t="s">
        <v>5323</v>
      </c>
      <c r="AI180" s="1060" t="s">
        <v>5324</v>
      </c>
      <c r="AJ180" s="1072" t="s">
        <v>5325</v>
      </c>
      <c r="AK180" s="1060" t="s">
        <v>5326</v>
      </c>
      <c r="AL180" s="3143" t="s">
        <v>5327</v>
      </c>
      <c r="AM180" s="1080" t="s">
        <v>5328</v>
      </c>
      <c r="AN180" s="916" t="s">
        <v>5329</v>
      </c>
      <c r="AO180" s="617" t="s">
        <v>5330</v>
      </c>
      <c r="AP180" s="626" t="s">
        <v>5331</v>
      </c>
      <c r="AQ180" s="1687" t="e">
        <f>$CB180&amp;CC180</f>
        <v>#VALUE!</v>
      </c>
      <c r="BV180" s="2630"/>
      <c r="BW180" s="2630"/>
      <c r="BX180" s="2630"/>
      <c r="BY180" s="2630"/>
      <c r="BZ180" s="2630"/>
      <c r="CA180" s="2630"/>
      <c r="CB180" s="2920"/>
      <c r="CC180" s="4752" t="e">
        <f t="shared" si="28"/>
        <v>#VALUE!</v>
      </c>
      <c r="CD180" s="2630"/>
      <c r="CE180" s="2630"/>
      <c r="CF180" s="2630"/>
      <c r="CG180" s="2630"/>
      <c r="CH180" s="1725" t="e">
        <f t="shared" si="29"/>
        <v>#VALUE!</v>
      </c>
      <c r="CI180" s="1723"/>
      <c r="CJ180" s="1723"/>
      <c r="DJ180"/>
    </row>
    <row r="181" spans="1:130" x14ac:dyDescent="0.3">
      <c r="A181" s="6269">
        <v>28021627</v>
      </c>
      <c r="B181" s="560" t="s">
        <v>28</v>
      </c>
      <c r="C181" s="5107" t="s">
        <v>5292</v>
      </c>
      <c r="D181" s="3899" t="s">
        <v>5293</v>
      </c>
      <c r="E181" s="3899" t="s">
        <v>5294</v>
      </c>
      <c r="F181" s="3023" t="s">
        <v>5295</v>
      </c>
      <c r="G181" s="3035" t="s">
        <v>5296</v>
      </c>
      <c r="H181" s="3023" t="s">
        <v>5297</v>
      </c>
      <c r="I181" s="3035" t="s">
        <v>5298</v>
      </c>
      <c r="J181" s="3023" t="s">
        <v>5299</v>
      </c>
      <c r="K181" s="3035" t="s">
        <v>5300</v>
      </c>
      <c r="L181" s="3023" t="s">
        <v>5301</v>
      </c>
      <c r="M181" s="3020" t="s">
        <v>5302</v>
      </c>
      <c r="N181" s="3020" t="s">
        <v>5303</v>
      </c>
      <c r="O181" s="3244" t="s">
        <v>5304</v>
      </c>
      <c r="P181" s="3023" t="s">
        <v>5305</v>
      </c>
      <c r="Q181" s="3035" t="s">
        <v>5306</v>
      </c>
      <c r="R181" s="3023" t="s">
        <v>5307</v>
      </c>
      <c r="S181" s="3035" t="s">
        <v>5308</v>
      </c>
      <c r="T181" s="3023" t="s">
        <v>5309</v>
      </c>
      <c r="U181" s="3035" t="s">
        <v>5310</v>
      </c>
      <c r="V181" s="3023" t="s">
        <v>5311</v>
      </c>
      <c r="W181" s="3035" t="s">
        <v>5312</v>
      </c>
      <c r="X181" s="3023" t="s">
        <v>5313</v>
      </c>
      <c r="Y181" s="3035" t="s">
        <v>5314</v>
      </c>
      <c r="Z181" s="3023" t="s">
        <v>5315</v>
      </c>
      <c r="AA181" s="3035" t="s">
        <v>5316</v>
      </c>
      <c r="AB181" s="3023" t="s">
        <v>5317</v>
      </c>
      <c r="AC181" s="3035" t="s">
        <v>5318</v>
      </c>
      <c r="AD181" s="3023" t="s">
        <v>5319</v>
      </c>
      <c r="AE181" s="3244" t="s">
        <v>5320</v>
      </c>
      <c r="AF181" s="3023" t="s">
        <v>5321</v>
      </c>
      <c r="AG181" s="3035" t="s">
        <v>5322</v>
      </c>
      <c r="AH181" s="3023" t="s">
        <v>5323</v>
      </c>
      <c r="AI181" s="3035" t="s">
        <v>5324</v>
      </c>
      <c r="AJ181" s="3023" t="s">
        <v>5325</v>
      </c>
      <c r="AK181" s="3035" t="s">
        <v>5326</v>
      </c>
      <c r="AL181" s="121" t="s">
        <v>5327</v>
      </c>
      <c r="AM181" s="3244" t="s">
        <v>5328</v>
      </c>
      <c r="AN181" s="561" t="s">
        <v>5329</v>
      </c>
      <c r="AO181" s="3020" t="s">
        <v>5330</v>
      </c>
      <c r="AP181" s="3035" t="s">
        <v>5331</v>
      </c>
      <c r="AQ181" s="1687" t="e">
        <f>$CB181&amp;CC181</f>
        <v>#VALUE!</v>
      </c>
      <c r="BV181" s="2630"/>
      <c r="BW181" s="2630"/>
      <c r="BX181" s="2630"/>
      <c r="BY181" s="2630"/>
      <c r="BZ181" s="2630"/>
      <c r="CA181" s="2630"/>
      <c r="CB181" s="2920"/>
      <c r="CC181" s="4752" t="e">
        <f t="shared" si="28"/>
        <v>#VALUE!</v>
      </c>
      <c r="CD181" s="2630"/>
      <c r="CE181" s="2630"/>
      <c r="CF181" s="2630"/>
      <c r="CG181" s="2630"/>
      <c r="CH181" s="1725" t="e">
        <f t="shared" si="29"/>
        <v>#VALUE!</v>
      </c>
      <c r="CI181" s="1723"/>
      <c r="CJ181" s="1723"/>
      <c r="DJ181"/>
    </row>
    <row r="182" spans="1:130" x14ac:dyDescent="0.3">
      <c r="B182" s="123" t="s">
        <v>3309</v>
      </c>
      <c r="C182" s="101"/>
      <c r="D182" s="101"/>
      <c r="E182" s="123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DJ182"/>
    </row>
    <row r="183" spans="1:130" x14ac:dyDescent="0.3">
      <c r="B183" s="8267" t="s">
        <v>61</v>
      </c>
      <c r="C183" s="8285" t="s">
        <v>24</v>
      </c>
      <c r="D183" s="8288" t="s">
        <v>12</v>
      </c>
      <c r="E183" s="8289"/>
      <c r="F183" s="8289"/>
      <c r="G183" s="8289"/>
      <c r="H183" s="8289"/>
      <c r="I183" s="8289"/>
      <c r="J183" s="8289"/>
      <c r="K183" s="8289"/>
      <c r="L183" s="8289"/>
      <c r="M183" s="8289"/>
      <c r="N183" s="8289"/>
      <c r="O183" s="8289"/>
      <c r="P183" s="8289"/>
      <c r="Q183" s="8289"/>
      <c r="R183" s="8289"/>
      <c r="S183" s="8289"/>
      <c r="T183" s="8290"/>
      <c r="U183" s="8294" t="s">
        <v>3283</v>
      </c>
      <c r="V183" s="8298"/>
      <c r="W183" s="8298"/>
      <c r="X183" s="8298"/>
      <c r="Y183" s="8298"/>
      <c r="DJ183"/>
    </row>
    <row r="184" spans="1:130" x14ac:dyDescent="0.3">
      <c r="B184" s="7097"/>
      <c r="C184" s="8286"/>
      <c r="D184" s="8291"/>
      <c r="E184" s="8292"/>
      <c r="F184" s="8292"/>
      <c r="G184" s="8292"/>
      <c r="H184" s="8292"/>
      <c r="I184" s="8292"/>
      <c r="J184" s="8292"/>
      <c r="K184" s="8292"/>
      <c r="L184" s="8292"/>
      <c r="M184" s="8292"/>
      <c r="N184" s="8292"/>
      <c r="O184" s="8292"/>
      <c r="P184" s="8292"/>
      <c r="Q184" s="8292"/>
      <c r="R184" s="8292"/>
      <c r="S184" s="8292"/>
      <c r="T184" s="8293"/>
      <c r="U184" s="8299" t="s">
        <v>3284</v>
      </c>
      <c r="V184" s="8300"/>
      <c r="W184" s="8301"/>
      <c r="X184" s="8297" t="s">
        <v>3310</v>
      </c>
      <c r="Y184" s="8274"/>
      <c r="DJ184"/>
    </row>
    <row r="185" spans="1:130" ht="20.399999999999999" x14ac:dyDescent="0.3">
      <c r="B185" s="7098"/>
      <c r="C185" s="8287"/>
      <c r="D185" s="5254" t="s">
        <v>36</v>
      </c>
      <c r="E185" s="5254" t="s">
        <v>37</v>
      </c>
      <c r="F185" s="5254" t="s">
        <v>38</v>
      </c>
      <c r="G185" s="5254" t="s">
        <v>4</v>
      </c>
      <c r="H185" s="5254" t="s">
        <v>5</v>
      </c>
      <c r="I185" s="5254" t="s">
        <v>560</v>
      </c>
      <c r="J185" s="5254" t="s">
        <v>561</v>
      </c>
      <c r="K185" s="5254" t="s">
        <v>8</v>
      </c>
      <c r="L185" s="5254" t="s">
        <v>9</v>
      </c>
      <c r="M185" s="5254" t="s">
        <v>576</v>
      </c>
      <c r="N185" s="5254" t="s">
        <v>11</v>
      </c>
      <c r="O185" s="5254" t="s">
        <v>18</v>
      </c>
      <c r="P185" s="5254" t="s">
        <v>19</v>
      </c>
      <c r="Q185" s="5254" t="s">
        <v>20</v>
      </c>
      <c r="R185" s="5254" t="s">
        <v>70</v>
      </c>
      <c r="S185" s="5254" t="s">
        <v>71</v>
      </c>
      <c r="T185" s="5268" t="s">
        <v>72</v>
      </c>
      <c r="U185" s="5955" t="s">
        <v>3311</v>
      </c>
      <c r="V185" s="5969" t="s">
        <v>3312</v>
      </c>
      <c r="W185" s="5956" t="s">
        <v>3313</v>
      </c>
      <c r="X185" s="5972" t="s">
        <v>3286</v>
      </c>
      <c r="Y185" s="5956" t="s">
        <v>3287</v>
      </c>
      <c r="Z185" s="102"/>
      <c r="DJ185"/>
    </row>
    <row r="186" spans="1:130" x14ac:dyDescent="0.3">
      <c r="A186" s="6269">
        <v>28021230</v>
      </c>
      <c r="B186" s="3878" t="s">
        <v>277</v>
      </c>
      <c r="C186" s="1683" t="s">
        <v>5292</v>
      </c>
      <c r="D186" s="3145" t="s">
        <v>5293</v>
      </c>
      <c r="E186" s="3145" t="s">
        <v>5294</v>
      </c>
      <c r="F186" s="3145" t="s">
        <v>5295</v>
      </c>
      <c r="G186" s="3145" t="s">
        <v>5296</v>
      </c>
      <c r="H186" s="3145" t="s">
        <v>5297</v>
      </c>
      <c r="I186" s="3145" t="s">
        <v>5298</v>
      </c>
      <c r="J186" s="3145" t="s">
        <v>5299</v>
      </c>
      <c r="K186" s="3145" t="s">
        <v>5300</v>
      </c>
      <c r="L186" s="3145" t="s">
        <v>5301</v>
      </c>
      <c r="M186" s="3145" t="s">
        <v>5302</v>
      </c>
      <c r="N186" s="3145" t="s">
        <v>5303</v>
      </c>
      <c r="O186" s="3145" t="s">
        <v>5304</v>
      </c>
      <c r="P186" s="3145" t="s">
        <v>5305</v>
      </c>
      <c r="Q186" s="3145" t="s">
        <v>5306</v>
      </c>
      <c r="R186" s="3145" t="s">
        <v>5307</v>
      </c>
      <c r="S186" s="3145" t="s">
        <v>5308</v>
      </c>
      <c r="T186" s="3147" t="s">
        <v>5309</v>
      </c>
      <c r="U186" s="916" t="s">
        <v>5310</v>
      </c>
      <c r="V186" s="617" t="s">
        <v>5311</v>
      </c>
      <c r="W186" s="626" t="s">
        <v>5312</v>
      </c>
      <c r="X186" s="616" t="s">
        <v>5313</v>
      </c>
      <c r="Y186" s="626" t="s">
        <v>5314</v>
      </c>
      <c r="Z186" s="1687" t="e">
        <f t="shared" ref="Z186:Z192" si="30">$CB186&amp;CC186</f>
        <v>#VALUE!</v>
      </c>
      <c r="BE186" s="2630"/>
      <c r="BF186" s="2630"/>
      <c r="BG186" s="2630"/>
      <c r="BH186" s="2630"/>
      <c r="BI186" s="2630"/>
      <c r="BJ186" s="2630"/>
      <c r="BK186" s="2630"/>
      <c r="BL186" s="2630"/>
      <c r="BM186" s="2630"/>
      <c r="BN186" s="2630"/>
      <c r="BO186" s="2630"/>
      <c r="BP186" s="2630"/>
      <c r="BQ186" s="2630"/>
      <c r="BR186" s="2630"/>
      <c r="BS186" s="2630"/>
      <c r="BT186" s="2630"/>
      <c r="BU186" s="2630"/>
      <c r="BV186" s="2630"/>
      <c r="BW186" s="2630"/>
      <c r="BX186" s="2630"/>
      <c r="BY186" s="2630"/>
      <c r="BZ186" s="2630"/>
      <c r="CA186" s="2630"/>
      <c r="CB186" s="2920"/>
      <c r="CC186" s="4752" t="e">
        <f>IF(U186+V186+W186+X186+Y186&lt;&gt;$C186,"* El número de "&amp;U$183&amp;""&amp;" no debe ser distinto del Total. ","")</f>
        <v>#VALUE!</v>
      </c>
      <c r="CD186" s="2630"/>
      <c r="CE186" s="2630"/>
      <c r="CF186" s="2630"/>
      <c r="CG186" s="2630"/>
      <c r="CH186" s="1723" t="e">
        <f>IF(U186+V186+W186+X186+Y186&lt;&gt;$C186,1,0)</f>
        <v>#VALUE!</v>
      </c>
      <c r="CI186" s="1725"/>
      <c r="CJ186" s="1725"/>
      <c r="CK186" s="1725"/>
      <c r="CL186" s="1725"/>
      <c r="CM186"/>
      <c r="CN186"/>
      <c r="CO186"/>
      <c r="CP186"/>
      <c r="CQ186"/>
      <c r="DK186" s="1116"/>
      <c r="DL186" s="1116"/>
      <c r="DM186" s="1116"/>
      <c r="DN186" s="1116"/>
      <c r="DO186" s="1116"/>
      <c r="DP186" s="1116"/>
      <c r="DQ186" s="1116"/>
      <c r="DR186" s="1116"/>
      <c r="DS186" s="1116"/>
      <c r="DT186" s="1116"/>
      <c r="DU186" s="1116"/>
      <c r="DV186" s="1116"/>
      <c r="DW186" s="1116"/>
      <c r="DX186" s="1116"/>
      <c r="DY186" s="1116"/>
      <c r="DZ186" s="1116"/>
    </row>
    <row r="187" spans="1:130" x14ac:dyDescent="0.3">
      <c r="A187" s="6269">
        <v>28021240</v>
      </c>
      <c r="B187" s="3875" t="s">
        <v>2836</v>
      </c>
      <c r="C187" s="3847" t="s">
        <v>5292</v>
      </c>
      <c r="D187" s="3145" t="s">
        <v>5293</v>
      </c>
      <c r="E187" s="3145" t="s">
        <v>5294</v>
      </c>
      <c r="F187" s="3145" t="s">
        <v>5295</v>
      </c>
      <c r="G187" s="3145" t="s">
        <v>5296</v>
      </c>
      <c r="H187" s="3145" t="s">
        <v>5297</v>
      </c>
      <c r="I187" s="3145" t="s">
        <v>5298</v>
      </c>
      <c r="J187" s="3145" t="s">
        <v>5299</v>
      </c>
      <c r="K187" s="3145" t="s">
        <v>5300</v>
      </c>
      <c r="L187" s="3145" t="s">
        <v>5301</v>
      </c>
      <c r="M187" s="3145" t="s">
        <v>5302</v>
      </c>
      <c r="N187" s="3145" t="s">
        <v>5303</v>
      </c>
      <c r="O187" s="3145" t="s">
        <v>5304</v>
      </c>
      <c r="P187" s="3145" t="s">
        <v>5305</v>
      </c>
      <c r="Q187" s="3145" t="s">
        <v>5306</v>
      </c>
      <c r="R187" s="3145" t="s">
        <v>5307</v>
      </c>
      <c r="S187" s="3145" t="s">
        <v>5308</v>
      </c>
      <c r="T187" s="3147" t="s">
        <v>5309</v>
      </c>
      <c r="U187" s="916" t="s">
        <v>5310</v>
      </c>
      <c r="V187" s="617" t="s">
        <v>5311</v>
      </c>
      <c r="W187" s="626" t="s">
        <v>5312</v>
      </c>
      <c r="X187" s="616" t="s">
        <v>5313</v>
      </c>
      <c r="Y187" s="626" t="s">
        <v>5314</v>
      </c>
      <c r="Z187" s="1687" t="e">
        <f t="shared" si="30"/>
        <v>#VALUE!</v>
      </c>
      <c r="BE187" s="2630"/>
      <c r="BF187" s="2630"/>
      <c r="BG187" s="2630"/>
      <c r="BH187" s="2630"/>
      <c r="BI187" s="2630"/>
      <c r="BJ187" s="2630"/>
      <c r="BK187" s="2630"/>
      <c r="BL187" s="2630"/>
      <c r="BM187" s="2630"/>
      <c r="BN187" s="2630"/>
      <c r="BO187" s="2630"/>
      <c r="BP187" s="2630"/>
      <c r="BQ187" s="2630"/>
      <c r="BR187" s="2630"/>
      <c r="BS187" s="2630"/>
      <c r="BT187" s="2630"/>
      <c r="BU187" s="2630"/>
      <c r="BV187" s="2630"/>
      <c r="BW187" s="2630"/>
      <c r="BX187" s="2630"/>
      <c r="BY187" s="2630"/>
      <c r="BZ187" s="2630"/>
      <c r="CA187" s="2630"/>
      <c r="CB187" s="2920"/>
      <c r="CC187" s="4752" t="e">
        <f t="shared" ref="CC187:CC192" si="31">IF(U187+V187+W187+X187+Y187&lt;&gt;$C187,"* El número de "&amp;U$183&amp;""&amp;" no debe ser distinto del Total. ","")</f>
        <v>#VALUE!</v>
      </c>
      <c r="CD187" s="2630"/>
      <c r="CE187" s="2630"/>
      <c r="CF187" s="2630"/>
      <c r="CG187" s="2630"/>
      <c r="CH187" s="1723" t="e">
        <f t="shared" ref="CH187:CH192" si="32">IF(U187+V187+W187+X187+Y187&lt;&gt;$C187,1,0)</f>
        <v>#VALUE!</v>
      </c>
      <c r="CI187" s="1725"/>
      <c r="CJ187" s="1725"/>
      <c r="CK187" s="1725"/>
      <c r="CL187" s="1725"/>
      <c r="DJ187"/>
    </row>
    <row r="188" spans="1:130" x14ac:dyDescent="0.3">
      <c r="A188" s="6269">
        <v>28021250</v>
      </c>
      <c r="B188" s="3875" t="s">
        <v>3314</v>
      </c>
      <c r="C188" s="3847" t="s">
        <v>5292</v>
      </c>
      <c r="D188" s="3145" t="s">
        <v>5293</v>
      </c>
      <c r="E188" s="3145" t="s">
        <v>5294</v>
      </c>
      <c r="F188" s="3145" t="s">
        <v>5295</v>
      </c>
      <c r="G188" s="3145" t="s">
        <v>5296</v>
      </c>
      <c r="H188" s="3145" t="s">
        <v>5297</v>
      </c>
      <c r="I188" s="3145" t="s">
        <v>5298</v>
      </c>
      <c r="J188" s="3145" t="s">
        <v>5299</v>
      </c>
      <c r="K188" s="3145" t="s">
        <v>5300</v>
      </c>
      <c r="L188" s="3145" t="s">
        <v>5301</v>
      </c>
      <c r="M188" s="3145" t="s">
        <v>5302</v>
      </c>
      <c r="N188" s="3145" t="s">
        <v>5303</v>
      </c>
      <c r="O188" s="3145" t="s">
        <v>5304</v>
      </c>
      <c r="P188" s="3145" t="s">
        <v>5305</v>
      </c>
      <c r="Q188" s="3145" t="s">
        <v>5306</v>
      </c>
      <c r="R188" s="3145" t="s">
        <v>5307</v>
      </c>
      <c r="S188" s="3145" t="s">
        <v>5308</v>
      </c>
      <c r="T188" s="3147" t="s">
        <v>5309</v>
      </c>
      <c r="U188" s="916" t="s">
        <v>5310</v>
      </c>
      <c r="V188" s="617" t="s">
        <v>5311</v>
      </c>
      <c r="W188" s="626" t="s">
        <v>5312</v>
      </c>
      <c r="X188" s="616" t="s">
        <v>5313</v>
      </c>
      <c r="Y188" s="626" t="s">
        <v>5314</v>
      </c>
      <c r="Z188" s="1687" t="e">
        <f t="shared" si="30"/>
        <v>#VALUE!</v>
      </c>
      <c r="BE188" s="2630"/>
      <c r="BF188" s="2630"/>
      <c r="BG188" s="2630"/>
      <c r="BH188" s="2630"/>
      <c r="BI188" s="2630"/>
      <c r="BJ188" s="2630"/>
      <c r="BK188" s="2630"/>
      <c r="BL188" s="2630"/>
      <c r="BM188" s="2630"/>
      <c r="BN188" s="2630"/>
      <c r="BO188" s="2630"/>
      <c r="BP188" s="2630"/>
      <c r="BQ188" s="2630"/>
      <c r="BR188" s="2630"/>
      <c r="BS188" s="2630"/>
      <c r="BT188" s="2630"/>
      <c r="BU188" s="2630"/>
      <c r="BV188" s="2630"/>
      <c r="BW188" s="2630"/>
      <c r="BX188" s="2630"/>
      <c r="BY188" s="2630"/>
      <c r="BZ188" s="2630"/>
      <c r="CA188" s="2630"/>
      <c r="CB188" s="2920"/>
      <c r="CC188" s="4752" t="e">
        <f t="shared" si="31"/>
        <v>#VALUE!</v>
      </c>
      <c r="CD188" s="2630"/>
      <c r="CE188" s="2630"/>
      <c r="CF188" s="2630"/>
      <c r="CG188" s="2630"/>
      <c r="CH188" s="1723" t="e">
        <f t="shared" si="32"/>
        <v>#VALUE!</v>
      </c>
      <c r="CI188" s="1725"/>
      <c r="CJ188" s="1725"/>
      <c r="CK188" s="1725"/>
      <c r="CL188" s="1725"/>
      <c r="DJ188"/>
    </row>
    <row r="189" spans="1:130" x14ac:dyDescent="0.3">
      <c r="A189" s="6269">
        <v>28021260</v>
      </c>
      <c r="B189" s="3184" t="s">
        <v>75</v>
      </c>
      <c r="C189" s="3847" t="s">
        <v>5292</v>
      </c>
      <c r="D189" s="3145" t="s">
        <v>5293</v>
      </c>
      <c r="E189" s="3145" t="s">
        <v>5294</v>
      </c>
      <c r="F189" s="3145" t="s">
        <v>5295</v>
      </c>
      <c r="G189" s="3145" t="s">
        <v>5296</v>
      </c>
      <c r="H189" s="3145" t="s">
        <v>5297</v>
      </c>
      <c r="I189" s="3145" t="s">
        <v>5298</v>
      </c>
      <c r="J189" s="3145" t="s">
        <v>5299</v>
      </c>
      <c r="K189" s="3145" t="s">
        <v>5300</v>
      </c>
      <c r="L189" s="3145" t="s">
        <v>5301</v>
      </c>
      <c r="M189" s="3145" t="s">
        <v>5302</v>
      </c>
      <c r="N189" s="3145" t="s">
        <v>5303</v>
      </c>
      <c r="O189" s="3145" t="s">
        <v>5304</v>
      </c>
      <c r="P189" s="3145" t="s">
        <v>5305</v>
      </c>
      <c r="Q189" s="3145" t="s">
        <v>5306</v>
      </c>
      <c r="R189" s="3145" t="s">
        <v>5307</v>
      </c>
      <c r="S189" s="3145" t="s">
        <v>5308</v>
      </c>
      <c r="T189" s="3147" t="s">
        <v>5309</v>
      </c>
      <c r="U189" s="916" t="s">
        <v>5310</v>
      </c>
      <c r="V189" s="617" t="s">
        <v>5311</v>
      </c>
      <c r="W189" s="626" t="s">
        <v>5312</v>
      </c>
      <c r="X189" s="616" t="s">
        <v>5313</v>
      </c>
      <c r="Y189" s="626" t="s">
        <v>5314</v>
      </c>
      <c r="Z189" s="1687" t="e">
        <f t="shared" si="30"/>
        <v>#VALUE!</v>
      </c>
      <c r="BE189" s="2630"/>
      <c r="BF189" s="2630"/>
      <c r="BG189" s="2630"/>
      <c r="BH189" s="2630"/>
      <c r="BI189" s="2630"/>
      <c r="BJ189" s="2630"/>
      <c r="BK189" s="2630"/>
      <c r="BL189" s="2630"/>
      <c r="BM189" s="2630"/>
      <c r="BN189" s="2630"/>
      <c r="BO189" s="2630"/>
      <c r="BP189" s="2630"/>
      <c r="BQ189" s="2630"/>
      <c r="BR189" s="2630"/>
      <c r="BS189" s="2630"/>
      <c r="BT189" s="2630"/>
      <c r="BU189" s="2630"/>
      <c r="BV189" s="2630"/>
      <c r="BW189" s="2630"/>
      <c r="BX189" s="2630"/>
      <c r="BY189" s="2630"/>
      <c r="BZ189" s="2630"/>
      <c r="CA189" s="2630"/>
      <c r="CB189" s="2920"/>
      <c r="CC189" s="4752" t="e">
        <f t="shared" si="31"/>
        <v>#VALUE!</v>
      </c>
      <c r="CD189" s="2630"/>
      <c r="CE189" s="2630"/>
      <c r="CF189" s="2630"/>
      <c r="CG189" s="2630"/>
      <c r="CH189" s="1723" t="e">
        <f t="shared" si="32"/>
        <v>#VALUE!</v>
      </c>
      <c r="CI189" s="1725"/>
      <c r="CJ189" s="1725"/>
      <c r="CK189" s="1725"/>
      <c r="CL189" s="1725"/>
      <c r="DJ189"/>
    </row>
    <row r="190" spans="1:130" x14ac:dyDescent="0.3">
      <c r="A190" s="6269">
        <v>28021270</v>
      </c>
      <c r="B190" s="3184" t="s">
        <v>62</v>
      </c>
      <c r="C190" s="3847" t="s">
        <v>5292</v>
      </c>
      <c r="D190" s="3145" t="s">
        <v>5293</v>
      </c>
      <c r="E190" s="3145" t="s">
        <v>5294</v>
      </c>
      <c r="F190" s="3145" t="s">
        <v>5295</v>
      </c>
      <c r="G190" s="3145" t="s">
        <v>5296</v>
      </c>
      <c r="H190" s="3145" t="s">
        <v>5297</v>
      </c>
      <c r="I190" s="3145" t="s">
        <v>5298</v>
      </c>
      <c r="J190" s="3145" t="s">
        <v>5299</v>
      </c>
      <c r="K190" s="3145" t="s">
        <v>5300</v>
      </c>
      <c r="L190" s="3145" t="s">
        <v>5301</v>
      </c>
      <c r="M190" s="3145" t="s">
        <v>5302</v>
      </c>
      <c r="N190" s="3145" t="s">
        <v>5303</v>
      </c>
      <c r="O190" s="3145" t="s">
        <v>5304</v>
      </c>
      <c r="P190" s="3145" t="s">
        <v>5305</v>
      </c>
      <c r="Q190" s="3145" t="s">
        <v>5306</v>
      </c>
      <c r="R190" s="3145" t="s">
        <v>5307</v>
      </c>
      <c r="S190" s="3145" t="s">
        <v>5308</v>
      </c>
      <c r="T190" s="3147" t="s">
        <v>5309</v>
      </c>
      <c r="U190" s="916" t="s">
        <v>5310</v>
      </c>
      <c r="V190" s="617" t="s">
        <v>5311</v>
      </c>
      <c r="W190" s="626" t="s">
        <v>5312</v>
      </c>
      <c r="X190" s="616" t="s">
        <v>5313</v>
      </c>
      <c r="Y190" s="626" t="s">
        <v>5314</v>
      </c>
      <c r="Z190" s="1687" t="e">
        <f t="shared" si="30"/>
        <v>#VALUE!</v>
      </c>
      <c r="BE190" s="2630"/>
      <c r="BF190" s="2630"/>
      <c r="BG190" s="2630"/>
      <c r="BH190" s="2630"/>
      <c r="BI190" s="2630"/>
      <c r="BJ190" s="2630"/>
      <c r="BK190" s="2630"/>
      <c r="BL190" s="2630"/>
      <c r="BM190" s="2630"/>
      <c r="BN190" s="2630"/>
      <c r="BO190" s="2630"/>
      <c r="BP190" s="2630"/>
      <c r="BQ190" s="2630"/>
      <c r="BR190" s="2630"/>
      <c r="BS190" s="2630"/>
      <c r="BT190" s="2630"/>
      <c r="BU190" s="2630"/>
      <c r="BV190" s="2630"/>
      <c r="BW190" s="2630"/>
      <c r="BX190" s="2630"/>
      <c r="BY190" s="2630"/>
      <c r="BZ190" s="2630"/>
      <c r="CA190" s="2630"/>
      <c r="CB190" s="2920"/>
      <c r="CC190" s="4752" t="e">
        <f t="shared" si="31"/>
        <v>#VALUE!</v>
      </c>
      <c r="CD190" s="2630"/>
      <c r="CE190" s="2630"/>
      <c r="CF190" s="2630"/>
      <c r="CG190" s="2630"/>
      <c r="CH190" s="1723" t="e">
        <f t="shared" si="32"/>
        <v>#VALUE!</v>
      </c>
      <c r="CI190" s="1725"/>
      <c r="CJ190" s="1725"/>
      <c r="CK190" s="1725"/>
      <c r="CL190" s="1725"/>
      <c r="DJ190"/>
    </row>
    <row r="191" spans="1:130" x14ac:dyDescent="0.3">
      <c r="A191" s="6269">
        <v>28022450</v>
      </c>
      <c r="B191" s="769" t="s">
        <v>3315</v>
      </c>
      <c r="C191" s="3847" t="s">
        <v>5292</v>
      </c>
      <c r="D191" s="3145" t="s">
        <v>5293</v>
      </c>
      <c r="E191" s="3145" t="s">
        <v>5294</v>
      </c>
      <c r="F191" s="3145" t="s">
        <v>5295</v>
      </c>
      <c r="G191" s="3145" t="s">
        <v>5296</v>
      </c>
      <c r="H191" s="3145" t="s">
        <v>5297</v>
      </c>
      <c r="I191" s="3145" t="s">
        <v>5298</v>
      </c>
      <c r="J191" s="3145" t="s">
        <v>5299</v>
      </c>
      <c r="K191" s="3145" t="s">
        <v>5300</v>
      </c>
      <c r="L191" s="3145" t="s">
        <v>5301</v>
      </c>
      <c r="M191" s="3145" t="s">
        <v>5302</v>
      </c>
      <c r="N191" s="3145" t="s">
        <v>5303</v>
      </c>
      <c r="O191" s="3145" t="s">
        <v>5304</v>
      </c>
      <c r="P191" s="3145" t="s">
        <v>5305</v>
      </c>
      <c r="Q191" s="3145" t="s">
        <v>5306</v>
      </c>
      <c r="R191" s="3145" t="s">
        <v>5307</v>
      </c>
      <c r="S191" s="3145" t="s">
        <v>5308</v>
      </c>
      <c r="T191" s="3147" t="s">
        <v>5309</v>
      </c>
      <c r="U191" s="916" t="s">
        <v>5310</v>
      </c>
      <c r="V191" s="617" t="s">
        <v>5311</v>
      </c>
      <c r="W191" s="626" t="s">
        <v>5312</v>
      </c>
      <c r="X191" s="616" t="s">
        <v>5313</v>
      </c>
      <c r="Y191" s="626" t="s">
        <v>5314</v>
      </c>
      <c r="Z191" s="1687" t="e">
        <f t="shared" si="30"/>
        <v>#VALUE!</v>
      </c>
      <c r="BE191" s="2630"/>
      <c r="BF191" s="2630"/>
      <c r="BG191" s="2630"/>
      <c r="BH191" s="2630"/>
      <c r="BI191" s="2630"/>
      <c r="BJ191" s="2630"/>
      <c r="BK191" s="2630"/>
      <c r="BL191" s="2630"/>
      <c r="BM191" s="2630"/>
      <c r="BN191" s="2630"/>
      <c r="BO191" s="2630"/>
      <c r="BP191" s="2630"/>
      <c r="BQ191" s="2630"/>
      <c r="BR191" s="2630"/>
      <c r="BS191" s="2630"/>
      <c r="BT191" s="2630"/>
      <c r="BU191" s="2630"/>
      <c r="BV191" s="2630"/>
      <c r="BW191" s="2630"/>
      <c r="BX191" s="2630"/>
      <c r="BY191" s="2630"/>
      <c r="BZ191" s="2630"/>
      <c r="CA191" s="2630"/>
      <c r="CB191" s="2920"/>
      <c r="CC191" s="4752" t="e">
        <f t="shared" si="31"/>
        <v>#VALUE!</v>
      </c>
      <c r="CD191" s="2630"/>
      <c r="CE191" s="2630"/>
      <c r="CF191" s="2630"/>
      <c r="CG191" s="2630"/>
      <c r="CH191" s="1723" t="e">
        <f>IF(U191+V191+W191+X191+Y191&lt;&gt;$C191,1,0)</f>
        <v>#VALUE!</v>
      </c>
      <c r="CI191" s="1725"/>
      <c r="CJ191" s="1725"/>
      <c r="CK191" s="1725"/>
      <c r="CL191" s="1725"/>
      <c r="DJ191"/>
    </row>
    <row r="192" spans="1:130" x14ac:dyDescent="0.3">
      <c r="A192" s="6269">
        <v>29101652</v>
      </c>
      <c r="B192" s="593" t="s">
        <v>76</v>
      </c>
      <c r="C192" s="5264" t="s">
        <v>5292</v>
      </c>
      <c r="D192" s="148" t="s">
        <v>5293</v>
      </c>
      <c r="E192" s="148" t="s">
        <v>5294</v>
      </c>
      <c r="F192" s="148" t="s">
        <v>5295</v>
      </c>
      <c r="G192" s="148" t="s">
        <v>5296</v>
      </c>
      <c r="H192" s="148" t="s">
        <v>5297</v>
      </c>
      <c r="I192" s="148" t="s">
        <v>5298</v>
      </c>
      <c r="J192" s="148" t="s">
        <v>5299</v>
      </c>
      <c r="K192" s="148" t="s">
        <v>5300</v>
      </c>
      <c r="L192" s="148" t="s">
        <v>5301</v>
      </c>
      <c r="M192" s="148" t="s">
        <v>5302</v>
      </c>
      <c r="N192" s="148" t="s">
        <v>5303</v>
      </c>
      <c r="O192" s="148" t="s">
        <v>5304</v>
      </c>
      <c r="P192" s="148" t="s">
        <v>5305</v>
      </c>
      <c r="Q192" s="148" t="s">
        <v>5306</v>
      </c>
      <c r="R192" s="148" t="s">
        <v>5307</v>
      </c>
      <c r="S192" s="148" t="s">
        <v>5308</v>
      </c>
      <c r="T192" s="1083" t="s">
        <v>5309</v>
      </c>
      <c r="U192" s="5418" t="s">
        <v>5310</v>
      </c>
      <c r="V192" s="5415" t="s">
        <v>5311</v>
      </c>
      <c r="W192" s="4767" t="s">
        <v>5312</v>
      </c>
      <c r="X192" s="5412" t="s">
        <v>5313</v>
      </c>
      <c r="Y192" s="4767" t="s">
        <v>5314</v>
      </c>
      <c r="Z192" s="1687" t="e">
        <f t="shared" si="30"/>
        <v>#VALUE!</v>
      </c>
      <c r="BE192" s="2630"/>
      <c r="BF192" s="2630"/>
      <c r="BG192" s="2630"/>
      <c r="BH192" s="2630"/>
      <c r="BI192" s="2630"/>
      <c r="BJ192" s="2630"/>
      <c r="BK192" s="2630"/>
      <c r="BL192" s="2630"/>
      <c r="BM192" s="2630"/>
      <c r="BN192" s="2630"/>
      <c r="BO192" s="2630"/>
      <c r="BP192" s="2630"/>
      <c r="BQ192" s="2630"/>
      <c r="BR192" s="2630"/>
      <c r="BS192" s="2630"/>
      <c r="BT192" s="2630"/>
      <c r="BU192" s="2630"/>
      <c r="BV192" s="2630"/>
      <c r="BW192" s="2630"/>
      <c r="BX192" s="2630"/>
      <c r="BY192" s="2630"/>
      <c r="BZ192" s="2630"/>
      <c r="CA192" s="2630"/>
      <c r="CB192" s="2920"/>
      <c r="CC192" s="4752" t="e">
        <f t="shared" si="31"/>
        <v>#VALUE!</v>
      </c>
      <c r="CD192" s="2630"/>
      <c r="CE192" s="2630"/>
      <c r="CF192" s="2630"/>
      <c r="CG192" s="2630"/>
      <c r="CH192" s="1723" t="e">
        <f t="shared" si="32"/>
        <v>#VALUE!</v>
      </c>
      <c r="CI192" s="1725"/>
      <c r="CJ192" s="1725"/>
      <c r="CK192" s="1725"/>
      <c r="CL192" s="1725"/>
      <c r="DJ192"/>
    </row>
    <row r="193" spans="1:114" x14ac:dyDescent="0.3">
      <c r="A193" s="6267"/>
      <c r="B193" s="5271" t="s">
        <v>24</v>
      </c>
      <c r="C193" s="5270">
        <f t="shared" ref="C193:Y193" si="33">SUM(C186:C192)</f>
        <v>0</v>
      </c>
      <c r="D193" s="5270">
        <f t="shared" si="33"/>
        <v>0</v>
      </c>
      <c r="E193" s="5270">
        <f t="shared" si="33"/>
        <v>0</v>
      </c>
      <c r="F193" s="5270">
        <f t="shared" si="33"/>
        <v>0</v>
      </c>
      <c r="G193" s="5270">
        <f t="shared" si="33"/>
        <v>0</v>
      </c>
      <c r="H193" s="5270">
        <f t="shared" si="33"/>
        <v>0</v>
      </c>
      <c r="I193" s="5270">
        <f t="shared" si="33"/>
        <v>0</v>
      </c>
      <c r="J193" s="5270">
        <f t="shared" si="33"/>
        <v>0</v>
      </c>
      <c r="K193" s="5270">
        <f t="shared" si="33"/>
        <v>0</v>
      </c>
      <c r="L193" s="5270">
        <f t="shared" si="33"/>
        <v>0</v>
      </c>
      <c r="M193" s="5270">
        <f t="shared" si="33"/>
        <v>0</v>
      </c>
      <c r="N193" s="5270">
        <f t="shared" si="33"/>
        <v>0</v>
      </c>
      <c r="O193" s="5270">
        <f t="shared" si="33"/>
        <v>0</v>
      </c>
      <c r="P193" s="5270">
        <f t="shared" si="33"/>
        <v>0</v>
      </c>
      <c r="Q193" s="5270">
        <f t="shared" si="33"/>
        <v>0</v>
      </c>
      <c r="R193" s="5270">
        <f t="shared" si="33"/>
        <v>0</v>
      </c>
      <c r="S193" s="5270">
        <f t="shared" si="33"/>
        <v>0</v>
      </c>
      <c r="T193" s="5269">
        <f t="shared" si="33"/>
        <v>0</v>
      </c>
      <c r="U193" s="5970">
        <f t="shared" si="33"/>
        <v>0</v>
      </c>
      <c r="V193" s="5971">
        <f t="shared" si="33"/>
        <v>0</v>
      </c>
      <c r="W193" s="5056">
        <f t="shared" si="33"/>
        <v>0</v>
      </c>
      <c r="X193" s="5886">
        <f t="shared" si="33"/>
        <v>0</v>
      </c>
      <c r="Y193" s="5056">
        <f t="shared" si="33"/>
        <v>0</v>
      </c>
      <c r="DJ193"/>
    </row>
    <row r="194" spans="1:114" ht="18" customHeight="1" x14ac:dyDescent="0.3">
      <c r="A194" s="20"/>
      <c r="B194" s="122" t="s">
        <v>3316</v>
      </c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DJ194"/>
    </row>
    <row r="195" spans="1:114" x14ac:dyDescent="0.3">
      <c r="A195" s="6283"/>
      <c r="B195" s="8267" t="s">
        <v>61</v>
      </c>
      <c r="C195" s="8285" t="s">
        <v>24</v>
      </c>
      <c r="D195" s="8288" t="s">
        <v>12</v>
      </c>
      <c r="E195" s="8289"/>
      <c r="F195" s="8289"/>
      <c r="G195" s="8289"/>
      <c r="H195" s="8289"/>
      <c r="I195" s="8289"/>
      <c r="J195" s="8289"/>
      <c r="K195" s="8289"/>
      <c r="L195" s="8289"/>
      <c r="M195" s="8289"/>
      <c r="N195" s="8289"/>
      <c r="O195" s="8289"/>
      <c r="P195" s="8289"/>
      <c r="Q195" s="8289"/>
      <c r="R195" s="8289"/>
      <c r="S195" s="8289"/>
      <c r="T195" s="8290"/>
      <c r="U195" s="7562" t="s">
        <v>3283</v>
      </c>
      <c r="V195" s="7562"/>
      <c r="W195" s="7562"/>
      <c r="X195" s="7562"/>
      <c r="Y195" s="8294"/>
      <c r="DJ195"/>
    </row>
    <row r="196" spans="1:114" x14ac:dyDescent="0.3">
      <c r="A196" s="6283"/>
      <c r="B196" s="7097"/>
      <c r="C196" s="8286"/>
      <c r="D196" s="8291"/>
      <c r="E196" s="8292"/>
      <c r="F196" s="8292"/>
      <c r="G196" s="8292"/>
      <c r="H196" s="8292"/>
      <c r="I196" s="8292"/>
      <c r="J196" s="8292"/>
      <c r="K196" s="8292"/>
      <c r="L196" s="8292"/>
      <c r="M196" s="8292"/>
      <c r="N196" s="8292"/>
      <c r="O196" s="8292"/>
      <c r="P196" s="8292"/>
      <c r="Q196" s="8292"/>
      <c r="R196" s="8292"/>
      <c r="S196" s="8292"/>
      <c r="T196" s="8293"/>
      <c r="U196" s="8295" t="s">
        <v>3284</v>
      </c>
      <c r="V196" s="8295"/>
      <c r="W196" s="8296"/>
      <c r="X196" s="8297" t="s">
        <v>3310</v>
      </c>
      <c r="Y196" s="8274"/>
      <c r="DJ196"/>
    </row>
    <row r="197" spans="1:114" ht="20.399999999999999" x14ac:dyDescent="0.3">
      <c r="A197" s="6283"/>
      <c r="B197" s="7098"/>
      <c r="C197" s="8287"/>
      <c r="D197" s="5254" t="s">
        <v>36</v>
      </c>
      <c r="E197" s="5254" t="s">
        <v>37</v>
      </c>
      <c r="F197" s="5254" t="s">
        <v>38</v>
      </c>
      <c r="G197" s="5254" t="s">
        <v>4</v>
      </c>
      <c r="H197" s="5254" t="s">
        <v>5</v>
      </c>
      <c r="I197" s="5254" t="s">
        <v>560</v>
      </c>
      <c r="J197" s="5254" t="s">
        <v>561</v>
      </c>
      <c r="K197" s="5254" t="s">
        <v>8</v>
      </c>
      <c r="L197" s="5254" t="s">
        <v>9</v>
      </c>
      <c r="M197" s="5254" t="s">
        <v>576</v>
      </c>
      <c r="N197" s="5254" t="s">
        <v>11</v>
      </c>
      <c r="O197" s="5254" t="s">
        <v>18</v>
      </c>
      <c r="P197" s="5254" t="s">
        <v>19</v>
      </c>
      <c r="Q197" s="5254" t="s">
        <v>20</v>
      </c>
      <c r="R197" s="5254" t="s">
        <v>70</v>
      </c>
      <c r="S197" s="5254" t="s">
        <v>71</v>
      </c>
      <c r="T197" s="5268" t="s">
        <v>72</v>
      </c>
      <c r="U197" s="5266" t="s">
        <v>3311</v>
      </c>
      <c r="V197" s="5266" t="s">
        <v>3312</v>
      </c>
      <c r="W197" s="5266" t="s">
        <v>3313</v>
      </c>
      <c r="X197" s="5267" t="s">
        <v>3286</v>
      </c>
      <c r="Y197" s="5266" t="s">
        <v>3287</v>
      </c>
      <c r="Z197" s="102"/>
      <c r="DJ197"/>
    </row>
    <row r="198" spans="1:114" x14ac:dyDescent="0.3">
      <c r="A198" s="6269">
        <v>28021280</v>
      </c>
      <c r="B198" s="3878" t="s">
        <v>277</v>
      </c>
      <c r="C198" s="1683" t="s">
        <v>5292</v>
      </c>
      <c r="D198" s="3145" t="s">
        <v>5293</v>
      </c>
      <c r="E198" s="3145" t="s">
        <v>5294</v>
      </c>
      <c r="F198" s="3145" t="s">
        <v>5295</v>
      </c>
      <c r="G198" s="3145" t="s">
        <v>5296</v>
      </c>
      <c r="H198" s="3145" t="s">
        <v>5297</v>
      </c>
      <c r="I198" s="3145" t="s">
        <v>5298</v>
      </c>
      <c r="J198" s="3145" t="s">
        <v>5299</v>
      </c>
      <c r="K198" s="3145" t="s">
        <v>5300</v>
      </c>
      <c r="L198" s="3145" t="s">
        <v>5301</v>
      </c>
      <c r="M198" s="3145" t="s">
        <v>5302</v>
      </c>
      <c r="N198" s="3145" t="s">
        <v>5303</v>
      </c>
      <c r="O198" s="3145" t="s">
        <v>5304</v>
      </c>
      <c r="P198" s="3145" t="s">
        <v>5305</v>
      </c>
      <c r="Q198" s="3145" t="s">
        <v>5306</v>
      </c>
      <c r="R198" s="3145" t="s">
        <v>5307</v>
      </c>
      <c r="S198" s="3145" t="s">
        <v>5308</v>
      </c>
      <c r="T198" s="3147" t="s">
        <v>5309</v>
      </c>
      <c r="U198" s="5231" t="s">
        <v>5310</v>
      </c>
      <c r="V198" s="5273" t="s">
        <v>5311</v>
      </c>
      <c r="W198" s="5273" t="s">
        <v>5312</v>
      </c>
      <c r="X198" s="5273" t="s">
        <v>5313</v>
      </c>
      <c r="Y198" s="5273" t="s">
        <v>5314</v>
      </c>
      <c r="Z198" s="1687" t="e">
        <f t="shared" ref="Z198:Z203" si="34">$CB198&amp;CC198</f>
        <v>#VALUE!</v>
      </c>
      <c r="BE198" s="2630"/>
      <c r="BF198" s="2630"/>
      <c r="BG198" s="2630"/>
      <c r="BH198" s="2630"/>
      <c r="BI198" s="2630"/>
      <c r="BJ198" s="2630"/>
      <c r="BK198" s="2630"/>
      <c r="BL198" s="2630"/>
      <c r="BM198" s="2630"/>
      <c r="BN198" s="2630"/>
      <c r="BO198" s="2630"/>
      <c r="BP198" s="2630"/>
      <c r="BQ198" s="2630"/>
      <c r="BR198" s="2630"/>
      <c r="BS198" s="2630"/>
      <c r="BT198" s="2630"/>
      <c r="BU198" s="2630"/>
      <c r="BV198" s="2630"/>
      <c r="BW198" s="2630"/>
      <c r="BX198" s="2630"/>
      <c r="BY198" s="2630"/>
      <c r="BZ198" s="2630"/>
      <c r="CA198" s="2630"/>
      <c r="CB198" s="2920"/>
      <c r="CC198" s="4752" t="e">
        <f t="shared" ref="CC198:CC203" si="35">IF(U198+V198+W198+X198+Y198&lt;&gt;$C198,"* El número de "&amp;U$183&amp;""&amp;" no debe ser distinto del Total. ","")</f>
        <v>#VALUE!</v>
      </c>
      <c r="CD198" s="2630"/>
      <c r="CE198" s="2630"/>
      <c r="CF198" s="2630"/>
      <c r="CG198" s="2630"/>
      <c r="CH198" s="1723" t="e">
        <f t="shared" ref="CH198:CH203" si="36">IF(U198+V198+W198+X198+Y198&lt;&gt;$C198,1,0)</f>
        <v>#VALUE!</v>
      </c>
      <c r="CI198" s="1725"/>
      <c r="CJ198" s="1725"/>
      <c r="CK198" s="1725"/>
      <c r="CL198" s="1725"/>
      <c r="DJ198"/>
    </row>
    <row r="199" spans="1:114" x14ac:dyDescent="0.3">
      <c r="A199" s="6269">
        <v>28021290</v>
      </c>
      <c r="B199" s="3875" t="s">
        <v>2836</v>
      </c>
      <c r="C199" s="3847" t="s">
        <v>5292</v>
      </c>
      <c r="D199" s="3145" t="s">
        <v>5293</v>
      </c>
      <c r="E199" s="3145" t="s">
        <v>5294</v>
      </c>
      <c r="F199" s="3145" t="s">
        <v>5295</v>
      </c>
      <c r="G199" s="3145" t="s">
        <v>5296</v>
      </c>
      <c r="H199" s="3145" t="s">
        <v>5297</v>
      </c>
      <c r="I199" s="3145" t="s">
        <v>5298</v>
      </c>
      <c r="J199" s="3145" t="s">
        <v>5299</v>
      </c>
      <c r="K199" s="3145" t="s">
        <v>5300</v>
      </c>
      <c r="L199" s="3145" t="s">
        <v>5301</v>
      </c>
      <c r="M199" s="3145" t="s">
        <v>5302</v>
      </c>
      <c r="N199" s="3145" t="s">
        <v>5303</v>
      </c>
      <c r="O199" s="3145" t="s">
        <v>5304</v>
      </c>
      <c r="P199" s="3145" t="s">
        <v>5305</v>
      </c>
      <c r="Q199" s="3145" t="s">
        <v>5306</v>
      </c>
      <c r="R199" s="3145" t="s">
        <v>5307</v>
      </c>
      <c r="S199" s="3145" t="s">
        <v>5308</v>
      </c>
      <c r="T199" s="3147" t="s">
        <v>5309</v>
      </c>
      <c r="U199" s="3077" t="s">
        <v>5310</v>
      </c>
      <c r="V199" s="3145" t="s">
        <v>5311</v>
      </c>
      <c r="W199" s="3145" t="s">
        <v>5312</v>
      </c>
      <c r="X199" s="3145" t="s">
        <v>5313</v>
      </c>
      <c r="Y199" s="3145" t="s">
        <v>5314</v>
      </c>
      <c r="Z199" s="1687" t="e">
        <f t="shared" si="34"/>
        <v>#VALUE!</v>
      </c>
      <c r="BE199" s="2630"/>
      <c r="BF199" s="2630"/>
      <c r="BG199" s="2630"/>
      <c r="BH199" s="2630"/>
      <c r="BI199" s="2630"/>
      <c r="BJ199" s="2630"/>
      <c r="BK199" s="2630"/>
      <c r="BL199" s="2630"/>
      <c r="BM199" s="2630"/>
      <c r="BN199" s="2630"/>
      <c r="BO199" s="2630"/>
      <c r="BP199" s="2630"/>
      <c r="BQ199" s="2630"/>
      <c r="BR199" s="2630"/>
      <c r="BS199" s="2630"/>
      <c r="BT199" s="2630"/>
      <c r="BU199" s="2630"/>
      <c r="BV199" s="2630"/>
      <c r="BW199" s="2630"/>
      <c r="BX199" s="2630"/>
      <c r="BY199" s="2630"/>
      <c r="BZ199" s="2630"/>
      <c r="CA199" s="2630"/>
      <c r="CB199" s="2920"/>
      <c r="CC199" s="4752" t="e">
        <f t="shared" si="35"/>
        <v>#VALUE!</v>
      </c>
      <c r="CD199" s="2630"/>
      <c r="CE199" s="2630"/>
      <c r="CF199" s="2630"/>
      <c r="CG199" s="2630"/>
      <c r="CH199" s="1723" t="e">
        <f t="shared" si="36"/>
        <v>#VALUE!</v>
      </c>
      <c r="CI199" s="1725"/>
      <c r="CJ199" s="1725"/>
      <c r="CK199" s="1725"/>
      <c r="CL199" s="1725"/>
      <c r="DJ199"/>
    </row>
    <row r="200" spans="1:114" x14ac:dyDescent="0.3">
      <c r="A200" s="6269">
        <v>28021300</v>
      </c>
      <c r="B200" s="3875" t="s">
        <v>3314</v>
      </c>
      <c r="C200" s="3847" t="s">
        <v>5292</v>
      </c>
      <c r="D200" s="3145" t="s">
        <v>5293</v>
      </c>
      <c r="E200" s="3145" t="s">
        <v>5294</v>
      </c>
      <c r="F200" s="3145" t="s">
        <v>5295</v>
      </c>
      <c r="G200" s="3145" t="s">
        <v>5296</v>
      </c>
      <c r="H200" s="3145" t="s">
        <v>5297</v>
      </c>
      <c r="I200" s="3145" t="s">
        <v>5298</v>
      </c>
      <c r="J200" s="3145" t="s">
        <v>5299</v>
      </c>
      <c r="K200" s="3145" t="s">
        <v>5300</v>
      </c>
      <c r="L200" s="3145" t="s">
        <v>5301</v>
      </c>
      <c r="M200" s="3145" t="s">
        <v>5302</v>
      </c>
      <c r="N200" s="3145" t="s">
        <v>5303</v>
      </c>
      <c r="O200" s="3145" t="s">
        <v>5304</v>
      </c>
      <c r="P200" s="3145" t="s">
        <v>5305</v>
      </c>
      <c r="Q200" s="3145" t="s">
        <v>5306</v>
      </c>
      <c r="R200" s="3145" t="s">
        <v>5307</v>
      </c>
      <c r="S200" s="3145" t="s">
        <v>5308</v>
      </c>
      <c r="T200" s="3147" t="s">
        <v>5309</v>
      </c>
      <c r="U200" s="3077" t="s">
        <v>5310</v>
      </c>
      <c r="V200" s="3145" t="s">
        <v>5311</v>
      </c>
      <c r="W200" s="3145" t="s">
        <v>5312</v>
      </c>
      <c r="X200" s="3145" t="s">
        <v>5313</v>
      </c>
      <c r="Y200" s="3145" t="s">
        <v>5314</v>
      </c>
      <c r="Z200" s="1687" t="e">
        <f t="shared" si="34"/>
        <v>#VALUE!</v>
      </c>
      <c r="BE200" s="2630"/>
      <c r="BF200" s="2630"/>
      <c r="BG200" s="2630"/>
      <c r="BH200" s="2630"/>
      <c r="BI200" s="2630"/>
      <c r="BJ200" s="2630"/>
      <c r="BK200" s="2630"/>
      <c r="BL200" s="2630"/>
      <c r="BM200" s="2630"/>
      <c r="BN200" s="2630"/>
      <c r="BO200" s="2630"/>
      <c r="BP200" s="2630"/>
      <c r="BQ200" s="2630"/>
      <c r="BR200" s="2630"/>
      <c r="BS200" s="2630"/>
      <c r="BT200" s="2630"/>
      <c r="BU200" s="2630"/>
      <c r="BV200" s="2630"/>
      <c r="BW200" s="2630"/>
      <c r="BX200" s="2630"/>
      <c r="BY200" s="2630"/>
      <c r="BZ200" s="2630"/>
      <c r="CA200" s="2630"/>
      <c r="CB200" s="2920"/>
      <c r="CC200" s="4752" t="e">
        <f t="shared" si="35"/>
        <v>#VALUE!</v>
      </c>
      <c r="CD200" s="2630"/>
      <c r="CE200" s="2630"/>
      <c r="CF200" s="2630"/>
      <c r="CG200" s="2630"/>
      <c r="CH200" s="1723" t="e">
        <f t="shared" si="36"/>
        <v>#VALUE!</v>
      </c>
      <c r="CI200" s="1725"/>
      <c r="CJ200" s="1725"/>
      <c r="CK200" s="1725"/>
      <c r="CL200" s="1725"/>
      <c r="DJ200"/>
    </row>
    <row r="201" spans="1:114" x14ac:dyDescent="0.3">
      <c r="A201" s="6269">
        <v>28021310</v>
      </c>
      <c r="B201" s="3184" t="s">
        <v>75</v>
      </c>
      <c r="C201" s="3847" t="s">
        <v>5292</v>
      </c>
      <c r="D201" s="3145" t="s">
        <v>5293</v>
      </c>
      <c r="E201" s="3145" t="s">
        <v>5294</v>
      </c>
      <c r="F201" s="3145" t="s">
        <v>5295</v>
      </c>
      <c r="G201" s="3145" t="s">
        <v>5296</v>
      </c>
      <c r="H201" s="3145" t="s">
        <v>5297</v>
      </c>
      <c r="I201" s="3145" t="s">
        <v>5298</v>
      </c>
      <c r="J201" s="3145" t="s">
        <v>5299</v>
      </c>
      <c r="K201" s="3145" t="s">
        <v>5300</v>
      </c>
      <c r="L201" s="3145" t="s">
        <v>5301</v>
      </c>
      <c r="M201" s="3145" t="s">
        <v>5302</v>
      </c>
      <c r="N201" s="3145" t="s">
        <v>5303</v>
      </c>
      <c r="O201" s="3145" t="s">
        <v>5304</v>
      </c>
      <c r="P201" s="3145" t="s">
        <v>5305</v>
      </c>
      <c r="Q201" s="3145" t="s">
        <v>5306</v>
      </c>
      <c r="R201" s="3145" t="s">
        <v>5307</v>
      </c>
      <c r="S201" s="3145" t="s">
        <v>5308</v>
      </c>
      <c r="T201" s="3147" t="s">
        <v>5309</v>
      </c>
      <c r="U201" s="3077" t="s">
        <v>5310</v>
      </c>
      <c r="V201" s="3145" t="s">
        <v>5311</v>
      </c>
      <c r="W201" s="3145" t="s">
        <v>5312</v>
      </c>
      <c r="X201" s="3145" t="s">
        <v>5313</v>
      </c>
      <c r="Y201" s="3145" t="s">
        <v>5314</v>
      </c>
      <c r="Z201" s="1687" t="e">
        <f t="shared" si="34"/>
        <v>#VALUE!</v>
      </c>
      <c r="BE201" s="2630"/>
      <c r="BF201" s="2630"/>
      <c r="BG201" s="2630"/>
      <c r="BH201" s="2630"/>
      <c r="BI201" s="2630"/>
      <c r="BJ201" s="2630"/>
      <c r="BK201" s="2630"/>
      <c r="BL201" s="2630"/>
      <c r="BM201" s="2630"/>
      <c r="BN201" s="2630"/>
      <c r="BO201" s="2630"/>
      <c r="BP201" s="2630"/>
      <c r="BQ201" s="2630"/>
      <c r="BR201" s="2630"/>
      <c r="BS201" s="2630"/>
      <c r="BT201" s="2630"/>
      <c r="BU201" s="2630"/>
      <c r="BV201" s="2630"/>
      <c r="BW201" s="2630"/>
      <c r="BX201" s="2630"/>
      <c r="BY201" s="2630"/>
      <c r="BZ201" s="2630"/>
      <c r="CA201" s="2630"/>
      <c r="CB201" s="2920"/>
      <c r="CC201" s="4752" t="e">
        <f t="shared" si="35"/>
        <v>#VALUE!</v>
      </c>
      <c r="CD201" s="2630"/>
      <c r="CE201" s="2630"/>
      <c r="CF201" s="2630"/>
      <c r="CG201" s="2630"/>
      <c r="CH201" s="1723" t="e">
        <f t="shared" si="36"/>
        <v>#VALUE!</v>
      </c>
      <c r="CI201" s="1725"/>
      <c r="CJ201" s="1725"/>
      <c r="CK201" s="1725"/>
      <c r="CL201" s="1725"/>
      <c r="DJ201"/>
    </row>
    <row r="202" spans="1:114" x14ac:dyDescent="0.3">
      <c r="A202" s="6269">
        <v>28022460</v>
      </c>
      <c r="B202" s="769" t="s">
        <v>3315</v>
      </c>
      <c r="C202" s="3847" t="s">
        <v>5292</v>
      </c>
      <c r="D202" s="3145" t="s">
        <v>5293</v>
      </c>
      <c r="E202" s="3145" t="s">
        <v>5294</v>
      </c>
      <c r="F202" s="3145" t="s">
        <v>5295</v>
      </c>
      <c r="G202" s="3145" t="s">
        <v>5296</v>
      </c>
      <c r="H202" s="3145" t="s">
        <v>5297</v>
      </c>
      <c r="I202" s="3145" t="s">
        <v>5298</v>
      </c>
      <c r="J202" s="3145" t="s">
        <v>5299</v>
      </c>
      <c r="K202" s="3145" t="s">
        <v>5300</v>
      </c>
      <c r="L202" s="3145" t="s">
        <v>5301</v>
      </c>
      <c r="M202" s="3145" t="s">
        <v>5302</v>
      </c>
      <c r="N202" s="3145" t="s">
        <v>5303</v>
      </c>
      <c r="O202" s="3145" t="s">
        <v>5304</v>
      </c>
      <c r="P202" s="3145" t="s">
        <v>5305</v>
      </c>
      <c r="Q202" s="3145" t="s">
        <v>5306</v>
      </c>
      <c r="R202" s="3145" t="s">
        <v>5307</v>
      </c>
      <c r="S202" s="3145" t="s">
        <v>5308</v>
      </c>
      <c r="T202" s="3147" t="s">
        <v>5309</v>
      </c>
      <c r="U202" s="3077" t="s">
        <v>5310</v>
      </c>
      <c r="V202" s="3145" t="s">
        <v>5311</v>
      </c>
      <c r="W202" s="3145" t="s">
        <v>5312</v>
      </c>
      <c r="X202" s="3145" t="s">
        <v>5313</v>
      </c>
      <c r="Y202" s="3145" t="s">
        <v>5314</v>
      </c>
      <c r="Z202" s="1687" t="e">
        <f t="shared" si="34"/>
        <v>#VALUE!</v>
      </c>
      <c r="BE202" s="2630"/>
      <c r="BF202" s="2630"/>
      <c r="BG202" s="2630"/>
      <c r="BH202" s="2630"/>
      <c r="BI202" s="2630"/>
      <c r="BJ202" s="2630"/>
      <c r="BK202" s="2630"/>
      <c r="BL202" s="2630"/>
      <c r="BM202" s="2630"/>
      <c r="BN202" s="2630"/>
      <c r="BO202" s="2630"/>
      <c r="BP202" s="2630"/>
      <c r="BQ202" s="2630"/>
      <c r="BR202" s="2630"/>
      <c r="BS202" s="2630"/>
      <c r="BT202" s="2630"/>
      <c r="BU202" s="2630"/>
      <c r="BV202" s="2630"/>
      <c r="BW202" s="2630"/>
      <c r="BX202" s="2630"/>
      <c r="BY202" s="2630"/>
      <c r="BZ202" s="2630"/>
      <c r="CA202" s="2630"/>
      <c r="CB202" s="2920"/>
      <c r="CC202" s="4752" t="e">
        <f t="shared" si="35"/>
        <v>#VALUE!</v>
      </c>
      <c r="CD202" s="2630"/>
      <c r="CE202" s="2630"/>
      <c r="CF202" s="2630"/>
      <c r="CG202" s="2630"/>
      <c r="CH202" s="1723" t="e">
        <f t="shared" si="36"/>
        <v>#VALUE!</v>
      </c>
      <c r="CI202" s="1725"/>
      <c r="CJ202" s="1725"/>
      <c r="CK202" s="1725"/>
      <c r="CL202" s="1725"/>
      <c r="DJ202"/>
    </row>
    <row r="203" spans="1:114" x14ac:dyDescent="0.3">
      <c r="A203" s="6269">
        <v>29101653</v>
      </c>
      <c r="B203" s="3184" t="s">
        <v>62</v>
      </c>
      <c r="C203" s="3900" t="s">
        <v>5292</v>
      </c>
      <c r="D203" s="3145" t="s">
        <v>5293</v>
      </c>
      <c r="E203" s="3145" t="s">
        <v>5294</v>
      </c>
      <c r="F203" s="3145" t="s">
        <v>5295</v>
      </c>
      <c r="G203" s="3145" t="s">
        <v>5296</v>
      </c>
      <c r="H203" s="3145" t="s">
        <v>5297</v>
      </c>
      <c r="I203" s="3145" t="s">
        <v>5298</v>
      </c>
      <c r="J203" s="3145" t="s">
        <v>5299</v>
      </c>
      <c r="K203" s="3145" t="s">
        <v>5300</v>
      </c>
      <c r="L203" s="3145" t="s">
        <v>5301</v>
      </c>
      <c r="M203" s="3145" t="s">
        <v>5302</v>
      </c>
      <c r="N203" s="3145" t="s">
        <v>5303</v>
      </c>
      <c r="O203" s="3145" t="s">
        <v>5304</v>
      </c>
      <c r="P203" s="3145" t="s">
        <v>5305</v>
      </c>
      <c r="Q203" s="3145" t="s">
        <v>5306</v>
      </c>
      <c r="R203" s="3145" t="s">
        <v>5307</v>
      </c>
      <c r="S203" s="3145" t="s">
        <v>5308</v>
      </c>
      <c r="T203" s="3147" t="s">
        <v>5309</v>
      </c>
      <c r="U203" s="5091" t="s">
        <v>5310</v>
      </c>
      <c r="V203" s="5272" t="s">
        <v>5311</v>
      </c>
      <c r="W203" s="5272" t="s">
        <v>5312</v>
      </c>
      <c r="X203" s="5272" t="s">
        <v>5313</v>
      </c>
      <c r="Y203" s="5272" t="s">
        <v>5314</v>
      </c>
      <c r="Z203" s="1687" t="e">
        <f t="shared" si="34"/>
        <v>#VALUE!</v>
      </c>
      <c r="BE203" s="2630"/>
      <c r="BF203" s="2630"/>
      <c r="BG203" s="2630"/>
      <c r="BH203" s="2630"/>
      <c r="BI203" s="2630"/>
      <c r="BJ203" s="2630"/>
      <c r="BK203" s="2630"/>
      <c r="BL203" s="2630"/>
      <c r="BM203" s="2630"/>
      <c r="BN203" s="2630"/>
      <c r="BO203" s="2630"/>
      <c r="BP203" s="2630"/>
      <c r="BQ203" s="2630"/>
      <c r="BR203" s="2630"/>
      <c r="BS203" s="2630"/>
      <c r="BT203" s="2630"/>
      <c r="BU203" s="2630"/>
      <c r="BV203" s="2630"/>
      <c r="BW203" s="2630"/>
      <c r="BX203" s="2630"/>
      <c r="BY203" s="2630"/>
      <c r="BZ203" s="2630"/>
      <c r="CA203" s="2630"/>
      <c r="CB203" s="2920"/>
      <c r="CC203" s="4752" t="e">
        <f t="shared" si="35"/>
        <v>#VALUE!</v>
      </c>
      <c r="CD203" s="2630"/>
      <c r="CE203" s="2630"/>
      <c r="CF203" s="2630"/>
      <c r="CG203" s="2630"/>
      <c r="CH203" s="1723" t="e">
        <f t="shared" si="36"/>
        <v>#VALUE!</v>
      </c>
      <c r="CI203" s="1725"/>
      <c r="CJ203" s="1725"/>
      <c r="CK203" s="1725"/>
      <c r="CL203" s="1725"/>
      <c r="DJ203"/>
    </row>
    <row r="204" spans="1:114" x14ac:dyDescent="0.3">
      <c r="A204" s="6267"/>
      <c r="B204" s="5271" t="s">
        <v>24</v>
      </c>
      <c r="C204" s="5270">
        <f t="shared" ref="C204:Y204" si="37">SUM(C198:C203)</f>
        <v>0</v>
      </c>
      <c r="D204" s="5270">
        <f t="shared" si="37"/>
        <v>0</v>
      </c>
      <c r="E204" s="5270">
        <f t="shared" si="37"/>
        <v>0</v>
      </c>
      <c r="F204" s="5270">
        <f t="shared" si="37"/>
        <v>0</v>
      </c>
      <c r="G204" s="5270">
        <f t="shared" si="37"/>
        <v>0</v>
      </c>
      <c r="H204" s="5270">
        <f t="shared" si="37"/>
        <v>0</v>
      </c>
      <c r="I204" s="5270">
        <f t="shared" si="37"/>
        <v>0</v>
      </c>
      <c r="J204" s="5270">
        <f t="shared" si="37"/>
        <v>0</v>
      </c>
      <c r="K204" s="5270">
        <f t="shared" si="37"/>
        <v>0</v>
      </c>
      <c r="L204" s="5270">
        <f t="shared" si="37"/>
        <v>0</v>
      </c>
      <c r="M204" s="5270">
        <f t="shared" si="37"/>
        <v>0</v>
      </c>
      <c r="N204" s="5270">
        <f t="shared" si="37"/>
        <v>0</v>
      </c>
      <c r="O204" s="5270">
        <f t="shared" si="37"/>
        <v>0</v>
      </c>
      <c r="P204" s="5270">
        <f t="shared" si="37"/>
        <v>0</v>
      </c>
      <c r="Q204" s="5270">
        <f t="shared" si="37"/>
        <v>0</v>
      </c>
      <c r="R204" s="5270">
        <f t="shared" si="37"/>
        <v>0</v>
      </c>
      <c r="S204" s="5270">
        <f t="shared" si="37"/>
        <v>0</v>
      </c>
      <c r="T204" s="5269">
        <f t="shared" si="37"/>
        <v>0</v>
      </c>
      <c r="U204" s="773">
        <f t="shared" si="37"/>
        <v>0</v>
      </c>
      <c r="V204" s="150">
        <f t="shared" si="37"/>
        <v>0</v>
      </c>
      <c r="W204" s="150">
        <f t="shared" si="37"/>
        <v>0</v>
      </c>
      <c r="X204" s="150">
        <f t="shared" si="37"/>
        <v>0</v>
      </c>
      <c r="Y204" s="150">
        <f t="shared" si="37"/>
        <v>0</v>
      </c>
      <c r="DJ204"/>
    </row>
    <row r="205" spans="1:114" ht="18" customHeight="1" x14ac:dyDescent="0.3">
      <c r="B205" s="122" t="s">
        <v>3317</v>
      </c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DJ205"/>
    </row>
    <row r="206" spans="1:114" x14ac:dyDescent="0.3">
      <c r="B206" s="8267" t="s">
        <v>61</v>
      </c>
      <c r="C206" s="8285" t="s">
        <v>24</v>
      </c>
      <c r="D206" s="8288" t="s">
        <v>12</v>
      </c>
      <c r="E206" s="8289"/>
      <c r="F206" s="8289"/>
      <c r="G206" s="8289"/>
      <c r="H206" s="8289"/>
      <c r="I206" s="8289"/>
      <c r="J206" s="8289"/>
      <c r="K206" s="8289"/>
      <c r="L206" s="8289"/>
      <c r="M206" s="8289"/>
      <c r="N206" s="8289"/>
      <c r="O206" s="8289"/>
      <c r="P206" s="8289"/>
      <c r="Q206" s="8289"/>
      <c r="R206" s="8289"/>
      <c r="S206" s="8289"/>
      <c r="T206" s="8290"/>
      <c r="U206" s="7562" t="s">
        <v>3283</v>
      </c>
      <c r="V206" s="7562"/>
      <c r="W206" s="7562"/>
      <c r="X206" s="7562"/>
      <c r="Y206" s="8294"/>
      <c r="DJ206"/>
    </row>
    <row r="207" spans="1:114" x14ac:dyDescent="0.3">
      <c r="B207" s="7097"/>
      <c r="C207" s="8286"/>
      <c r="D207" s="8291"/>
      <c r="E207" s="8292"/>
      <c r="F207" s="8292"/>
      <c r="G207" s="8292"/>
      <c r="H207" s="8292"/>
      <c r="I207" s="8292"/>
      <c r="J207" s="8292"/>
      <c r="K207" s="8292"/>
      <c r="L207" s="8292"/>
      <c r="M207" s="8292"/>
      <c r="N207" s="8292"/>
      <c r="O207" s="8292"/>
      <c r="P207" s="8292"/>
      <c r="Q207" s="8292"/>
      <c r="R207" s="8292"/>
      <c r="S207" s="8292"/>
      <c r="T207" s="8293"/>
      <c r="U207" s="8295" t="s">
        <v>3284</v>
      </c>
      <c r="V207" s="8295"/>
      <c r="W207" s="8296"/>
      <c r="X207" s="8297" t="s">
        <v>3310</v>
      </c>
      <c r="Y207" s="8274"/>
      <c r="DJ207"/>
    </row>
    <row r="208" spans="1:114" ht="20.399999999999999" x14ac:dyDescent="0.3">
      <c r="B208" s="7098"/>
      <c r="C208" s="8287"/>
      <c r="D208" s="5254" t="s">
        <v>36</v>
      </c>
      <c r="E208" s="5254" t="s">
        <v>37</v>
      </c>
      <c r="F208" s="5254" t="s">
        <v>38</v>
      </c>
      <c r="G208" s="5254" t="s">
        <v>4</v>
      </c>
      <c r="H208" s="5254" t="s">
        <v>5</v>
      </c>
      <c r="I208" s="5254" t="s">
        <v>560</v>
      </c>
      <c r="J208" s="5254" t="s">
        <v>561</v>
      </c>
      <c r="K208" s="5254" t="s">
        <v>8</v>
      </c>
      <c r="L208" s="5254" t="s">
        <v>9</v>
      </c>
      <c r="M208" s="5254" t="s">
        <v>576</v>
      </c>
      <c r="N208" s="5254" t="s">
        <v>11</v>
      </c>
      <c r="O208" s="5254" t="s">
        <v>18</v>
      </c>
      <c r="P208" s="5254" t="s">
        <v>19</v>
      </c>
      <c r="Q208" s="5254" t="s">
        <v>20</v>
      </c>
      <c r="R208" s="5254" t="s">
        <v>70</v>
      </c>
      <c r="S208" s="5254" t="s">
        <v>71</v>
      </c>
      <c r="T208" s="5268" t="s">
        <v>72</v>
      </c>
      <c r="U208" s="5266" t="s">
        <v>3311</v>
      </c>
      <c r="V208" s="5266" t="s">
        <v>3312</v>
      </c>
      <c r="W208" s="5266" t="s">
        <v>3313</v>
      </c>
      <c r="X208" s="5267" t="s">
        <v>3286</v>
      </c>
      <c r="Y208" s="5266" t="s">
        <v>3287</v>
      </c>
      <c r="Z208" s="102"/>
      <c r="DJ208"/>
    </row>
    <row r="209" spans="1:114" x14ac:dyDescent="0.3">
      <c r="A209" s="6269">
        <v>28021320</v>
      </c>
      <c r="B209" s="3878" t="s">
        <v>277</v>
      </c>
      <c r="C209" s="1683" t="s">
        <v>5292</v>
      </c>
      <c r="D209" s="3145" t="s">
        <v>5293</v>
      </c>
      <c r="E209" s="3145" t="s">
        <v>5294</v>
      </c>
      <c r="F209" s="3145" t="s">
        <v>5295</v>
      </c>
      <c r="G209" s="3145" t="s">
        <v>5296</v>
      </c>
      <c r="H209" s="3145" t="s">
        <v>5297</v>
      </c>
      <c r="I209" s="3145" t="s">
        <v>5298</v>
      </c>
      <c r="J209" s="3145" t="s">
        <v>5299</v>
      </c>
      <c r="K209" s="3145" t="s">
        <v>5300</v>
      </c>
      <c r="L209" s="3145" t="s">
        <v>5301</v>
      </c>
      <c r="M209" s="3145" t="s">
        <v>5302</v>
      </c>
      <c r="N209" s="3145" t="s">
        <v>5303</v>
      </c>
      <c r="O209" s="3145" t="s">
        <v>5304</v>
      </c>
      <c r="P209" s="3145" t="s">
        <v>5305</v>
      </c>
      <c r="Q209" s="3145" t="s">
        <v>5306</v>
      </c>
      <c r="R209" s="3145" t="s">
        <v>5307</v>
      </c>
      <c r="S209" s="3145" t="s">
        <v>5308</v>
      </c>
      <c r="T209" s="3147" t="s">
        <v>5309</v>
      </c>
      <c r="U209" s="4424" t="s">
        <v>5310</v>
      </c>
      <c r="V209" s="148" t="s">
        <v>5311</v>
      </c>
      <c r="W209" s="148" t="s">
        <v>5312</v>
      </c>
      <c r="X209" s="148" t="s">
        <v>5313</v>
      </c>
      <c r="Y209" s="148" t="s">
        <v>5314</v>
      </c>
      <c r="Z209" s="1687" t="e">
        <f>$CB209&amp;CC209</f>
        <v>#VALUE!</v>
      </c>
      <c r="BE209" s="2630"/>
      <c r="BF209" s="2630"/>
      <c r="BG209" s="2630"/>
      <c r="BH209" s="2630"/>
      <c r="BI209" s="2630"/>
      <c r="BJ209" s="2630"/>
      <c r="BK209" s="2630"/>
      <c r="BL209" s="2630"/>
      <c r="BM209" s="2630"/>
      <c r="BN209" s="2630"/>
      <c r="BO209" s="2630"/>
      <c r="BP209" s="2630"/>
      <c r="BQ209" s="2630"/>
      <c r="BR209" s="2630"/>
      <c r="BS209" s="2630"/>
      <c r="BT209" s="2630"/>
      <c r="BU209" s="2630"/>
      <c r="BV209" s="2630"/>
      <c r="BW209" s="2630"/>
      <c r="BX209" s="2630"/>
      <c r="BY209" s="2630"/>
      <c r="BZ209" s="2630"/>
      <c r="CA209" s="2630"/>
      <c r="CB209" s="2920"/>
      <c r="CC209" s="4752" t="e">
        <f t="shared" ref="CC209:CC212" si="38">IF(U209+V209+W209+X209+Y209&lt;&gt;$C209,"* El número de "&amp;U$183&amp;""&amp;" no debe ser distinto del Total. ","")</f>
        <v>#VALUE!</v>
      </c>
      <c r="CD209" s="2630"/>
      <c r="CE209" s="2630"/>
      <c r="CF209" s="2630"/>
      <c r="CG209" s="2630"/>
      <c r="CH209" s="1723" t="e">
        <f t="shared" ref="CH209:CH212" si="39">IF(U209+V209+W209+X209+Y209&lt;&gt;$C209,1,0)</f>
        <v>#VALUE!</v>
      </c>
      <c r="CI209" s="1725"/>
      <c r="CJ209" s="1725"/>
      <c r="CK209" s="1725"/>
      <c r="CL209" s="1725"/>
      <c r="DJ209"/>
    </row>
    <row r="210" spans="1:114" x14ac:dyDescent="0.3">
      <c r="A210" s="6269">
        <v>28021330</v>
      </c>
      <c r="B210" s="3875" t="s">
        <v>2836</v>
      </c>
      <c r="C210" s="3847" t="s">
        <v>5292</v>
      </c>
      <c r="D210" s="3145" t="s">
        <v>5293</v>
      </c>
      <c r="E210" s="3145" t="s">
        <v>5294</v>
      </c>
      <c r="F210" s="3145" t="s">
        <v>5295</v>
      </c>
      <c r="G210" s="3145" t="s">
        <v>5296</v>
      </c>
      <c r="H210" s="3145" t="s">
        <v>5297</v>
      </c>
      <c r="I210" s="3145" t="s">
        <v>5298</v>
      </c>
      <c r="J210" s="3145" t="s">
        <v>5299</v>
      </c>
      <c r="K210" s="3145" t="s">
        <v>5300</v>
      </c>
      <c r="L210" s="3145" t="s">
        <v>5301</v>
      </c>
      <c r="M210" s="3145" t="s">
        <v>5302</v>
      </c>
      <c r="N210" s="3145" t="s">
        <v>5303</v>
      </c>
      <c r="O210" s="3145" t="s">
        <v>5304</v>
      </c>
      <c r="P210" s="3145" t="s">
        <v>5305</v>
      </c>
      <c r="Q210" s="3145" t="s">
        <v>5306</v>
      </c>
      <c r="R210" s="3145" t="s">
        <v>5307</v>
      </c>
      <c r="S210" s="3145" t="s">
        <v>5308</v>
      </c>
      <c r="T210" s="3147" t="s">
        <v>5309</v>
      </c>
      <c r="U210" s="3077" t="s">
        <v>5310</v>
      </c>
      <c r="V210" s="3145" t="s">
        <v>5311</v>
      </c>
      <c r="W210" s="3145" t="s">
        <v>5312</v>
      </c>
      <c r="X210" s="3145" t="s">
        <v>5313</v>
      </c>
      <c r="Y210" s="3145" t="s">
        <v>5314</v>
      </c>
      <c r="Z210" s="1687" t="e">
        <f>$CB210&amp;CC210</f>
        <v>#VALUE!</v>
      </c>
      <c r="BE210" s="2630"/>
      <c r="BF210" s="2630"/>
      <c r="BG210" s="2630"/>
      <c r="BH210" s="2630"/>
      <c r="BI210" s="2630"/>
      <c r="BJ210" s="2630"/>
      <c r="BK210" s="2630"/>
      <c r="BL210" s="2630"/>
      <c r="BM210" s="2630"/>
      <c r="BN210" s="2630"/>
      <c r="BO210" s="2630"/>
      <c r="BP210" s="2630"/>
      <c r="BQ210" s="2630"/>
      <c r="BR210" s="2630"/>
      <c r="BS210" s="2630"/>
      <c r="BT210" s="2630"/>
      <c r="BU210" s="2630"/>
      <c r="BV210" s="2630"/>
      <c r="BW210" s="2630"/>
      <c r="BX210" s="2630"/>
      <c r="BY210" s="2630"/>
      <c r="BZ210" s="2630"/>
      <c r="CA210" s="2630"/>
      <c r="CB210" s="2920"/>
      <c r="CC210" s="4752" t="e">
        <f t="shared" si="38"/>
        <v>#VALUE!</v>
      </c>
      <c r="CD210" s="2630"/>
      <c r="CE210" s="2630"/>
      <c r="CF210" s="2630"/>
      <c r="CG210" s="2630"/>
      <c r="CH210" s="1723" t="e">
        <f t="shared" si="39"/>
        <v>#VALUE!</v>
      </c>
      <c r="CI210" s="1725"/>
      <c r="CJ210" s="1725"/>
      <c r="CK210" s="1725"/>
      <c r="CL210" s="1725"/>
      <c r="DJ210"/>
    </row>
    <row r="211" spans="1:114" x14ac:dyDescent="0.3">
      <c r="A211" s="6269">
        <v>28021340</v>
      </c>
      <c r="B211" s="3875" t="s">
        <v>3314</v>
      </c>
      <c r="C211" s="3847" t="s">
        <v>5292</v>
      </c>
      <c r="D211" s="3145" t="s">
        <v>5293</v>
      </c>
      <c r="E211" s="3145" t="s">
        <v>5294</v>
      </c>
      <c r="F211" s="3145" t="s">
        <v>5295</v>
      </c>
      <c r="G211" s="3145" t="s">
        <v>5296</v>
      </c>
      <c r="H211" s="3145" t="s">
        <v>5297</v>
      </c>
      <c r="I211" s="3145" t="s">
        <v>5298</v>
      </c>
      <c r="J211" s="3145" t="s">
        <v>5299</v>
      </c>
      <c r="K211" s="3145" t="s">
        <v>5300</v>
      </c>
      <c r="L211" s="3145" t="s">
        <v>5301</v>
      </c>
      <c r="M211" s="3145" t="s">
        <v>5302</v>
      </c>
      <c r="N211" s="3145" t="s">
        <v>5303</v>
      </c>
      <c r="O211" s="3145" t="s">
        <v>5304</v>
      </c>
      <c r="P211" s="3145" t="s">
        <v>5305</v>
      </c>
      <c r="Q211" s="3145" t="s">
        <v>5306</v>
      </c>
      <c r="R211" s="3145" t="s">
        <v>5307</v>
      </c>
      <c r="S211" s="3145" t="s">
        <v>5308</v>
      </c>
      <c r="T211" s="3147" t="s">
        <v>5309</v>
      </c>
      <c r="U211" s="3077" t="s">
        <v>5310</v>
      </c>
      <c r="V211" s="3145" t="s">
        <v>5311</v>
      </c>
      <c r="W211" s="3145" t="s">
        <v>5312</v>
      </c>
      <c r="X211" s="3145" t="s">
        <v>5313</v>
      </c>
      <c r="Y211" s="3145" t="s">
        <v>5314</v>
      </c>
      <c r="Z211" s="1687" t="e">
        <f>$CB211&amp;CC211</f>
        <v>#VALUE!</v>
      </c>
      <c r="BE211" s="2630"/>
      <c r="BF211" s="2630"/>
      <c r="BG211" s="2630"/>
      <c r="BH211" s="2630"/>
      <c r="BI211" s="2630"/>
      <c r="BJ211" s="2630"/>
      <c r="BK211" s="2630"/>
      <c r="BL211" s="2630"/>
      <c r="BM211" s="2630"/>
      <c r="BN211" s="2630"/>
      <c r="BO211" s="2630"/>
      <c r="BP211" s="2630"/>
      <c r="BQ211" s="2630"/>
      <c r="BR211" s="2630"/>
      <c r="BS211" s="2630"/>
      <c r="BT211" s="2630"/>
      <c r="BU211" s="2630"/>
      <c r="BV211" s="2630"/>
      <c r="BW211" s="2630"/>
      <c r="BX211" s="2630"/>
      <c r="BY211" s="2630"/>
      <c r="BZ211" s="2630"/>
      <c r="CA211" s="2630"/>
      <c r="CB211" s="2920"/>
      <c r="CC211" s="4752" t="e">
        <f t="shared" si="38"/>
        <v>#VALUE!</v>
      </c>
      <c r="CD211" s="2630"/>
      <c r="CE211" s="2630"/>
      <c r="CF211" s="2630"/>
      <c r="CG211" s="2630"/>
      <c r="CH211" s="1723" t="e">
        <f t="shared" si="39"/>
        <v>#VALUE!</v>
      </c>
      <c r="CI211" s="1725"/>
      <c r="CJ211" s="1725"/>
      <c r="CK211" s="1725"/>
      <c r="CL211" s="1725"/>
      <c r="DJ211"/>
    </row>
    <row r="212" spans="1:114" x14ac:dyDescent="0.3">
      <c r="A212" s="6269">
        <v>28021350</v>
      </c>
      <c r="B212" s="3184" t="s">
        <v>75</v>
      </c>
      <c r="C212" s="1684" t="s">
        <v>5292</v>
      </c>
      <c r="D212" s="153" t="s">
        <v>5293</v>
      </c>
      <c r="E212" s="153" t="s">
        <v>5294</v>
      </c>
      <c r="F212" s="153" t="s">
        <v>5295</v>
      </c>
      <c r="G212" s="153" t="s">
        <v>5296</v>
      </c>
      <c r="H212" s="153" t="s">
        <v>5297</v>
      </c>
      <c r="I212" s="153" t="s">
        <v>5298</v>
      </c>
      <c r="J212" s="153" t="s">
        <v>5299</v>
      </c>
      <c r="K212" s="153" t="s">
        <v>5300</v>
      </c>
      <c r="L212" s="153" t="s">
        <v>5301</v>
      </c>
      <c r="M212" s="153" t="s">
        <v>5302</v>
      </c>
      <c r="N212" s="153" t="s">
        <v>5303</v>
      </c>
      <c r="O212" s="153" t="s">
        <v>5304</v>
      </c>
      <c r="P212" s="153" t="s">
        <v>5305</v>
      </c>
      <c r="Q212" s="153" t="s">
        <v>5306</v>
      </c>
      <c r="R212" s="153" t="s">
        <v>5307</v>
      </c>
      <c r="S212" s="153" t="s">
        <v>5308</v>
      </c>
      <c r="T212" s="1688" t="s">
        <v>5309</v>
      </c>
      <c r="U212" s="117" t="s">
        <v>5310</v>
      </c>
      <c r="V212" s="153" t="s">
        <v>5311</v>
      </c>
      <c r="W212" s="153" t="s">
        <v>5312</v>
      </c>
      <c r="X212" s="153" t="s">
        <v>5313</v>
      </c>
      <c r="Y212" s="153" t="s">
        <v>5314</v>
      </c>
      <c r="Z212" s="1687" t="e">
        <f>$CB212&amp;CC212</f>
        <v>#VALUE!</v>
      </c>
      <c r="BE212" s="2630"/>
      <c r="BF212" s="2630"/>
      <c r="BG212" s="2630"/>
      <c r="BH212" s="2630"/>
      <c r="BI212" s="2630"/>
      <c r="BJ212" s="2630"/>
      <c r="BK212" s="2630"/>
      <c r="BL212" s="2630"/>
      <c r="BM212" s="2630"/>
      <c r="BN212" s="2630"/>
      <c r="BO212" s="2630"/>
      <c r="BP212" s="2630"/>
      <c r="BQ212" s="2630"/>
      <c r="BR212" s="2630"/>
      <c r="BS212" s="2630"/>
      <c r="BT212" s="2630"/>
      <c r="BU212" s="2630"/>
      <c r="BV212" s="2630"/>
      <c r="BW212" s="2630"/>
      <c r="BX212" s="2630"/>
      <c r="BY212" s="2630"/>
      <c r="BZ212" s="2630"/>
      <c r="CA212" s="2630"/>
      <c r="CB212" s="2920"/>
      <c r="CC212" s="4752" t="e">
        <f t="shared" si="38"/>
        <v>#VALUE!</v>
      </c>
      <c r="CD212" s="2630"/>
      <c r="CE212" s="2630"/>
      <c r="CF212" s="2630"/>
      <c r="CG212" s="2630"/>
      <c r="CH212" s="1723" t="e">
        <f t="shared" si="39"/>
        <v>#VALUE!</v>
      </c>
      <c r="CI212" s="1725"/>
      <c r="CJ212" s="1725"/>
      <c r="CK212" s="1725"/>
      <c r="CL212" s="1725"/>
      <c r="DJ212"/>
    </row>
    <row r="213" spans="1:114" x14ac:dyDescent="0.3">
      <c r="A213" s="6278"/>
      <c r="B213" s="5265" t="s">
        <v>24</v>
      </c>
      <c r="C213" s="5264">
        <f t="shared" ref="C213:Y213" si="40">SUM(C209:C212)</f>
        <v>0</v>
      </c>
      <c r="D213" s="5264">
        <f t="shared" si="40"/>
        <v>0</v>
      </c>
      <c r="E213" s="5264">
        <f t="shared" si="40"/>
        <v>0</v>
      </c>
      <c r="F213" s="5264">
        <f t="shared" si="40"/>
        <v>0</v>
      </c>
      <c r="G213" s="5264">
        <f t="shared" si="40"/>
        <v>0</v>
      </c>
      <c r="H213" s="5264">
        <f t="shared" si="40"/>
        <v>0</v>
      </c>
      <c r="I213" s="5264">
        <f t="shared" si="40"/>
        <v>0</v>
      </c>
      <c r="J213" s="5264">
        <f t="shared" si="40"/>
        <v>0</v>
      </c>
      <c r="K213" s="5264">
        <f t="shared" si="40"/>
        <v>0</v>
      </c>
      <c r="L213" s="5264">
        <f t="shared" si="40"/>
        <v>0</v>
      </c>
      <c r="M213" s="5264">
        <f t="shared" si="40"/>
        <v>0</v>
      </c>
      <c r="N213" s="5264">
        <f t="shared" si="40"/>
        <v>0</v>
      </c>
      <c r="O213" s="5264">
        <f t="shared" si="40"/>
        <v>0</v>
      </c>
      <c r="P213" s="5264">
        <f t="shared" si="40"/>
        <v>0</v>
      </c>
      <c r="Q213" s="5264">
        <f t="shared" si="40"/>
        <v>0</v>
      </c>
      <c r="R213" s="5264">
        <f t="shared" si="40"/>
        <v>0</v>
      </c>
      <c r="S213" s="5264">
        <f t="shared" si="40"/>
        <v>0</v>
      </c>
      <c r="T213" s="5263">
        <f t="shared" si="40"/>
        <v>0</v>
      </c>
      <c r="U213" s="773">
        <f t="shared" si="40"/>
        <v>0</v>
      </c>
      <c r="V213" s="150">
        <f t="shared" si="40"/>
        <v>0</v>
      </c>
      <c r="W213" s="150">
        <f t="shared" si="40"/>
        <v>0</v>
      </c>
      <c r="X213" s="150">
        <f t="shared" si="40"/>
        <v>0</v>
      </c>
      <c r="Y213" s="150">
        <f t="shared" si="40"/>
        <v>0</v>
      </c>
    </row>
    <row r="214" spans="1:114" ht="18" customHeight="1" x14ac:dyDescent="0.3">
      <c r="A214" s="20"/>
      <c r="B214" s="123" t="s">
        <v>3318</v>
      </c>
      <c r="C214" s="101"/>
    </row>
    <row r="215" spans="1:114" x14ac:dyDescent="0.3">
      <c r="A215" s="20"/>
      <c r="B215" s="5161" t="s">
        <v>3319</v>
      </c>
      <c r="C215" s="5262" t="s">
        <v>1</v>
      </c>
    </row>
    <row r="216" spans="1:114" x14ac:dyDescent="0.3">
      <c r="A216" s="6269">
        <v>28021360</v>
      </c>
      <c r="B216" s="1691" t="s">
        <v>3320</v>
      </c>
      <c r="C216" s="148" t="s">
        <v>5292</v>
      </c>
    </row>
    <row r="217" spans="1:114" x14ac:dyDescent="0.3">
      <c r="A217" s="6269">
        <v>28021370</v>
      </c>
      <c r="B217" s="3154" t="s">
        <v>3321</v>
      </c>
      <c r="C217" s="3145" t="s">
        <v>5292</v>
      </c>
    </row>
    <row r="218" spans="1:114" x14ac:dyDescent="0.3">
      <c r="A218" s="6269">
        <v>28021380</v>
      </c>
      <c r="B218" s="3154" t="s">
        <v>3322</v>
      </c>
      <c r="C218" s="3145" t="s">
        <v>5292</v>
      </c>
    </row>
    <row r="219" spans="1:114" x14ac:dyDescent="0.3">
      <c r="A219" s="6269">
        <v>29101654</v>
      </c>
      <c r="B219" s="590" t="s">
        <v>3323</v>
      </c>
      <c r="C219" s="153" t="s">
        <v>5292</v>
      </c>
    </row>
    <row r="220" spans="1:114" ht="18" customHeight="1" x14ac:dyDescent="0.3">
      <c r="B220" s="122" t="s">
        <v>3324</v>
      </c>
      <c r="C220" s="101"/>
    </row>
    <row r="221" spans="1:114" x14ac:dyDescent="0.3">
      <c r="B221" s="5183" t="s">
        <v>112</v>
      </c>
      <c r="C221" s="5262" t="s">
        <v>24</v>
      </c>
    </row>
    <row r="222" spans="1:114" x14ac:dyDescent="0.3">
      <c r="A222" s="6269">
        <v>28021390</v>
      </c>
      <c r="B222" s="3154" t="s">
        <v>3231</v>
      </c>
      <c r="C222" s="3145" t="s">
        <v>5292</v>
      </c>
    </row>
    <row r="223" spans="1:114" x14ac:dyDescent="0.3">
      <c r="A223" s="6269">
        <v>29101655</v>
      </c>
      <c r="B223" s="3154" t="s">
        <v>2882</v>
      </c>
      <c r="C223" s="3145" t="s">
        <v>5292</v>
      </c>
    </row>
    <row r="224" spans="1:114" x14ac:dyDescent="0.3">
      <c r="A224" s="6269">
        <v>28021460</v>
      </c>
      <c r="B224" s="3154" t="s">
        <v>3232</v>
      </c>
      <c r="C224" s="3145" t="s">
        <v>5292</v>
      </c>
    </row>
    <row r="225" spans="1:3" ht="24" customHeight="1" x14ac:dyDescent="0.3">
      <c r="A225" s="6269">
        <v>28021550</v>
      </c>
      <c r="B225" s="3901" t="s">
        <v>3233</v>
      </c>
      <c r="C225" s="3145" t="s">
        <v>5292</v>
      </c>
    </row>
    <row r="226" spans="1:3" x14ac:dyDescent="0.3">
      <c r="A226" s="6269">
        <v>28021570</v>
      </c>
      <c r="B226" s="3154" t="s">
        <v>3234</v>
      </c>
      <c r="C226" s="3145" t="s">
        <v>5292</v>
      </c>
    </row>
    <row r="227" spans="1:3" x14ac:dyDescent="0.3">
      <c r="A227" s="6269">
        <v>28021590</v>
      </c>
      <c r="B227" s="3154" t="s">
        <v>3235</v>
      </c>
      <c r="C227" s="3145" t="s">
        <v>5292</v>
      </c>
    </row>
    <row r="228" spans="1:3" x14ac:dyDescent="0.3">
      <c r="A228" s="6269">
        <v>28021600</v>
      </c>
      <c r="B228" s="3154" t="s">
        <v>3236</v>
      </c>
      <c r="C228" s="3145" t="s">
        <v>5292</v>
      </c>
    </row>
    <row r="229" spans="1:3" x14ac:dyDescent="0.3">
      <c r="A229" s="6269">
        <v>28021400</v>
      </c>
      <c r="B229" s="3154" t="s">
        <v>3325</v>
      </c>
      <c r="C229" s="3145" t="s">
        <v>5292</v>
      </c>
    </row>
    <row r="230" spans="1:3" x14ac:dyDescent="0.3">
      <c r="A230" s="6269">
        <v>29101656</v>
      </c>
      <c r="B230" s="3154" t="s">
        <v>3240</v>
      </c>
      <c r="C230" s="3145" t="s">
        <v>5292</v>
      </c>
    </row>
    <row r="231" spans="1:3" x14ac:dyDescent="0.3">
      <c r="A231" s="6269">
        <v>28022520</v>
      </c>
      <c r="B231" s="3154" t="s">
        <v>3237</v>
      </c>
      <c r="C231" s="3145" t="s">
        <v>5292</v>
      </c>
    </row>
    <row r="232" spans="1:3" x14ac:dyDescent="0.3">
      <c r="A232" s="6269">
        <v>28021540</v>
      </c>
      <c r="B232" s="3154" t="s">
        <v>3326</v>
      </c>
      <c r="C232" s="3145" t="s">
        <v>5292</v>
      </c>
    </row>
    <row r="233" spans="1:3" x14ac:dyDescent="0.3">
      <c r="A233" s="6269">
        <v>29101657</v>
      </c>
      <c r="B233" s="3154" t="s">
        <v>3239</v>
      </c>
      <c r="C233" s="3145" t="s">
        <v>5292</v>
      </c>
    </row>
    <row r="234" spans="1:3" x14ac:dyDescent="0.3">
      <c r="A234" s="6269">
        <v>29101658</v>
      </c>
      <c r="B234" s="3154" t="s">
        <v>3327</v>
      </c>
      <c r="C234" s="3145" t="s">
        <v>5292</v>
      </c>
    </row>
    <row r="235" spans="1:3" x14ac:dyDescent="0.3">
      <c r="A235" s="6269">
        <v>29101659</v>
      </c>
      <c r="B235" s="3154" t="s">
        <v>3328</v>
      </c>
      <c r="C235" s="3145" t="s">
        <v>5292</v>
      </c>
    </row>
    <row r="236" spans="1:3" x14ac:dyDescent="0.3">
      <c r="A236" s="6269">
        <v>28021500</v>
      </c>
      <c r="B236" s="3154" t="s">
        <v>3241</v>
      </c>
      <c r="C236" s="3145" t="s">
        <v>5292</v>
      </c>
    </row>
    <row r="237" spans="1:3" x14ac:dyDescent="0.3">
      <c r="A237" s="6269">
        <v>28021480</v>
      </c>
      <c r="B237" s="3154" t="s">
        <v>3242</v>
      </c>
      <c r="C237" s="3145" t="s">
        <v>5292</v>
      </c>
    </row>
    <row r="238" spans="1:3" x14ac:dyDescent="0.3">
      <c r="A238" s="6269">
        <v>28101080</v>
      </c>
      <c r="B238" s="3154" t="s">
        <v>3243</v>
      </c>
      <c r="C238" s="3145" t="s">
        <v>5292</v>
      </c>
    </row>
    <row r="239" spans="1:3" x14ac:dyDescent="0.3">
      <c r="A239" s="6269">
        <v>29101660</v>
      </c>
      <c r="B239" s="3154" t="s">
        <v>3244</v>
      </c>
      <c r="C239" s="3145" t="s">
        <v>5292</v>
      </c>
    </row>
    <row r="240" spans="1:3" x14ac:dyDescent="0.3">
      <c r="A240" s="6269">
        <v>29101661</v>
      </c>
      <c r="B240" s="3154" t="s">
        <v>3329</v>
      </c>
      <c r="C240" s="3145" t="s">
        <v>5292</v>
      </c>
    </row>
    <row r="241" spans="1:20" x14ac:dyDescent="0.3">
      <c r="A241" s="6269">
        <v>28022500</v>
      </c>
      <c r="B241" s="3154" t="s">
        <v>3246</v>
      </c>
      <c r="C241" s="3145" t="s">
        <v>5292</v>
      </c>
    </row>
    <row r="242" spans="1:20" x14ac:dyDescent="0.3">
      <c r="A242" s="6269">
        <v>28022530</v>
      </c>
      <c r="B242" s="3154" t="s">
        <v>3330</v>
      </c>
      <c r="C242" s="3145" t="s">
        <v>5292</v>
      </c>
    </row>
    <row r="243" spans="1:20" x14ac:dyDescent="0.3">
      <c r="A243" s="6269">
        <v>29101662</v>
      </c>
      <c r="B243" s="3154" t="s">
        <v>3331</v>
      </c>
      <c r="C243" s="3145" t="s">
        <v>5292</v>
      </c>
    </row>
    <row r="244" spans="1:20" x14ac:dyDescent="0.3">
      <c r="A244" s="6269">
        <v>28101090</v>
      </c>
      <c r="B244" s="3154" t="s">
        <v>3332</v>
      </c>
      <c r="C244" s="3145" t="s">
        <v>5292</v>
      </c>
    </row>
    <row r="245" spans="1:20" x14ac:dyDescent="0.3">
      <c r="A245" s="6269">
        <v>28022610</v>
      </c>
      <c r="B245" s="3154" t="s">
        <v>3333</v>
      </c>
      <c r="C245" s="3145" t="s">
        <v>5292</v>
      </c>
    </row>
    <row r="246" spans="1:20" x14ac:dyDescent="0.3">
      <c r="A246" s="6269">
        <v>28022620</v>
      </c>
      <c r="B246" s="590" t="s">
        <v>3334</v>
      </c>
      <c r="C246" s="153" t="s">
        <v>5292</v>
      </c>
    </row>
    <row r="247" spans="1:20" x14ac:dyDescent="0.3">
      <c r="B247" s="5261" t="s">
        <v>24</v>
      </c>
      <c r="C247" s="5082">
        <f>SUM(C222:C246)</f>
        <v>0</v>
      </c>
    </row>
    <row r="248" spans="1:20" ht="18" customHeight="1" x14ac:dyDescent="0.3">
      <c r="B248" s="123" t="s">
        <v>3335</v>
      </c>
      <c r="C248" s="123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</row>
    <row r="249" spans="1:20" ht="18" customHeight="1" x14ac:dyDescent="0.3">
      <c r="B249" s="123" t="s">
        <v>3336</v>
      </c>
      <c r="C249" s="778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</row>
    <row r="250" spans="1:20" x14ac:dyDescent="0.3">
      <c r="B250" s="7521" t="s">
        <v>3337</v>
      </c>
      <c r="C250" s="7612" t="s">
        <v>24</v>
      </c>
      <c r="D250" s="7548" t="s">
        <v>12</v>
      </c>
      <c r="E250" s="7556"/>
      <c r="F250" s="7556"/>
      <c r="G250" s="7556"/>
      <c r="H250" s="7556"/>
      <c r="I250" s="7556"/>
      <c r="J250" s="7556"/>
      <c r="K250" s="7556"/>
      <c r="L250" s="7556"/>
      <c r="M250" s="7556"/>
      <c r="N250" s="7556"/>
      <c r="O250" s="7556"/>
      <c r="P250" s="7556"/>
      <c r="Q250" s="7556"/>
      <c r="R250" s="7556"/>
      <c r="S250" s="7556"/>
      <c r="T250" s="7549"/>
    </row>
    <row r="251" spans="1:20" x14ac:dyDescent="0.3">
      <c r="B251" s="7109"/>
      <c r="C251" s="7613"/>
      <c r="D251" s="5260" t="s">
        <v>36</v>
      </c>
      <c r="E251" s="5260" t="s">
        <v>37</v>
      </c>
      <c r="F251" s="5260" t="s">
        <v>38</v>
      </c>
      <c r="G251" s="5260" t="s">
        <v>4</v>
      </c>
      <c r="H251" s="5260" t="s">
        <v>5</v>
      </c>
      <c r="I251" s="5260" t="s">
        <v>560</v>
      </c>
      <c r="J251" s="5260" t="s">
        <v>561</v>
      </c>
      <c r="K251" s="5260" t="s">
        <v>8</v>
      </c>
      <c r="L251" s="5260" t="s">
        <v>9</v>
      </c>
      <c r="M251" s="5260" t="s">
        <v>576</v>
      </c>
      <c r="N251" s="5260" t="s">
        <v>11</v>
      </c>
      <c r="O251" s="5260" t="s">
        <v>18</v>
      </c>
      <c r="P251" s="5260" t="s">
        <v>19</v>
      </c>
      <c r="Q251" s="5260" t="s">
        <v>20</v>
      </c>
      <c r="R251" s="5260" t="s">
        <v>70</v>
      </c>
      <c r="S251" s="5260" t="s">
        <v>71</v>
      </c>
      <c r="T251" s="5259" t="s">
        <v>72</v>
      </c>
    </row>
    <row r="252" spans="1:20" x14ac:dyDescent="0.3">
      <c r="A252" s="6269">
        <v>29101663</v>
      </c>
      <c r="B252" s="5258" t="s">
        <v>3338</v>
      </c>
      <c r="C252" s="5223" t="s">
        <v>5292</v>
      </c>
      <c r="D252" s="5227" t="s">
        <v>5293</v>
      </c>
      <c r="E252" s="5228" t="s">
        <v>5294</v>
      </c>
      <c r="F252" s="5228" t="s">
        <v>5295</v>
      </c>
      <c r="G252" s="5228" t="s">
        <v>5296</v>
      </c>
      <c r="H252" s="5228" t="s">
        <v>5297</v>
      </c>
      <c r="I252" s="5228" t="s">
        <v>5298</v>
      </c>
      <c r="J252" s="5228" t="s">
        <v>5299</v>
      </c>
      <c r="K252" s="5228" t="s">
        <v>5300</v>
      </c>
      <c r="L252" s="5228" t="s">
        <v>5301</v>
      </c>
      <c r="M252" s="5228" t="s">
        <v>5302</v>
      </c>
      <c r="N252" s="5228" t="s">
        <v>5303</v>
      </c>
      <c r="O252" s="5228" t="s">
        <v>5304</v>
      </c>
      <c r="P252" s="5228" t="s">
        <v>5305</v>
      </c>
      <c r="Q252" s="5228" t="s">
        <v>5306</v>
      </c>
      <c r="R252" s="5228" t="s">
        <v>5307</v>
      </c>
      <c r="S252" s="5228" t="s">
        <v>5308</v>
      </c>
      <c r="T252" s="5257" t="s">
        <v>5309</v>
      </c>
    </row>
    <row r="253" spans="1:20" x14ac:dyDescent="0.3">
      <c r="A253" s="6269">
        <v>28022630</v>
      </c>
      <c r="B253" s="3460" t="s">
        <v>3339</v>
      </c>
      <c r="C253" s="3902" t="s">
        <v>5292</v>
      </c>
      <c r="D253" s="1072" t="s">
        <v>5293</v>
      </c>
      <c r="E253" s="1073" t="s">
        <v>5294</v>
      </c>
      <c r="F253" s="1073" t="s">
        <v>5295</v>
      </c>
      <c r="G253" s="1073" t="s">
        <v>5296</v>
      </c>
      <c r="H253" s="1073" t="s">
        <v>5297</v>
      </c>
      <c r="I253" s="1073" t="s">
        <v>5298</v>
      </c>
      <c r="J253" s="1073" t="s">
        <v>5299</v>
      </c>
      <c r="K253" s="1073" t="s">
        <v>5300</v>
      </c>
      <c r="L253" s="1073" t="s">
        <v>5301</v>
      </c>
      <c r="M253" s="1073" t="s">
        <v>5302</v>
      </c>
      <c r="N253" s="1073" t="s">
        <v>5303</v>
      </c>
      <c r="O253" s="1073" t="s">
        <v>5304</v>
      </c>
      <c r="P253" s="1073" t="s">
        <v>5305</v>
      </c>
      <c r="Q253" s="1073" t="s">
        <v>5306</v>
      </c>
      <c r="R253" s="1073" t="s">
        <v>5307</v>
      </c>
      <c r="S253" s="1073" t="s">
        <v>5308</v>
      </c>
      <c r="T253" s="3077" t="s">
        <v>5309</v>
      </c>
    </row>
    <row r="254" spans="1:20" x14ac:dyDescent="0.3">
      <c r="A254" s="6269">
        <v>29101664</v>
      </c>
      <c r="B254" s="5256" t="s">
        <v>3340</v>
      </c>
      <c r="C254" s="5255" t="s">
        <v>5292</v>
      </c>
      <c r="D254" s="5090" t="s">
        <v>5293</v>
      </c>
      <c r="E254" s="2411" t="s">
        <v>5294</v>
      </c>
      <c r="F254" s="2411" t="s">
        <v>5295</v>
      </c>
      <c r="G254" s="2411" t="s">
        <v>5296</v>
      </c>
      <c r="H254" s="2411" t="s">
        <v>5297</v>
      </c>
      <c r="I254" s="2411" t="s">
        <v>5298</v>
      </c>
      <c r="J254" s="2411" t="s">
        <v>5299</v>
      </c>
      <c r="K254" s="2411" t="s">
        <v>5300</v>
      </c>
      <c r="L254" s="2411" t="s">
        <v>5301</v>
      </c>
      <c r="M254" s="2411" t="s">
        <v>5302</v>
      </c>
      <c r="N254" s="2411" t="s">
        <v>5303</v>
      </c>
      <c r="O254" s="2411" t="s">
        <v>5304</v>
      </c>
      <c r="P254" s="2411" t="s">
        <v>5305</v>
      </c>
      <c r="Q254" s="2411" t="s">
        <v>5306</v>
      </c>
      <c r="R254" s="2411" t="s">
        <v>5307</v>
      </c>
      <c r="S254" s="2411" t="s">
        <v>5308</v>
      </c>
      <c r="T254" s="5091" t="s">
        <v>5309</v>
      </c>
    </row>
    <row r="255" spans="1:20" ht="18" customHeight="1" x14ac:dyDescent="0.3">
      <c r="A255" s="20"/>
      <c r="B255" s="123" t="s">
        <v>3341</v>
      </c>
      <c r="C255" s="3903"/>
      <c r="D255" s="101"/>
      <c r="E255" s="3903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</row>
    <row r="256" spans="1:20" x14ac:dyDescent="0.3">
      <c r="A256" s="6283"/>
      <c r="B256" s="7521" t="s">
        <v>3342</v>
      </c>
      <c r="C256" s="7612" t="s">
        <v>47</v>
      </c>
      <c r="D256" s="7548" t="s">
        <v>12</v>
      </c>
      <c r="E256" s="7556"/>
      <c r="F256" s="7556"/>
      <c r="G256" s="7556"/>
      <c r="H256" s="7556"/>
      <c r="I256" s="7556"/>
      <c r="J256" s="7556"/>
      <c r="K256" s="7556"/>
      <c r="L256" s="7556"/>
      <c r="M256" s="7556"/>
      <c r="N256" s="7556"/>
      <c r="O256" s="7556"/>
      <c r="P256" s="7556"/>
      <c r="Q256" s="7556"/>
      <c r="R256" s="7556"/>
      <c r="S256" s="7556"/>
      <c r="T256" s="7549"/>
    </row>
    <row r="257" spans="1:20" x14ac:dyDescent="0.3">
      <c r="A257" s="6283"/>
      <c r="B257" s="7109"/>
      <c r="C257" s="7613"/>
      <c r="D257" s="5254" t="s">
        <v>36</v>
      </c>
      <c r="E257" s="5254" t="s">
        <v>37</v>
      </c>
      <c r="F257" s="5254" t="s">
        <v>38</v>
      </c>
      <c r="G257" s="5254" t="s">
        <v>4</v>
      </c>
      <c r="H257" s="5254" t="s">
        <v>5</v>
      </c>
      <c r="I257" s="5254" t="s">
        <v>560</v>
      </c>
      <c r="J257" s="5254" t="s">
        <v>561</v>
      </c>
      <c r="K257" s="5254" t="s">
        <v>8</v>
      </c>
      <c r="L257" s="5254" t="s">
        <v>9</v>
      </c>
      <c r="M257" s="5254" t="s">
        <v>576</v>
      </c>
      <c r="N257" s="5254" t="s">
        <v>11</v>
      </c>
      <c r="O257" s="5254" t="s">
        <v>18</v>
      </c>
      <c r="P257" s="5254" t="s">
        <v>19</v>
      </c>
      <c r="Q257" s="5254" t="s">
        <v>20</v>
      </c>
      <c r="R257" s="5254" t="s">
        <v>70</v>
      </c>
      <c r="S257" s="5254" t="s">
        <v>71</v>
      </c>
      <c r="T257" s="5254" t="s">
        <v>72</v>
      </c>
    </row>
    <row r="258" spans="1:20" x14ac:dyDescent="0.3">
      <c r="A258" s="6269">
        <v>28022640</v>
      </c>
      <c r="B258" s="1692" t="s">
        <v>3343</v>
      </c>
      <c r="C258" s="1692" t="s">
        <v>5292</v>
      </c>
      <c r="D258" s="5227" t="s">
        <v>5293</v>
      </c>
      <c r="E258" s="5228" t="s">
        <v>5294</v>
      </c>
      <c r="F258" s="5228" t="s">
        <v>5295</v>
      </c>
      <c r="G258" s="5228" t="s">
        <v>5296</v>
      </c>
      <c r="H258" s="5228" t="s">
        <v>5297</v>
      </c>
      <c r="I258" s="5228" t="s">
        <v>5298</v>
      </c>
      <c r="J258" s="5228" t="s">
        <v>5299</v>
      </c>
      <c r="K258" s="5228" t="s">
        <v>5300</v>
      </c>
      <c r="L258" s="5228" t="s">
        <v>5301</v>
      </c>
      <c r="M258" s="5228" t="s">
        <v>5302</v>
      </c>
      <c r="N258" s="5228" t="s">
        <v>5303</v>
      </c>
      <c r="O258" s="5228" t="s">
        <v>5304</v>
      </c>
      <c r="P258" s="5228" t="s">
        <v>5305</v>
      </c>
      <c r="Q258" s="5228" t="s">
        <v>5306</v>
      </c>
      <c r="R258" s="5228" t="s">
        <v>5307</v>
      </c>
      <c r="S258" s="5228" t="s">
        <v>5308</v>
      </c>
      <c r="T258" s="5231" t="s">
        <v>5309</v>
      </c>
    </row>
    <row r="259" spans="1:20" x14ac:dyDescent="0.3">
      <c r="A259" s="6269">
        <v>28022650</v>
      </c>
      <c r="B259" s="3046" t="s">
        <v>3344</v>
      </c>
      <c r="C259" s="3046" t="s">
        <v>5292</v>
      </c>
      <c r="D259" s="1072" t="s">
        <v>5293</v>
      </c>
      <c r="E259" s="1073" t="s">
        <v>5294</v>
      </c>
      <c r="F259" s="1073" t="s">
        <v>5295</v>
      </c>
      <c r="G259" s="1073" t="s">
        <v>5296</v>
      </c>
      <c r="H259" s="1073" t="s">
        <v>5297</v>
      </c>
      <c r="I259" s="1073" t="s">
        <v>5298</v>
      </c>
      <c r="J259" s="1073" t="s">
        <v>5299</v>
      </c>
      <c r="K259" s="1073" t="s">
        <v>5300</v>
      </c>
      <c r="L259" s="1073" t="s">
        <v>5301</v>
      </c>
      <c r="M259" s="1073" t="s">
        <v>5302</v>
      </c>
      <c r="N259" s="1073" t="s">
        <v>5303</v>
      </c>
      <c r="O259" s="1073" t="s">
        <v>5304</v>
      </c>
      <c r="P259" s="1073" t="s">
        <v>5305</v>
      </c>
      <c r="Q259" s="1073" t="s">
        <v>5306</v>
      </c>
      <c r="R259" s="1073" t="s">
        <v>5307</v>
      </c>
      <c r="S259" s="1073" t="s">
        <v>5308</v>
      </c>
      <c r="T259" s="3077" t="s">
        <v>5309</v>
      </c>
    </row>
    <row r="260" spans="1:20" x14ac:dyDescent="0.3">
      <c r="A260" s="6269">
        <v>28022660</v>
      </c>
      <c r="B260" s="3046" t="s">
        <v>3345</v>
      </c>
      <c r="C260" s="3046" t="s">
        <v>5292</v>
      </c>
      <c r="D260" s="1072" t="s">
        <v>5293</v>
      </c>
      <c r="E260" s="1073" t="s">
        <v>5294</v>
      </c>
      <c r="F260" s="1073" t="s">
        <v>5295</v>
      </c>
      <c r="G260" s="1073" t="s">
        <v>5296</v>
      </c>
      <c r="H260" s="1073" t="s">
        <v>5297</v>
      </c>
      <c r="I260" s="1073" t="s">
        <v>5298</v>
      </c>
      <c r="J260" s="1073" t="s">
        <v>5299</v>
      </c>
      <c r="K260" s="1073" t="s">
        <v>5300</v>
      </c>
      <c r="L260" s="1073" t="s">
        <v>5301</v>
      </c>
      <c r="M260" s="1073" t="s">
        <v>5302</v>
      </c>
      <c r="N260" s="1073" t="s">
        <v>5303</v>
      </c>
      <c r="O260" s="1073" t="s">
        <v>5304</v>
      </c>
      <c r="P260" s="1073" t="s">
        <v>5305</v>
      </c>
      <c r="Q260" s="1073" t="s">
        <v>5306</v>
      </c>
      <c r="R260" s="1073" t="s">
        <v>5307</v>
      </c>
      <c r="S260" s="1073" t="s">
        <v>5308</v>
      </c>
      <c r="T260" s="3077" t="s">
        <v>5309</v>
      </c>
    </row>
    <row r="261" spans="1:20" x14ac:dyDescent="0.3">
      <c r="A261" s="6269">
        <v>28022670</v>
      </c>
      <c r="B261" s="3046" t="s">
        <v>3346</v>
      </c>
      <c r="C261" s="3046" t="s">
        <v>5292</v>
      </c>
      <c r="D261" s="1072" t="s">
        <v>5293</v>
      </c>
      <c r="E261" s="1073" t="s">
        <v>5294</v>
      </c>
      <c r="F261" s="1073" t="s">
        <v>5295</v>
      </c>
      <c r="G261" s="1073" t="s">
        <v>5296</v>
      </c>
      <c r="H261" s="1073" t="s">
        <v>5297</v>
      </c>
      <c r="I261" s="1073" t="s">
        <v>5298</v>
      </c>
      <c r="J261" s="1073" t="s">
        <v>5299</v>
      </c>
      <c r="K261" s="1073" t="s">
        <v>5300</v>
      </c>
      <c r="L261" s="1073" t="s">
        <v>5301</v>
      </c>
      <c r="M261" s="1073" t="s">
        <v>5302</v>
      </c>
      <c r="N261" s="1073" t="s">
        <v>5303</v>
      </c>
      <c r="O261" s="1073" t="s">
        <v>5304</v>
      </c>
      <c r="P261" s="1073" t="s">
        <v>5305</v>
      </c>
      <c r="Q261" s="1073" t="s">
        <v>5306</v>
      </c>
      <c r="R261" s="1073" t="s">
        <v>5307</v>
      </c>
      <c r="S261" s="1073" t="s">
        <v>5308</v>
      </c>
      <c r="T261" s="3077" t="s">
        <v>5309</v>
      </c>
    </row>
    <row r="262" spans="1:20" x14ac:dyDescent="0.3">
      <c r="A262" s="6269">
        <v>28022680</v>
      </c>
      <c r="B262" s="3046" t="s">
        <v>3347</v>
      </c>
      <c r="C262" s="3046" t="s">
        <v>5292</v>
      </c>
      <c r="D262" s="1072" t="s">
        <v>5293</v>
      </c>
      <c r="E262" s="1073" t="s">
        <v>5294</v>
      </c>
      <c r="F262" s="1073" t="s">
        <v>5295</v>
      </c>
      <c r="G262" s="1073" t="s">
        <v>5296</v>
      </c>
      <c r="H262" s="1073" t="s">
        <v>5297</v>
      </c>
      <c r="I262" s="1073" t="s">
        <v>5298</v>
      </c>
      <c r="J262" s="1073" t="s">
        <v>5299</v>
      </c>
      <c r="K262" s="1073" t="s">
        <v>5300</v>
      </c>
      <c r="L262" s="1073" t="s">
        <v>5301</v>
      </c>
      <c r="M262" s="1073" t="s">
        <v>5302</v>
      </c>
      <c r="N262" s="1073" t="s">
        <v>5303</v>
      </c>
      <c r="O262" s="1073" t="s">
        <v>5304</v>
      </c>
      <c r="P262" s="1073" t="s">
        <v>5305</v>
      </c>
      <c r="Q262" s="1073" t="s">
        <v>5306</v>
      </c>
      <c r="R262" s="1073" t="s">
        <v>5307</v>
      </c>
      <c r="S262" s="1073" t="s">
        <v>5308</v>
      </c>
      <c r="T262" s="3077" t="s">
        <v>5309</v>
      </c>
    </row>
    <row r="263" spans="1:20" x14ac:dyDescent="0.3">
      <c r="A263" s="6269">
        <v>28022690</v>
      </c>
      <c r="B263" s="3046" t="s">
        <v>3348</v>
      </c>
      <c r="C263" s="3046" t="s">
        <v>5292</v>
      </c>
      <c r="D263" s="1072" t="s">
        <v>5293</v>
      </c>
      <c r="E263" s="1073" t="s">
        <v>5294</v>
      </c>
      <c r="F263" s="1073" t="s">
        <v>5295</v>
      </c>
      <c r="G263" s="1073" t="s">
        <v>5296</v>
      </c>
      <c r="H263" s="1073" t="s">
        <v>5297</v>
      </c>
      <c r="I263" s="1073" t="s">
        <v>5298</v>
      </c>
      <c r="J263" s="1073" t="s">
        <v>5299</v>
      </c>
      <c r="K263" s="1073" t="s">
        <v>5300</v>
      </c>
      <c r="L263" s="1073" t="s">
        <v>5301</v>
      </c>
      <c r="M263" s="1073" t="s">
        <v>5302</v>
      </c>
      <c r="N263" s="1073" t="s">
        <v>5303</v>
      </c>
      <c r="O263" s="1073" t="s">
        <v>5304</v>
      </c>
      <c r="P263" s="1073" t="s">
        <v>5305</v>
      </c>
      <c r="Q263" s="1073" t="s">
        <v>5306</v>
      </c>
      <c r="R263" s="1073" t="s">
        <v>5307</v>
      </c>
      <c r="S263" s="1073" t="s">
        <v>5308</v>
      </c>
      <c r="T263" s="3077" t="s">
        <v>5309</v>
      </c>
    </row>
    <row r="264" spans="1:20" x14ac:dyDescent="0.3">
      <c r="A264" s="6269">
        <v>29101665</v>
      </c>
      <c r="B264" s="3046" t="s">
        <v>3349</v>
      </c>
      <c r="C264" s="3046" t="s">
        <v>5292</v>
      </c>
      <c r="D264" s="1072" t="s">
        <v>5293</v>
      </c>
      <c r="E264" s="1073" t="s">
        <v>5294</v>
      </c>
      <c r="F264" s="1073" t="s">
        <v>5295</v>
      </c>
      <c r="G264" s="1073" t="s">
        <v>5296</v>
      </c>
      <c r="H264" s="1073" t="s">
        <v>5297</v>
      </c>
      <c r="I264" s="1073" t="s">
        <v>5298</v>
      </c>
      <c r="J264" s="1073" t="s">
        <v>5299</v>
      </c>
      <c r="K264" s="1073" t="s">
        <v>5300</v>
      </c>
      <c r="L264" s="1073" t="s">
        <v>5301</v>
      </c>
      <c r="M264" s="1073" t="s">
        <v>5302</v>
      </c>
      <c r="N264" s="1073" t="s">
        <v>5303</v>
      </c>
      <c r="O264" s="1073" t="s">
        <v>5304</v>
      </c>
      <c r="P264" s="1073" t="s">
        <v>5305</v>
      </c>
      <c r="Q264" s="1073" t="s">
        <v>5306</v>
      </c>
      <c r="R264" s="1073" t="s">
        <v>5307</v>
      </c>
      <c r="S264" s="1073" t="s">
        <v>5308</v>
      </c>
      <c r="T264" s="3077" t="s">
        <v>5309</v>
      </c>
    </row>
    <row r="265" spans="1:20" x14ac:dyDescent="0.3">
      <c r="A265" s="6269">
        <v>29101666</v>
      </c>
      <c r="B265" s="3046" t="s">
        <v>3350</v>
      </c>
      <c r="C265" s="3046" t="s">
        <v>5292</v>
      </c>
      <c r="D265" s="1072" t="s">
        <v>5293</v>
      </c>
      <c r="E265" s="1073" t="s">
        <v>5294</v>
      </c>
      <c r="F265" s="1073" t="s">
        <v>5295</v>
      </c>
      <c r="G265" s="1073" t="s">
        <v>5296</v>
      </c>
      <c r="H265" s="1073" t="s">
        <v>5297</v>
      </c>
      <c r="I265" s="1073" t="s">
        <v>5298</v>
      </c>
      <c r="J265" s="1073" t="s">
        <v>5299</v>
      </c>
      <c r="K265" s="1073" t="s">
        <v>5300</v>
      </c>
      <c r="L265" s="1073" t="s">
        <v>5301</v>
      </c>
      <c r="M265" s="1073" t="s">
        <v>5302</v>
      </c>
      <c r="N265" s="1073" t="s">
        <v>5303</v>
      </c>
      <c r="O265" s="1073" t="s">
        <v>5304</v>
      </c>
      <c r="P265" s="1073" t="s">
        <v>5305</v>
      </c>
      <c r="Q265" s="1073" t="s">
        <v>5306</v>
      </c>
      <c r="R265" s="1073" t="s">
        <v>5307</v>
      </c>
      <c r="S265" s="1073" t="s">
        <v>5308</v>
      </c>
      <c r="T265" s="3077" t="s">
        <v>5309</v>
      </c>
    </row>
    <row r="266" spans="1:20" x14ac:dyDescent="0.3">
      <c r="A266" s="6269">
        <v>29101667</v>
      </c>
      <c r="B266" s="3046" t="s">
        <v>3351</v>
      </c>
      <c r="C266" s="3046" t="s">
        <v>5292</v>
      </c>
      <c r="D266" s="1072" t="s">
        <v>5293</v>
      </c>
      <c r="E266" s="1073" t="s">
        <v>5294</v>
      </c>
      <c r="F266" s="1073" t="s">
        <v>5295</v>
      </c>
      <c r="G266" s="1073" t="s">
        <v>5296</v>
      </c>
      <c r="H266" s="1073" t="s">
        <v>5297</v>
      </c>
      <c r="I266" s="1073" t="s">
        <v>5298</v>
      </c>
      <c r="J266" s="1073" t="s">
        <v>5299</v>
      </c>
      <c r="K266" s="1073" t="s">
        <v>5300</v>
      </c>
      <c r="L266" s="1073" t="s">
        <v>5301</v>
      </c>
      <c r="M266" s="1073" t="s">
        <v>5302</v>
      </c>
      <c r="N266" s="1073" t="s">
        <v>5303</v>
      </c>
      <c r="O266" s="1073" t="s">
        <v>5304</v>
      </c>
      <c r="P266" s="1073" t="s">
        <v>5305</v>
      </c>
      <c r="Q266" s="1073" t="s">
        <v>5306</v>
      </c>
      <c r="R266" s="1073" t="s">
        <v>5307</v>
      </c>
      <c r="S266" s="1073" t="s">
        <v>5308</v>
      </c>
      <c r="T266" s="3077" t="s">
        <v>5309</v>
      </c>
    </row>
    <row r="267" spans="1:20" x14ac:dyDescent="0.3">
      <c r="A267" s="6269">
        <v>29101668</v>
      </c>
      <c r="B267" s="3046" t="s">
        <v>3352</v>
      </c>
      <c r="C267" s="3046" t="s">
        <v>5292</v>
      </c>
      <c r="D267" s="1072" t="s">
        <v>5293</v>
      </c>
      <c r="E267" s="1073" t="s">
        <v>5294</v>
      </c>
      <c r="F267" s="1073" t="s">
        <v>5295</v>
      </c>
      <c r="G267" s="1073" t="s">
        <v>5296</v>
      </c>
      <c r="H267" s="1073" t="s">
        <v>5297</v>
      </c>
      <c r="I267" s="1073" t="s">
        <v>5298</v>
      </c>
      <c r="J267" s="1073" t="s">
        <v>5299</v>
      </c>
      <c r="K267" s="1073" t="s">
        <v>5300</v>
      </c>
      <c r="L267" s="1073" t="s">
        <v>5301</v>
      </c>
      <c r="M267" s="1073" t="s">
        <v>5302</v>
      </c>
      <c r="N267" s="1073" t="s">
        <v>5303</v>
      </c>
      <c r="O267" s="1073" t="s">
        <v>5304</v>
      </c>
      <c r="P267" s="1073" t="s">
        <v>5305</v>
      </c>
      <c r="Q267" s="1073" t="s">
        <v>5306</v>
      </c>
      <c r="R267" s="1073" t="s">
        <v>5307</v>
      </c>
      <c r="S267" s="1073" t="s">
        <v>5308</v>
      </c>
      <c r="T267" s="3077" t="s">
        <v>5309</v>
      </c>
    </row>
    <row r="268" spans="1:20" ht="21.6" x14ac:dyDescent="0.3">
      <c r="A268" s="6269">
        <v>29101669</v>
      </c>
      <c r="B268" s="3549" t="s">
        <v>3353</v>
      </c>
      <c r="C268" s="3046" t="s">
        <v>5292</v>
      </c>
      <c r="D268" s="1072" t="s">
        <v>5293</v>
      </c>
      <c r="E268" s="1073" t="s">
        <v>5294</v>
      </c>
      <c r="F268" s="1073" t="s">
        <v>5295</v>
      </c>
      <c r="G268" s="1073" t="s">
        <v>5296</v>
      </c>
      <c r="H268" s="1073" t="s">
        <v>5297</v>
      </c>
      <c r="I268" s="1073" t="s">
        <v>5298</v>
      </c>
      <c r="J268" s="1073" t="s">
        <v>5299</v>
      </c>
      <c r="K268" s="1073" t="s">
        <v>5300</v>
      </c>
      <c r="L268" s="1073" t="s">
        <v>5301</v>
      </c>
      <c r="M268" s="1073" t="s">
        <v>5302</v>
      </c>
      <c r="N268" s="1073" t="s">
        <v>5303</v>
      </c>
      <c r="O268" s="1073" t="s">
        <v>5304</v>
      </c>
      <c r="P268" s="1073" t="s">
        <v>5305</v>
      </c>
      <c r="Q268" s="1073" t="s">
        <v>5306</v>
      </c>
      <c r="R268" s="1073" t="s">
        <v>5307</v>
      </c>
      <c r="S268" s="1073" t="s">
        <v>5308</v>
      </c>
      <c r="T268" s="3077" t="s">
        <v>5309</v>
      </c>
    </row>
    <row r="269" spans="1:20" ht="21.6" x14ac:dyDescent="0.3">
      <c r="A269" s="6269">
        <v>29101670</v>
      </c>
      <c r="B269" s="3549" t="s">
        <v>3354</v>
      </c>
      <c r="C269" s="3046" t="s">
        <v>5292</v>
      </c>
      <c r="D269" s="1072" t="s">
        <v>5293</v>
      </c>
      <c r="E269" s="1073" t="s">
        <v>5294</v>
      </c>
      <c r="F269" s="1073" t="s">
        <v>5295</v>
      </c>
      <c r="G269" s="1073" t="s">
        <v>5296</v>
      </c>
      <c r="H269" s="1073" t="s">
        <v>5297</v>
      </c>
      <c r="I269" s="1073" t="s">
        <v>5298</v>
      </c>
      <c r="J269" s="1073" t="s">
        <v>5299</v>
      </c>
      <c r="K269" s="1073" t="s">
        <v>5300</v>
      </c>
      <c r="L269" s="1073" t="s">
        <v>5301</v>
      </c>
      <c r="M269" s="1073" t="s">
        <v>5302</v>
      </c>
      <c r="N269" s="1073" t="s">
        <v>5303</v>
      </c>
      <c r="O269" s="1073" t="s">
        <v>5304</v>
      </c>
      <c r="P269" s="1073" t="s">
        <v>5305</v>
      </c>
      <c r="Q269" s="1073" t="s">
        <v>5306</v>
      </c>
      <c r="R269" s="1073" t="s">
        <v>5307</v>
      </c>
      <c r="S269" s="1073" t="s">
        <v>5308</v>
      </c>
      <c r="T269" s="3077" t="s">
        <v>5309</v>
      </c>
    </row>
    <row r="270" spans="1:20" x14ac:dyDescent="0.3">
      <c r="A270" s="6269">
        <v>28022730</v>
      </c>
      <c r="B270" s="3046" t="s">
        <v>3355</v>
      </c>
      <c r="C270" s="3046" t="s">
        <v>5292</v>
      </c>
      <c r="D270" s="1072" t="s">
        <v>5293</v>
      </c>
      <c r="E270" s="1073" t="s">
        <v>5294</v>
      </c>
      <c r="F270" s="1073" t="s">
        <v>5295</v>
      </c>
      <c r="G270" s="1073" t="s">
        <v>5296</v>
      </c>
      <c r="H270" s="1073" t="s">
        <v>5297</v>
      </c>
      <c r="I270" s="1073" t="s">
        <v>5298</v>
      </c>
      <c r="J270" s="1073" t="s">
        <v>5299</v>
      </c>
      <c r="K270" s="1073" t="s">
        <v>5300</v>
      </c>
      <c r="L270" s="1073" t="s">
        <v>5301</v>
      </c>
      <c r="M270" s="1073" t="s">
        <v>5302</v>
      </c>
      <c r="N270" s="1073" t="s">
        <v>5303</v>
      </c>
      <c r="O270" s="1073" t="s">
        <v>5304</v>
      </c>
      <c r="P270" s="1073" t="s">
        <v>5305</v>
      </c>
      <c r="Q270" s="1073" t="s">
        <v>5306</v>
      </c>
      <c r="R270" s="1073" t="s">
        <v>5307</v>
      </c>
      <c r="S270" s="1073" t="s">
        <v>5308</v>
      </c>
      <c r="T270" s="3077" t="s">
        <v>5309</v>
      </c>
    </row>
    <row r="271" spans="1:20" x14ac:dyDescent="0.3">
      <c r="A271" s="6269">
        <v>29101671</v>
      </c>
      <c r="B271" s="3046" t="s">
        <v>3356</v>
      </c>
      <c r="C271" s="3046" t="s">
        <v>5292</v>
      </c>
      <c r="D271" s="1072" t="s">
        <v>5293</v>
      </c>
      <c r="E271" s="1073" t="s">
        <v>5294</v>
      </c>
      <c r="F271" s="1073" t="s">
        <v>5295</v>
      </c>
      <c r="G271" s="1073" t="s">
        <v>5296</v>
      </c>
      <c r="H271" s="1073" t="s">
        <v>5297</v>
      </c>
      <c r="I271" s="1073" t="s">
        <v>5298</v>
      </c>
      <c r="J271" s="1073" t="s">
        <v>5299</v>
      </c>
      <c r="K271" s="1073" t="s">
        <v>5300</v>
      </c>
      <c r="L271" s="1073" t="s">
        <v>5301</v>
      </c>
      <c r="M271" s="1073" t="s">
        <v>5302</v>
      </c>
      <c r="N271" s="1073" t="s">
        <v>5303</v>
      </c>
      <c r="O271" s="1073" t="s">
        <v>5304</v>
      </c>
      <c r="P271" s="1073" t="s">
        <v>5305</v>
      </c>
      <c r="Q271" s="1073" t="s">
        <v>5306</v>
      </c>
      <c r="R271" s="1073" t="s">
        <v>5307</v>
      </c>
      <c r="S271" s="1073" t="s">
        <v>5308</v>
      </c>
      <c r="T271" s="3077" t="s">
        <v>5309</v>
      </c>
    </row>
    <row r="272" spans="1:20" x14ac:dyDescent="0.3">
      <c r="A272" s="6269">
        <v>29101672</v>
      </c>
      <c r="B272" s="3046" t="s">
        <v>3357</v>
      </c>
      <c r="C272" s="3046" t="s">
        <v>5292</v>
      </c>
      <c r="D272" s="1072" t="s">
        <v>5293</v>
      </c>
      <c r="E272" s="1073" t="s">
        <v>5294</v>
      </c>
      <c r="F272" s="1073" t="s">
        <v>5295</v>
      </c>
      <c r="G272" s="1073" t="s">
        <v>5296</v>
      </c>
      <c r="H272" s="1073" t="s">
        <v>5297</v>
      </c>
      <c r="I272" s="1073" t="s">
        <v>5298</v>
      </c>
      <c r="J272" s="1073" t="s">
        <v>5299</v>
      </c>
      <c r="K272" s="1073" t="s">
        <v>5300</v>
      </c>
      <c r="L272" s="1073" t="s">
        <v>5301</v>
      </c>
      <c r="M272" s="1073" t="s">
        <v>5302</v>
      </c>
      <c r="N272" s="1073" t="s">
        <v>5303</v>
      </c>
      <c r="O272" s="1073" t="s">
        <v>5304</v>
      </c>
      <c r="P272" s="1073" t="s">
        <v>5305</v>
      </c>
      <c r="Q272" s="1073" t="s">
        <v>5306</v>
      </c>
      <c r="R272" s="1073" t="s">
        <v>5307</v>
      </c>
      <c r="S272" s="1073" t="s">
        <v>5308</v>
      </c>
      <c r="T272" s="3077" t="s">
        <v>5309</v>
      </c>
    </row>
    <row r="273" spans="1:20" x14ac:dyDescent="0.3">
      <c r="A273" s="6269">
        <v>29101673</v>
      </c>
      <c r="B273" s="3046" t="s">
        <v>3358</v>
      </c>
      <c r="C273" s="3046" t="s">
        <v>5292</v>
      </c>
      <c r="D273" s="1072" t="s">
        <v>5293</v>
      </c>
      <c r="E273" s="1073" t="s">
        <v>5294</v>
      </c>
      <c r="F273" s="1073" t="s">
        <v>5295</v>
      </c>
      <c r="G273" s="1073" t="s">
        <v>5296</v>
      </c>
      <c r="H273" s="1073" t="s">
        <v>5297</v>
      </c>
      <c r="I273" s="1073" t="s">
        <v>5298</v>
      </c>
      <c r="J273" s="1073" t="s">
        <v>5299</v>
      </c>
      <c r="K273" s="1073" t="s">
        <v>5300</v>
      </c>
      <c r="L273" s="1073" t="s">
        <v>5301</v>
      </c>
      <c r="M273" s="1073" t="s">
        <v>5302</v>
      </c>
      <c r="N273" s="1073" t="s">
        <v>5303</v>
      </c>
      <c r="O273" s="1073" t="s">
        <v>5304</v>
      </c>
      <c r="P273" s="1073" t="s">
        <v>5305</v>
      </c>
      <c r="Q273" s="1073" t="s">
        <v>5306</v>
      </c>
      <c r="R273" s="1073" t="s">
        <v>5307</v>
      </c>
      <c r="S273" s="1073" t="s">
        <v>5308</v>
      </c>
      <c r="T273" s="3077" t="s">
        <v>5309</v>
      </c>
    </row>
    <row r="274" spans="1:20" x14ac:dyDescent="0.3">
      <c r="A274" s="6269">
        <v>28022750</v>
      </c>
      <c r="B274" s="3046" t="s">
        <v>3359</v>
      </c>
      <c r="C274" s="3046" t="s">
        <v>5292</v>
      </c>
      <c r="D274" s="1072" t="s">
        <v>5293</v>
      </c>
      <c r="E274" s="1073" t="s">
        <v>5294</v>
      </c>
      <c r="F274" s="1073" t="s">
        <v>5295</v>
      </c>
      <c r="G274" s="1073" t="s">
        <v>5296</v>
      </c>
      <c r="H274" s="1073" t="s">
        <v>5297</v>
      </c>
      <c r="I274" s="1073" t="s">
        <v>5298</v>
      </c>
      <c r="J274" s="1073" t="s">
        <v>5299</v>
      </c>
      <c r="K274" s="1073" t="s">
        <v>5300</v>
      </c>
      <c r="L274" s="1073" t="s">
        <v>5301</v>
      </c>
      <c r="M274" s="1073" t="s">
        <v>5302</v>
      </c>
      <c r="N274" s="1073" t="s">
        <v>5303</v>
      </c>
      <c r="O274" s="1073" t="s">
        <v>5304</v>
      </c>
      <c r="P274" s="1073" t="s">
        <v>5305</v>
      </c>
      <c r="Q274" s="1073" t="s">
        <v>5306</v>
      </c>
      <c r="R274" s="1073" t="s">
        <v>5307</v>
      </c>
      <c r="S274" s="1073" t="s">
        <v>5308</v>
      </c>
      <c r="T274" s="3077" t="s">
        <v>5309</v>
      </c>
    </row>
    <row r="275" spans="1:20" x14ac:dyDescent="0.3">
      <c r="A275" s="6269">
        <v>28022760</v>
      </c>
      <c r="B275" s="3046" t="s">
        <v>3360</v>
      </c>
      <c r="C275" s="3046" t="s">
        <v>5292</v>
      </c>
      <c r="D275" s="1072" t="s">
        <v>5293</v>
      </c>
      <c r="E275" s="1073" t="s">
        <v>5294</v>
      </c>
      <c r="F275" s="1073" t="s">
        <v>5295</v>
      </c>
      <c r="G275" s="1073" t="s">
        <v>5296</v>
      </c>
      <c r="H275" s="1073" t="s">
        <v>5297</v>
      </c>
      <c r="I275" s="1073" t="s">
        <v>5298</v>
      </c>
      <c r="J275" s="1073" t="s">
        <v>5299</v>
      </c>
      <c r="K275" s="1073" t="s">
        <v>5300</v>
      </c>
      <c r="L275" s="1073" t="s">
        <v>5301</v>
      </c>
      <c r="M275" s="1073" t="s">
        <v>5302</v>
      </c>
      <c r="N275" s="1073" t="s">
        <v>5303</v>
      </c>
      <c r="O275" s="1073" t="s">
        <v>5304</v>
      </c>
      <c r="P275" s="1073" t="s">
        <v>5305</v>
      </c>
      <c r="Q275" s="1073" t="s">
        <v>5306</v>
      </c>
      <c r="R275" s="1073" t="s">
        <v>5307</v>
      </c>
      <c r="S275" s="1073" t="s">
        <v>5308</v>
      </c>
      <c r="T275" s="3077" t="s">
        <v>5309</v>
      </c>
    </row>
    <row r="276" spans="1:20" x14ac:dyDescent="0.3">
      <c r="A276" s="6269">
        <v>28022770</v>
      </c>
      <c r="B276" s="3046" t="s">
        <v>3361</v>
      </c>
      <c r="C276" s="3046" t="s">
        <v>5292</v>
      </c>
      <c r="D276" s="1072" t="s">
        <v>5293</v>
      </c>
      <c r="E276" s="1073" t="s">
        <v>5294</v>
      </c>
      <c r="F276" s="1073" t="s">
        <v>5295</v>
      </c>
      <c r="G276" s="1073" t="s">
        <v>5296</v>
      </c>
      <c r="H276" s="1073" t="s">
        <v>5297</v>
      </c>
      <c r="I276" s="1073" t="s">
        <v>5298</v>
      </c>
      <c r="J276" s="1073" t="s">
        <v>5299</v>
      </c>
      <c r="K276" s="1073" t="s">
        <v>5300</v>
      </c>
      <c r="L276" s="1073" t="s">
        <v>5301</v>
      </c>
      <c r="M276" s="1073" t="s">
        <v>5302</v>
      </c>
      <c r="N276" s="1073" t="s">
        <v>5303</v>
      </c>
      <c r="O276" s="1073" t="s">
        <v>5304</v>
      </c>
      <c r="P276" s="1073" t="s">
        <v>5305</v>
      </c>
      <c r="Q276" s="1073" t="s">
        <v>5306</v>
      </c>
      <c r="R276" s="1073" t="s">
        <v>5307</v>
      </c>
      <c r="S276" s="1073" t="s">
        <v>5308</v>
      </c>
      <c r="T276" s="3077" t="s">
        <v>5309</v>
      </c>
    </row>
    <row r="277" spans="1:20" x14ac:dyDescent="0.3">
      <c r="A277" s="6269">
        <v>28023020</v>
      </c>
      <c r="B277" s="3046" t="s">
        <v>3362</v>
      </c>
      <c r="C277" s="3046" t="s">
        <v>5292</v>
      </c>
      <c r="D277" s="1072" t="s">
        <v>5293</v>
      </c>
      <c r="E277" s="1073" t="s">
        <v>5294</v>
      </c>
      <c r="F277" s="1073" t="s">
        <v>5295</v>
      </c>
      <c r="G277" s="1073" t="s">
        <v>5296</v>
      </c>
      <c r="H277" s="1073" t="s">
        <v>5297</v>
      </c>
      <c r="I277" s="1073" t="s">
        <v>5298</v>
      </c>
      <c r="J277" s="1073" t="s">
        <v>5299</v>
      </c>
      <c r="K277" s="1073" t="s">
        <v>5300</v>
      </c>
      <c r="L277" s="1073" t="s">
        <v>5301</v>
      </c>
      <c r="M277" s="1073" t="s">
        <v>5302</v>
      </c>
      <c r="N277" s="1073" t="s">
        <v>5303</v>
      </c>
      <c r="O277" s="1073" t="s">
        <v>5304</v>
      </c>
      <c r="P277" s="1073" t="s">
        <v>5305</v>
      </c>
      <c r="Q277" s="1073" t="s">
        <v>5306</v>
      </c>
      <c r="R277" s="1073" t="s">
        <v>5307</v>
      </c>
      <c r="S277" s="1073" t="s">
        <v>5308</v>
      </c>
      <c r="T277" s="3077" t="s">
        <v>5309</v>
      </c>
    </row>
    <row r="278" spans="1:20" x14ac:dyDescent="0.3">
      <c r="A278" s="6268">
        <v>28023030</v>
      </c>
      <c r="B278" s="3046" t="s">
        <v>3363</v>
      </c>
      <c r="C278" s="3046" t="s">
        <v>5292</v>
      </c>
      <c r="D278" s="1072" t="s">
        <v>5293</v>
      </c>
      <c r="E278" s="1073" t="s">
        <v>5294</v>
      </c>
      <c r="F278" s="1073" t="s">
        <v>5295</v>
      </c>
      <c r="G278" s="1073" t="s">
        <v>5296</v>
      </c>
      <c r="H278" s="1073" t="s">
        <v>5297</v>
      </c>
      <c r="I278" s="1073" t="s">
        <v>5298</v>
      </c>
      <c r="J278" s="1073" t="s">
        <v>5299</v>
      </c>
      <c r="K278" s="1073" t="s">
        <v>5300</v>
      </c>
      <c r="L278" s="1073" t="s">
        <v>5301</v>
      </c>
      <c r="M278" s="1073" t="s">
        <v>5302</v>
      </c>
      <c r="N278" s="1073" t="s">
        <v>5303</v>
      </c>
      <c r="O278" s="1073" t="s">
        <v>5304</v>
      </c>
      <c r="P278" s="1073" t="s">
        <v>5305</v>
      </c>
      <c r="Q278" s="1073" t="s">
        <v>5306</v>
      </c>
      <c r="R278" s="1073" t="s">
        <v>5307</v>
      </c>
      <c r="S278" s="1073" t="s">
        <v>5308</v>
      </c>
      <c r="T278" s="3077" t="s">
        <v>5309</v>
      </c>
    </row>
    <row r="279" spans="1:20" x14ac:dyDescent="0.3">
      <c r="A279" s="6268">
        <v>28101200</v>
      </c>
      <c r="B279" s="911" t="s">
        <v>3364</v>
      </c>
      <c r="C279" s="3046" t="s">
        <v>5292</v>
      </c>
      <c r="D279" s="106" t="s">
        <v>5293</v>
      </c>
      <c r="E279" s="5048" t="s">
        <v>5294</v>
      </c>
      <c r="F279" s="5048" t="s">
        <v>5295</v>
      </c>
      <c r="G279" s="5048" t="s">
        <v>5296</v>
      </c>
      <c r="H279" s="5048" t="s">
        <v>5297</v>
      </c>
      <c r="I279" s="5048" t="s">
        <v>5298</v>
      </c>
      <c r="J279" s="5048" t="s">
        <v>5299</v>
      </c>
      <c r="K279" s="5048" t="s">
        <v>5300</v>
      </c>
      <c r="L279" s="5048" t="s">
        <v>5301</v>
      </c>
      <c r="M279" s="5048" t="s">
        <v>5302</v>
      </c>
      <c r="N279" s="5048" t="s">
        <v>5303</v>
      </c>
      <c r="O279" s="5048" t="s">
        <v>5304</v>
      </c>
      <c r="P279" s="5048" t="s">
        <v>5305</v>
      </c>
      <c r="Q279" s="5048" t="s">
        <v>5306</v>
      </c>
      <c r="R279" s="5048" t="s">
        <v>5307</v>
      </c>
      <c r="S279" s="5048" t="s">
        <v>5308</v>
      </c>
      <c r="T279" s="4424" t="s">
        <v>5309</v>
      </c>
    </row>
    <row r="280" spans="1:20" x14ac:dyDescent="0.3">
      <c r="A280" s="6268">
        <v>28101300</v>
      </c>
      <c r="B280" s="911" t="s">
        <v>3365</v>
      </c>
      <c r="C280" s="3046" t="s">
        <v>5292</v>
      </c>
      <c r="D280" s="1072" t="s">
        <v>5293</v>
      </c>
      <c r="E280" s="1073" t="s">
        <v>5294</v>
      </c>
      <c r="F280" s="1073" t="s">
        <v>5295</v>
      </c>
      <c r="G280" s="1073" t="s">
        <v>5296</v>
      </c>
      <c r="H280" s="1073" t="s">
        <v>5297</v>
      </c>
      <c r="I280" s="1073" t="s">
        <v>5298</v>
      </c>
      <c r="J280" s="1073" t="s">
        <v>5299</v>
      </c>
      <c r="K280" s="1073" t="s">
        <v>5300</v>
      </c>
      <c r="L280" s="1073" t="s">
        <v>5301</v>
      </c>
      <c r="M280" s="1073" t="s">
        <v>5302</v>
      </c>
      <c r="N280" s="1073" t="s">
        <v>5303</v>
      </c>
      <c r="O280" s="1073" t="s">
        <v>5304</v>
      </c>
      <c r="P280" s="1073" t="s">
        <v>5305</v>
      </c>
      <c r="Q280" s="1073" t="s">
        <v>5306</v>
      </c>
      <c r="R280" s="1073" t="s">
        <v>5307</v>
      </c>
      <c r="S280" s="1073" t="s">
        <v>5308</v>
      </c>
      <c r="T280" s="3077" t="s">
        <v>5309</v>
      </c>
    </row>
    <row r="281" spans="1:20" ht="15" customHeight="1" x14ac:dyDescent="0.3">
      <c r="A281" s="6292">
        <v>28101400</v>
      </c>
      <c r="B281" s="327" t="s">
        <v>3366</v>
      </c>
      <c r="C281" s="3046" t="s">
        <v>5292</v>
      </c>
      <c r="D281" s="1072" t="s">
        <v>5293</v>
      </c>
      <c r="E281" s="1073" t="s">
        <v>5294</v>
      </c>
      <c r="F281" s="1073" t="s">
        <v>5295</v>
      </c>
      <c r="G281" s="1073" t="s">
        <v>5296</v>
      </c>
      <c r="H281" s="1073" t="s">
        <v>5297</v>
      </c>
      <c r="I281" s="1073" t="s">
        <v>5298</v>
      </c>
      <c r="J281" s="1073" t="s">
        <v>5299</v>
      </c>
      <c r="K281" s="1073" t="s">
        <v>5300</v>
      </c>
      <c r="L281" s="1073" t="s">
        <v>5301</v>
      </c>
      <c r="M281" s="1073" t="s">
        <v>5302</v>
      </c>
      <c r="N281" s="1073" t="s">
        <v>5303</v>
      </c>
      <c r="O281" s="1073" t="s">
        <v>5304</v>
      </c>
      <c r="P281" s="1073" t="s">
        <v>5305</v>
      </c>
      <c r="Q281" s="1073" t="s">
        <v>5306</v>
      </c>
      <c r="R281" s="1073" t="s">
        <v>5307</v>
      </c>
      <c r="S281" s="1073" t="s">
        <v>5308</v>
      </c>
      <c r="T281" s="3077" t="s">
        <v>5309</v>
      </c>
    </row>
    <row r="282" spans="1:20" x14ac:dyDescent="0.3">
      <c r="A282" s="6268">
        <v>28101500</v>
      </c>
      <c r="B282" s="911" t="s">
        <v>3367</v>
      </c>
      <c r="C282" s="3046" t="s">
        <v>5292</v>
      </c>
      <c r="D282" s="1072" t="s">
        <v>5293</v>
      </c>
      <c r="E282" s="1073" t="s">
        <v>5294</v>
      </c>
      <c r="F282" s="1073" t="s">
        <v>5295</v>
      </c>
      <c r="G282" s="1073" t="s">
        <v>5296</v>
      </c>
      <c r="H282" s="1073" t="s">
        <v>5297</v>
      </c>
      <c r="I282" s="1073" t="s">
        <v>5298</v>
      </c>
      <c r="J282" s="1073" t="s">
        <v>5299</v>
      </c>
      <c r="K282" s="1073" t="s">
        <v>5300</v>
      </c>
      <c r="L282" s="1073" t="s">
        <v>5301</v>
      </c>
      <c r="M282" s="1073" t="s">
        <v>5302</v>
      </c>
      <c r="N282" s="1073" t="s">
        <v>5303</v>
      </c>
      <c r="O282" s="1073" t="s">
        <v>5304</v>
      </c>
      <c r="P282" s="1073" t="s">
        <v>5305</v>
      </c>
      <c r="Q282" s="1073" t="s">
        <v>5306</v>
      </c>
      <c r="R282" s="1073" t="s">
        <v>5307</v>
      </c>
      <c r="S282" s="1073" t="s">
        <v>5308</v>
      </c>
      <c r="T282" s="3077" t="s">
        <v>5309</v>
      </c>
    </row>
    <row r="283" spans="1:20" x14ac:dyDescent="0.3">
      <c r="A283" s="6268">
        <v>28101600</v>
      </c>
      <c r="B283" s="911" t="s">
        <v>3368</v>
      </c>
      <c r="C283" s="3046" t="s">
        <v>5292</v>
      </c>
      <c r="D283" s="1072" t="s">
        <v>5293</v>
      </c>
      <c r="E283" s="1073" t="s">
        <v>5294</v>
      </c>
      <c r="F283" s="1073" t="s">
        <v>5295</v>
      </c>
      <c r="G283" s="1073" t="s">
        <v>5296</v>
      </c>
      <c r="H283" s="1073" t="s">
        <v>5297</v>
      </c>
      <c r="I283" s="1073" t="s">
        <v>5298</v>
      </c>
      <c r="J283" s="1073" t="s">
        <v>5299</v>
      </c>
      <c r="K283" s="1073" t="s">
        <v>5300</v>
      </c>
      <c r="L283" s="1073" t="s">
        <v>5301</v>
      </c>
      <c r="M283" s="1073" t="s">
        <v>5302</v>
      </c>
      <c r="N283" s="1073" t="s">
        <v>5303</v>
      </c>
      <c r="O283" s="1073" t="s">
        <v>5304</v>
      </c>
      <c r="P283" s="1073" t="s">
        <v>5305</v>
      </c>
      <c r="Q283" s="1073" t="s">
        <v>5306</v>
      </c>
      <c r="R283" s="1073" t="s">
        <v>5307</v>
      </c>
      <c r="S283" s="1073" t="s">
        <v>5308</v>
      </c>
      <c r="T283" s="3077" t="s">
        <v>5309</v>
      </c>
    </row>
    <row r="284" spans="1:20" x14ac:dyDescent="0.3">
      <c r="A284" s="6268">
        <v>28101700</v>
      </c>
      <c r="B284" s="593" t="s">
        <v>44</v>
      </c>
      <c r="C284" s="150" t="s">
        <v>5292</v>
      </c>
      <c r="D284" s="3023" t="s">
        <v>5293</v>
      </c>
      <c r="E284" s="3020" t="s">
        <v>5294</v>
      </c>
      <c r="F284" s="3020" t="s">
        <v>5295</v>
      </c>
      <c r="G284" s="3020" t="s">
        <v>5296</v>
      </c>
      <c r="H284" s="3020" t="s">
        <v>5297</v>
      </c>
      <c r="I284" s="3020" t="s">
        <v>5298</v>
      </c>
      <c r="J284" s="3020" t="s">
        <v>5299</v>
      </c>
      <c r="K284" s="3020" t="s">
        <v>5300</v>
      </c>
      <c r="L284" s="3020" t="s">
        <v>5301</v>
      </c>
      <c r="M284" s="3020" t="s">
        <v>5302</v>
      </c>
      <c r="N284" s="3020" t="s">
        <v>5303</v>
      </c>
      <c r="O284" s="3020" t="s">
        <v>5304</v>
      </c>
      <c r="P284" s="3020" t="s">
        <v>5305</v>
      </c>
      <c r="Q284" s="3020" t="s">
        <v>5306</v>
      </c>
      <c r="R284" s="3020" t="s">
        <v>5307</v>
      </c>
      <c r="S284" s="3020" t="s">
        <v>5308</v>
      </c>
      <c r="T284" s="117" t="s">
        <v>5309</v>
      </c>
    </row>
    <row r="285" spans="1:20" ht="18" customHeight="1" x14ac:dyDescent="0.3">
      <c r="B285" s="778" t="s">
        <v>3369</v>
      </c>
      <c r="C285" s="778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</row>
    <row r="286" spans="1:20" x14ac:dyDescent="0.3">
      <c r="B286" s="7521" t="s">
        <v>3370</v>
      </c>
      <c r="C286" s="7612" t="s">
        <v>24</v>
      </c>
      <c r="D286" s="7548" t="s">
        <v>3371</v>
      </c>
      <c r="E286" s="7556"/>
      <c r="F286" s="7556"/>
      <c r="G286" s="7556"/>
      <c r="H286" s="7556"/>
      <c r="I286" s="7556"/>
      <c r="J286" s="7556"/>
      <c r="K286" s="7556"/>
      <c r="L286" s="7556"/>
      <c r="M286" s="7556"/>
      <c r="N286" s="7556"/>
      <c r="O286" s="7556"/>
      <c r="P286" s="7556"/>
      <c r="Q286" s="7556"/>
      <c r="R286" s="7556"/>
      <c r="S286" s="7556"/>
      <c r="T286" s="7549"/>
    </row>
    <row r="287" spans="1:20" x14ac:dyDescent="0.3">
      <c r="B287" s="7109"/>
      <c r="C287" s="7613"/>
      <c r="D287" s="5254" t="s">
        <v>36</v>
      </c>
      <c r="E287" s="5254" t="s">
        <v>37</v>
      </c>
      <c r="F287" s="5254" t="s">
        <v>38</v>
      </c>
      <c r="G287" s="5254" t="s">
        <v>4</v>
      </c>
      <c r="H287" s="5254" t="s">
        <v>5</v>
      </c>
      <c r="I287" s="5254" t="s">
        <v>560</v>
      </c>
      <c r="J287" s="5254" t="s">
        <v>561</v>
      </c>
      <c r="K287" s="5254" t="s">
        <v>8</v>
      </c>
      <c r="L287" s="5254" t="s">
        <v>9</v>
      </c>
      <c r="M287" s="5254" t="s">
        <v>576</v>
      </c>
      <c r="N287" s="5254" t="s">
        <v>11</v>
      </c>
      <c r="O287" s="5254" t="s">
        <v>18</v>
      </c>
      <c r="P287" s="5254" t="s">
        <v>19</v>
      </c>
      <c r="Q287" s="5254" t="s">
        <v>20</v>
      </c>
      <c r="R287" s="5254" t="s">
        <v>70</v>
      </c>
      <c r="S287" s="5254" t="s">
        <v>71</v>
      </c>
      <c r="T287" s="5254" t="s">
        <v>72</v>
      </c>
    </row>
    <row r="288" spans="1:20" x14ac:dyDescent="0.3">
      <c r="A288" s="6269">
        <v>28022790</v>
      </c>
      <c r="B288" s="5159" t="s">
        <v>3205</v>
      </c>
      <c r="C288" s="3902" t="s">
        <v>5292</v>
      </c>
      <c r="D288" s="5048" t="s">
        <v>5293</v>
      </c>
      <c r="E288" s="5048" t="s">
        <v>5294</v>
      </c>
      <c r="F288" s="5048" t="s">
        <v>5295</v>
      </c>
      <c r="G288" s="5048" t="s">
        <v>5296</v>
      </c>
      <c r="H288" s="5048" t="s">
        <v>5297</v>
      </c>
      <c r="I288" s="5048" t="s">
        <v>5298</v>
      </c>
      <c r="J288" s="5048" t="s">
        <v>5299</v>
      </c>
      <c r="K288" s="5048" t="s">
        <v>5300</v>
      </c>
      <c r="L288" s="5048" t="s">
        <v>5301</v>
      </c>
      <c r="M288" s="5048" t="s">
        <v>5302</v>
      </c>
      <c r="N288" s="5048" t="s">
        <v>5303</v>
      </c>
      <c r="O288" s="5048" t="s">
        <v>5304</v>
      </c>
      <c r="P288" s="5048" t="s">
        <v>5305</v>
      </c>
      <c r="Q288" s="5048" t="s">
        <v>5306</v>
      </c>
      <c r="R288" s="5048" t="s">
        <v>5307</v>
      </c>
      <c r="S288" s="5048" t="s">
        <v>5308</v>
      </c>
      <c r="T288" s="4424" t="s">
        <v>5309</v>
      </c>
    </row>
    <row r="289" spans="1:20" x14ac:dyDescent="0.3">
      <c r="A289" s="6269">
        <v>28022800</v>
      </c>
      <c r="B289" s="3874" t="s">
        <v>3210</v>
      </c>
      <c r="C289" s="3902" t="s">
        <v>5292</v>
      </c>
      <c r="D289" s="1073" t="s">
        <v>5293</v>
      </c>
      <c r="E289" s="1073" t="s">
        <v>5294</v>
      </c>
      <c r="F289" s="1073" t="s">
        <v>5295</v>
      </c>
      <c r="G289" s="1073" t="s">
        <v>5296</v>
      </c>
      <c r="H289" s="1073" t="s">
        <v>5297</v>
      </c>
      <c r="I289" s="1073" t="s">
        <v>5298</v>
      </c>
      <c r="J289" s="1073" t="s">
        <v>5299</v>
      </c>
      <c r="K289" s="1073" t="s">
        <v>5300</v>
      </c>
      <c r="L289" s="1073" t="s">
        <v>5301</v>
      </c>
      <c r="M289" s="1073" t="s">
        <v>5302</v>
      </c>
      <c r="N289" s="1073" t="s">
        <v>5303</v>
      </c>
      <c r="O289" s="1073" t="s">
        <v>5304</v>
      </c>
      <c r="P289" s="1073" t="s">
        <v>5305</v>
      </c>
      <c r="Q289" s="1073" t="s">
        <v>5306</v>
      </c>
      <c r="R289" s="1073" t="s">
        <v>5307</v>
      </c>
      <c r="S289" s="1073" t="s">
        <v>5308</v>
      </c>
      <c r="T289" s="3077" t="s">
        <v>5309</v>
      </c>
    </row>
    <row r="290" spans="1:20" x14ac:dyDescent="0.3">
      <c r="A290" s="6269">
        <v>28022810</v>
      </c>
      <c r="B290" s="3184" t="s">
        <v>3206</v>
      </c>
      <c r="C290" s="3902" t="s">
        <v>5292</v>
      </c>
      <c r="D290" s="1073" t="s">
        <v>5293</v>
      </c>
      <c r="E290" s="1073" t="s">
        <v>5294</v>
      </c>
      <c r="F290" s="1073" t="s">
        <v>5295</v>
      </c>
      <c r="G290" s="1073" t="s">
        <v>5296</v>
      </c>
      <c r="H290" s="1073" t="s">
        <v>5297</v>
      </c>
      <c r="I290" s="1073" t="s">
        <v>5298</v>
      </c>
      <c r="J290" s="1073" t="s">
        <v>5299</v>
      </c>
      <c r="K290" s="1073" t="s">
        <v>5300</v>
      </c>
      <c r="L290" s="1073" t="s">
        <v>5301</v>
      </c>
      <c r="M290" s="1073" t="s">
        <v>5302</v>
      </c>
      <c r="N290" s="1073" t="s">
        <v>5303</v>
      </c>
      <c r="O290" s="1073" t="s">
        <v>5304</v>
      </c>
      <c r="P290" s="1073" t="s">
        <v>5305</v>
      </c>
      <c r="Q290" s="1073" t="s">
        <v>5306</v>
      </c>
      <c r="R290" s="1073" t="s">
        <v>5307</v>
      </c>
      <c r="S290" s="1073" t="s">
        <v>5308</v>
      </c>
      <c r="T290" s="3077" t="s">
        <v>5309</v>
      </c>
    </row>
    <row r="291" spans="1:20" x14ac:dyDescent="0.3">
      <c r="A291" s="6269">
        <v>29101674</v>
      </c>
      <c r="B291" s="3184" t="s">
        <v>3204</v>
      </c>
      <c r="C291" s="3902" t="s">
        <v>5292</v>
      </c>
      <c r="D291" s="1073" t="s">
        <v>5293</v>
      </c>
      <c r="E291" s="1073" t="s">
        <v>5294</v>
      </c>
      <c r="F291" s="1073" t="s">
        <v>5295</v>
      </c>
      <c r="G291" s="1073" t="s">
        <v>5296</v>
      </c>
      <c r="H291" s="1073" t="s">
        <v>5297</v>
      </c>
      <c r="I291" s="1073" t="s">
        <v>5298</v>
      </c>
      <c r="J291" s="1073" t="s">
        <v>5299</v>
      </c>
      <c r="K291" s="1073" t="s">
        <v>5300</v>
      </c>
      <c r="L291" s="1073" t="s">
        <v>5301</v>
      </c>
      <c r="M291" s="1073" t="s">
        <v>5302</v>
      </c>
      <c r="N291" s="1073" t="s">
        <v>5303</v>
      </c>
      <c r="O291" s="1073" t="s">
        <v>5304</v>
      </c>
      <c r="P291" s="1073" t="s">
        <v>5305</v>
      </c>
      <c r="Q291" s="1073" t="s">
        <v>5306</v>
      </c>
      <c r="R291" s="1073" t="s">
        <v>5307</v>
      </c>
      <c r="S291" s="1073" t="s">
        <v>5308</v>
      </c>
      <c r="T291" s="3077" t="s">
        <v>5309</v>
      </c>
    </row>
    <row r="292" spans="1:20" x14ac:dyDescent="0.3">
      <c r="A292" s="6269">
        <v>28022850</v>
      </c>
      <c r="B292" s="3874" t="s">
        <v>3294</v>
      </c>
      <c r="C292" s="3902" t="s">
        <v>5292</v>
      </c>
      <c r="D292" s="1073" t="s">
        <v>5293</v>
      </c>
      <c r="E292" s="1073" t="s">
        <v>5294</v>
      </c>
      <c r="F292" s="1073" t="s">
        <v>5295</v>
      </c>
      <c r="G292" s="1073" t="s">
        <v>5296</v>
      </c>
      <c r="H292" s="1073" t="s">
        <v>5297</v>
      </c>
      <c r="I292" s="1073" t="s">
        <v>5298</v>
      </c>
      <c r="J292" s="1073" t="s">
        <v>5299</v>
      </c>
      <c r="K292" s="1073" t="s">
        <v>5300</v>
      </c>
      <c r="L292" s="1073" t="s">
        <v>5301</v>
      </c>
      <c r="M292" s="1073" t="s">
        <v>5302</v>
      </c>
      <c r="N292" s="1073" t="s">
        <v>5303</v>
      </c>
      <c r="O292" s="1073" t="s">
        <v>5304</v>
      </c>
      <c r="P292" s="1073" t="s">
        <v>5305</v>
      </c>
      <c r="Q292" s="1073" t="s">
        <v>5306</v>
      </c>
      <c r="R292" s="1073" t="s">
        <v>5307</v>
      </c>
      <c r="S292" s="1073" t="s">
        <v>5308</v>
      </c>
      <c r="T292" s="3077" t="s">
        <v>5309</v>
      </c>
    </row>
    <row r="293" spans="1:20" x14ac:dyDescent="0.3">
      <c r="A293" s="6269">
        <v>28022860</v>
      </c>
      <c r="B293" s="3875" t="s">
        <v>3207</v>
      </c>
      <c r="C293" s="3902" t="s">
        <v>5292</v>
      </c>
      <c r="D293" s="1073" t="s">
        <v>5293</v>
      </c>
      <c r="E293" s="1073" t="s">
        <v>5294</v>
      </c>
      <c r="F293" s="1073" t="s">
        <v>5295</v>
      </c>
      <c r="G293" s="1073" t="s">
        <v>5296</v>
      </c>
      <c r="H293" s="1073" t="s">
        <v>5297</v>
      </c>
      <c r="I293" s="1073" t="s">
        <v>5298</v>
      </c>
      <c r="J293" s="1073" t="s">
        <v>5299</v>
      </c>
      <c r="K293" s="1073" t="s">
        <v>5300</v>
      </c>
      <c r="L293" s="1073" t="s">
        <v>5301</v>
      </c>
      <c r="M293" s="1073" t="s">
        <v>5302</v>
      </c>
      <c r="N293" s="1073" t="s">
        <v>5303</v>
      </c>
      <c r="O293" s="1073" t="s">
        <v>5304</v>
      </c>
      <c r="P293" s="1073" t="s">
        <v>5305</v>
      </c>
      <c r="Q293" s="1073" t="s">
        <v>5306</v>
      </c>
      <c r="R293" s="1073" t="s">
        <v>5307</v>
      </c>
      <c r="S293" s="1073" t="s">
        <v>5308</v>
      </c>
      <c r="T293" s="3077" t="s">
        <v>5309</v>
      </c>
    </row>
    <row r="294" spans="1:20" x14ac:dyDescent="0.3">
      <c r="A294" s="6269">
        <v>28022870</v>
      </c>
      <c r="B294" s="3875" t="s">
        <v>3372</v>
      </c>
      <c r="C294" s="3902" t="s">
        <v>5292</v>
      </c>
      <c r="D294" s="1073" t="s">
        <v>5293</v>
      </c>
      <c r="E294" s="1073" t="s">
        <v>5294</v>
      </c>
      <c r="F294" s="1073" t="s">
        <v>5295</v>
      </c>
      <c r="G294" s="1073" t="s">
        <v>5296</v>
      </c>
      <c r="H294" s="1073" t="s">
        <v>5297</v>
      </c>
      <c r="I294" s="1073" t="s">
        <v>5298</v>
      </c>
      <c r="J294" s="1073" t="s">
        <v>5299</v>
      </c>
      <c r="K294" s="1073" t="s">
        <v>5300</v>
      </c>
      <c r="L294" s="1073" t="s">
        <v>5301</v>
      </c>
      <c r="M294" s="1073" t="s">
        <v>5302</v>
      </c>
      <c r="N294" s="1073" t="s">
        <v>5303</v>
      </c>
      <c r="O294" s="1073" t="s">
        <v>5304</v>
      </c>
      <c r="P294" s="1073" t="s">
        <v>5305</v>
      </c>
      <c r="Q294" s="1073" t="s">
        <v>5306</v>
      </c>
      <c r="R294" s="1073" t="s">
        <v>5307</v>
      </c>
      <c r="S294" s="1073" t="s">
        <v>5308</v>
      </c>
      <c r="T294" s="3077" t="s">
        <v>5309</v>
      </c>
    </row>
    <row r="295" spans="1:20" x14ac:dyDescent="0.3">
      <c r="A295" s="6269">
        <v>28022880</v>
      </c>
      <c r="B295" s="3875" t="s">
        <v>3292</v>
      </c>
      <c r="C295" s="3902" t="s">
        <v>5292</v>
      </c>
      <c r="D295" s="1073" t="s">
        <v>5293</v>
      </c>
      <c r="E295" s="1073" t="s">
        <v>5294</v>
      </c>
      <c r="F295" s="1073" t="s">
        <v>5295</v>
      </c>
      <c r="G295" s="1073" t="s">
        <v>5296</v>
      </c>
      <c r="H295" s="1073" t="s">
        <v>5297</v>
      </c>
      <c r="I295" s="1073" t="s">
        <v>5298</v>
      </c>
      <c r="J295" s="1073" t="s">
        <v>5299</v>
      </c>
      <c r="K295" s="1073" t="s">
        <v>5300</v>
      </c>
      <c r="L295" s="1073" t="s">
        <v>5301</v>
      </c>
      <c r="M295" s="1073" t="s">
        <v>5302</v>
      </c>
      <c r="N295" s="1073" t="s">
        <v>5303</v>
      </c>
      <c r="O295" s="1073" t="s">
        <v>5304</v>
      </c>
      <c r="P295" s="1073" t="s">
        <v>5305</v>
      </c>
      <c r="Q295" s="1073" t="s">
        <v>5306</v>
      </c>
      <c r="R295" s="1073" t="s">
        <v>5307</v>
      </c>
      <c r="S295" s="1073" t="s">
        <v>5308</v>
      </c>
      <c r="T295" s="3077" t="s">
        <v>5309</v>
      </c>
    </row>
    <row r="296" spans="1:20" x14ac:dyDescent="0.3">
      <c r="A296" s="6269">
        <v>29101675</v>
      </c>
      <c r="B296" s="3874" t="s">
        <v>3299</v>
      </c>
      <c r="C296" s="3902" t="s">
        <v>5292</v>
      </c>
      <c r="D296" s="1073" t="s">
        <v>5293</v>
      </c>
      <c r="E296" s="1073" t="s">
        <v>5294</v>
      </c>
      <c r="F296" s="1073" t="s">
        <v>5295</v>
      </c>
      <c r="G296" s="1073" t="s">
        <v>5296</v>
      </c>
      <c r="H296" s="1073" t="s">
        <v>5297</v>
      </c>
      <c r="I296" s="1073" t="s">
        <v>5298</v>
      </c>
      <c r="J296" s="1073" t="s">
        <v>5299</v>
      </c>
      <c r="K296" s="1073" t="s">
        <v>5300</v>
      </c>
      <c r="L296" s="1073" t="s">
        <v>5301</v>
      </c>
      <c r="M296" s="1073" t="s">
        <v>5302</v>
      </c>
      <c r="N296" s="1073" t="s">
        <v>5303</v>
      </c>
      <c r="O296" s="1073" t="s">
        <v>5304</v>
      </c>
      <c r="P296" s="1073" t="s">
        <v>5305</v>
      </c>
      <c r="Q296" s="1073" t="s">
        <v>5306</v>
      </c>
      <c r="R296" s="1073" t="s">
        <v>5307</v>
      </c>
      <c r="S296" s="1073" t="s">
        <v>5308</v>
      </c>
      <c r="T296" s="3077" t="s">
        <v>5309</v>
      </c>
    </row>
    <row r="297" spans="1:20" x14ac:dyDescent="0.3">
      <c r="A297" s="6269">
        <v>28101800</v>
      </c>
      <c r="B297" s="3875" t="s">
        <v>3373</v>
      </c>
      <c r="C297" s="3902" t="s">
        <v>5292</v>
      </c>
      <c r="D297" s="1073" t="s">
        <v>5293</v>
      </c>
      <c r="E297" s="1073" t="s">
        <v>5294</v>
      </c>
      <c r="F297" s="1073" t="s">
        <v>5295</v>
      </c>
      <c r="G297" s="1073" t="s">
        <v>5296</v>
      </c>
      <c r="H297" s="1073" t="s">
        <v>5297</v>
      </c>
      <c r="I297" s="1073" t="s">
        <v>5298</v>
      </c>
      <c r="J297" s="1073" t="s">
        <v>5299</v>
      </c>
      <c r="K297" s="1073" t="s">
        <v>5300</v>
      </c>
      <c r="L297" s="1073" t="s">
        <v>5301</v>
      </c>
      <c r="M297" s="1073" t="s">
        <v>5302</v>
      </c>
      <c r="N297" s="1073" t="s">
        <v>5303</v>
      </c>
      <c r="O297" s="1073" t="s">
        <v>5304</v>
      </c>
      <c r="P297" s="1073" t="s">
        <v>5305</v>
      </c>
      <c r="Q297" s="1073" t="s">
        <v>5306</v>
      </c>
      <c r="R297" s="1073" t="s">
        <v>5307</v>
      </c>
      <c r="S297" s="1073" t="s">
        <v>5308</v>
      </c>
      <c r="T297" s="3077" t="s">
        <v>5309</v>
      </c>
    </row>
    <row r="298" spans="1:20" x14ac:dyDescent="0.3">
      <c r="A298" s="6269">
        <v>29101676</v>
      </c>
      <c r="B298" s="3874" t="s">
        <v>3212</v>
      </c>
      <c r="C298" s="3902" t="s">
        <v>5292</v>
      </c>
      <c r="D298" s="1073" t="s">
        <v>5293</v>
      </c>
      <c r="E298" s="1073" t="s">
        <v>5294</v>
      </c>
      <c r="F298" s="1073" t="s">
        <v>5295</v>
      </c>
      <c r="G298" s="1073" t="s">
        <v>5296</v>
      </c>
      <c r="H298" s="1073" t="s">
        <v>5297</v>
      </c>
      <c r="I298" s="1073" t="s">
        <v>5298</v>
      </c>
      <c r="J298" s="1073" t="s">
        <v>5299</v>
      </c>
      <c r="K298" s="1073" t="s">
        <v>5300</v>
      </c>
      <c r="L298" s="1073" t="s">
        <v>5301</v>
      </c>
      <c r="M298" s="1073" t="s">
        <v>5302</v>
      </c>
      <c r="N298" s="1073" t="s">
        <v>5303</v>
      </c>
      <c r="O298" s="1073" t="s">
        <v>5304</v>
      </c>
      <c r="P298" s="1073" t="s">
        <v>5305</v>
      </c>
      <c r="Q298" s="1073" t="s">
        <v>5306</v>
      </c>
      <c r="R298" s="1073" t="s">
        <v>5307</v>
      </c>
      <c r="S298" s="1073" t="s">
        <v>5308</v>
      </c>
      <c r="T298" s="3077" t="s">
        <v>5309</v>
      </c>
    </row>
    <row r="299" spans="1:20" x14ac:dyDescent="0.3">
      <c r="A299" s="6269">
        <v>28022940</v>
      </c>
      <c r="B299" s="3875" t="s">
        <v>3303</v>
      </c>
      <c r="C299" s="3902" t="s">
        <v>5292</v>
      </c>
      <c r="D299" s="1073" t="s">
        <v>5293</v>
      </c>
      <c r="E299" s="1073" t="s">
        <v>5294</v>
      </c>
      <c r="F299" s="1073" t="s">
        <v>5295</v>
      </c>
      <c r="G299" s="1073" t="s">
        <v>5296</v>
      </c>
      <c r="H299" s="1073" t="s">
        <v>5297</v>
      </c>
      <c r="I299" s="1073" t="s">
        <v>5298</v>
      </c>
      <c r="J299" s="1073" t="s">
        <v>5299</v>
      </c>
      <c r="K299" s="1073" t="s">
        <v>5300</v>
      </c>
      <c r="L299" s="1073" t="s">
        <v>5301</v>
      </c>
      <c r="M299" s="1073" t="s">
        <v>5302</v>
      </c>
      <c r="N299" s="1073" t="s">
        <v>5303</v>
      </c>
      <c r="O299" s="1073" t="s">
        <v>5304</v>
      </c>
      <c r="P299" s="1073" t="s">
        <v>5305</v>
      </c>
      <c r="Q299" s="1073" t="s">
        <v>5306</v>
      </c>
      <c r="R299" s="1073" t="s">
        <v>5307</v>
      </c>
      <c r="S299" s="1073" t="s">
        <v>5308</v>
      </c>
      <c r="T299" s="3077" t="s">
        <v>5309</v>
      </c>
    </row>
    <row r="300" spans="1:20" x14ac:dyDescent="0.3">
      <c r="A300" s="6269">
        <v>29101677</v>
      </c>
      <c r="B300" s="3874" t="s">
        <v>3213</v>
      </c>
      <c r="C300" s="3902" t="s">
        <v>5292</v>
      </c>
      <c r="D300" s="5048" t="s">
        <v>5293</v>
      </c>
      <c r="E300" s="5048" t="s">
        <v>5294</v>
      </c>
      <c r="F300" s="5048" t="s">
        <v>5295</v>
      </c>
      <c r="G300" s="5048" t="s">
        <v>5296</v>
      </c>
      <c r="H300" s="5048" t="s">
        <v>5297</v>
      </c>
      <c r="I300" s="5048" t="s">
        <v>5298</v>
      </c>
      <c r="J300" s="5048" t="s">
        <v>5299</v>
      </c>
      <c r="K300" s="5048" t="s">
        <v>5300</v>
      </c>
      <c r="L300" s="5048" t="s">
        <v>5301</v>
      </c>
      <c r="M300" s="5048" t="s">
        <v>5302</v>
      </c>
      <c r="N300" s="5048" t="s">
        <v>5303</v>
      </c>
      <c r="O300" s="5048" t="s">
        <v>5304</v>
      </c>
      <c r="P300" s="5048" t="s">
        <v>5305</v>
      </c>
      <c r="Q300" s="5048" t="s">
        <v>5306</v>
      </c>
      <c r="R300" s="5048" t="s">
        <v>5307</v>
      </c>
      <c r="S300" s="5048" t="s">
        <v>5308</v>
      </c>
      <c r="T300" s="4424" t="s">
        <v>5309</v>
      </c>
    </row>
    <row r="301" spans="1:20" x14ac:dyDescent="0.3">
      <c r="A301" s="6269">
        <v>28022970</v>
      </c>
      <c r="B301" s="3875" t="s">
        <v>3374</v>
      </c>
      <c r="C301" s="3902" t="s">
        <v>5292</v>
      </c>
      <c r="D301" s="5048" t="s">
        <v>5293</v>
      </c>
      <c r="E301" s="5048" t="s">
        <v>5294</v>
      </c>
      <c r="F301" s="5048" t="s">
        <v>5295</v>
      </c>
      <c r="G301" s="5048" t="s">
        <v>5296</v>
      </c>
      <c r="H301" s="5048" t="s">
        <v>5297</v>
      </c>
      <c r="I301" s="5048" t="s">
        <v>5298</v>
      </c>
      <c r="J301" s="5048" t="s">
        <v>5299</v>
      </c>
      <c r="K301" s="5048" t="s">
        <v>5300</v>
      </c>
      <c r="L301" s="5048" t="s">
        <v>5301</v>
      </c>
      <c r="M301" s="5048" t="s">
        <v>5302</v>
      </c>
      <c r="N301" s="5048" t="s">
        <v>5303</v>
      </c>
      <c r="O301" s="5048" t="s">
        <v>5304</v>
      </c>
      <c r="P301" s="5048" t="s">
        <v>5305</v>
      </c>
      <c r="Q301" s="5048" t="s">
        <v>5306</v>
      </c>
      <c r="R301" s="5048" t="s">
        <v>5307</v>
      </c>
      <c r="S301" s="5048" t="s">
        <v>5308</v>
      </c>
      <c r="T301" s="4424" t="s">
        <v>5309</v>
      </c>
    </row>
    <row r="302" spans="1:20" x14ac:dyDescent="0.3">
      <c r="A302" s="6269">
        <v>28022980</v>
      </c>
      <c r="B302" s="3875" t="s">
        <v>3375</v>
      </c>
      <c r="C302" s="3902" t="s">
        <v>5292</v>
      </c>
      <c r="D302" s="5048" t="s">
        <v>5293</v>
      </c>
      <c r="E302" s="5048" t="s">
        <v>5294</v>
      </c>
      <c r="F302" s="5048" t="s">
        <v>5295</v>
      </c>
      <c r="G302" s="5048" t="s">
        <v>5296</v>
      </c>
      <c r="H302" s="5048" t="s">
        <v>5297</v>
      </c>
      <c r="I302" s="5048" t="s">
        <v>5298</v>
      </c>
      <c r="J302" s="5048" t="s">
        <v>5299</v>
      </c>
      <c r="K302" s="5048" t="s">
        <v>5300</v>
      </c>
      <c r="L302" s="5048" t="s">
        <v>5301</v>
      </c>
      <c r="M302" s="5048" t="s">
        <v>5302</v>
      </c>
      <c r="N302" s="5048" t="s">
        <v>5303</v>
      </c>
      <c r="O302" s="5048" t="s">
        <v>5304</v>
      </c>
      <c r="P302" s="5048" t="s">
        <v>5305</v>
      </c>
      <c r="Q302" s="5048" t="s">
        <v>5306</v>
      </c>
      <c r="R302" s="5048" t="s">
        <v>5307</v>
      </c>
      <c r="S302" s="5048" t="s">
        <v>5308</v>
      </c>
      <c r="T302" s="4424" t="s">
        <v>5309</v>
      </c>
    </row>
    <row r="303" spans="1:20" x14ac:dyDescent="0.3">
      <c r="A303" s="6269">
        <v>29101678</v>
      </c>
      <c r="B303" s="3874" t="s">
        <v>3214</v>
      </c>
      <c r="C303" s="3902" t="s">
        <v>5292</v>
      </c>
      <c r="D303" s="1073" t="s">
        <v>5293</v>
      </c>
      <c r="E303" s="1073" t="s">
        <v>5294</v>
      </c>
      <c r="F303" s="1073" t="s">
        <v>5295</v>
      </c>
      <c r="G303" s="1073" t="s">
        <v>5296</v>
      </c>
      <c r="H303" s="1073" t="s">
        <v>5297</v>
      </c>
      <c r="I303" s="1073" t="s">
        <v>5298</v>
      </c>
      <c r="J303" s="1073" t="s">
        <v>5299</v>
      </c>
      <c r="K303" s="1073" t="s">
        <v>5300</v>
      </c>
      <c r="L303" s="1073" t="s">
        <v>5301</v>
      </c>
      <c r="M303" s="1073" t="s">
        <v>5302</v>
      </c>
      <c r="N303" s="1073" t="s">
        <v>5303</v>
      </c>
      <c r="O303" s="1073" t="s">
        <v>5304</v>
      </c>
      <c r="P303" s="1073" t="s">
        <v>5305</v>
      </c>
      <c r="Q303" s="1073" t="s">
        <v>5306</v>
      </c>
      <c r="R303" s="1073" t="s">
        <v>5307</v>
      </c>
      <c r="S303" s="1073" t="s">
        <v>5308</v>
      </c>
      <c r="T303" s="3077" t="s">
        <v>5309</v>
      </c>
    </row>
    <row r="304" spans="1:20" x14ac:dyDescent="0.3">
      <c r="A304" s="6269">
        <v>29101679</v>
      </c>
      <c r="B304" s="3897" t="s">
        <v>3296</v>
      </c>
      <c r="C304" s="3902" t="s">
        <v>5292</v>
      </c>
      <c r="D304" s="1073" t="s">
        <v>5293</v>
      </c>
      <c r="E304" s="1073" t="s">
        <v>5294</v>
      </c>
      <c r="F304" s="1073" t="s">
        <v>5295</v>
      </c>
      <c r="G304" s="1073" t="s">
        <v>5296</v>
      </c>
      <c r="H304" s="1073" t="s">
        <v>5297</v>
      </c>
      <c r="I304" s="1073" t="s">
        <v>5298</v>
      </c>
      <c r="J304" s="1073" t="s">
        <v>5299</v>
      </c>
      <c r="K304" s="1073" t="s">
        <v>5300</v>
      </c>
      <c r="L304" s="1073" t="s">
        <v>5301</v>
      </c>
      <c r="M304" s="1073" t="s">
        <v>5302</v>
      </c>
      <c r="N304" s="1073" t="s">
        <v>5303</v>
      </c>
      <c r="O304" s="1073" t="s">
        <v>5304</v>
      </c>
      <c r="P304" s="1073" t="s">
        <v>5305</v>
      </c>
      <c r="Q304" s="1073" t="s">
        <v>5306</v>
      </c>
      <c r="R304" s="1073" t="s">
        <v>5307</v>
      </c>
      <c r="S304" s="1073" t="s">
        <v>5308</v>
      </c>
      <c r="T304" s="3077" t="s">
        <v>5309</v>
      </c>
    </row>
    <row r="305" spans="1:20" x14ac:dyDescent="0.3">
      <c r="A305" s="6269">
        <v>29101680</v>
      </c>
      <c r="B305" s="3239" t="s">
        <v>3376</v>
      </c>
      <c r="C305" s="3902" t="s">
        <v>5292</v>
      </c>
      <c r="D305" s="1073" t="s">
        <v>5293</v>
      </c>
      <c r="E305" s="1073" t="s">
        <v>5294</v>
      </c>
      <c r="F305" s="1073" t="s">
        <v>5295</v>
      </c>
      <c r="G305" s="1073" t="s">
        <v>5296</v>
      </c>
      <c r="H305" s="1073" t="s">
        <v>5297</v>
      </c>
      <c r="I305" s="1073" t="s">
        <v>5298</v>
      </c>
      <c r="J305" s="1073" t="s">
        <v>5299</v>
      </c>
      <c r="K305" s="1073" t="s">
        <v>5300</v>
      </c>
      <c r="L305" s="1073" t="s">
        <v>5301</v>
      </c>
      <c r="M305" s="1073" t="s">
        <v>5302</v>
      </c>
      <c r="N305" s="1073" t="s">
        <v>5303</v>
      </c>
      <c r="O305" s="1073" t="s">
        <v>5304</v>
      </c>
      <c r="P305" s="1073" t="s">
        <v>5305</v>
      </c>
      <c r="Q305" s="1073" t="s">
        <v>5306</v>
      </c>
      <c r="R305" s="1073" t="s">
        <v>5307</v>
      </c>
      <c r="S305" s="1073" t="s">
        <v>5308</v>
      </c>
      <c r="T305" s="3077" t="s">
        <v>5309</v>
      </c>
    </row>
    <row r="306" spans="1:20" x14ac:dyDescent="0.3">
      <c r="A306" s="6269">
        <v>29101681</v>
      </c>
      <c r="B306" s="3239" t="s">
        <v>3202</v>
      </c>
      <c r="C306" s="3902" t="s">
        <v>5292</v>
      </c>
      <c r="D306" s="1073" t="s">
        <v>5293</v>
      </c>
      <c r="E306" s="1073" t="s">
        <v>5294</v>
      </c>
      <c r="F306" s="1073" t="s">
        <v>5295</v>
      </c>
      <c r="G306" s="1073" t="s">
        <v>5296</v>
      </c>
      <c r="H306" s="1073" t="s">
        <v>5297</v>
      </c>
      <c r="I306" s="1073" t="s">
        <v>5298</v>
      </c>
      <c r="J306" s="1073" t="s">
        <v>5299</v>
      </c>
      <c r="K306" s="1073" t="s">
        <v>5300</v>
      </c>
      <c r="L306" s="1073" t="s">
        <v>5301</v>
      </c>
      <c r="M306" s="1073" t="s">
        <v>5302</v>
      </c>
      <c r="N306" s="1073" t="s">
        <v>5303</v>
      </c>
      <c r="O306" s="1073" t="s">
        <v>5304</v>
      </c>
      <c r="P306" s="1073" t="s">
        <v>5305</v>
      </c>
      <c r="Q306" s="1073" t="s">
        <v>5306</v>
      </c>
      <c r="R306" s="1073" t="s">
        <v>5307</v>
      </c>
      <c r="S306" s="1073" t="s">
        <v>5308</v>
      </c>
      <c r="T306" s="3077" t="s">
        <v>5309</v>
      </c>
    </row>
    <row r="307" spans="1:20" x14ac:dyDescent="0.3">
      <c r="A307" s="6269">
        <v>29101682</v>
      </c>
      <c r="B307" s="3239" t="s">
        <v>3300</v>
      </c>
      <c r="C307" s="3904" t="s">
        <v>5292</v>
      </c>
      <c r="D307" s="127" t="s">
        <v>5293</v>
      </c>
      <c r="E307" s="127" t="s">
        <v>5294</v>
      </c>
      <c r="F307" s="127" t="s">
        <v>5295</v>
      </c>
      <c r="G307" s="127" t="s">
        <v>5296</v>
      </c>
      <c r="H307" s="127" t="s">
        <v>5297</v>
      </c>
      <c r="I307" s="127" t="s">
        <v>5298</v>
      </c>
      <c r="J307" s="127" t="s">
        <v>5299</v>
      </c>
      <c r="K307" s="127" t="s">
        <v>5300</v>
      </c>
      <c r="L307" s="127" t="s">
        <v>5301</v>
      </c>
      <c r="M307" s="127" t="s">
        <v>5302</v>
      </c>
      <c r="N307" s="127" t="s">
        <v>5303</v>
      </c>
      <c r="O307" s="127" t="s">
        <v>5304</v>
      </c>
      <c r="P307" s="127" t="s">
        <v>5305</v>
      </c>
      <c r="Q307" s="127" t="s">
        <v>5306</v>
      </c>
      <c r="R307" s="127" t="s">
        <v>5307</v>
      </c>
      <c r="S307" s="127" t="s">
        <v>5308</v>
      </c>
      <c r="T307" s="91" t="s">
        <v>5309</v>
      </c>
    </row>
    <row r="308" spans="1:20" x14ac:dyDescent="0.3">
      <c r="A308" s="6269">
        <v>28022990</v>
      </c>
      <c r="B308" s="5253" t="s">
        <v>3377</v>
      </c>
      <c r="C308" s="388" t="s">
        <v>5292</v>
      </c>
      <c r="D308" s="3020" t="s">
        <v>5293</v>
      </c>
      <c r="E308" s="3020" t="s">
        <v>5294</v>
      </c>
      <c r="F308" s="3020" t="s">
        <v>5295</v>
      </c>
      <c r="G308" s="3020" t="s">
        <v>5296</v>
      </c>
      <c r="H308" s="3020" t="s">
        <v>5297</v>
      </c>
      <c r="I308" s="3020" t="s">
        <v>5298</v>
      </c>
      <c r="J308" s="3020" t="s">
        <v>5299</v>
      </c>
      <c r="K308" s="3020" t="s">
        <v>5300</v>
      </c>
      <c r="L308" s="3020" t="s">
        <v>5301</v>
      </c>
      <c r="M308" s="3020" t="s">
        <v>5302</v>
      </c>
      <c r="N308" s="3020" t="s">
        <v>5303</v>
      </c>
      <c r="O308" s="3020" t="s">
        <v>5304</v>
      </c>
      <c r="P308" s="3020" t="s">
        <v>5305</v>
      </c>
      <c r="Q308" s="3020" t="s">
        <v>5306</v>
      </c>
      <c r="R308" s="3020" t="s">
        <v>5307</v>
      </c>
      <c r="S308" s="3020" t="s">
        <v>5308</v>
      </c>
      <c r="T308" s="117" t="s">
        <v>5309</v>
      </c>
    </row>
    <row r="349" spans="2:3" hidden="1" x14ac:dyDescent="0.3">
      <c r="B349" s="3905">
        <f>SUM(C13:C24,D29:D50,C59,C67,C75,C95:F95,C103:F103,C111:F111,C115:C116,C120:C122,D126:M141,C147:C175,C176:C181,C193,C204,C213,C216:C219,C247,C252:C254,C258:C284,C288:C308)</f>
        <v>0</v>
      </c>
      <c r="C349" s="3905" t="e">
        <f>SUM(CH13:CN212)</f>
        <v>#VALUE!</v>
      </c>
    </row>
  </sheetData>
  <mergeCells count="141">
    <mergeCell ref="U195:Y195"/>
    <mergeCell ref="U196:W196"/>
    <mergeCell ref="X196:Y196"/>
    <mergeCell ref="B183:B185"/>
    <mergeCell ref="C183:C185"/>
    <mergeCell ref="D183:T184"/>
    <mergeCell ref="U183:Y183"/>
    <mergeCell ref="U184:W184"/>
    <mergeCell ref="X184:Y184"/>
    <mergeCell ref="B195:B197"/>
    <mergeCell ref="C195:C197"/>
    <mergeCell ref="D195:T196"/>
    <mergeCell ref="B286:B287"/>
    <mergeCell ref="C286:C287"/>
    <mergeCell ref="D286:T286"/>
    <mergeCell ref="B250:B251"/>
    <mergeCell ref="C250:C251"/>
    <mergeCell ref="B206:B208"/>
    <mergeCell ref="C206:C208"/>
    <mergeCell ref="D206:T207"/>
    <mergeCell ref="U206:Y206"/>
    <mergeCell ref="U207:W207"/>
    <mergeCell ref="X207:Y207"/>
    <mergeCell ref="D250:T250"/>
    <mergeCell ref="B256:B257"/>
    <mergeCell ref="C256:C257"/>
    <mergeCell ref="D256:T256"/>
    <mergeCell ref="AN144:AP144"/>
    <mergeCell ref="F145:G145"/>
    <mergeCell ref="H145:I145"/>
    <mergeCell ref="J145:K145"/>
    <mergeCell ref="L145:M145"/>
    <mergeCell ref="N145:O145"/>
    <mergeCell ref="P145:Q145"/>
    <mergeCell ref="R145:S145"/>
    <mergeCell ref="T145:U145"/>
    <mergeCell ref="V145:W145"/>
    <mergeCell ref="AO145:AP145"/>
    <mergeCell ref="AJ145:AK145"/>
    <mergeCell ref="AL145:AM145"/>
    <mergeCell ref="AN145:AN146"/>
    <mergeCell ref="AD145:AE145"/>
    <mergeCell ref="AF145:AG145"/>
    <mergeCell ref="AH145:AI145"/>
    <mergeCell ref="B135:B140"/>
    <mergeCell ref="B144:B146"/>
    <mergeCell ref="C144:E145"/>
    <mergeCell ref="F144:AM144"/>
    <mergeCell ref="X145:Y145"/>
    <mergeCell ref="Z145:AA145"/>
    <mergeCell ref="AB145:AC145"/>
    <mergeCell ref="B118:B119"/>
    <mergeCell ref="C118:C119"/>
    <mergeCell ref="D118:F118"/>
    <mergeCell ref="G118:G119"/>
    <mergeCell ref="H118:H119"/>
    <mergeCell ref="I118:L118"/>
    <mergeCell ref="B124:B125"/>
    <mergeCell ref="C124:C125"/>
    <mergeCell ref="D124:E124"/>
    <mergeCell ref="F124:G124"/>
    <mergeCell ref="H124:I124"/>
    <mergeCell ref="J124:K124"/>
    <mergeCell ref="L124:M124"/>
    <mergeCell ref="B126:B129"/>
    <mergeCell ref="B130:B134"/>
    <mergeCell ref="B113:B114"/>
    <mergeCell ref="C113:C114"/>
    <mergeCell ref="D113:G113"/>
    <mergeCell ref="H113:I113"/>
    <mergeCell ref="B61:B62"/>
    <mergeCell ref="C61:C62"/>
    <mergeCell ref="D61:T61"/>
    <mergeCell ref="B29:C29"/>
    <mergeCell ref="B30:B48"/>
    <mergeCell ref="B52:B53"/>
    <mergeCell ref="C52:C53"/>
    <mergeCell ref="D52:G52"/>
    <mergeCell ref="B69:B70"/>
    <mergeCell ref="C69:C70"/>
    <mergeCell ref="D69:T69"/>
    <mergeCell ref="U69:X69"/>
    <mergeCell ref="Y69:AA69"/>
    <mergeCell ref="W27:X27"/>
    <mergeCell ref="Y27:Z27"/>
    <mergeCell ref="AA27:AB27"/>
    <mergeCell ref="H52:I52"/>
    <mergeCell ref="AK27:AL27"/>
    <mergeCell ref="AM27:AN27"/>
    <mergeCell ref="AO27:AO28"/>
    <mergeCell ref="U61:X61"/>
    <mergeCell ref="Y61:AA61"/>
    <mergeCell ref="B26:B28"/>
    <mergeCell ref="C26:C28"/>
    <mergeCell ref="D26:F27"/>
    <mergeCell ref="G26:AN26"/>
    <mergeCell ref="AO26:AR26"/>
    <mergeCell ref="G27:H27"/>
    <mergeCell ref="I27:J27"/>
    <mergeCell ref="AR27:AR28"/>
    <mergeCell ref="O27:P27"/>
    <mergeCell ref="Q27:R27"/>
    <mergeCell ref="S27:T27"/>
    <mergeCell ref="U27:V27"/>
    <mergeCell ref="AC27:AD27"/>
    <mergeCell ref="AE27:AF27"/>
    <mergeCell ref="AG27:AH27"/>
    <mergeCell ref="AI27:AJ27"/>
    <mergeCell ref="AP27:AP28"/>
    <mergeCell ref="AQ27:AQ28"/>
    <mergeCell ref="K27:L27"/>
    <mergeCell ref="M27:N27"/>
    <mergeCell ref="AS10:AS12"/>
    <mergeCell ref="AT10:AT12"/>
    <mergeCell ref="F11:G11"/>
    <mergeCell ref="H11:I11"/>
    <mergeCell ref="J11:K11"/>
    <mergeCell ref="L11:M11"/>
    <mergeCell ref="N11:O11"/>
    <mergeCell ref="P11:Q11"/>
    <mergeCell ref="R11:S11"/>
    <mergeCell ref="T11:U11"/>
    <mergeCell ref="AQ11:AQ12"/>
    <mergeCell ref="AD11:AE11"/>
    <mergeCell ref="AF11:AG11"/>
    <mergeCell ref="AO11:AO12"/>
    <mergeCell ref="AP11:AP12"/>
    <mergeCell ref="AH11:AI11"/>
    <mergeCell ref="AJ11:AK11"/>
    <mergeCell ref="AL11:AM11"/>
    <mergeCell ref="AN11:AN12"/>
    <mergeCell ref="B6:O6"/>
    <mergeCell ref="B10:B12"/>
    <mergeCell ref="C10:E11"/>
    <mergeCell ref="F10:AM10"/>
    <mergeCell ref="AN10:AQ10"/>
    <mergeCell ref="AR10:AR12"/>
    <mergeCell ref="V11:W11"/>
    <mergeCell ref="X11:Y11"/>
    <mergeCell ref="Z11:AA11"/>
    <mergeCell ref="AB11:AC11"/>
  </mergeCells>
  <dataValidations count="6">
    <dataValidation allowBlank="1" showInputMessage="1" showErrorMessage="1" error="Valor no Permitido" sqref="U62 U70" xr:uid="{00000000-0002-0000-1400-000000000000}"/>
    <dataValidation type="whole" operator="greaterThanOrEqual" allowBlank="1" showInputMessage="1" showErrorMessage="1" sqref="D54:I59 D71:AA75" xr:uid="{00000000-0002-0000-1400-000001000000}">
      <formula1>0</formula1>
    </dataValidation>
    <dataValidation type="whole" operator="greaterThanOrEqual" allowBlank="1" showInputMessage="1" showErrorMessage="1" error="Valor no Permitido" sqref="C13:AT24 D288:T308 D63:AA67 C78:F95 C98:F103 C106:F110 D115:I116 D120:L122 D126:M141 F147:AP181 D186:Y193 D198:Y204 D209:Y212 C216:C219 C222:C246 D252:T254 D258:T284 D29:AR50" xr:uid="{00000000-0002-0000-1400-000002000000}">
      <formula1>0</formula1>
    </dataValidation>
    <dataValidation allowBlank="1" sqref="CB6:CG6 CB29:CG51" xr:uid="{00000000-0002-0000-1400-000003000000}"/>
    <dataValidation type="whole" allowBlank="1" showInputMessage="1" showErrorMessage="1" error="Valor no Permitido" sqref="CH6:CU6 G60 X61 G68 D177:E181 D144:E175 C142:C175 F146:AM146 CI29:CL51 CH28:CH51" xr:uid="{00000000-0002-0000-1400-000004000000}">
      <formula1>0</formula1>
      <formula2>1E+30</formula2>
    </dataValidation>
    <dataValidation operator="greaterThanOrEqual" allowBlank="1" showInputMessage="1" showErrorMessage="1" error="Valor no Permitido" sqref="A13:A18 A20:A24 A37:A40 A43 A48:A50 A54:A58 A63:A67 A71:A75 A78 A80:A86 A89:A90 A98:A103 A106:A111 A115:A116 A120:A122 A126:A141 A147:A151 A154 A157 A172:A173 A166 A161 A168 A175 A177:A181 A186:A191 A198:A202 A209:A212 A216:A218 A237 A241 A253 A288:A290 A292:A295 A301" xr:uid="{209C1ED6-EC78-436D-9156-063B68221823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A198"/>
  <sheetViews>
    <sheetView showGridLines="0" workbookViewId="0"/>
  </sheetViews>
  <sheetFormatPr baseColWidth="10" defaultColWidth="11.44140625" defaultRowHeight="14.4" x14ac:dyDescent="0.3"/>
  <cols>
    <col min="1" max="1" width="17.5546875" customWidth="1"/>
    <col min="2" max="2" width="71.33203125" customWidth="1"/>
    <col min="3" max="3" width="48.6640625" customWidth="1"/>
    <col min="4" max="5" width="19.109375" customWidth="1"/>
    <col min="6" max="7" width="12.5546875" customWidth="1"/>
    <col min="8" max="8" width="12.6640625" customWidth="1"/>
    <col min="13" max="13" width="13.6640625" customWidth="1"/>
    <col min="14" max="14" width="12.33203125" customWidth="1"/>
    <col min="15" max="15" width="15" customWidth="1"/>
    <col min="16" max="17" width="14.6640625" customWidth="1"/>
    <col min="74" max="78" width="13.33203125" customWidth="1"/>
    <col min="79" max="79" width="12" hidden="1" customWidth="1"/>
    <col min="80" max="86" width="11.44140625" hidden="1" customWidth="1"/>
    <col min="87" max="105" width="11.44140625" customWidth="1"/>
    <col min="106" max="106" width="12" customWidth="1"/>
  </cols>
  <sheetData>
    <row r="1" spans="1:105" x14ac:dyDescent="0.3">
      <c r="B1" s="774" t="s">
        <v>3879</v>
      </c>
    </row>
    <row r="2" spans="1:105" x14ac:dyDescent="0.3">
      <c r="B2" s="774" t="str">
        <f>CONCATENATE("COMUNA: ",NOMBRE!B2," - ","( ",NOMBRE!C2,NOMBRE!D2,NOMBRE!E2,NOMBRE!F2,NOMBRE!G2," )")</f>
        <v>COMUNA:  - (  )</v>
      </c>
    </row>
    <row r="3" spans="1:105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05" x14ac:dyDescent="0.3">
      <c r="B4" s="774" t="str">
        <f>CONCATENATE("MES: ",NOMBRE!B6," - ","( ",NOMBRE!C6,NOMBRE!D6," )")</f>
        <v>MES:  - (  )</v>
      </c>
    </row>
    <row r="5" spans="1:105" x14ac:dyDescent="0.3">
      <c r="B5" s="774" t="str">
        <f>CONCATENATE("AÑO: ",NOMBRE!B7)</f>
        <v>AÑO: 2024</v>
      </c>
    </row>
    <row r="6" spans="1:105" s="20" customFormat="1" ht="18" customHeight="1" x14ac:dyDescent="0.25">
      <c r="B6" s="7028" t="s">
        <v>3378</v>
      </c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7028"/>
      <c r="R6" s="7028"/>
      <c r="S6" s="7028"/>
      <c r="T6" s="7028"/>
      <c r="U6" s="7028"/>
      <c r="CB6" s="2498"/>
      <c r="CC6" s="2498"/>
      <c r="CD6" s="2498"/>
      <c r="CE6" s="2498"/>
      <c r="CF6" s="2498"/>
      <c r="CG6" s="2498"/>
      <c r="CH6" s="2498"/>
      <c r="CI6" s="2498"/>
      <c r="CJ6" s="2498"/>
      <c r="CK6" s="2498"/>
      <c r="CL6" s="2498"/>
      <c r="CM6" s="2498"/>
      <c r="CN6" s="2498"/>
      <c r="CO6" s="2498"/>
      <c r="CP6" s="2498"/>
      <c r="CQ6" s="2498"/>
      <c r="CR6" s="2498"/>
      <c r="CS6" s="2498"/>
      <c r="CT6" s="2498"/>
      <c r="CU6" s="2498"/>
      <c r="CV6" s="2498"/>
      <c r="CW6" s="2498"/>
      <c r="CX6" s="2498"/>
      <c r="CY6" s="2498"/>
      <c r="CZ6" s="2498"/>
      <c r="DA6" s="2498"/>
    </row>
    <row r="8" spans="1:105" ht="18" customHeight="1" x14ac:dyDescent="0.3">
      <c r="B8" s="3906" t="s">
        <v>3379</v>
      </c>
      <c r="C8" s="19"/>
      <c r="D8" s="15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105" ht="50.25" customHeight="1" x14ac:dyDescent="0.3">
      <c r="B9" s="7798" t="s">
        <v>3380</v>
      </c>
      <c r="C9" s="8304" t="s">
        <v>24</v>
      </c>
      <c r="D9" s="8305"/>
      <c r="E9" s="8306"/>
      <c r="F9" s="8307" t="s">
        <v>3381</v>
      </c>
      <c r="G9" s="8307"/>
      <c r="H9" s="8307" t="s">
        <v>4</v>
      </c>
      <c r="I9" s="8307"/>
      <c r="J9" s="8307" t="s">
        <v>945</v>
      </c>
      <c r="K9" s="8307"/>
      <c r="L9" s="8307" t="s">
        <v>946</v>
      </c>
      <c r="M9" s="8308"/>
      <c r="N9" s="8309" t="s">
        <v>3382</v>
      </c>
      <c r="O9" s="8310"/>
      <c r="P9" s="8310" t="s">
        <v>3383</v>
      </c>
      <c r="Q9" s="8310"/>
      <c r="R9" s="8310" t="s">
        <v>3384</v>
      </c>
      <c r="S9" s="8311"/>
      <c r="T9" s="8312" t="s">
        <v>2</v>
      </c>
      <c r="U9" s="8314" t="s">
        <v>3</v>
      </c>
    </row>
    <row r="10" spans="1:105" x14ac:dyDescent="0.3">
      <c r="B10" s="7016"/>
      <c r="C10" s="3911" t="s">
        <v>26</v>
      </c>
      <c r="D10" s="3907" t="s">
        <v>22</v>
      </c>
      <c r="E10" s="3912" t="s">
        <v>27</v>
      </c>
      <c r="F10" s="3913" t="s">
        <v>22</v>
      </c>
      <c r="G10" s="3912" t="s">
        <v>27</v>
      </c>
      <c r="H10" s="3913" t="s">
        <v>22</v>
      </c>
      <c r="I10" s="3912" t="s">
        <v>27</v>
      </c>
      <c r="J10" s="3913" t="s">
        <v>22</v>
      </c>
      <c r="K10" s="3912" t="s">
        <v>27</v>
      </c>
      <c r="L10" s="3913" t="s">
        <v>22</v>
      </c>
      <c r="M10" s="3914" t="s">
        <v>27</v>
      </c>
      <c r="N10" s="3908" t="s">
        <v>218</v>
      </c>
      <c r="O10" s="3909" t="s">
        <v>242</v>
      </c>
      <c r="P10" s="3909" t="s">
        <v>218</v>
      </c>
      <c r="Q10" s="3909" t="s">
        <v>242</v>
      </c>
      <c r="R10" s="3910" t="s">
        <v>3385</v>
      </c>
      <c r="S10" s="3915" t="s">
        <v>3386</v>
      </c>
      <c r="T10" s="8313"/>
      <c r="U10" s="8315"/>
    </row>
    <row r="11" spans="1:105" x14ac:dyDescent="0.3">
      <c r="A11" s="6293"/>
      <c r="B11" s="3916" t="s">
        <v>3387</v>
      </c>
      <c r="C11" s="8320"/>
      <c r="D11" s="8321"/>
      <c r="E11" s="8321"/>
      <c r="F11" s="8321"/>
      <c r="G11" s="8321"/>
      <c r="H11" s="8321"/>
      <c r="I11" s="8321"/>
      <c r="J11" s="8321"/>
      <c r="K11" s="8321"/>
      <c r="L11" s="8321"/>
      <c r="M11" s="8321"/>
      <c r="N11" s="8321"/>
      <c r="O11" s="8321"/>
      <c r="P11" s="8321"/>
      <c r="Q11" s="8321"/>
      <c r="R11" s="8321"/>
      <c r="S11" s="8321"/>
      <c r="T11" s="8321"/>
      <c r="U11" s="8322"/>
      <c r="V11" s="18"/>
    </row>
    <row r="12" spans="1:105" x14ac:dyDescent="0.3">
      <c r="A12" s="6294">
        <v>29000000</v>
      </c>
      <c r="B12" s="3917" t="s">
        <v>3388</v>
      </c>
      <c r="C12" s="3918" t="s">
        <v>5292</v>
      </c>
      <c r="D12" s="3918" t="s">
        <v>5293</v>
      </c>
      <c r="E12" s="3919" t="s">
        <v>5294</v>
      </c>
      <c r="F12" s="3920" t="s">
        <v>5295</v>
      </c>
      <c r="G12" s="3921" t="s">
        <v>5296</v>
      </c>
      <c r="H12" s="3920" t="s">
        <v>5297</v>
      </c>
      <c r="I12" s="3921" t="s">
        <v>5298</v>
      </c>
      <c r="J12" s="3920" t="s">
        <v>5299</v>
      </c>
      <c r="K12" s="3921" t="s">
        <v>5300</v>
      </c>
      <c r="L12" s="3920" t="s">
        <v>5301</v>
      </c>
      <c r="M12" s="3922" t="s">
        <v>5302</v>
      </c>
      <c r="N12" s="1089" t="s">
        <v>5303</v>
      </c>
      <c r="O12" s="1693" t="s">
        <v>5304</v>
      </c>
      <c r="P12" s="1693" t="s">
        <v>5305</v>
      </c>
      <c r="Q12" s="1693" t="s">
        <v>5306</v>
      </c>
      <c r="R12" s="3923" t="s">
        <v>5307</v>
      </c>
      <c r="S12" s="3924" t="s">
        <v>5308</v>
      </c>
      <c r="T12" s="1089" t="s">
        <v>5309</v>
      </c>
      <c r="U12" s="1693" t="s">
        <v>5310</v>
      </c>
      <c r="V12" s="1687" t="str">
        <f>CB12&amp;CC12</f>
        <v xml:space="preserve">* El Número de Pueblos Originarios no puede superar el Total. * El Número de Migrantes no puede superar el Total. </v>
      </c>
      <c r="BA12" s="2630"/>
      <c r="BB12" s="2630"/>
      <c r="BC12" s="2630"/>
      <c r="BD12" s="2630"/>
      <c r="BE12" s="2630"/>
      <c r="BF12" s="2630"/>
      <c r="BG12" s="2630"/>
      <c r="BH12" s="2630"/>
      <c r="BI12" s="2630"/>
      <c r="BJ12" s="2630"/>
      <c r="BK12" s="2630"/>
      <c r="BL12" s="2630"/>
      <c r="BM12" s="2630"/>
      <c r="BN12" s="2630"/>
      <c r="BO12" s="2630"/>
      <c r="BP12" s="2630"/>
      <c r="BQ12" s="2630"/>
      <c r="BR12" s="2630"/>
      <c r="BS12" s="2630"/>
      <c r="BT12" s="2630"/>
      <c r="BU12" s="2630"/>
      <c r="BV12" s="2630"/>
      <c r="BW12" s="2630"/>
      <c r="BX12" s="2630"/>
      <c r="BY12" s="2630"/>
      <c r="BZ12" s="2630"/>
      <c r="CA12" s="2630"/>
      <c r="CB12" s="2784" t="str">
        <f>IF(AND($C12&lt;&gt;0,T12=""),"* No olvide ingresar la columna "&amp;T$9&amp;""&amp;" (Digite CERO si no tiene). ",IF(T12&gt;$C12,"* El Número de Pueblos Originarios no puede superar el Total. ",""))</f>
        <v xml:space="preserve">* El Número de Pueblos Originarios no puede superar el Total. </v>
      </c>
      <c r="CC12" s="2784" t="str">
        <f>IF(AND($C12&lt;&gt;0,U12=""),"* No olvide ingresar la columna "&amp;U$9&amp;""&amp;" (Digite CERO si no tiene). ",IF(U12&gt;$C12,"* El Número de Migrantes no puede superar el Total. ",""))</f>
        <v xml:space="preserve">* El Número de Migrantes no puede superar el Total. </v>
      </c>
      <c r="CD12" s="2630"/>
      <c r="CE12" s="2630"/>
      <c r="CF12" s="1725">
        <f>IF(AND($C12&lt;&gt;0,T12=""),1,IF(T12&gt;$C12,1,0))</f>
        <v>1</v>
      </c>
      <c r="CG12" s="1725">
        <f>IF(AND($C12&lt;&gt;0,U12=""),1,IF(U12&gt;$C12,1,0))</f>
        <v>1</v>
      </c>
    </row>
    <row r="13" spans="1:105" x14ac:dyDescent="0.3">
      <c r="A13" s="6294">
        <v>29000001</v>
      </c>
      <c r="B13" s="3925" t="s">
        <v>3389</v>
      </c>
      <c r="C13" s="1694" t="s">
        <v>5292</v>
      </c>
      <c r="D13" s="1694" t="s">
        <v>5293</v>
      </c>
      <c r="E13" s="1695" t="s">
        <v>5294</v>
      </c>
      <c r="F13" s="9" t="s">
        <v>5295</v>
      </c>
      <c r="G13" s="11" t="s">
        <v>5296</v>
      </c>
      <c r="H13" s="9" t="s">
        <v>5297</v>
      </c>
      <c r="I13" s="11" t="s">
        <v>5298</v>
      </c>
      <c r="J13" s="9" t="s">
        <v>5299</v>
      </c>
      <c r="K13" s="11" t="s">
        <v>5300</v>
      </c>
      <c r="L13" s="9" t="s">
        <v>5301</v>
      </c>
      <c r="M13" s="1696" t="s">
        <v>5302</v>
      </c>
      <c r="N13" s="11" t="s">
        <v>5303</v>
      </c>
      <c r="O13" s="27" t="s">
        <v>5304</v>
      </c>
      <c r="P13" s="27" t="s">
        <v>5305</v>
      </c>
      <c r="Q13" s="27" t="s">
        <v>5306</v>
      </c>
      <c r="R13" s="3926" t="s">
        <v>5307</v>
      </c>
      <c r="S13" s="3927" t="s">
        <v>5308</v>
      </c>
      <c r="T13" s="11" t="s">
        <v>5309</v>
      </c>
      <c r="U13" s="27" t="s">
        <v>5310</v>
      </c>
      <c r="V13" s="1687" t="str">
        <f t="shared" ref="V13:V15" si="0">CB13&amp;CC13</f>
        <v xml:space="preserve">* El Número de Pueblos Originarios no puede superar el Total. * El Número de Migrantes no puede superar el Total. </v>
      </c>
      <c r="BA13" s="2630"/>
      <c r="BB13" s="2630"/>
      <c r="BC13" s="2630"/>
      <c r="BD13" s="2630"/>
      <c r="BE13" s="2630"/>
      <c r="BF13" s="2630"/>
      <c r="BG13" s="2630"/>
      <c r="BH13" s="2630"/>
      <c r="BI13" s="2630"/>
      <c r="BJ13" s="2630"/>
      <c r="BK13" s="2630"/>
      <c r="BL13" s="2630"/>
      <c r="BM13" s="2630"/>
      <c r="BN13" s="2630"/>
      <c r="BO13" s="2630"/>
      <c r="BP13" s="2630"/>
      <c r="BQ13" s="2630"/>
      <c r="BR13" s="2630"/>
      <c r="BS13" s="2630"/>
      <c r="BT13" s="2630"/>
      <c r="BU13" s="2630"/>
      <c r="BV13" s="2630"/>
      <c r="BW13" s="2630"/>
      <c r="BX13" s="2630"/>
      <c r="BY13" s="2630"/>
      <c r="BZ13" s="2630"/>
      <c r="CA13" s="2630"/>
      <c r="CB13" s="2784" t="str">
        <f t="shared" ref="CB13:CB15" si="1">IF(AND($C13&lt;&gt;0,T13=""),"* No olvide ingresar la columna "&amp;T$9&amp;""&amp;" (Digite CERO si no tiene). ",IF(T13&gt;$C13,"* El Número de Pueblos Originarios no puede superar el Total. ",""))</f>
        <v xml:space="preserve">* El Número de Pueblos Originarios no puede superar el Total. </v>
      </c>
      <c r="CC13" s="2784" t="str">
        <f t="shared" ref="CC13:CC15" si="2">IF(AND($C13&lt;&gt;0,U13=""),"* No olvide ingresar la columna "&amp;U$9&amp;""&amp;" (Digite CERO si no tiene). ",IF(U13&gt;$C13,"* El Número de Migrantes no puede superar el Total. ",""))</f>
        <v xml:space="preserve">* El Número de Migrantes no puede superar el Total. </v>
      </c>
      <c r="CD13" s="2630"/>
      <c r="CE13" s="2630"/>
      <c r="CF13" s="1725">
        <f t="shared" ref="CF13:CG15" si="3">IF(AND($C13&lt;&gt;0,T13=""),1,IF(T13&gt;$C13,1,0))</f>
        <v>1</v>
      </c>
      <c r="CG13" s="1725">
        <f t="shared" si="3"/>
        <v>1</v>
      </c>
    </row>
    <row r="14" spans="1:105" x14ac:dyDescent="0.3">
      <c r="A14" s="6294">
        <v>29101140</v>
      </c>
      <c r="B14" s="3925" t="s">
        <v>3390</v>
      </c>
      <c r="C14" s="3710" t="s">
        <v>5292</v>
      </c>
      <c r="D14" s="3710" t="s">
        <v>5293</v>
      </c>
      <c r="E14" s="3928" t="s">
        <v>5294</v>
      </c>
      <c r="F14" s="3929" t="s">
        <v>5295</v>
      </c>
      <c r="G14" s="3930" t="s">
        <v>5296</v>
      </c>
      <c r="H14" s="3929" t="s">
        <v>5297</v>
      </c>
      <c r="I14" s="3930" t="s">
        <v>5298</v>
      </c>
      <c r="J14" s="3929" t="s">
        <v>5299</v>
      </c>
      <c r="K14" s="3930" t="s">
        <v>5300</v>
      </c>
      <c r="L14" s="3929" t="s">
        <v>5301</v>
      </c>
      <c r="M14" s="3931" t="s">
        <v>5302</v>
      </c>
      <c r="N14" s="3930" t="s">
        <v>5303</v>
      </c>
      <c r="O14" s="3926" t="s">
        <v>5304</v>
      </c>
      <c r="P14" s="3926" t="s">
        <v>5305</v>
      </c>
      <c r="Q14" s="3930" t="s">
        <v>5306</v>
      </c>
      <c r="R14" s="3926" t="s">
        <v>5307</v>
      </c>
      <c r="S14" s="3932" t="s">
        <v>5308</v>
      </c>
      <c r="T14" s="3930" t="s">
        <v>5309</v>
      </c>
      <c r="U14" s="3930" t="s">
        <v>5310</v>
      </c>
      <c r="V14" s="1687" t="str">
        <f t="shared" si="0"/>
        <v xml:space="preserve">* El Número de Pueblos Originarios no puede superar el Total. * El Número de Migrantes no puede superar el Total. </v>
      </c>
      <c r="BA14" s="2630"/>
      <c r="BB14" s="2630"/>
      <c r="BC14" s="2630"/>
      <c r="BD14" s="2630"/>
      <c r="BE14" s="2630"/>
      <c r="BF14" s="2630"/>
      <c r="BG14" s="2630"/>
      <c r="BH14" s="2630"/>
      <c r="BI14" s="2630"/>
      <c r="BJ14" s="2630"/>
      <c r="BK14" s="2630"/>
      <c r="BL14" s="2630"/>
      <c r="BM14" s="2630"/>
      <c r="BN14" s="2630"/>
      <c r="BO14" s="2630"/>
      <c r="BP14" s="2630"/>
      <c r="BQ14" s="2630"/>
      <c r="BR14" s="2630"/>
      <c r="BS14" s="2630"/>
      <c r="BT14" s="2630"/>
      <c r="BU14" s="2630"/>
      <c r="BV14" s="2630"/>
      <c r="BW14" s="2630"/>
      <c r="BX14" s="2630"/>
      <c r="BY14" s="2630"/>
      <c r="BZ14" s="2630"/>
      <c r="CA14" s="2630"/>
      <c r="CB14" s="2784" t="str">
        <f t="shared" si="1"/>
        <v xml:space="preserve">* El Número de Pueblos Originarios no puede superar el Total. </v>
      </c>
      <c r="CC14" s="2784" t="str">
        <f t="shared" si="2"/>
        <v xml:space="preserve">* El Número de Migrantes no puede superar el Total. </v>
      </c>
      <c r="CD14" s="2630"/>
      <c r="CE14" s="2630"/>
      <c r="CF14" s="1725">
        <f t="shared" si="3"/>
        <v>1</v>
      </c>
      <c r="CG14" s="1725">
        <f t="shared" si="3"/>
        <v>1</v>
      </c>
    </row>
    <row r="15" spans="1:105" x14ac:dyDescent="0.3">
      <c r="A15" s="6294">
        <v>29101150</v>
      </c>
      <c r="B15" s="3925" t="s">
        <v>3391</v>
      </c>
      <c r="C15" s="1694" t="s">
        <v>5292</v>
      </c>
      <c r="D15" s="1694" t="s">
        <v>5293</v>
      </c>
      <c r="E15" s="1695" t="s">
        <v>5294</v>
      </c>
      <c r="F15" s="9" t="s">
        <v>5295</v>
      </c>
      <c r="G15" s="11" t="s">
        <v>5296</v>
      </c>
      <c r="H15" s="9" t="s">
        <v>5297</v>
      </c>
      <c r="I15" s="11" t="s">
        <v>5298</v>
      </c>
      <c r="J15" s="9" t="s">
        <v>5299</v>
      </c>
      <c r="K15" s="11" t="s">
        <v>5300</v>
      </c>
      <c r="L15" s="9" t="s">
        <v>5301</v>
      </c>
      <c r="M15" s="1696" t="s">
        <v>5302</v>
      </c>
      <c r="N15" s="11" t="s">
        <v>5303</v>
      </c>
      <c r="O15" s="27" t="s">
        <v>5304</v>
      </c>
      <c r="P15" s="27" t="s">
        <v>5305</v>
      </c>
      <c r="Q15" s="11" t="s">
        <v>5306</v>
      </c>
      <c r="R15" s="27" t="s">
        <v>5307</v>
      </c>
      <c r="S15" s="4741" t="s">
        <v>5308</v>
      </c>
      <c r="T15" s="11" t="s">
        <v>5309</v>
      </c>
      <c r="U15" s="11" t="s">
        <v>5310</v>
      </c>
      <c r="V15" s="1687" t="str">
        <f t="shared" si="0"/>
        <v xml:space="preserve">* El Número de Pueblos Originarios no puede superar el Total. * El Número de Migrantes no puede superar el Total. </v>
      </c>
      <c r="BA15" s="2630"/>
      <c r="BB15" s="2630"/>
      <c r="BC15" s="2630"/>
      <c r="BD15" s="2630"/>
      <c r="BE15" s="2630"/>
      <c r="BF15" s="2630"/>
      <c r="BG15" s="2630"/>
      <c r="BH15" s="2630"/>
      <c r="BI15" s="2630"/>
      <c r="BJ15" s="2630"/>
      <c r="BK15" s="2630"/>
      <c r="BL15" s="2630"/>
      <c r="BM15" s="2630"/>
      <c r="BN15" s="2630"/>
      <c r="BO15" s="2630"/>
      <c r="BP15" s="2630"/>
      <c r="BQ15" s="2630"/>
      <c r="BR15" s="2630"/>
      <c r="BS15" s="2630"/>
      <c r="BT15" s="2630"/>
      <c r="BU15" s="2630"/>
      <c r="BV15" s="2630"/>
      <c r="BW15" s="2630"/>
      <c r="BX15" s="2630"/>
      <c r="BY15" s="2630"/>
      <c r="BZ15" s="2630"/>
      <c r="CA15" s="2630"/>
      <c r="CB15" s="2784" t="str">
        <f t="shared" si="1"/>
        <v xml:space="preserve">* El Número de Pueblos Originarios no puede superar el Total. </v>
      </c>
      <c r="CC15" s="2784" t="str">
        <f t="shared" si="2"/>
        <v xml:space="preserve">* El Número de Migrantes no puede superar el Total. </v>
      </c>
      <c r="CD15" s="2630"/>
      <c r="CE15" s="2630"/>
      <c r="CF15" s="1725">
        <f t="shared" si="3"/>
        <v>1</v>
      </c>
      <c r="CG15" s="1725">
        <f t="shared" si="3"/>
        <v>1</v>
      </c>
    </row>
    <row r="16" spans="1:105" x14ac:dyDescent="0.3">
      <c r="A16" s="6293"/>
      <c r="B16" s="3916" t="s">
        <v>3392</v>
      </c>
      <c r="C16" s="8323"/>
      <c r="D16" s="8324"/>
      <c r="E16" s="8324"/>
      <c r="F16" s="8324"/>
      <c r="G16" s="8324"/>
      <c r="H16" s="8324"/>
      <c r="I16" s="8324"/>
      <c r="J16" s="8324"/>
      <c r="K16" s="8324"/>
      <c r="L16" s="8324"/>
      <c r="M16" s="8324"/>
      <c r="N16" s="8324"/>
      <c r="O16" s="8324"/>
      <c r="P16" s="8324"/>
      <c r="Q16" s="8324"/>
      <c r="R16" s="8324"/>
      <c r="S16" s="8324"/>
      <c r="T16" s="8324"/>
      <c r="U16" s="8325"/>
    </row>
    <row r="17" spans="1:85" x14ac:dyDescent="0.3">
      <c r="A17" s="6294" t="s">
        <v>5222</v>
      </c>
      <c r="B17" s="3935" t="s">
        <v>3393</v>
      </c>
      <c r="C17" s="3975" t="s">
        <v>5292</v>
      </c>
      <c r="D17" s="3975" t="s">
        <v>5293</v>
      </c>
      <c r="E17" s="3975" t="s">
        <v>5294</v>
      </c>
      <c r="F17" s="2112" t="s">
        <v>5295</v>
      </c>
      <c r="G17" s="4407" t="s">
        <v>5296</v>
      </c>
      <c r="H17" s="2112" t="s">
        <v>5297</v>
      </c>
      <c r="I17" s="4407" t="s">
        <v>5298</v>
      </c>
      <c r="J17" s="2112" t="s">
        <v>5299</v>
      </c>
      <c r="K17" s="4407" t="s">
        <v>5300</v>
      </c>
      <c r="L17" s="2112" t="s">
        <v>5301</v>
      </c>
      <c r="M17" s="2113" t="s">
        <v>5302</v>
      </c>
      <c r="N17" s="4742" t="s">
        <v>5303</v>
      </c>
      <c r="O17" s="3958" t="s">
        <v>5304</v>
      </c>
      <c r="P17" s="3958" t="s">
        <v>5305</v>
      </c>
      <c r="Q17" s="4742" t="s">
        <v>5306</v>
      </c>
      <c r="R17" s="1693" t="s">
        <v>5307</v>
      </c>
      <c r="S17" s="3934" t="s">
        <v>5308</v>
      </c>
      <c r="T17" s="1102" t="s">
        <v>5309</v>
      </c>
      <c r="U17" s="1693" t="s">
        <v>5310</v>
      </c>
      <c r="V17" s="1687" t="str">
        <f t="shared" ref="V17:V22" si="4">CB17&amp;CC17</f>
        <v xml:space="preserve">* El Número de Pueblos Originarios no puede superar el Total. * El Número de Migrantes no puede superar el Total. </v>
      </c>
      <c r="BA17" s="2630"/>
      <c r="BB17" s="2630"/>
      <c r="BC17" s="2630"/>
      <c r="BD17" s="2630"/>
      <c r="BE17" s="2630"/>
      <c r="BF17" s="2630"/>
      <c r="BG17" s="2630"/>
      <c r="BH17" s="2630"/>
      <c r="BI17" s="2630"/>
      <c r="BJ17" s="2630"/>
      <c r="BK17" s="2630"/>
      <c r="BL17" s="2630"/>
      <c r="BM17" s="2630"/>
      <c r="BN17" s="2630"/>
      <c r="BO17" s="2630"/>
      <c r="BP17" s="2630"/>
      <c r="BQ17" s="2630"/>
      <c r="BR17" s="2630"/>
      <c r="BS17" s="2630"/>
      <c r="BT17" s="2630"/>
      <c r="BU17" s="2630"/>
      <c r="BV17" s="2630"/>
      <c r="BW17" s="2630"/>
      <c r="BX17" s="2630"/>
      <c r="BY17" s="2630"/>
      <c r="BZ17" s="2630"/>
      <c r="CA17" s="2630"/>
      <c r="CB17" s="2784" t="str">
        <f t="shared" ref="CB17:CB22" si="5">IF(AND($C17&lt;&gt;0,T17=""),"* No olvide ingresar la columna "&amp;T$9&amp;""&amp;" (Digite CERO si no tiene). ",IF(T17&gt;$C17,"* El Número de Pueblos Originarios no puede superar el Total. ",""))</f>
        <v xml:space="preserve">* El Número de Pueblos Originarios no puede superar el Total. </v>
      </c>
      <c r="CC17" s="2784" t="str">
        <f t="shared" ref="CC17:CC22" si="6">IF(AND($C17&lt;&gt;0,U17=""),"* No olvide ingresar la columna "&amp;U$9&amp;""&amp;" (Digite CERO si no tiene). ",IF(U17&gt;$C17,"* El Número de Migrantes no puede superar el Total. ",""))</f>
        <v xml:space="preserve">* El Número de Migrantes no puede superar el Total. </v>
      </c>
      <c r="CD17" s="2630"/>
      <c r="CE17" s="2630"/>
      <c r="CF17" s="1725">
        <f t="shared" ref="CF17:CG22" si="7">IF(AND($C17&lt;&gt;0,T17=""),1,IF(T17&gt;$C17,1,0))</f>
        <v>1</v>
      </c>
      <c r="CG17" s="1725">
        <f t="shared" si="7"/>
        <v>1</v>
      </c>
    </row>
    <row r="18" spans="1:85" x14ac:dyDescent="0.3">
      <c r="A18" s="6294" t="s">
        <v>5223</v>
      </c>
      <c r="B18" s="3939" t="s">
        <v>3394</v>
      </c>
      <c r="C18" s="3710" t="s">
        <v>5292</v>
      </c>
      <c r="D18" s="3710" t="s">
        <v>5293</v>
      </c>
      <c r="E18" s="3710" t="s">
        <v>5294</v>
      </c>
      <c r="F18" s="3929" t="s">
        <v>5295</v>
      </c>
      <c r="G18" s="3930" t="s">
        <v>5296</v>
      </c>
      <c r="H18" s="3929" t="s">
        <v>5297</v>
      </c>
      <c r="I18" s="3930" t="s">
        <v>5298</v>
      </c>
      <c r="J18" s="3929" t="s">
        <v>5299</v>
      </c>
      <c r="K18" s="3930" t="s">
        <v>5300</v>
      </c>
      <c r="L18" s="3929" t="s">
        <v>5301</v>
      </c>
      <c r="M18" s="3931" t="s">
        <v>5302</v>
      </c>
      <c r="N18" s="3940" t="s">
        <v>5303</v>
      </c>
      <c r="O18" s="3938" t="s">
        <v>5304</v>
      </c>
      <c r="P18" s="3938" t="s">
        <v>5305</v>
      </c>
      <c r="Q18" s="3937" t="s">
        <v>5306</v>
      </c>
      <c r="R18" s="3926" t="s">
        <v>5307</v>
      </c>
      <c r="S18" s="3932" t="s">
        <v>5308</v>
      </c>
      <c r="T18" s="3941" t="s">
        <v>5309</v>
      </c>
      <c r="U18" s="3926" t="s">
        <v>5310</v>
      </c>
      <c r="V18" s="1687" t="str">
        <f t="shared" si="4"/>
        <v xml:space="preserve">* El Número de Pueblos Originarios no puede superar el Total. * El Número de Migrantes no puede superar el Total. </v>
      </c>
      <c r="BA18" s="2630"/>
      <c r="BB18" s="2630"/>
      <c r="BC18" s="2630"/>
      <c r="BD18" s="2630"/>
      <c r="BE18" s="2630"/>
      <c r="BF18" s="2630"/>
      <c r="BG18" s="2630"/>
      <c r="BH18" s="2630"/>
      <c r="BI18" s="2630"/>
      <c r="BJ18" s="2630"/>
      <c r="BK18" s="2630"/>
      <c r="BL18" s="2630"/>
      <c r="BM18" s="2630"/>
      <c r="BN18" s="2630"/>
      <c r="BO18" s="2630"/>
      <c r="BP18" s="2630"/>
      <c r="BQ18" s="2630"/>
      <c r="BR18" s="2630"/>
      <c r="BS18" s="2630"/>
      <c r="BT18" s="2630"/>
      <c r="BU18" s="2630"/>
      <c r="BV18" s="2630"/>
      <c r="BW18" s="2630"/>
      <c r="BX18" s="2630"/>
      <c r="BY18" s="2630"/>
      <c r="BZ18" s="2630"/>
      <c r="CA18" s="2630"/>
      <c r="CB18" s="2784" t="str">
        <f t="shared" si="5"/>
        <v xml:space="preserve">* El Número de Pueblos Originarios no puede superar el Total. </v>
      </c>
      <c r="CC18" s="2784" t="str">
        <f t="shared" si="6"/>
        <v xml:space="preserve">* El Número de Migrantes no puede superar el Total. </v>
      </c>
      <c r="CD18" s="2630"/>
      <c r="CE18" s="2630"/>
      <c r="CF18" s="1725">
        <f t="shared" si="7"/>
        <v>1</v>
      </c>
      <c r="CG18" s="1725">
        <f t="shared" si="7"/>
        <v>1</v>
      </c>
    </row>
    <row r="19" spans="1:85" x14ac:dyDescent="0.3">
      <c r="A19" s="6294">
        <v>29000070</v>
      </c>
      <c r="B19" s="3939" t="s">
        <v>3395</v>
      </c>
      <c r="C19" s="3942" t="s">
        <v>5292</v>
      </c>
      <c r="D19" s="3942" t="s">
        <v>5293</v>
      </c>
      <c r="E19" s="3942" t="s">
        <v>5294</v>
      </c>
      <c r="F19" s="3929" t="s">
        <v>5295</v>
      </c>
      <c r="G19" s="3943" t="s">
        <v>5296</v>
      </c>
      <c r="H19" s="3929" t="s">
        <v>5297</v>
      </c>
      <c r="I19" s="3943" t="s">
        <v>5298</v>
      </c>
      <c r="J19" s="3929" t="s">
        <v>5299</v>
      </c>
      <c r="K19" s="3943" t="s">
        <v>5300</v>
      </c>
      <c r="L19" s="3929" t="s">
        <v>5301</v>
      </c>
      <c r="M19" s="3931" t="s">
        <v>5302</v>
      </c>
      <c r="N19" s="3937" t="s">
        <v>5303</v>
      </c>
      <c r="O19" s="3938" t="s">
        <v>5304</v>
      </c>
      <c r="P19" s="3938" t="s">
        <v>5305</v>
      </c>
      <c r="Q19" s="3937" t="s">
        <v>5306</v>
      </c>
      <c r="R19" s="3926" t="s">
        <v>5307</v>
      </c>
      <c r="S19" s="3932" t="s">
        <v>5308</v>
      </c>
      <c r="T19" s="3941" t="s">
        <v>5309</v>
      </c>
      <c r="U19" s="3926" t="s">
        <v>5310</v>
      </c>
      <c r="V19" s="1687" t="str">
        <f t="shared" si="4"/>
        <v xml:space="preserve">* El Número de Pueblos Originarios no puede superar el Total. * El Número de Migrantes no puede superar el Total. </v>
      </c>
      <c r="BA19" s="2630"/>
      <c r="BB19" s="2630"/>
      <c r="BC19" s="2630"/>
      <c r="BD19" s="2630"/>
      <c r="BE19" s="2630"/>
      <c r="BF19" s="2630"/>
      <c r="BG19" s="2630"/>
      <c r="BH19" s="2630"/>
      <c r="BI19" s="2630"/>
      <c r="BJ19" s="2630"/>
      <c r="BK19" s="2630"/>
      <c r="BL19" s="2630"/>
      <c r="BM19" s="2630"/>
      <c r="BN19" s="2630"/>
      <c r="BO19" s="2630"/>
      <c r="BP19" s="2630"/>
      <c r="BQ19" s="2630"/>
      <c r="BR19" s="2630"/>
      <c r="BS19" s="2630"/>
      <c r="BT19" s="2630"/>
      <c r="BU19" s="2630"/>
      <c r="BV19" s="2630"/>
      <c r="BW19" s="2630"/>
      <c r="BX19" s="2630"/>
      <c r="BY19" s="2630"/>
      <c r="BZ19" s="2630"/>
      <c r="CA19" s="2630"/>
      <c r="CB19" s="2784" t="str">
        <f t="shared" si="5"/>
        <v xml:space="preserve">* El Número de Pueblos Originarios no puede superar el Total. </v>
      </c>
      <c r="CC19" s="2784" t="str">
        <f t="shared" si="6"/>
        <v xml:space="preserve">* El Número de Migrantes no puede superar el Total. </v>
      </c>
      <c r="CD19" s="2630"/>
      <c r="CE19" s="2630"/>
      <c r="CF19" s="1725">
        <f t="shared" si="7"/>
        <v>1</v>
      </c>
      <c r="CG19" s="1725">
        <f t="shared" si="7"/>
        <v>1</v>
      </c>
    </row>
    <row r="20" spans="1:85" x14ac:dyDescent="0.3">
      <c r="A20" s="6294">
        <v>29000071</v>
      </c>
      <c r="B20" s="3939" t="s">
        <v>3396</v>
      </c>
      <c r="C20" s="3710" t="s">
        <v>5292</v>
      </c>
      <c r="D20" s="3710" t="s">
        <v>5293</v>
      </c>
      <c r="E20" s="3710" t="s">
        <v>5294</v>
      </c>
      <c r="F20" s="3929" t="s">
        <v>5295</v>
      </c>
      <c r="G20" s="3944" t="s">
        <v>5296</v>
      </c>
      <c r="H20" s="3929" t="s">
        <v>5297</v>
      </c>
      <c r="I20" s="3944" t="s">
        <v>5298</v>
      </c>
      <c r="J20" s="3929" t="s">
        <v>5299</v>
      </c>
      <c r="K20" s="3944" t="s">
        <v>5300</v>
      </c>
      <c r="L20" s="3929" t="s">
        <v>5301</v>
      </c>
      <c r="M20" s="3945" t="s">
        <v>5302</v>
      </c>
      <c r="N20" s="3937" t="s">
        <v>5303</v>
      </c>
      <c r="O20" s="3938" t="s">
        <v>5304</v>
      </c>
      <c r="P20" s="3938" t="s">
        <v>5305</v>
      </c>
      <c r="Q20" s="3937" t="s">
        <v>5306</v>
      </c>
      <c r="R20" s="3926" t="s">
        <v>5307</v>
      </c>
      <c r="S20" s="3932" t="s">
        <v>5308</v>
      </c>
      <c r="T20" s="3941" t="s">
        <v>5309</v>
      </c>
      <c r="U20" s="3926" t="s">
        <v>5310</v>
      </c>
      <c r="V20" s="1687" t="str">
        <f t="shared" si="4"/>
        <v xml:space="preserve">* El Número de Pueblos Originarios no puede superar el Total. * El Número de Migrantes no puede superar el Total. </v>
      </c>
      <c r="BA20" s="2630"/>
      <c r="BB20" s="2630"/>
      <c r="BC20" s="2630"/>
      <c r="BD20" s="2630"/>
      <c r="BE20" s="2630"/>
      <c r="BF20" s="2630"/>
      <c r="BG20" s="2630"/>
      <c r="BH20" s="2630"/>
      <c r="BI20" s="2630"/>
      <c r="BJ20" s="2630"/>
      <c r="BK20" s="2630"/>
      <c r="BL20" s="2630"/>
      <c r="BM20" s="2630"/>
      <c r="BN20" s="2630"/>
      <c r="BO20" s="2630"/>
      <c r="BP20" s="2630"/>
      <c r="BQ20" s="2630"/>
      <c r="BR20" s="2630"/>
      <c r="BS20" s="2630"/>
      <c r="BT20" s="2630"/>
      <c r="BU20" s="2630"/>
      <c r="BV20" s="2630"/>
      <c r="BW20" s="2630"/>
      <c r="BX20" s="2630"/>
      <c r="BY20" s="2630"/>
      <c r="BZ20" s="2630"/>
      <c r="CA20" s="2630"/>
      <c r="CB20" s="2784" t="str">
        <f t="shared" si="5"/>
        <v xml:space="preserve">* El Número de Pueblos Originarios no puede superar el Total. </v>
      </c>
      <c r="CC20" s="2784" t="str">
        <f t="shared" si="6"/>
        <v xml:space="preserve">* El Número de Migrantes no puede superar el Total. </v>
      </c>
      <c r="CD20" s="2630"/>
      <c r="CE20" s="2630"/>
      <c r="CF20" s="1725">
        <f t="shared" si="7"/>
        <v>1</v>
      </c>
      <c r="CG20" s="1725">
        <f t="shared" si="7"/>
        <v>1</v>
      </c>
    </row>
    <row r="21" spans="1:85" x14ac:dyDescent="0.3">
      <c r="A21" s="6294">
        <v>29101010</v>
      </c>
      <c r="B21" s="3946" t="s">
        <v>3397</v>
      </c>
      <c r="C21" s="3710" t="s">
        <v>5292</v>
      </c>
      <c r="D21" s="3710" t="s">
        <v>5293</v>
      </c>
      <c r="E21" s="3710" t="s">
        <v>5294</v>
      </c>
      <c r="F21" s="3929" t="s">
        <v>5295</v>
      </c>
      <c r="G21" s="3944" t="s">
        <v>5296</v>
      </c>
      <c r="H21" s="3929" t="s">
        <v>5297</v>
      </c>
      <c r="I21" s="3944" t="s">
        <v>5298</v>
      </c>
      <c r="J21" s="3929" t="s">
        <v>5299</v>
      </c>
      <c r="K21" s="3944" t="s">
        <v>5300</v>
      </c>
      <c r="L21" s="3929" t="s">
        <v>5301</v>
      </c>
      <c r="M21" s="3945" t="s">
        <v>5302</v>
      </c>
      <c r="N21" s="3937" t="s">
        <v>5303</v>
      </c>
      <c r="O21" s="3938" t="s">
        <v>5304</v>
      </c>
      <c r="P21" s="3938" t="s">
        <v>5305</v>
      </c>
      <c r="Q21" s="3937" t="s">
        <v>5306</v>
      </c>
      <c r="R21" s="3926" t="s">
        <v>5307</v>
      </c>
      <c r="S21" s="3932" t="s">
        <v>5308</v>
      </c>
      <c r="T21" s="3941" t="s">
        <v>5309</v>
      </c>
      <c r="U21" s="3926" t="s">
        <v>5310</v>
      </c>
      <c r="V21" s="1687" t="str">
        <f t="shared" si="4"/>
        <v xml:space="preserve">* El Número de Pueblos Originarios no puede superar el Total. * El Número de Migrantes no puede superar el Total. </v>
      </c>
      <c r="BA21" s="2630"/>
      <c r="BB21" s="2630"/>
      <c r="BC21" s="2630"/>
      <c r="BD21" s="2630"/>
      <c r="BE21" s="2630"/>
      <c r="BF21" s="2630"/>
      <c r="BG21" s="2630"/>
      <c r="BH21" s="2630"/>
      <c r="BI21" s="2630"/>
      <c r="BJ21" s="2630"/>
      <c r="BK21" s="2630"/>
      <c r="BL21" s="2630"/>
      <c r="BM21" s="2630"/>
      <c r="BN21" s="2630"/>
      <c r="BO21" s="2630"/>
      <c r="BP21" s="2630"/>
      <c r="BQ21" s="2630"/>
      <c r="BR21" s="2630"/>
      <c r="BS21" s="2630"/>
      <c r="BT21" s="2630"/>
      <c r="BU21" s="2630"/>
      <c r="BV21" s="2630"/>
      <c r="BW21" s="2630"/>
      <c r="BX21" s="2630"/>
      <c r="BY21" s="2630"/>
      <c r="BZ21" s="2630"/>
      <c r="CA21" s="2630"/>
      <c r="CB21" s="2784" t="str">
        <f t="shared" si="5"/>
        <v xml:space="preserve">* El Número de Pueblos Originarios no puede superar el Total. </v>
      </c>
      <c r="CC21" s="2784" t="str">
        <f t="shared" si="6"/>
        <v xml:space="preserve">* El Número de Migrantes no puede superar el Total. </v>
      </c>
      <c r="CD21" s="2630"/>
      <c r="CE21" s="2630"/>
      <c r="CF21" s="1725">
        <f t="shared" si="7"/>
        <v>1</v>
      </c>
      <c r="CG21" s="1725">
        <f t="shared" si="7"/>
        <v>1</v>
      </c>
    </row>
    <row r="22" spans="1:85" x14ac:dyDescent="0.3">
      <c r="A22" s="6294">
        <v>29101020</v>
      </c>
      <c r="B22" s="3947" t="s">
        <v>79</v>
      </c>
      <c r="C22" s="1694" t="s">
        <v>5292</v>
      </c>
      <c r="D22" s="1694" t="s">
        <v>5293</v>
      </c>
      <c r="E22" s="1694" t="s">
        <v>5294</v>
      </c>
      <c r="F22" s="9" t="s">
        <v>5295</v>
      </c>
      <c r="G22" s="25" t="s">
        <v>5296</v>
      </c>
      <c r="H22" s="9" t="s">
        <v>5297</v>
      </c>
      <c r="I22" s="25" t="s">
        <v>5298</v>
      </c>
      <c r="J22" s="9" t="s">
        <v>5299</v>
      </c>
      <c r="K22" s="25" t="s">
        <v>5300</v>
      </c>
      <c r="L22" s="9" t="s">
        <v>5301</v>
      </c>
      <c r="M22" s="23" t="s">
        <v>5302</v>
      </c>
      <c r="N22" s="4743" t="s">
        <v>5303</v>
      </c>
      <c r="O22" s="3950" t="s">
        <v>5304</v>
      </c>
      <c r="P22" s="3950" t="s">
        <v>5305</v>
      </c>
      <c r="Q22" s="4743" t="s">
        <v>5306</v>
      </c>
      <c r="R22" s="3950" t="s">
        <v>5307</v>
      </c>
      <c r="S22" s="4741" t="s">
        <v>5308</v>
      </c>
      <c r="T22" s="24" t="s">
        <v>5309</v>
      </c>
      <c r="U22" s="27" t="s">
        <v>5310</v>
      </c>
      <c r="V22" s="1687" t="str">
        <f t="shared" si="4"/>
        <v xml:space="preserve">* El Número de Pueblos Originarios no puede superar el Total. * El Número de Migrantes no puede superar el Total. </v>
      </c>
      <c r="BA22" s="2630"/>
      <c r="BB22" s="2630"/>
      <c r="BC22" s="2630"/>
      <c r="BD22" s="2630"/>
      <c r="BE22" s="2630"/>
      <c r="BF22" s="2630"/>
      <c r="BG22" s="2630"/>
      <c r="BH22" s="2630"/>
      <c r="BI22" s="2630"/>
      <c r="BJ22" s="2630"/>
      <c r="BK22" s="2630"/>
      <c r="BL22" s="2630"/>
      <c r="BM22" s="2630"/>
      <c r="BN22" s="2630"/>
      <c r="BO22" s="2630"/>
      <c r="BP22" s="2630"/>
      <c r="BQ22" s="2630"/>
      <c r="BR22" s="2630"/>
      <c r="BS22" s="2630"/>
      <c r="BT22" s="2630"/>
      <c r="BU22" s="2630"/>
      <c r="BV22" s="2630"/>
      <c r="BW22" s="2630"/>
      <c r="BX22" s="2630"/>
      <c r="BY22" s="2630"/>
      <c r="BZ22" s="2630"/>
      <c r="CA22" s="2630"/>
      <c r="CB22" s="2784" t="str">
        <f t="shared" si="5"/>
        <v xml:space="preserve">* El Número de Pueblos Originarios no puede superar el Total. </v>
      </c>
      <c r="CC22" s="2784" t="str">
        <f t="shared" si="6"/>
        <v xml:space="preserve">* El Número de Migrantes no puede superar el Total. </v>
      </c>
      <c r="CD22" s="2630"/>
      <c r="CE22" s="2630"/>
      <c r="CF22" s="1725">
        <f t="shared" si="7"/>
        <v>1</v>
      </c>
      <c r="CG22" s="1725">
        <f t="shared" si="7"/>
        <v>1</v>
      </c>
    </row>
    <row r="23" spans="1:85" x14ac:dyDescent="0.3">
      <c r="A23" s="6293"/>
      <c r="B23" s="3951" t="s">
        <v>3398</v>
      </c>
      <c r="C23" s="8323"/>
      <c r="D23" s="8324"/>
      <c r="E23" s="8324"/>
      <c r="F23" s="8324"/>
      <c r="G23" s="8324"/>
      <c r="H23" s="8324"/>
      <c r="I23" s="8324"/>
      <c r="J23" s="8324"/>
      <c r="K23" s="8324"/>
      <c r="L23" s="8324"/>
      <c r="M23" s="8324"/>
      <c r="N23" s="8324"/>
      <c r="O23" s="8324"/>
      <c r="P23" s="8324"/>
      <c r="Q23" s="8324"/>
      <c r="R23" s="8324"/>
      <c r="S23" s="8324"/>
      <c r="T23" s="8324"/>
      <c r="U23" s="8325"/>
    </row>
    <row r="24" spans="1:85" x14ac:dyDescent="0.3">
      <c r="A24" s="6294" t="s">
        <v>5224</v>
      </c>
      <c r="B24" s="3954" t="s">
        <v>3399</v>
      </c>
      <c r="C24" s="3955" t="s">
        <v>5292</v>
      </c>
      <c r="D24" s="3955" t="s">
        <v>5293</v>
      </c>
      <c r="E24" s="3955" t="s">
        <v>5294</v>
      </c>
      <c r="F24" s="3956" t="s">
        <v>5295</v>
      </c>
      <c r="G24" s="2287" t="s">
        <v>5296</v>
      </c>
      <c r="H24" s="3956" t="s">
        <v>5297</v>
      </c>
      <c r="I24" s="2287" t="s">
        <v>5298</v>
      </c>
      <c r="J24" s="3956" t="s">
        <v>5299</v>
      </c>
      <c r="K24" s="2287" t="s">
        <v>5300</v>
      </c>
      <c r="L24" s="3956" t="s">
        <v>5301</v>
      </c>
      <c r="M24" s="1544" t="s">
        <v>5302</v>
      </c>
      <c r="N24" s="3957" t="s">
        <v>5303</v>
      </c>
      <c r="O24" s="3958" t="s">
        <v>5304</v>
      </c>
      <c r="P24" s="3958" t="s">
        <v>5305</v>
      </c>
      <c r="Q24" s="3957" t="s">
        <v>5306</v>
      </c>
      <c r="R24" s="1693" t="s">
        <v>5307</v>
      </c>
      <c r="S24" s="3934" t="s">
        <v>5308</v>
      </c>
      <c r="T24" s="1102" t="s">
        <v>5309</v>
      </c>
      <c r="U24" s="1693" t="s">
        <v>5310</v>
      </c>
      <c r="V24" s="1687" t="str">
        <f t="shared" ref="V24:V25" si="8">CB24&amp;CC24</f>
        <v xml:space="preserve">* El Número de Pueblos Originarios no puede superar el Total. * El Número de Migrantes no puede superar el Total. </v>
      </c>
      <c r="BA24" s="2630"/>
      <c r="BB24" s="2630"/>
      <c r="BC24" s="2630"/>
      <c r="BD24" s="2630"/>
      <c r="BE24" s="2630"/>
      <c r="BF24" s="2630"/>
      <c r="BG24" s="2630"/>
      <c r="BH24" s="2630"/>
      <c r="BI24" s="2630"/>
      <c r="BJ24" s="2630"/>
      <c r="BK24" s="2630"/>
      <c r="BL24" s="2630"/>
      <c r="BM24" s="2630"/>
      <c r="BN24" s="2630"/>
      <c r="BO24" s="2630"/>
      <c r="BP24" s="2630"/>
      <c r="BQ24" s="2630"/>
      <c r="BR24" s="2630"/>
      <c r="BS24" s="2630"/>
      <c r="BT24" s="2630"/>
      <c r="BU24" s="2630"/>
      <c r="BV24" s="2630"/>
      <c r="BW24" s="2630"/>
      <c r="BX24" s="2630"/>
      <c r="BY24" s="2630"/>
      <c r="BZ24" s="2630"/>
      <c r="CA24" s="2630"/>
      <c r="CB24" s="2784" t="str">
        <f t="shared" ref="CB24:CB25" si="9">IF(AND($C24&lt;&gt;0,T24=""),"* No olvide ingresar la columna "&amp;T$9&amp;""&amp;" (Digite CERO si no tiene). ",IF(T24&gt;$C24,"* El Número de Pueblos Originarios no puede superar el Total. ",""))</f>
        <v xml:space="preserve">* El Número de Pueblos Originarios no puede superar el Total. </v>
      </c>
      <c r="CC24" s="2784" t="str">
        <f t="shared" ref="CC24:CC25" si="10">IF(AND($C24&lt;&gt;0,U24=""),"* No olvide ingresar la columna "&amp;U$9&amp;""&amp;" (Digite CERO si no tiene). ",IF(U24&gt;$C24,"* El Número de Migrantes no puede superar el Total. ",""))</f>
        <v xml:space="preserve">* El Número de Migrantes no puede superar el Total. </v>
      </c>
      <c r="CD24" s="2630"/>
      <c r="CE24" s="2630"/>
      <c r="CF24" s="1725">
        <f t="shared" ref="CF24:CG25" si="11">IF(AND($C24&lt;&gt;0,T24=""),1,IF(T24&gt;$C24,1,0))</f>
        <v>1</v>
      </c>
      <c r="CG24" s="1725">
        <f t="shared" si="11"/>
        <v>1</v>
      </c>
    </row>
    <row r="25" spans="1:85" x14ac:dyDescent="0.3">
      <c r="A25" s="6294" t="s">
        <v>5225</v>
      </c>
      <c r="B25" s="18" t="s">
        <v>3400</v>
      </c>
      <c r="C25" s="1694" t="s">
        <v>5292</v>
      </c>
      <c r="D25" s="1694" t="s">
        <v>5293</v>
      </c>
      <c r="E25" s="1694" t="s">
        <v>5294</v>
      </c>
      <c r="F25" s="9" t="s">
        <v>5295</v>
      </c>
      <c r="G25" s="11" t="s">
        <v>5296</v>
      </c>
      <c r="H25" s="9" t="s">
        <v>5297</v>
      </c>
      <c r="I25" s="11" t="s">
        <v>5298</v>
      </c>
      <c r="J25" s="9" t="s">
        <v>5299</v>
      </c>
      <c r="K25" s="11" t="s">
        <v>5300</v>
      </c>
      <c r="L25" s="9" t="s">
        <v>5301</v>
      </c>
      <c r="M25" s="1696" t="s">
        <v>5302</v>
      </c>
      <c r="N25" s="4743" t="s">
        <v>5303</v>
      </c>
      <c r="O25" s="3950" t="s">
        <v>5304</v>
      </c>
      <c r="P25" s="3950" t="s">
        <v>5305</v>
      </c>
      <c r="Q25" s="4743" t="s">
        <v>5306</v>
      </c>
      <c r="R25" s="3950" t="s">
        <v>5307</v>
      </c>
      <c r="S25" s="4741" t="s">
        <v>5308</v>
      </c>
      <c r="T25" s="24" t="s">
        <v>5309</v>
      </c>
      <c r="U25" s="27" t="s">
        <v>5310</v>
      </c>
      <c r="V25" s="1687" t="str">
        <f t="shared" si="8"/>
        <v xml:space="preserve">* El Número de Pueblos Originarios no puede superar el Total. * El Número de Migrantes no puede superar el Total. </v>
      </c>
      <c r="BA25" s="2630"/>
      <c r="BB25" s="2630"/>
      <c r="BC25" s="2630"/>
      <c r="BD25" s="2630"/>
      <c r="BE25" s="2630"/>
      <c r="BF25" s="2630"/>
      <c r="BG25" s="2630"/>
      <c r="BH25" s="2630"/>
      <c r="BI25" s="2630"/>
      <c r="BJ25" s="2630"/>
      <c r="BK25" s="2630"/>
      <c r="BL25" s="2630"/>
      <c r="BM25" s="2630"/>
      <c r="BN25" s="2630"/>
      <c r="BO25" s="2630"/>
      <c r="BP25" s="2630"/>
      <c r="BQ25" s="2630"/>
      <c r="BR25" s="2630"/>
      <c r="BS25" s="2630"/>
      <c r="BT25" s="2630"/>
      <c r="BU25" s="2630"/>
      <c r="BV25" s="2630"/>
      <c r="BW25" s="2630"/>
      <c r="BX25" s="2630"/>
      <c r="BY25" s="2630"/>
      <c r="BZ25" s="2630"/>
      <c r="CA25" s="2630"/>
      <c r="CB25" s="2784" t="str">
        <f t="shared" si="9"/>
        <v xml:space="preserve">* El Número de Pueblos Originarios no puede superar el Total. </v>
      </c>
      <c r="CC25" s="2784" t="str">
        <f t="shared" si="10"/>
        <v xml:space="preserve">* El Número de Migrantes no puede superar el Total. </v>
      </c>
      <c r="CD25" s="2630"/>
      <c r="CE25" s="2630"/>
      <c r="CF25" s="1725">
        <f t="shared" si="11"/>
        <v>1</v>
      </c>
      <c r="CG25" s="1725">
        <f t="shared" si="11"/>
        <v>1</v>
      </c>
    </row>
    <row r="26" spans="1:85" x14ac:dyDescent="0.3">
      <c r="A26" s="6293"/>
      <c r="B26" s="3951" t="s">
        <v>3401</v>
      </c>
      <c r="C26" s="8323"/>
      <c r="D26" s="8324"/>
      <c r="E26" s="8324"/>
      <c r="F26" s="8324"/>
      <c r="G26" s="8324"/>
      <c r="H26" s="8324"/>
      <c r="I26" s="8324"/>
      <c r="J26" s="8324"/>
      <c r="K26" s="8324"/>
      <c r="L26" s="8324"/>
      <c r="M26" s="8324"/>
      <c r="N26" s="8324"/>
      <c r="O26" s="8324"/>
      <c r="P26" s="8324"/>
      <c r="Q26" s="8324"/>
      <c r="R26" s="8324"/>
      <c r="S26" s="8324"/>
      <c r="T26" s="8324"/>
      <c r="U26" s="8325"/>
    </row>
    <row r="27" spans="1:85" x14ac:dyDescent="0.3">
      <c r="A27" s="6294">
        <v>29101030</v>
      </c>
      <c r="B27" s="3954" t="s">
        <v>3402</v>
      </c>
      <c r="C27" s="3975" t="s">
        <v>5292</v>
      </c>
      <c r="D27" s="4027" t="s">
        <v>5293</v>
      </c>
      <c r="E27" s="4027" t="s">
        <v>5294</v>
      </c>
      <c r="F27" s="2112" t="s">
        <v>5295</v>
      </c>
      <c r="G27" s="4407" t="s">
        <v>5296</v>
      </c>
      <c r="H27" s="1102" t="s">
        <v>5297</v>
      </c>
      <c r="I27" s="4407" t="s">
        <v>5298</v>
      </c>
      <c r="J27" s="2112" t="s">
        <v>5299</v>
      </c>
      <c r="K27" s="4407" t="s">
        <v>5300</v>
      </c>
      <c r="L27" s="2112" t="s">
        <v>5301</v>
      </c>
      <c r="M27" s="2113" t="s">
        <v>5302</v>
      </c>
      <c r="N27" s="4742" t="s">
        <v>5303</v>
      </c>
      <c r="O27" s="3958" t="s">
        <v>5304</v>
      </c>
      <c r="P27" s="3958" t="s">
        <v>5305</v>
      </c>
      <c r="Q27" s="4742" t="s">
        <v>5306</v>
      </c>
      <c r="R27" s="1693" t="s">
        <v>5307</v>
      </c>
      <c r="S27" s="1431" t="s">
        <v>5308</v>
      </c>
      <c r="T27" s="1102" t="s">
        <v>5309</v>
      </c>
      <c r="U27" s="1693" t="s">
        <v>5310</v>
      </c>
      <c r="V27" s="1687" t="str">
        <f t="shared" ref="V27:V28" si="12">CB27&amp;CC27</f>
        <v xml:space="preserve">* El Número de Pueblos Originarios no puede superar el Total. * El Número de Migrantes no puede superar el Total. </v>
      </c>
      <c r="BA27" s="2630"/>
      <c r="BB27" s="2630"/>
      <c r="BC27" s="2630"/>
      <c r="BD27" s="2630"/>
      <c r="BE27" s="2630"/>
      <c r="BF27" s="2630"/>
      <c r="BG27" s="2630"/>
      <c r="BH27" s="2630"/>
      <c r="BI27" s="2630"/>
      <c r="BJ27" s="2630"/>
      <c r="BK27" s="2630"/>
      <c r="BL27" s="2630"/>
      <c r="BM27" s="2630"/>
      <c r="BN27" s="2630"/>
      <c r="BO27" s="2630"/>
      <c r="BP27" s="2630"/>
      <c r="BQ27" s="2630"/>
      <c r="BR27" s="2630"/>
      <c r="BS27" s="2630"/>
      <c r="BT27" s="2630"/>
      <c r="BU27" s="2630"/>
      <c r="BV27" s="2630"/>
      <c r="BW27" s="2630"/>
      <c r="BX27" s="2630"/>
      <c r="BY27" s="2630"/>
      <c r="BZ27" s="2630"/>
      <c r="CA27" s="2630"/>
      <c r="CB27" s="2784" t="str">
        <f t="shared" ref="CB27:CB28" si="13">IF(AND($C27&lt;&gt;0,T27=""),"* No olvide ingresar la columna "&amp;T$9&amp;""&amp;" (Digite CERO si no tiene). ",IF(T27&gt;$C27,"* El Número de Pueblos Originarios no puede superar el Total. ",""))</f>
        <v xml:space="preserve">* El Número de Pueblos Originarios no puede superar el Total. </v>
      </c>
      <c r="CC27" s="2784" t="str">
        <f t="shared" ref="CC27:CC28" si="14">IF(AND($C27&lt;&gt;0,U27=""),"* No olvide ingresar la columna "&amp;U$9&amp;""&amp;" (Digite CERO si no tiene). ",IF(U27&gt;$C27,"* El Número de Migrantes no puede superar el Total. ",""))</f>
        <v xml:space="preserve">* El Número de Migrantes no puede superar el Total. </v>
      </c>
      <c r="CD27" s="2630"/>
      <c r="CE27" s="2630"/>
      <c r="CF27" s="1725">
        <f t="shared" ref="CF27:CG28" si="15">IF(AND($C27&lt;&gt;0,T27=""),1,IF(T27&gt;$C27,1,0))</f>
        <v>1</v>
      </c>
      <c r="CG27" s="1725">
        <f t="shared" si="15"/>
        <v>1</v>
      </c>
    </row>
    <row r="28" spans="1:85" x14ac:dyDescent="0.3">
      <c r="A28" s="6294">
        <v>29101040</v>
      </c>
      <c r="B28" s="3947" t="s">
        <v>3403</v>
      </c>
      <c r="C28" s="2359" t="s">
        <v>5292</v>
      </c>
      <c r="D28" s="38" t="s">
        <v>5293</v>
      </c>
      <c r="E28" s="38" t="s">
        <v>5294</v>
      </c>
      <c r="F28" s="3" t="s">
        <v>5295</v>
      </c>
      <c r="G28" s="2760" t="s">
        <v>5296</v>
      </c>
      <c r="H28" s="3" t="s">
        <v>5297</v>
      </c>
      <c r="I28" s="3948" t="s">
        <v>5298</v>
      </c>
      <c r="J28" s="3" t="s">
        <v>5299</v>
      </c>
      <c r="K28" s="3948" t="s">
        <v>5300</v>
      </c>
      <c r="L28" s="3" t="s">
        <v>5301</v>
      </c>
      <c r="M28" s="3949" t="s">
        <v>5302</v>
      </c>
      <c r="N28" s="3952" t="s">
        <v>5303</v>
      </c>
      <c r="O28" s="3953" t="s">
        <v>5304</v>
      </c>
      <c r="P28" s="3953" t="s">
        <v>5305</v>
      </c>
      <c r="Q28" s="3952" t="s">
        <v>5306</v>
      </c>
      <c r="R28" s="3" t="s">
        <v>5307</v>
      </c>
      <c r="S28" s="1103" t="s">
        <v>5308</v>
      </c>
      <c r="T28" s="21" t="s">
        <v>5309</v>
      </c>
      <c r="U28" s="30" t="s">
        <v>5310</v>
      </c>
      <c r="V28" s="1687" t="str">
        <f t="shared" si="12"/>
        <v xml:space="preserve">* El Número de Pueblos Originarios no puede superar el Total. * El Número de Migrantes no puede superar el Total. </v>
      </c>
      <c r="BA28" s="2630"/>
      <c r="BB28" s="2630"/>
      <c r="BC28" s="2630"/>
      <c r="BD28" s="2630"/>
      <c r="BE28" s="2630"/>
      <c r="BF28" s="2630"/>
      <c r="BG28" s="2630"/>
      <c r="BH28" s="2630"/>
      <c r="BI28" s="2630"/>
      <c r="BJ28" s="2630"/>
      <c r="BK28" s="2630"/>
      <c r="BL28" s="2630"/>
      <c r="BM28" s="2630"/>
      <c r="BN28" s="2630"/>
      <c r="BO28" s="2630"/>
      <c r="BP28" s="2630"/>
      <c r="BQ28" s="2630"/>
      <c r="BR28" s="2630"/>
      <c r="BS28" s="2630"/>
      <c r="BT28" s="2630"/>
      <c r="BU28" s="2630"/>
      <c r="BV28" s="2630"/>
      <c r="BW28" s="2630"/>
      <c r="BX28" s="2630"/>
      <c r="BY28" s="2630"/>
      <c r="BZ28" s="2630"/>
      <c r="CA28" s="2630"/>
      <c r="CB28" s="2784" t="str">
        <f t="shared" si="13"/>
        <v xml:space="preserve">* El Número de Pueblos Originarios no puede superar el Total. </v>
      </c>
      <c r="CC28" s="2784" t="str">
        <f t="shared" si="14"/>
        <v xml:space="preserve">* El Número de Migrantes no puede superar el Total. </v>
      </c>
      <c r="CD28" s="2630"/>
      <c r="CE28" s="2630"/>
      <c r="CF28" s="1725">
        <f t="shared" si="15"/>
        <v>1</v>
      </c>
      <c r="CG28" s="1725">
        <f t="shared" si="15"/>
        <v>1</v>
      </c>
    </row>
    <row r="29" spans="1:85" ht="18" customHeight="1" x14ac:dyDescent="0.3">
      <c r="A29" s="6295"/>
      <c r="B29" s="3906" t="s">
        <v>3404</v>
      </c>
      <c r="C29" s="19"/>
      <c r="D29" s="15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85" x14ac:dyDescent="0.3">
      <c r="A30" s="6295"/>
      <c r="B30" s="7754" t="s">
        <v>3405</v>
      </c>
      <c r="C30" s="6984"/>
      <c r="D30" s="7754" t="s">
        <v>24</v>
      </c>
      <c r="E30" s="8304" t="s">
        <v>1469</v>
      </c>
      <c r="F30" s="8305"/>
      <c r="G30" s="8305"/>
      <c r="H30" s="8305"/>
      <c r="I30" s="8305"/>
      <c r="J30" s="8305"/>
      <c r="K30" s="8305"/>
      <c r="L30" s="8305"/>
      <c r="M30" s="8317"/>
      <c r="N30" s="8318" t="s">
        <v>947</v>
      </c>
      <c r="O30" s="8318"/>
      <c r="P30" s="8319"/>
      <c r="Q30" s="8312" t="s">
        <v>2</v>
      </c>
      <c r="R30" s="8314" t="s">
        <v>3</v>
      </c>
    </row>
    <row r="31" spans="1:85" ht="20.399999999999999" x14ac:dyDescent="0.3">
      <c r="A31" s="6295"/>
      <c r="B31" s="8316"/>
      <c r="C31" s="6762"/>
      <c r="D31" s="6985"/>
      <c r="E31" s="3913" t="s">
        <v>3406</v>
      </c>
      <c r="F31" s="3959" t="s">
        <v>3734</v>
      </c>
      <c r="G31" s="3726" t="s">
        <v>11</v>
      </c>
      <c r="H31" s="3726" t="s">
        <v>18</v>
      </c>
      <c r="I31" s="3726" t="s">
        <v>19</v>
      </c>
      <c r="J31" s="3726" t="s">
        <v>20</v>
      </c>
      <c r="K31" s="3726" t="s">
        <v>70</v>
      </c>
      <c r="L31" s="3726" t="s">
        <v>71</v>
      </c>
      <c r="M31" s="2524" t="s">
        <v>32</v>
      </c>
      <c r="N31" s="2559" t="s">
        <v>948</v>
      </c>
      <c r="O31" s="3007" t="s">
        <v>3407</v>
      </c>
      <c r="P31" s="3960" t="s">
        <v>3408</v>
      </c>
      <c r="Q31" s="8313"/>
      <c r="R31" s="8315"/>
    </row>
    <row r="32" spans="1:85" x14ac:dyDescent="0.3">
      <c r="A32" s="6296">
        <v>29000007</v>
      </c>
      <c r="B32" s="7842" t="s">
        <v>3409</v>
      </c>
      <c r="C32" s="3961" t="s">
        <v>949</v>
      </c>
      <c r="D32" s="3962" t="s">
        <v>5292</v>
      </c>
      <c r="E32" s="3963" t="s">
        <v>5293</v>
      </c>
      <c r="F32" s="3964" t="s">
        <v>5294</v>
      </c>
      <c r="G32" s="3964" t="s">
        <v>5295</v>
      </c>
      <c r="H32" s="3964" t="s">
        <v>5296</v>
      </c>
      <c r="I32" s="3964" t="s">
        <v>5297</v>
      </c>
      <c r="J32" s="3964" t="s">
        <v>5298</v>
      </c>
      <c r="K32" s="3964" t="s">
        <v>5299</v>
      </c>
      <c r="L32" s="3964" t="s">
        <v>5300</v>
      </c>
      <c r="M32" s="3965" t="s">
        <v>5301</v>
      </c>
      <c r="N32" s="3966" t="s">
        <v>5302</v>
      </c>
      <c r="O32" s="3967" t="s">
        <v>5303</v>
      </c>
      <c r="P32" s="3968" t="s">
        <v>5304</v>
      </c>
      <c r="Q32" s="3969" t="s">
        <v>5305</v>
      </c>
      <c r="R32" s="3970" t="s">
        <v>5306</v>
      </c>
      <c r="S32" s="1687" t="str">
        <f>CB32&amp;CC32</f>
        <v xml:space="preserve">* El Número de Pueblos Originarios no puede superar el Total. * El Número de Migrantes no puede superar el Total. </v>
      </c>
      <c r="AX32" s="2630"/>
      <c r="AY32" s="2630"/>
      <c r="AZ32" s="2630"/>
      <c r="BA32" s="2630"/>
      <c r="BB32" s="2630"/>
      <c r="BC32" s="2630"/>
      <c r="BD32" s="2630"/>
      <c r="BE32" s="2630"/>
      <c r="BF32" s="2630"/>
      <c r="BG32" s="2630"/>
      <c r="BH32" s="2630"/>
      <c r="BI32" s="2630"/>
      <c r="BJ32" s="2630"/>
      <c r="BK32" s="2630"/>
      <c r="BL32" s="2630"/>
      <c r="BM32" s="2630"/>
      <c r="BN32" s="2630"/>
      <c r="BO32" s="2630"/>
      <c r="BP32" s="2630"/>
      <c r="BQ32" s="2630"/>
      <c r="BR32" s="2630"/>
      <c r="BS32" s="2630"/>
      <c r="BT32" s="2630"/>
      <c r="BU32" s="2630"/>
      <c r="BV32" s="2630"/>
      <c r="BW32" s="2630"/>
      <c r="BX32" s="2630"/>
      <c r="BY32" s="2630"/>
      <c r="BZ32" s="2630"/>
      <c r="CA32" s="2630"/>
      <c r="CB32" s="2784" t="str">
        <f>IF(AND($D32&lt;&gt;0,Q32=""),"* No olvide ingresar la columna "&amp;Q$30&amp;""&amp;" (Digite CERO si no tiene). ",IF(Q32&gt;$D32,"* El Número de Pueblos Originarios no puede superar el Total. ",""))</f>
        <v xml:space="preserve">* El Número de Pueblos Originarios no puede superar el Total. </v>
      </c>
      <c r="CC32" s="2784" t="str">
        <f>IF(AND($D32&lt;&gt;0,R32=""),"* No olvide ingresar la columna "&amp;R$30&amp;""&amp;" (Digite CERO si no tiene). ",IF(R32&gt;$D32,"* El Número de Migrantes no puede superar el Total. ",""))</f>
        <v xml:space="preserve">* El Número de Migrantes no puede superar el Total. </v>
      </c>
      <c r="CD32" s="2630"/>
      <c r="CE32" s="2630"/>
      <c r="CF32" s="1725">
        <f>IF(AND($D32&lt;&gt;0,Q32=""),1,IF(Q32&gt;$D32,1,0))</f>
        <v>1</v>
      </c>
      <c r="CG32" s="1725">
        <f>IF(AND($D32&lt;&gt;0,R32=""),1,IF(R32&gt;$D32,1,0))</f>
        <v>1</v>
      </c>
    </row>
    <row r="33" spans="1:85" x14ac:dyDescent="0.3">
      <c r="A33" s="6296">
        <v>29000008</v>
      </c>
      <c r="B33" s="8302"/>
      <c r="C33" s="3933" t="s">
        <v>3410</v>
      </c>
      <c r="D33" s="3933" t="s">
        <v>5292</v>
      </c>
      <c r="E33" s="3971" t="s">
        <v>5293</v>
      </c>
      <c r="F33" s="3972" t="s">
        <v>5294</v>
      </c>
      <c r="G33" s="3972" t="s">
        <v>5295</v>
      </c>
      <c r="H33" s="3972" t="s">
        <v>5296</v>
      </c>
      <c r="I33" s="3972" t="s">
        <v>5297</v>
      </c>
      <c r="J33" s="3972" t="s">
        <v>5298</v>
      </c>
      <c r="K33" s="3972" t="s">
        <v>5299</v>
      </c>
      <c r="L33" s="3972" t="s">
        <v>5300</v>
      </c>
      <c r="M33" s="3973" t="s">
        <v>5301</v>
      </c>
      <c r="N33" s="3969" t="s">
        <v>5302</v>
      </c>
      <c r="O33" s="3970" t="s">
        <v>5303</v>
      </c>
      <c r="P33" s="3974" t="s">
        <v>5304</v>
      </c>
      <c r="Q33" s="3969" t="s">
        <v>5305</v>
      </c>
      <c r="R33" s="3970" t="s">
        <v>5306</v>
      </c>
      <c r="S33" s="1687" t="str">
        <f t="shared" ref="S33:S64" si="16">CB33&amp;CC33</f>
        <v/>
      </c>
      <c r="AX33" s="2630"/>
      <c r="AY33" s="2630"/>
      <c r="AZ33" s="2630"/>
      <c r="BA33" s="2630"/>
      <c r="BB33" s="2630"/>
      <c r="BC33" s="2630"/>
      <c r="BD33" s="2630"/>
      <c r="BE33" s="2630"/>
      <c r="BF33" s="2630"/>
      <c r="BG33" s="2630"/>
      <c r="BH33" s="2630"/>
      <c r="BI33" s="2630"/>
      <c r="BJ33" s="2630"/>
      <c r="BK33" s="2630"/>
      <c r="BL33" s="2630"/>
      <c r="BM33" s="2630"/>
      <c r="BN33" s="2630"/>
      <c r="BO33" s="2630"/>
      <c r="BP33" s="2630"/>
      <c r="BQ33" s="2630"/>
      <c r="BR33" s="2630"/>
      <c r="BS33" s="2630"/>
      <c r="BT33" s="2630"/>
      <c r="BU33" s="2630"/>
      <c r="BV33" s="2630"/>
      <c r="BW33" s="2630"/>
      <c r="BX33" s="2630"/>
      <c r="BY33" s="2630"/>
      <c r="BZ33" s="2630"/>
      <c r="CA33" s="2630"/>
      <c r="CB33" s="2630"/>
      <c r="CC33" s="2630"/>
      <c r="CD33" s="2630"/>
      <c r="CE33" s="2630"/>
    </row>
    <row r="34" spans="1:85" x14ac:dyDescent="0.3">
      <c r="A34" s="6296">
        <v>29000009</v>
      </c>
      <c r="B34" s="8302"/>
      <c r="C34" s="1699" t="s">
        <v>3863</v>
      </c>
      <c r="D34" s="3975" t="s">
        <v>5292</v>
      </c>
      <c r="E34" s="3976" t="s">
        <v>5293</v>
      </c>
      <c r="F34" s="3977" t="s">
        <v>5294</v>
      </c>
      <c r="G34" s="3977" t="s">
        <v>5295</v>
      </c>
      <c r="H34" s="3977" t="s">
        <v>5296</v>
      </c>
      <c r="I34" s="3977" t="s">
        <v>5297</v>
      </c>
      <c r="J34" s="3977" t="s">
        <v>5298</v>
      </c>
      <c r="K34" s="3977" t="s">
        <v>5299</v>
      </c>
      <c r="L34" s="3977" t="s">
        <v>5300</v>
      </c>
      <c r="M34" s="3978" t="s">
        <v>5301</v>
      </c>
      <c r="N34" s="3979" t="s">
        <v>5302</v>
      </c>
      <c r="O34" s="3980" t="s">
        <v>5303</v>
      </c>
      <c r="P34" s="3981" t="s">
        <v>5304</v>
      </c>
      <c r="Q34" s="3969" t="s">
        <v>5305</v>
      </c>
      <c r="R34" s="3970" t="s">
        <v>5306</v>
      </c>
      <c r="S34" s="1687" t="str">
        <f t="shared" si="16"/>
        <v xml:space="preserve">* El Número de Pueblos Originarios no puede superar el Total. * El Número de Migrantes no puede superar el Total. </v>
      </c>
      <c r="AX34" s="2630"/>
      <c r="AY34" s="2630"/>
      <c r="AZ34" s="2630"/>
      <c r="BA34" s="2630"/>
      <c r="BB34" s="2630"/>
      <c r="BC34" s="2630"/>
      <c r="BD34" s="2630"/>
      <c r="BE34" s="2630"/>
      <c r="BF34" s="2630"/>
      <c r="BG34" s="2630"/>
      <c r="BH34" s="2630"/>
      <c r="BI34" s="2630"/>
      <c r="BJ34" s="2630"/>
      <c r="BK34" s="2630"/>
      <c r="BL34" s="2630"/>
      <c r="BM34" s="2630"/>
      <c r="BN34" s="2630"/>
      <c r="BO34" s="2630"/>
      <c r="BP34" s="2630"/>
      <c r="BQ34" s="2630"/>
      <c r="BR34" s="2630"/>
      <c r="BS34" s="2630"/>
      <c r="BT34" s="2630"/>
      <c r="BU34" s="2630"/>
      <c r="BV34" s="2630"/>
      <c r="BW34" s="2630"/>
      <c r="BX34" s="2630"/>
      <c r="BY34" s="2630"/>
      <c r="BZ34" s="2630"/>
      <c r="CA34" s="2630"/>
      <c r="CB34" s="2784" t="str">
        <f t="shared" ref="CB34:CB64" si="17">IF(AND($D34&lt;&gt;0,Q34=""),"* No olvide ingresar la columna "&amp;Q$30&amp;""&amp;" (Digite CERO si no tiene). ",IF(Q34&gt;$D34,"* El Número de Pueblos Originarios no puede superar el Total. ",""))</f>
        <v xml:space="preserve">* El Número de Pueblos Originarios no puede superar el Total. </v>
      </c>
      <c r="CC34" s="2784" t="str">
        <f t="shared" ref="CC34:CC64" si="18">IF(AND($D34&lt;&gt;0,R34=""),"* No olvide ingresar la columna "&amp;R$30&amp;""&amp;" (Digite CERO si no tiene). ",IF(R34&gt;$D34,"* El Número de Migrantes no puede superar el Total. ",""))</f>
        <v xml:space="preserve">* El Número de Migrantes no puede superar el Total. </v>
      </c>
      <c r="CD34" s="2630"/>
      <c r="CE34" s="2630"/>
      <c r="CF34" s="1725">
        <f t="shared" ref="CF34:CG64" si="19">IF(AND($D34&lt;&gt;0,Q34=""),1,IF(Q34&gt;$D34,1,0))</f>
        <v>1</v>
      </c>
      <c r="CG34" s="1725">
        <f t="shared" si="19"/>
        <v>1</v>
      </c>
    </row>
    <row r="35" spans="1:85" x14ac:dyDescent="0.3">
      <c r="A35" s="6296">
        <v>29000010</v>
      </c>
      <c r="B35" s="8302"/>
      <c r="C35" s="3982" t="s">
        <v>3411</v>
      </c>
      <c r="D35" s="3710" t="s">
        <v>5292</v>
      </c>
      <c r="E35" s="3983" t="s">
        <v>5293</v>
      </c>
      <c r="F35" s="3984" t="s">
        <v>5294</v>
      </c>
      <c r="G35" s="3984" t="s">
        <v>5295</v>
      </c>
      <c r="H35" s="3984" t="s">
        <v>5296</v>
      </c>
      <c r="I35" s="3984" t="s">
        <v>5297</v>
      </c>
      <c r="J35" s="3984" t="s">
        <v>5298</v>
      </c>
      <c r="K35" s="3984" t="s">
        <v>5299</v>
      </c>
      <c r="L35" s="3984" t="s">
        <v>5300</v>
      </c>
      <c r="M35" s="3985" t="s">
        <v>5301</v>
      </c>
      <c r="N35" s="3986" t="s">
        <v>5302</v>
      </c>
      <c r="O35" s="3987" t="s">
        <v>5303</v>
      </c>
      <c r="P35" s="3988" t="s">
        <v>5304</v>
      </c>
      <c r="Q35" s="3969" t="s">
        <v>5305</v>
      </c>
      <c r="R35" s="3970" t="s">
        <v>5306</v>
      </c>
      <c r="S35" s="1687" t="str">
        <f t="shared" si="16"/>
        <v xml:space="preserve">* El Número de Pueblos Originarios no puede superar el Total. * El Número de Migrantes no puede superar el Total. </v>
      </c>
      <c r="AX35" s="2630"/>
      <c r="AY35" s="2630"/>
      <c r="AZ35" s="2630"/>
      <c r="BA35" s="2630"/>
      <c r="BB35" s="2630"/>
      <c r="BC35" s="2630"/>
      <c r="BD35" s="2630"/>
      <c r="BE35" s="2630"/>
      <c r="BF35" s="2630"/>
      <c r="BG35" s="2630"/>
      <c r="BH35" s="2630"/>
      <c r="BI35" s="2630"/>
      <c r="BJ35" s="2630"/>
      <c r="BK35" s="2630"/>
      <c r="BL35" s="2630"/>
      <c r="BM35" s="2630"/>
      <c r="BN35" s="2630"/>
      <c r="BO35" s="2630"/>
      <c r="BP35" s="2630"/>
      <c r="BQ35" s="2630"/>
      <c r="BR35" s="2630"/>
      <c r="BS35" s="2630"/>
      <c r="BT35" s="2630"/>
      <c r="BU35" s="2630"/>
      <c r="BV35" s="2630"/>
      <c r="BW35" s="2630"/>
      <c r="BX35" s="2630"/>
      <c r="BY35" s="2630"/>
      <c r="BZ35" s="2630"/>
      <c r="CA35" s="2630"/>
      <c r="CB35" s="2784" t="str">
        <f t="shared" si="17"/>
        <v xml:space="preserve">* El Número de Pueblos Originarios no puede superar el Total. </v>
      </c>
      <c r="CC35" s="2784" t="str">
        <f t="shared" si="18"/>
        <v xml:space="preserve">* El Número de Migrantes no puede superar el Total. </v>
      </c>
      <c r="CD35" s="2630"/>
      <c r="CE35" s="2630"/>
      <c r="CF35" s="1725">
        <f t="shared" si="19"/>
        <v>1</v>
      </c>
      <c r="CG35" s="1725">
        <f t="shared" si="19"/>
        <v>1</v>
      </c>
    </row>
    <row r="36" spans="1:85" x14ac:dyDescent="0.3">
      <c r="A36" s="6296">
        <v>29000011</v>
      </c>
      <c r="B36" s="8302"/>
      <c r="C36" s="3982" t="s">
        <v>3412</v>
      </c>
      <c r="D36" s="3710" t="s">
        <v>5292</v>
      </c>
      <c r="E36" s="3989" t="s">
        <v>5293</v>
      </c>
      <c r="F36" s="3990" t="s">
        <v>5294</v>
      </c>
      <c r="G36" s="3990" t="s">
        <v>5295</v>
      </c>
      <c r="H36" s="3990" t="s">
        <v>5296</v>
      </c>
      <c r="I36" s="3990" t="s">
        <v>5297</v>
      </c>
      <c r="J36" s="3990" t="s">
        <v>5298</v>
      </c>
      <c r="K36" s="3990" t="s">
        <v>5299</v>
      </c>
      <c r="L36" s="3990" t="s">
        <v>5300</v>
      </c>
      <c r="M36" s="3991" t="s">
        <v>5301</v>
      </c>
      <c r="N36" s="3992" t="s">
        <v>5302</v>
      </c>
      <c r="O36" s="3993" t="s">
        <v>5303</v>
      </c>
      <c r="P36" s="3994" t="s">
        <v>5304</v>
      </c>
      <c r="Q36" s="3969" t="s">
        <v>5305</v>
      </c>
      <c r="R36" s="3970" t="s">
        <v>5306</v>
      </c>
      <c r="S36" s="1687" t="str">
        <f t="shared" si="16"/>
        <v xml:space="preserve">* El Número de Pueblos Originarios no puede superar el Total. * El Número de Migrantes no puede superar el Total. </v>
      </c>
      <c r="AX36" s="2630"/>
      <c r="AY36" s="2630"/>
      <c r="AZ36" s="2630"/>
      <c r="BA36" s="2630"/>
      <c r="BB36" s="2630"/>
      <c r="BC36" s="2630"/>
      <c r="BD36" s="2630"/>
      <c r="BE36" s="2630"/>
      <c r="BF36" s="2630"/>
      <c r="BG36" s="2630"/>
      <c r="BH36" s="2630"/>
      <c r="BI36" s="2630"/>
      <c r="BJ36" s="2630"/>
      <c r="BK36" s="2630"/>
      <c r="BL36" s="2630"/>
      <c r="BM36" s="2630"/>
      <c r="BN36" s="2630"/>
      <c r="BO36" s="2630"/>
      <c r="BP36" s="2630"/>
      <c r="BQ36" s="2630"/>
      <c r="BR36" s="2630"/>
      <c r="BS36" s="2630"/>
      <c r="BT36" s="2630"/>
      <c r="BU36" s="2630"/>
      <c r="BV36" s="2630"/>
      <c r="BW36" s="2630"/>
      <c r="BX36" s="2630"/>
      <c r="BY36" s="2630"/>
      <c r="BZ36" s="2630"/>
      <c r="CA36" s="2630"/>
      <c r="CB36" s="2784" t="str">
        <f t="shared" si="17"/>
        <v xml:space="preserve">* El Número de Pueblos Originarios no puede superar el Total. </v>
      </c>
      <c r="CC36" s="2784" t="str">
        <f t="shared" si="18"/>
        <v xml:space="preserve">* El Número de Migrantes no puede superar el Total. </v>
      </c>
      <c r="CD36" s="2630"/>
      <c r="CE36" s="2630"/>
      <c r="CF36" s="1725">
        <f t="shared" si="19"/>
        <v>1</v>
      </c>
      <c r="CG36" s="1725">
        <f t="shared" si="19"/>
        <v>1</v>
      </c>
    </row>
    <row r="37" spans="1:85" x14ac:dyDescent="0.3">
      <c r="A37" s="6296">
        <v>29000012</v>
      </c>
      <c r="B37" s="8302"/>
      <c r="C37" s="3982" t="s">
        <v>3413</v>
      </c>
      <c r="D37" s="3710" t="s">
        <v>5292</v>
      </c>
      <c r="E37" s="3995" t="s">
        <v>5293</v>
      </c>
      <c r="F37" s="3996" t="s">
        <v>5294</v>
      </c>
      <c r="G37" s="3996" t="s">
        <v>5295</v>
      </c>
      <c r="H37" s="3996" t="s">
        <v>5296</v>
      </c>
      <c r="I37" s="3996" t="s">
        <v>5297</v>
      </c>
      <c r="J37" s="3996" t="s">
        <v>5298</v>
      </c>
      <c r="K37" s="3996" t="s">
        <v>5299</v>
      </c>
      <c r="L37" s="3996" t="s">
        <v>5300</v>
      </c>
      <c r="M37" s="3997" t="s">
        <v>5301</v>
      </c>
      <c r="N37" s="3998" t="s">
        <v>5302</v>
      </c>
      <c r="O37" s="3999" t="s">
        <v>5303</v>
      </c>
      <c r="P37" s="4000" t="s">
        <v>5304</v>
      </c>
      <c r="Q37" s="3969" t="s">
        <v>5305</v>
      </c>
      <c r="R37" s="3970" t="s">
        <v>5306</v>
      </c>
      <c r="S37" s="1687" t="str">
        <f t="shared" si="16"/>
        <v xml:space="preserve">* El Número de Pueblos Originarios no puede superar el Total. * El Número de Migrantes no puede superar el Total. </v>
      </c>
      <c r="AX37" s="2630"/>
      <c r="AY37" s="2630"/>
      <c r="AZ37" s="2630"/>
      <c r="BA37" s="2630"/>
      <c r="BB37" s="2630"/>
      <c r="BC37" s="2630"/>
      <c r="BD37" s="2630"/>
      <c r="BE37" s="2630"/>
      <c r="BF37" s="2630"/>
      <c r="BG37" s="2630"/>
      <c r="BH37" s="2630"/>
      <c r="BI37" s="2630"/>
      <c r="BJ37" s="2630"/>
      <c r="BK37" s="2630"/>
      <c r="BL37" s="2630"/>
      <c r="BM37" s="2630"/>
      <c r="BN37" s="2630"/>
      <c r="BO37" s="2630"/>
      <c r="BP37" s="2630"/>
      <c r="BQ37" s="2630"/>
      <c r="BR37" s="2630"/>
      <c r="BS37" s="2630"/>
      <c r="BT37" s="2630"/>
      <c r="BU37" s="2630"/>
      <c r="BV37" s="2630"/>
      <c r="BW37" s="2630"/>
      <c r="BX37" s="2630"/>
      <c r="BY37" s="2630"/>
      <c r="BZ37" s="2630"/>
      <c r="CA37" s="2630"/>
      <c r="CB37" s="2784" t="str">
        <f t="shared" si="17"/>
        <v xml:space="preserve">* El Número de Pueblos Originarios no puede superar el Total. </v>
      </c>
      <c r="CC37" s="2784" t="str">
        <f t="shared" si="18"/>
        <v xml:space="preserve">* El Número de Migrantes no puede superar el Total. </v>
      </c>
      <c r="CD37" s="2630"/>
      <c r="CE37" s="2630"/>
      <c r="CF37" s="1725">
        <f t="shared" si="19"/>
        <v>1</v>
      </c>
      <c r="CG37" s="1725">
        <f t="shared" si="19"/>
        <v>1</v>
      </c>
    </row>
    <row r="38" spans="1:85" x14ac:dyDescent="0.3">
      <c r="A38" s="6296">
        <v>29000013</v>
      </c>
      <c r="B38" s="8302"/>
      <c r="C38" s="3982" t="s">
        <v>3414</v>
      </c>
      <c r="D38" s="3710" t="s">
        <v>5292</v>
      </c>
      <c r="E38" s="3983" t="s">
        <v>5293</v>
      </c>
      <c r="F38" s="3984" t="s">
        <v>5294</v>
      </c>
      <c r="G38" s="3984" t="s">
        <v>5295</v>
      </c>
      <c r="H38" s="3984" t="s">
        <v>5296</v>
      </c>
      <c r="I38" s="3984" t="s">
        <v>5297</v>
      </c>
      <c r="J38" s="3984" t="s">
        <v>5298</v>
      </c>
      <c r="K38" s="3984" t="s">
        <v>5299</v>
      </c>
      <c r="L38" s="3984" t="s">
        <v>5300</v>
      </c>
      <c r="M38" s="3985" t="s">
        <v>5301</v>
      </c>
      <c r="N38" s="3986" t="s">
        <v>5302</v>
      </c>
      <c r="O38" s="3987" t="s">
        <v>5303</v>
      </c>
      <c r="P38" s="3988" t="s">
        <v>5304</v>
      </c>
      <c r="Q38" s="3969" t="s">
        <v>5305</v>
      </c>
      <c r="R38" s="3970" t="s">
        <v>5306</v>
      </c>
      <c r="S38" s="1687" t="str">
        <f t="shared" si="16"/>
        <v xml:space="preserve">* El Número de Pueblos Originarios no puede superar el Total. * El Número de Migrantes no puede superar el Total. </v>
      </c>
      <c r="AX38" s="2630"/>
      <c r="AY38" s="2630"/>
      <c r="AZ38" s="2630"/>
      <c r="BA38" s="2630"/>
      <c r="BB38" s="2630"/>
      <c r="BC38" s="2630"/>
      <c r="BD38" s="2630"/>
      <c r="BE38" s="2630"/>
      <c r="BF38" s="2630"/>
      <c r="BG38" s="2630"/>
      <c r="BH38" s="2630"/>
      <c r="BI38" s="2630"/>
      <c r="BJ38" s="2630"/>
      <c r="BK38" s="2630"/>
      <c r="BL38" s="2630"/>
      <c r="BM38" s="2630"/>
      <c r="BN38" s="2630"/>
      <c r="BO38" s="2630"/>
      <c r="BP38" s="2630"/>
      <c r="BQ38" s="2630"/>
      <c r="BR38" s="2630"/>
      <c r="BS38" s="2630"/>
      <c r="BT38" s="2630"/>
      <c r="BU38" s="2630"/>
      <c r="BV38" s="2630"/>
      <c r="BW38" s="2630"/>
      <c r="BX38" s="2630"/>
      <c r="BY38" s="2630"/>
      <c r="BZ38" s="2630"/>
      <c r="CA38" s="2630"/>
      <c r="CB38" s="2784" t="str">
        <f t="shared" si="17"/>
        <v xml:space="preserve">* El Número de Pueblos Originarios no puede superar el Total. </v>
      </c>
      <c r="CC38" s="2784" t="str">
        <f t="shared" si="18"/>
        <v xml:space="preserve">* El Número de Migrantes no puede superar el Total. </v>
      </c>
      <c r="CD38" s="2630"/>
      <c r="CE38" s="2630"/>
      <c r="CF38" s="1725">
        <f t="shared" si="19"/>
        <v>1</v>
      </c>
      <c r="CG38" s="1725">
        <f t="shared" si="19"/>
        <v>1</v>
      </c>
    </row>
    <row r="39" spans="1:85" x14ac:dyDescent="0.3">
      <c r="A39" s="6296">
        <v>29000048</v>
      </c>
      <c r="B39" s="8303"/>
      <c r="C39" s="3982" t="s">
        <v>3415</v>
      </c>
      <c r="D39" s="3710" t="s">
        <v>5292</v>
      </c>
      <c r="E39" s="4002" t="s">
        <v>5293</v>
      </c>
      <c r="F39" s="4003" t="s">
        <v>5294</v>
      </c>
      <c r="G39" s="4003" t="s">
        <v>5295</v>
      </c>
      <c r="H39" s="4003" t="s">
        <v>5296</v>
      </c>
      <c r="I39" s="4003" t="s">
        <v>5297</v>
      </c>
      <c r="J39" s="4003" t="s">
        <v>5298</v>
      </c>
      <c r="K39" s="4003" t="s">
        <v>5299</v>
      </c>
      <c r="L39" s="4003" t="s">
        <v>5300</v>
      </c>
      <c r="M39" s="4004" t="s">
        <v>5301</v>
      </c>
      <c r="N39" s="4005" t="s">
        <v>5302</v>
      </c>
      <c r="O39" s="4006" t="s">
        <v>5303</v>
      </c>
      <c r="P39" s="4007" t="s">
        <v>5304</v>
      </c>
      <c r="Q39" s="4008" t="s">
        <v>5305</v>
      </c>
      <c r="R39" s="4009" t="s">
        <v>5306</v>
      </c>
      <c r="S39" s="1687" t="str">
        <f t="shared" si="16"/>
        <v xml:space="preserve">* El Número de Pueblos Originarios no puede superar el Total. * El Número de Migrantes no puede superar el Total. </v>
      </c>
      <c r="AX39" s="2630"/>
      <c r="AY39" s="2630"/>
      <c r="AZ39" s="2630"/>
      <c r="BA39" s="2630"/>
      <c r="BB39" s="2630"/>
      <c r="BC39" s="2630"/>
      <c r="BD39" s="2630"/>
      <c r="BE39" s="2630"/>
      <c r="BF39" s="2630"/>
      <c r="BG39" s="2630"/>
      <c r="BH39" s="2630"/>
      <c r="BI39" s="2630"/>
      <c r="BJ39" s="2630"/>
      <c r="BK39" s="2630"/>
      <c r="BL39" s="2630"/>
      <c r="BM39" s="2630"/>
      <c r="BN39" s="2630"/>
      <c r="BO39" s="2630"/>
      <c r="BP39" s="2630"/>
      <c r="BQ39" s="2630"/>
      <c r="BR39" s="2630"/>
      <c r="BS39" s="2630"/>
      <c r="BT39" s="2630"/>
      <c r="BU39" s="2630"/>
      <c r="BV39" s="2630"/>
      <c r="BW39" s="2630"/>
      <c r="BX39" s="2630"/>
      <c r="BY39" s="2630"/>
      <c r="BZ39" s="2630"/>
      <c r="CA39" s="2630"/>
      <c r="CB39" s="2784" t="str">
        <f t="shared" si="17"/>
        <v xml:space="preserve">* El Número de Pueblos Originarios no puede superar el Total. </v>
      </c>
      <c r="CC39" s="2784" t="str">
        <f t="shared" si="18"/>
        <v xml:space="preserve">* El Número de Migrantes no puede superar el Total. </v>
      </c>
      <c r="CD39" s="2630"/>
      <c r="CE39" s="2630"/>
      <c r="CF39" s="1725">
        <f t="shared" si="19"/>
        <v>1</v>
      </c>
      <c r="CG39" s="1725">
        <f t="shared" si="19"/>
        <v>1</v>
      </c>
    </row>
    <row r="40" spans="1:85" x14ac:dyDescent="0.3">
      <c r="A40" s="6296">
        <v>29000014</v>
      </c>
      <c r="B40" s="8330" t="s">
        <v>3416</v>
      </c>
      <c r="C40" s="4010" t="s">
        <v>949</v>
      </c>
      <c r="D40" s="3936" t="s">
        <v>5292</v>
      </c>
      <c r="E40" s="3976" t="s">
        <v>5293</v>
      </c>
      <c r="F40" s="4011" t="s">
        <v>5294</v>
      </c>
      <c r="G40" s="4011" t="s">
        <v>5295</v>
      </c>
      <c r="H40" s="4011" t="s">
        <v>5296</v>
      </c>
      <c r="I40" s="4011" t="s">
        <v>5297</v>
      </c>
      <c r="J40" s="4011" t="s">
        <v>5298</v>
      </c>
      <c r="K40" s="4011" t="s">
        <v>5299</v>
      </c>
      <c r="L40" s="4011" t="s">
        <v>5300</v>
      </c>
      <c r="M40" s="4012" t="s">
        <v>5301</v>
      </c>
      <c r="N40" s="4013" t="s">
        <v>5302</v>
      </c>
      <c r="O40" s="4014" t="s">
        <v>5303</v>
      </c>
      <c r="P40" s="4015" t="s">
        <v>5304</v>
      </c>
      <c r="Q40" s="4016" t="s">
        <v>5305</v>
      </c>
      <c r="R40" s="4017" t="s">
        <v>5306</v>
      </c>
      <c r="S40" s="1687" t="str">
        <f t="shared" si="16"/>
        <v xml:space="preserve">* El Número de Pueblos Originarios no puede superar el Total. * El Número de Migrantes no puede superar el Total. </v>
      </c>
      <c r="AX40" s="2630"/>
      <c r="AY40" s="2630"/>
      <c r="AZ40" s="2630"/>
      <c r="BA40" s="2630"/>
      <c r="BB40" s="2630"/>
      <c r="BC40" s="2630"/>
      <c r="BD40" s="2630"/>
      <c r="BE40" s="2630"/>
      <c r="BF40" s="2630"/>
      <c r="BG40" s="2630"/>
      <c r="BH40" s="2630"/>
      <c r="BI40" s="2630"/>
      <c r="BJ40" s="2630"/>
      <c r="BK40" s="2630"/>
      <c r="BL40" s="2630"/>
      <c r="BM40" s="2630"/>
      <c r="BN40" s="2630"/>
      <c r="BO40" s="2630"/>
      <c r="BP40" s="2630"/>
      <c r="BQ40" s="2630"/>
      <c r="BR40" s="2630"/>
      <c r="BS40" s="2630"/>
      <c r="BT40" s="2630"/>
      <c r="BU40" s="2630"/>
      <c r="BV40" s="2630"/>
      <c r="BW40" s="2630"/>
      <c r="BX40" s="2630"/>
      <c r="BY40" s="2630"/>
      <c r="BZ40" s="2630"/>
      <c r="CA40" s="2630"/>
      <c r="CB40" s="2784" t="str">
        <f t="shared" si="17"/>
        <v xml:space="preserve">* El Número de Pueblos Originarios no puede superar el Total. </v>
      </c>
      <c r="CC40" s="2784" t="str">
        <f t="shared" si="18"/>
        <v xml:space="preserve">* El Número de Migrantes no puede superar el Total. </v>
      </c>
      <c r="CD40" s="2630"/>
      <c r="CE40" s="2630"/>
      <c r="CF40" s="1725">
        <f t="shared" si="19"/>
        <v>1</v>
      </c>
      <c r="CG40" s="1725">
        <f t="shared" si="19"/>
        <v>1</v>
      </c>
    </row>
    <row r="41" spans="1:85" x14ac:dyDescent="0.3">
      <c r="A41" s="6296">
        <v>29000015</v>
      </c>
      <c r="B41" s="6925"/>
      <c r="C41" s="1699" t="s">
        <v>3410</v>
      </c>
      <c r="D41" s="3975" t="s">
        <v>5292</v>
      </c>
      <c r="E41" s="3983" t="s">
        <v>5293</v>
      </c>
      <c r="F41" s="3984" t="s">
        <v>5294</v>
      </c>
      <c r="G41" s="3984" t="s">
        <v>5295</v>
      </c>
      <c r="H41" s="3984" t="s">
        <v>5296</v>
      </c>
      <c r="I41" s="3984" t="s">
        <v>5297</v>
      </c>
      <c r="J41" s="3984" t="s">
        <v>5298</v>
      </c>
      <c r="K41" s="3984" t="s">
        <v>5299</v>
      </c>
      <c r="L41" s="3984" t="s">
        <v>5300</v>
      </c>
      <c r="M41" s="3985" t="s">
        <v>5301</v>
      </c>
      <c r="N41" s="3969" t="s">
        <v>5302</v>
      </c>
      <c r="O41" s="3970" t="s">
        <v>5303</v>
      </c>
      <c r="P41" s="3974" t="s">
        <v>5304</v>
      </c>
      <c r="Q41" s="3969" t="s">
        <v>5305</v>
      </c>
      <c r="R41" s="3970" t="s">
        <v>5306</v>
      </c>
      <c r="S41" s="1687" t="str">
        <f t="shared" si="16"/>
        <v xml:space="preserve">* El Número de Pueblos Originarios no puede superar el Total. * El Número de Migrantes no puede superar el Total. </v>
      </c>
      <c r="AX41" s="2630"/>
      <c r="AY41" s="2630"/>
      <c r="AZ41" s="2630"/>
      <c r="BA41" s="2630"/>
      <c r="BB41" s="2630"/>
      <c r="BC41" s="2630"/>
      <c r="BD41" s="2630"/>
      <c r="BE41" s="2630"/>
      <c r="BF41" s="2630"/>
      <c r="BG41" s="2630"/>
      <c r="BH41" s="2630"/>
      <c r="BI41" s="2630"/>
      <c r="BJ41" s="2630"/>
      <c r="BK41" s="2630"/>
      <c r="BL41" s="2630"/>
      <c r="BM41" s="2630"/>
      <c r="BN41" s="2630"/>
      <c r="BO41" s="2630"/>
      <c r="BP41" s="2630"/>
      <c r="BQ41" s="2630"/>
      <c r="BR41" s="2630"/>
      <c r="BS41" s="2630"/>
      <c r="BT41" s="2630"/>
      <c r="BU41" s="2630"/>
      <c r="BV41" s="2630"/>
      <c r="BW41" s="2630"/>
      <c r="BX41" s="2630"/>
      <c r="BY41" s="2630"/>
      <c r="BZ41" s="2630"/>
      <c r="CA41" s="2630"/>
      <c r="CB41" s="2784" t="str">
        <f t="shared" si="17"/>
        <v xml:space="preserve">* El Número de Pueblos Originarios no puede superar el Total. </v>
      </c>
      <c r="CC41" s="2784" t="str">
        <f t="shared" si="18"/>
        <v xml:space="preserve">* El Número de Migrantes no puede superar el Total. </v>
      </c>
      <c r="CD41" s="2630"/>
      <c r="CE41" s="2630"/>
      <c r="CF41" s="1725">
        <f t="shared" si="19"/>
        <v>1</v>
      </c>
      <c r="CG41" s="1725">
        <f t="shared" si="19"/>
        <v>1</v>
      </c>
    </row>
    <row r="42" spans="1:85" x14ac:dyDescent="0.3">
      <c r="A42" s="6296">
        <v>29000016</v>
      </c>
      <c r="B42" s="6908"/>
      <c r="C42" s="4018" t="s">
        <v>3417</v>
      </c>
      <c r="D42" s="38" t="s">
        <v>5292</v>
      </c>
      <c r="E42" s="4019" t="s">
        <v>5293</v>
      </c>
      <c r="F42" s="4020" t="s">
        <v>5294</v>
      </c>
      <c r="G42" s="4020" t="s">
        <v>5295</v>
      </c>
      <c r="H42" s="4020" t="s">
        <v>5296</v>
      </c>
      <c r="I42" s="4020" t="s">
        <v>5297</v>
      </c>
      <c r="J42" s="4020" t="s">
        <v>5298</v>
      </c>
      <c r="K42" s="4020" t="s">
        <v>5299</v>
      </c>
      <c r="L42" s="4020" t="s">
        <v>5300</v>
      </c>
      <c r="M42" s="4021" t="s">
        <v>5301</v>
      </c>
      <c r="N42" s="4022" t="s">
        <v>5302</v>
      </c>
      <c r="O42" s="4023" t="s">
        <v>5303</v>
      </c>
      <c r="P42" s="4024" t="s">
        <v>5304</v>
      </c>
      <c r="Q42" s="4008" t="s">
        <v>5305</v>
      </c>
      <c r="R42" s="4009" t="s">
        <v>5306</v>
      </c>
      <c r="S42" s="1687" t="str">
        <f t="shared" si="16"/>
        <v xml:space="preserve">* El Número de Pueblos Originarios no puede superar el Total. * El Número de Migrantes no puede superar el Total. </v>
      </c>
      <c r="AX42" s="2630"/>
      <c r="AY42" s="2630"/>
      <c r="AZ42" s="2630"/>
      <c r="BA42" s="2630"/>
      <c r="BB42" s="2630"/>
      <c r="BC42" s="2630"/>
      <c r="BD42" s="2630"/>
      <c r="BE42" s="2630"/>
      <c r="BF42" s="2630"/>
      <c r="BG42" s="2630"/>
      <c r="BH42" s="2630"/>
      <c r="BI42" s="2630"/>
      <c r="BJ42" s="2630"/>
      <c r="BK42" s="2630"/>
      <c r="BL42" s="2630"/>
      <c r="BM42" s="2630"/>
      <c r="BN42" s="2630"/>
      <c r="BO42" s="2630"/>
      <c r="BP42" s="2630"/>
      <c r="BQ42" s="2630"/>
      <c r="BR42" s="2630"/>
      <c r="BS42" s="2630"/>
      <c r="BT42" s="2630"/>
      <c r="BU42" s="2630"/>
      <c r="BV42" s="2630"/>
      <c r="BW42" s="2630"/>
      <c r="BX42" s="2630"/>
      <c r="BY42" s="2630"/>
      <c r="BZ42" s="2630"/>
      <c r="CA42" s="2630"/>
      <c r="CB42" s="2784" t="str">
        <f t="shared" si="17"/>
        <v xml:space="preserve">* El Número de Pueblos Originarios no puede superar el Total. </v>
      </c>
      <c r="CC42" s="2784" t="str">
        <f t="shared" si="18"/>
        <v xml:space="preserve">* El Número de Migrantes no puede superar el Total. </v>
      </c>
      <c r="CD42" s="2630"/>
      <c r="CE42" s="2630"/>
      <c r="CF42" s="1725">
        <f t="shared" si="19"/>
        <v>1</v>
      </c>
      <c r="CG42" s="1725">
        <f t="shared" si="19"/>
        <v>1</v>
      </c>
    </row>
    <row r="43" spans="1:85" x14ac:dyDescent="0.3">
      <c r="A43" s="6296">
        <v>29000017</v>
      </c>
      <c r="B43" s="8330" t="s">
        <v>3418</v>
      </c>
      <c r="C43" s="4025" t="s">
        <v>949</v>
      </c>
      <c r="D43" s="3975" t="s">
        <v>5292</v>
      </c>
      <c r="E43" s="4026" t="s">
        <v>5293</v>
      </c>
      <c r="F43" s="4011" t="s">
        <v>5294</v>
      </c>
      <c r="G43" s="4011" t="s">
        <v>5295</v>
      </c>
      <c r="H43" s="4011" t="s">
        <v>5296</v>
      </c>
      <c r="I43" s="4011" t="s">
        <v>5297</v>
      </c>
      <c r="J43" s="4011" t="s">
        <v>5298</v>
      </c>
      <c r="K43" s="4011" t="s">
        <v>5299</v>
      </c>
      <c r="L43" s="4011" t="s">
        <v>5300</v>
      </c>
      <c r="M43" s="4012" t="s">
        <v>5301</v>
      </c>
      <c r="N43" s="4013" t="s">
        <v>5302</v>
      </c>
      <c r="O43" s="4014" t="s">
        <v>5303</v>
      </c>
      <c r="P43" s="4015" t="s">
        <v>5304</v>
      </c>
      <c r="Q43" s="4016" t="s">
        <v>5305</v>
      </c>
      <c r="R43" s="4017" t="s">
        <v>5306</v>
      </c>
      <c r="S43" s="1687" t="str">
        <f t="shared" si="16"/>
        <v xml:space="preserve">* El Número de Pueblos Originarios no puede superar el Total. * El Número de Migrantes no puede superar el Total. </v>
      </c>
      <c r="AX43" s="2630"/>
      <c r="AY43" s="2630"/>
      <c r="AZ43" s="2630"/>
      <c r="BA43" s="2630"/>
      <c r="BB43" s="2630"/>
      <c r="BC43" s="2630"/>
      <c r="BD43" s="2630"/>
      <c r="BE43" s="2630"/>
      <c r="BF43" s="2630"/>
      <c r="BG43" s="2630"/>
      <c r="BH43" s="2630"/>
      <c r="BI43" s="2630"/>
      <c r="BJ43" s="2630"/>
      <c r="BK43" s="2630"/>
      <c r="BL43" s="2630"/>
      <c r="BM43" s="2630"/>
      <c r="BN43" s="2630"/>
      <c r="BO43" s="2630"/>
      <c r="BP43" s="2630"/>
      <c r="BQ43" s="2630"/>
      <c r="BR43" s="2630"/>
      <c r="BS43" s="2630"/>
      <c r="BT43" s="2630"/>
      <c r="BU43" s="2630"/>
      <c r="BV43" s="2630"/>
      <c r="BW43" s="2630"/>
      <c r="BX43" s="2630"/>
      <c r="BY43" s="2630"/>
      <c r="BZ43" s="2630"/>
      <c r="CA43" s="2630"/>
      <c r="CB43" s="2784" t="str">
        <f t="shared" si="17"/>
        <v xml:space="preserve">* El Número de Pueblos Originarios no puede superar el Total. </v>
      </c>
      <c r="CC43" s="2784" t="str">
        <f t="shared" si="18"/>
        <v xml:space="preserve">* El Número de Migrantes no puede superar el Total. </v>
      </c>
      <c r="CD43" s="2630"/>
      <c r="CE43" s="2630"/>
      <c r="CF43" s="1725">
        <f t="shared" si="19"/>
        <v>1</v>
      </c>
      <c r="CG43" s="1725">
        <f t="shared" si="19"/>
        <v>1</v>
      </c>
    </row>
    <row r="44" spans="1:85" x14ac:dyDescent="0.3">
      <c r="A44" s="6296">
        <v>29000018</v>
      </c>
      <c r="B44" s="6925"/>
      <c r="C44" s="1700" t="s">
        <v>3410</v>
      </c>
      <c r="D44" s="3710" t="s">
        <v>5292</v>
      </c>
      <c r="E44" s="3983" t="s">
        <v>5293</v>
      </c>
      <c r="F44" s="3984" t="s">
        <v>5294</v>
      </c>
      <c r="G44" s="3984" t="s">
        <v>5295</v>
      </c>
      <c r="H44" s="3984" t="s">
        <v>5296</v>
      </c>
      <c r="I44" s="3984" t="s">
        <v>5297</v>
      </c>
      <c r="J44" s="3984" t="s">
        <v>5298</v>
      </c>
      <c r="K44" s="3984" t="s">
        <v>5299</v>
      </c>
      <c r="L44" s="3984" t="s">
        <v>5300</v>
      </c>
      <c r="M44" s="3985" t="s">
        <v>5301</v>
      </c>
      <c r="N44" s="3969" t="s">
        <v>5302</v>
      </c>
      <c r="O44" s="3970" t="s">
        <v>5303</v>
      </c>
      <c r="P44" s="3974" t="s">
        <v>5304</v>
      </c>
      <c r="Q44" s="3969" t="s">
        <v>5305</v>
      </c>
      <c r="R44" s="3970" t="s">
        <v>5306</v>
      </c>
      <c r="S44" s="1687" t="str">
        <f t="shared" si="16"/>
        <v xml:space="preserve">* El Número de Pueblos Originarios no puede superar el Total. * El Número de Migrantes no puede superar el Total. </v>
      </c>
      <c r="AX44" s="2630"/>
      <c r="AY44" s="2630"/>
      <c r="AZ44" s="2630"/>
      <c r="BA44" s="2630"/>
      <c r="BB44" s="2630"/>
      <c r="BC44" s="2630"/>
      <c r="BD44" s="2630"/>
      <c r="BE44" s="2630"/>
      <c r="BF44" s="2630"/>
      <c r="BG44" s="2630"/>
      <c r="BH44" s="2630"/>
      <c r="BI44" s="2630"/>
      <c r="BJ44" s="2630"/>
      <c r="BK44" s="2630"/>
      <c r="BL44" s="2630"/>
      <c r="BM44" s="2630"/>
      <c r="BN44" s="2630"/>
      <c r="BO44" s="2630"/>
      <c r="BP44" s="2630"/>
      <c r="BQ44" s="2630"/>
      <c r="BR44" s="2630"/>
      <c r="BS44" s="2630"/>
      <c r="BT44" s="2630"/>
      <c r="BU44" s="2630"/>
      <c r="BV44" s="2630"/>
      <c r="BW44" s="2630"/>
      <c r="BX44" s="2630"/>
      <c r="BY44" s="2630"/>
      <c r="BZ44" s="2630"/>
      <c r="CA44" s="2630"/>
      <c r="CB44" s="2784" t="str">
        <f t="shared" si="17"/>
        <v xml:space="preserve">* El Número de Pueblos Originarios no puede superar el Total. </v>
      </c>
      <c r="CC44" s="2784" t="str">
        <f t="shared" si="18"/>
        <v xml:space="preserve">* El Número de Migrantes no puede superar el Total. </v>
      </c>
      <c r="CD44" s="2630"/>
      <c r="CE44" s="2630"/>
      <c r="CF44" s="1725">
        <f t="shared" si="19"/>
        <v>1</v>
      </c>
      <c r="CG44" s="1725">
        <f t="shared" si="19"/>
        <v>1</v>
      </c>
    </row>
    <row r="45" spans="1:85" x14ac:dyDescent="0.3">
      <c r="A45" s="6296">
        <v>29000019</v>
      </c>
      <c r="B45" s="6908"/>
      <c r="C45" s="1106" t="s">
        <v>3419</v>
      </c>
      <c r="D45" s="2359" t="s">
        <v>5292</v>
      </c>
      <c r="E45" s="4019" t="s">
        <v>5293</v>
      </c>
      <c r="F45" s="4020" t="s">
        <v>5294</v>
      </c>
      <c r="G45" s="4020" t="s">
        <v>5295</v>
      </c>
      <c r="H45" s="4020" t="s">
        <v>5296</v>
      </c>
      <c r="I45" s="4020" t="s">
        <v>5297</v>
      </c>
      <c r="J45" s="4020" t="s">
        <v>5298</v>
      </c>
      <c r="K45" s="4020" t="s">
        <v>5299</v>
      </c>
      <c r="L45" s="4020" t="s">
        <v>5300</v>
      </c>
      <c r="M45" s="4021" t="s">
        <v>5301</v>
      </c>
      <c r="N45" s="4022" t="s">
        <v>5302</v>
      </c>
      <c r="O45" s="4023" t="s">
        <v>5303</v>
      </c>
      <c r="P45" s="4024" t="s">
        <v>5304</v>
      </c>
      <c r="Q45" s="4008" t="s">
        <v>5305</v>
      </c>
      <c r="R45" s="4009" t="s">
        <v>5306</v>
      </c>
      <c r="S45" s="1687" t="str">
        <f t="shared" si="16"/>
        <v xml:space="preserve">* El Número de Pueblos Originarios no puede superar el Total. * El Número de Migrantes no puede superar el Total. </v>
      </c>
      <c r="AX45" s="2630"/>
      <c r="AY45" s="2630"/>
      <c r="AZ45" s="2630"/>
      <c r="BA45" s="2630"/>
      <c r="BB45" s="2630"/>
      <c r="BC45" s="2630"/>
      <c r="BD45" s="2630"/>
      <c r="BE45" s="2630"/>
      <c r="BF45" s="2630"/>
      <c r="BG45" s="2630"/>
      <c r="BH45" s="2630"/>
      <c r="BI45" s="2630"/>
      <c r="BJ45" s="2630"/>
      <c r="BK45" s="2630"/>
      <c r="BL45" s="2630"/>
      <c r="BM45" s="2630"/>
      <c r="BN45" s="2630"/>
      <c r="BO45" s="2630"/>
      <c r="BP45" s="2630"/>
      <c r="BQ45" s="2630"/>
      <c r="BR45" s="2630"/>
      <c r="BS45" s="2630"/>
      <c r="BT45" s="2630"/>
      <c r="BU45" s="2630"/>
      <c r="BV45" s="2630"/>
      <c r="BW45" s="2630"/>
      <c r="BX45" s="2630"/>
      <c r="BY45" s="2630"/>
      <c r="BZ45" s="2630"/>
      <c r="CA45" s="2630"/>
      <c r="CB45" s="2784" t="str">
        <f t="shared" si="17"/>
        <v xml:space="preserve">* El Número de Pueblos Originarios no puede superar el Total. </v>
      </c>
      <c r="CC45" s="2784" t="str">
        <f t="shared" si="18"/>
        <v xml:space="preserve">* El Número de Migrantes no puede superar el Total. </v>
      </c>
      <c r="CD45" s="2630"/>
      <c r="CE45" s="2630"/>
      <c r="CF45" s="1725">
        <f t="shared" si="19"/>
        <v>1</v>
      </c>
      <c r="CG45" s="1725">
        <f t="shared" si="19"/>
        <v>1</v>
      </c>
    </row>
    <row r="46" spans="1:85" x14ac:dyDescent="0.3">
      <c r="A46" s="6296">
        <v>29101170</v>
      </c>
      <c r="B46" s="8330" t="s">
        <v>3420</v>
      </c>
      <c r="C46" s="4025" t="s">
        <v>949</v>
      </c>
      <c r="D46" s="3936" t="s">
        <v>5292</v>
      </c>
      <c r="E46" s="4026" t="s">
        <v>5293</v>
      </c>
      <c r="F46" s="4011" t="s">
        <v>5294</v>
      </c>
      <c r="G46" s="4011" t="s">
        <v>5295</v>
      </c>
      <c r="H46" s="4011" t="s">
        <v>5296</v>
      </c>
      <c r="I46" s="4011" t="s">
        <v>5297</v>
      </c>
      <c r="J46" s="4011" t="s">
        <v>5298</v>
      </c>
      <c r="K46" s="4011" t="s">
        <v>5299</v>
      </c>
      <c r="L46" s="4011" t="s">
        <v>5300</v>
      </c>
      <c r="M46" s="4012" t="s">
        <v>5301</v>
      </c>
      <c r="N46" s="4013" t="s">
        <v>5302</v>
      </c>
      <c r="O46" s="4014" t="s">
        <v>5303</v>
      </c>
      <c r="P46" s="4015" t="s">
        <v>5304</v>
      </c>
      <c r="Q46" s="4016" t="s">
        <v>5305</v>
      </c>
      <c r="R46" s="4017" t="s">
        <v>5306</v>
      </c>
      <c r="S46" s="1687" t="str">
        <f t="shared" si="16"/>
        <v xml:space="preserve">* El Número de Pueblos Originarios no puede superar el Total. * El Número de Migrantes no puede superar el Total. </v>
      </c>
      <c r="AX46" s="2630"/>
      <c r="AY46" s="2630"/>
      <c r="AZ46" s="2630"/>
      <c r="BA46" s="2630"/>
      <c r="BB46" s="2630"/>
      <c r="BC46" s="2630"/>
      <c r="BD46" s="2630"/>
      <c r="BE46" s="2630"/>
      <c r="BF46" s="2630"/>
      <c r="BG46" s="2630"/>
      <c r="BH46" s="2630"/>
      <c r="BI46" s="2630"/>
      <c r="BJ46" s="2630"/>
      <c r="BK46" s="2630"/>
      <c r="BL46" s="2630"/>
      <c r="BM46" s="2630"/>
      <c r="BN46" s="2630"/>
      <c r="BO46" s="2630"/>
      <c r="BP46" s="2630"/>
      <c r="BQ46" s="2630"/>
      <c r="BR46" s="2630"/>
      <c r="BS46" s="2630"/>
      <c r="BT46" s="2630"/>
      <c r="BU46" s="2630"/>
      <c r="BV46" s="2630"/>
      <c r="BW46" s="2630"/>
      <c r="BX46" s="2630"/>
      <c r="BY46" s="2630"/>
      <c r="BZ46" s="2630"/>
      <c r="CA46" s="2630"/>
      <c r="CB46" s="2784" t="str">
        <f t="shared" si="17"/>
        <v xml:space="preserve">* El Número de Pueblos Originarios no puede superar el Total. </v>
      </c>
      <c r="CC46" s="2784" t="str">
        <f t="shared" si="18"/>
        <v xml:space="preserve">* El Número de Migrantes no puede superar el Total. </v>
      </c>
      <c r="CD46" s="2630"/>
      <c r="CE46" s="2630"/>
      <c r="CF46" s="1725">
        <f t="shared" si="19"/>
        <v>1</v>
      </c>
      <c r="CG46" s="1725">
        <f t="shared" si="19"/>
        <v>1</v>
      </c>
    </row>
    <row r="47" spans="1:85" x14ac:dyDescent="0.3">
      <c r="A47" s="6296">
        <v>29101180</v>
      </c>
      <c r="B47" s="6925"/>
      <c r="C47" s="3982" t="s">
        <v>3410</v>
      </c>
      <c r="D47" s="3710" t="s">
        <v>5292</v>
      </c>
      <c r="E47" s="3983" t="s">
        <v>5293</v>
      </c>
      <c r="F47" s="3984" t="s">
        <v>5294</v>
      </c>
      <c r="G47" s="3984" t="s">
        <v>5295</v>
      </c>
      <c r="H47" s="3984" t="s">
        <v>5296</v>
      </c>
      <c r="I47" s="3984" t="s">
        <v>5297</v>
      </c>
      <c r="J47" s="3984" t="s">
        <v>5298</v>
      </c>
      <c r="K47" s="3984" t="s">
        <v>5299</v>
      </c>
      <c r="L47" s="3984" t="s">
        <v>5300</v>
      </c>
      <c r="M47" s="3985" t="s">
        <v>5301</v>
      </c>
      <c r="N47" s="3969" t="s">
        <v>5302</v>
      </c>
      <c r="O47" s="3970" t="s">
        <v>5303</v>
      </c>
      <c r="P47" s="3974" t="s">
        <v>5304</v>
      </c>
      <c r="Q47" s="3969" t="s">
        <v>5305</v>
      </c>
      <c r="R47" s="3970" t="s">
        <v>5306</v>
      </c>
      <c r="S47" s="1687" t="str">
        <f t="shared" si="16"/>
        <v xml:space="preserve">* El Número de Pueblos Originarios no puede superar el Total. * El Número de Migrantes no puede superar el Total. </v>
      </c>
      <c r="AX47" s="2630"/>
      <c r="AY47" s="2630"/>
      <c r="AZ47" s="2630"/>
      <c r="BA47" s="2630"/>
      <c r="BB47" s="2630"/>
      <c r="BC47" s="2630"/>
      <c r="BD47" s="2630"/>
      <c r="BE47" s="2630"/>
      <c r="BF47" s="2630"/>
      <c r="BG47" s="2630"/>
      <c r="BH47" s="2630"/>
      <c r="BI47" s="2630"/>
      <c r="BJ47" s="2630"/>
      <c r="BK47" s="2630"/>
      <c r="BL47" s="2630"/>
      <c r="BM47" s="2630"/>
      <c r="BN47" s="2630"/>
      <c r="BO47" s="2630"/>
      <c r="BP47" s="2630"/>
      <c r="BQ47" s="2630"/>
      <c r="BR47" s="2630"/>
      <c r="BS47" s="2630"/>
      <c r="BT47" s="2630"/>
      <c r="BU47" s="2630"/>
      <c r="BV47" s="2630"/>
      <c r="BW47" s="2630"/>
      <c r="BX47" s="2630"/>
      <c r="BY47" s="2630"/>
      <c r="BZ47" s="2630"/>
      <c r="CA47" s="2630"/>
      <c r="CB47" s="2784" t="str">
        <f t="shared" si="17"/>
        <v xml:space="preserve">* El Número de Pueblos Originarios no puede superar el Total. </v>
      </c>
      <c r="CC47" s="2784" t="str">
        <f t="shared" si="18"/>
        <v xml:space="preserve">* El Número de Migrantes no puede superar el Total. </v>
      </c>
      <c r="CD47" s="2630"/>
      <c r="CE47" s="2630"/>
      <c r="CF47" s="1725">
        <f t="shared" si="19"/>
        <v>1</v>
      </c>
      <c r="CG47" s="1725">
        <f t="shared" si="19"/>
        <v>1</v>
      </c>
    </row>
    <row r="48" spans="1:85" x14ac:dyDescent="0.3">
      <c r="A48" s="6296">
        <v>29101190</v>
      </c>
      <c r="B48" s="6908"/>
      <c r="C48" s="4018" t="s">
        <v>3421</v>
      </c>
      <c r="D48" s="4027" t="s">
        <v>5292</v>
      </c>
      <c r="E48" s="4028" t="s">
        <v>5293</v>
      </c>
      <c r="F48" s="4003" t="s">
        <v>5294</v>
      </c>
      <c r="G48" s="4003" t="s">
        <v>5295</v>
      </c>
      <c r="H48" s="4003" t="s">
        <v>5296</v>
      </c>
      <c r="I48" s="4003" t="s">
        <v>5297</v>
      </c>
      <c r="J48" s="4003" t="s">
        <v>5298</v>
      </c>
      <c r="K48" s="4003" t="s">
        <v>5299</v>
      </c>
      <c r="L48" s="4003" t="s">
        <v>5300</v>
      </c>
      <c r="M48" s="4004" t="s">
        <v>5301</v>
      </c>
      <c r="N48" s="4005" t="s">
        <v>5302</v>
      </c>
      <c r="O48" s="4006" t="s">
        <v>5303</v>
      </c>
      <c r="P48" s="4007" t="s">
        <v>5304</v>
      </c>
      <c r="Q48" s="4008" t="s">
        <v>5305</v>
      </c>
      <c r="R48" s="4009" t="s">
        <v>5306</v>
      </c>
      <c r="S48" s="1687" t="str">
        <f t="shared" si="16"/>
        <v xml:space="preserve">* El Número de Pueblos Originarios no puede superar el Total. * El Número de Migrantes no puede superar el Total. </v>
      </c>
      <c r="AX48" s="2630"/>
      <c r="AY48" s="2630"/>
      <c r="AZ48" s="2630"/>
      <c r="BA48" s="2630"/>
      <c r="BB48" s="2630"/>
      <c r="BC48" s="2630"/>
      <c r="BD48" s="2630"/>
      <c r="BE48" s="2630"/>
      <c r="BF48" s="2630"/>
      <c r="BG48" s="2630"/>
      <c r="BH48" s="2630"/>
      <c r="BI48" s="2630"/>
      <c r="BJ48" s="2630"/>
      <c r="BK48" s="2630"/>
      <c r="BL48" s="2630"/>
      <c r="BM48" s="2630"/>
      <c r="BN48" s="2630"/>
      <c r="BO48" s="2630"/>
      <c r="BP48" s="2630"/>
      <c r="BQ48" s="2630"/>
      <c r="BR48" s="2630"/>
      <c r="BS48" s="2630"/>
      <c r="BT48" s="2630"/>
      <c r="BU48" s="2630"/>
      <c r="BV48" s="2630"/>
      <c r="BW48" s="2630"/>
      <c r="BX48" s="2630"/>
      <c r="BY48" s="2630"/>
      <c r="BZ48" s="2630"/>
      <c r="CA48" s="2630"/>
      <c r="CB48" s="2784" t="str">
        <f t="shared" si="17"/>
        <v xml:space="preserve">* El Número de Pueblos Originarios no puede superar el Total. </v>
      </c>
      <c r="CC48" s="2784" t="str">
        <f t="shared" si="18"/>
        <v xml:space="preserve">* El Número de Migrantes no puede superar el Total. </v>
      </c>
      <c r="CD48" s="2630"/>
      <c r="CE48" s="2630"/>
      <c r="CF48" s="1725">
        <f t="shared" si="19"/>
        <v>1</v>
      </c>
      <c r="CG48" s="1725">
        <f t="shared" si="19"/>
        <v>1</v>
      </c>
    </row>
    <row r="49" spans="1:85" x14ac:dyDescent="0.3">
      <c r="A49" s="6296">
        <v>29000020</v>
      </c>
      <c r="B49" s="8330" t="s">
        <v>3422</v>
      </c>
      <c r="C49" s="4025" t="s">
        <v>949</v>
      </c>
      <c r="D49" s="3936" t="s">
        <v>5292</v>
      </c>
      <c r="E49" s="4029" t="s">
        <v>5293</v>
      </c>
      <c r="F49" s="4030" t="s">
        <v>5294</v>
      </c>
      <c r="G49" s="4030" t="s">
        <v>5295</v>
      </c>
      <c r="H49" s="4030" t="s">
        <v>5296</v>
      </c>
      <c r="I49" s="4030" t="s">
        <v>5297</v>
      </c>
      <c r="J49" s="4030" t="s">
        <v>5298</v>
      </c>
      <c r="K49" s="4030" t="s">
        <v>5299</v>
      </c>
      <c r="L49" s="4030" t="s">
        <v>5300</v>
      </c>
      <c r="M49" s="4031" t="s">
        <v>5301</v>
      </c>
      <c r="N49" s="4032" t="s">
        <v>5302</v>
      </c>
      <c r="O49" s="4033" t="s">
        <v>5303</v>
      </c>
      <c r="P49" s="4034" t="s">
        <v>5304</v>
      </c>
      <c r="Q49" s="4016" t="s">
        <v>5305</v>
      </c>
      <c r="R49" s="4017" t="s">
        <v>5306</v>
      </c>
      <c r="S49" s="1687" t="str">
        <f t="shared" si="16"/>
        <v xml:space="preserve">* El Número de Pueblos Originarios no puede superar el Total. * El Número de Migrantes no puede superar el Total. </v>
      </c>
      <c r="AX49" s="2630"/>
      <c r="AY49" s="2630"/>
      <c r="AZ49" s="2630"/>
      <c r="BA49" s="2630"/>
      <c r="BB49" s="2630"/>
      <c r="BC49" s="2630"/>
      <c r="BD49" s="2630"/>
      <c r="BE49" s="2630"/>
      <c r="BF49" s="2630"/>
      <c r="BG49" s="2630"/>
      <c r="BH49" s="2630"/>
      <c r="BI49" s="2630"/>
      <c r="BJ49" s="2630"/>
      <c r="BK49" s="2630"/>
      <c r="BL49" s="2630"/>
      <c r="BM49" s="2630"/>
      <c r="BN49" s="2630"/>
      <c r="BO49" s="2630"/>
      <c r="BP49" s="2630"/>
      <c r="BQ49" s="2630"/>
      <c r="BR49" s="2630"/>
      <c r="BS49" s="2630"/>
      <c r="BT49" s="2630"/>
      <c r="BU49" s="2630"/>
      <c r="BV49" s="2630"/>
      <c r="BW49" s="2630"/>
      <c r="BX49" s="2630"/>
      <c r="BY49" s="2630"/>
      <c r="BZ49" s="2630"/>
      <c r="CA49" s="2630"/>
      <c r="CB49" s="2784" t="str">
        <f t="shared" si="17"/>
        <v xml:space="preserve">* El Número de Pueblos Originarios no puede superar el Total. </v>
      </c>
      <c r="CC49" s="2784" t="str">
        <f t="shared" si="18"/>
        <v xml:space="preserve">* El Número de Migrantes no puede superar el Total. </v>
      </c>
      <c r="CD49" s="2630"/>
      <c r="CE49" s="2630"/>
      <c r="CF49" s="1725">
        <f t="shared" si="19"/>
        <v>1</v>
      </c>
      <c r="CG49" s="1725">
        <f t="shared" si="19"/>
        <v>1</v>
      </c>
    </row>
    <row r="50" spans="1:85" x14ac:dyDescent="0.3">
      <c r="A50" s="6296">
        <v>29000021</v>
      </c>
      <c r="B50" s="6925"/>
      <c r="C50" s="1700" t="s">
        <v>3410</v>
      </c>
      <c r="D50" s="3975" t="s">
        <v>5292</v>
      </c>
      <c r="E50" s="4035" t="s">
        <v>5293</v>
      </c>
      <c r="F50" s="4036" t="s">
        <v>5294</v>
      </c>
      <c r="G50" s="4036" t="s">
        <v>5295</v>
      </c>
      <c r="H50" s="4036" t="s">
        <v>5296</v>
      </c>
      <c r="I50" s="4036" t="s">
        <v>5297</v>
      </c>
      <c r="J50" s="4036" t="s">
        <v>5298</v>
      </c>
      <c r="K50" s="4036" t="s">
        <v>5299</v>
      </c>
      <c r="L50" s="4036" t="s">
        <v>5300</v>
      </c>
      <c r="M50" s="4037" t="s">
        <v>5301</v>
      </c>
      <c r="N50" s="4038" t="s">
        <v>5302</v>
      </c>
      <c r="O50" s="4039" t="s">
        <v>5303</v>
      </c>
      <c r="P50" s="4040" t="s">
        <v>5304</v>
      </c>
      <c r="Q50" s="3969" t="s">
        <v>5305</v>
      </c>
      <c r="R50" s="3970" t="s">
        <v>5306</v>
      </c>
      <c r="S50" s="1687" t="str">
        <f t="shared" si="16"/>
        <v xml:space="preserve">* El Número de Pueblos Originarios no puede superar el Total. * El Número de Migrantes no puede superar el Total. </v>
      </c>
      <c r="AX50" s="2630"/>
      <c r="AY50" s="2630"/>
      <c r="AZ50" s="2630"/>
      <c r="BA50" s="2630"/>
      <c r="BB50" s="2630"/>
      <c r="BC50" s="2630"/>
      <c r="BD50" s="2630"/>
      <c r="BE50" s="2630"/>
      <c r="BF50" s="2630"/>
      <c r="BG50" s="2630"/>
      <c r="BH50" s="2630"/>
      <c r="BI50" s="2630"/>
      <c r="BJ50" s="2630"/>
      <c r="BK50" s="2630"/>
      <c r="BL50" s="2630"/>
      <c r="BM50" s="2630"/>
      <c r="BN50" s="2630"/>
      <c r="BO50" s="2630"/>
      <c r="BP50" s="2630"/>
      <c r="BQ50" s="2630"/>
      <c r="BR50" s="2630"/>
      <c r="BS50" s="2630"/>
      <c r="BT50" s="2630"/>
      <c r="BU50" s="2630"/>
      <c r="BV50" s="2630"/>
      <c r="BW50" s="2630"/>
      <c r="BX50" s="2630"/>
      <c r="BY50" s="2630"/>
      <c r="BZ50" s="2630"/>
      <c r="CA50" s="2630"/>
      <c r="CB50" s="2784" t="str">
        <f t="shared" si="17"/>
        <v xml:space="preserve">* El Número de Pueblos Originarios no puede superar el Total. </v>
      </c>
      <c r="CC50" s="2784" t="str">
        <f t="shared" si="18"/>
        <v xml:space="preserve">* El Número de Migrantes no puede superar el Total. </v>
      </c>
      <c r="CD50" s="2630"/>
      <c r="CE50" s="2630"/>
      <c r="CF50" s="1725">
        <f t="shared" si="19"/>
        <v>1</v>
      </c>
      <c r="CG50" s="1725">
        <f t="shared" si="19"/>
        <v>1</v>
      </c>
    </row>
    <row r="51" spans="1:85" x14ac:dyDescent="0.3">
      <c r="A51" s="6296">
        <v>29000022</v>
      </c>
      <c r="B51" s="6925"/>
      <c r="C51" s="3982" t="s">
        <v>3423</v>
      </c>
      <c r="D51" s="3710" t="s">
        <v>5292</v>
      </c>
      <c r="E51" s="3983" t="s">
        <v>5293</v>
      </c>
      <c r="F51" s="3984" t="s">
        <v>5294</v>
      </c>
      <c r="G51" s="3984" t="s">
        <v>5295</v>
      </c>
      <c r="H51" s="3984" t="s">
        <v>5296</v>
      </c>
      <c r="I51" s="3984" t="s">
        <v>5297</v>
      </c>
      <c r="J51" s="3984" t="s">
        <v>5298</v>
      </c>
      <c r="K51" s="3984" t="s">
        <v>5299</v>
      </c>
      <c r="L51" s="3984" t="s">
        <v>5300</v>
      </c>
      <c r="M51" s="3985" t="s">
        <v>5301</v>
      </c>
      <c r="N51" s="3986" t="s">
        <v>5302</v>
      </c>
      <c r="O51" s="3987" t="s">
        <v>5303</v>
      </c>
      <c r="P51" s="3988" t="s">
        <v>5304</v>
      </c>
      <c r="Q51" s="3969" t="s">
        <v>5305</v>
      </c>
      <c r="R51" s="3970" t="s">
        <v>5306</v>
      </c>
      <c r="S51" s="1687" t="str">
        <f t="shared" si="16"/>
        <v xml:space="preserve">* El Número de Pueblos Originarios no puede superar el Total. * El Número de Migrantes no puede superar el Total. </v>
      </c>
      <c r="AX51" s="2630"/>
      <c r="AY51" s="2630"/>
      <c r="AZ51" s="2630"/>
      <c r="BA51" s="2630"/>
      <c r="BB51" s="2630"/>
      <c r="BC51" s="2630"/>
      <c r="BD51" s="2630"/>
      <c r="BE51" s="2630"/>
      <c r="BF51" s="2630"/>
      <c r="BG51" s="2630"/>
      <c r="BH51" s="2630"/>
      <c r="BI51" s="2630"/>
      <c r="BJ51" s="2630"/>
      <c r="BK51" s="2630"/>
      <c r="BL51" s="2630"/>
      <c r="BM51" s="2630"/>
      <c r="BN51" s="2630"/>
      <c r="BO51" s="2630"/>
      <c r="BP51" s="2630"/>
      <c r="BQ51" s="2630"/>
      <c r="BR51" s="2630"/>
      <c r="BS51" s="2630"/>
      <c r="BT51" s="2630"/>
      <c r="BU51" s="2630"/>
      <c r="BV51" s="2630"/>
      <c r="BW51" s="2630"/>
      <c r="BX51" s="2630"/>
      <c r="BY51" s="2630"/>
      <c r="BZ51" s="2630"/>
      <c r="CA51" s="2630"/>
      <c r="CB51" s="2784" t="str">
        <f t="shared" si="17"/>
        <v xml:space="preserve">* El Número de Pueblos Originarios no puede superar el Total. </v>
      </c>
      <c r="CC51" s="2784" t="str">
        <f t="shared" si="18"/>
        <v xml:space="preserve">* El Número de Migrantes no puede superar el Total. </v>
      </c>
      <c r="CD51" s="2630"/>
      <c r="CE51" s="2630"/>
      <c r="CF51" s="1725">
        <f t="shared" si="19"/>
        <v>1</v>
      </c>
      <c r="CG51" s="1725">
        <f t="shared" si="19"/>
        <v>1</v>
      </c>
    </row>
    <row r="52" spans="1:85" x14ac:dyDescent="0.3">
      <c r="A52" s="6296">
        <v>29000023</v>
      </c>
      <c r="B52" s="6925"/>
      <c r="C52" s="4018" t="s">
        <v>3417</v>
      </c>
      <c r="D52" s="3710" t="s">
        <v>5292</v>
      </c>
      <c r="E52" s="3983" t="s">
        <v>5293</v>
      </c>
      <c r="F52" s="3984" t="s">
        <v>5294</v>
      </c>
      <c r="G52" s="3984" t="s">
        <v>5295</v>
      </c>
      <c r="H52" s="3984" t="s">
        <v>5296</v>
      </c>
      <c r="I52" s="3984" t="s">
        <v>5297</v>
      </c>
      <c r="J52" s="3984" t="s">
        <v>5298</v>
      </c>
      <c r="K52" s="3984" t="s">
        <v>5299</v>
      </c>
      <c r="L52" s="3984" t="s">
        <v>5300</v>
      </c>
      <c r="M52" s="3985" t="s">
        <v>5301</v>
      </c>
      <c r="N52" s="3986" t="s">
        <v>5302</v>
      </c>
      <c r="O52" s="3987" t="s">
        <v>5303</v>
      </c>
      <c r="P52" s="3988" t="s">
        <v>5304</v>
      </c>
      <c r="Q52" s="3969" t="s">
        <v>5305</v>
      </c>
      <c r="R52" s="3970" t="s">
        <v>5306</v>
      </c>
      <c r="S52" s="1687" t="str">
        <f t="shared" si="16"/>
        <v xml:space="preserve">* El Número de Pueblos Originarios no puede superar el Total. * El Número de Migrantes no puede superar el Total. </v>
      </c>
      <c r="AX52" s="2630"/>
      <c r="AY52" s="2630"/>
      <c r="AZ52" s="2630"/>
      <c r="BA52" s="2630"/>
      <c r="BB52" s="2630"/>
      <c r="BC52" s="2630"/>
      <c r="BD52" s="2630"/>
      <c r="BE52" s="2630"/>
      <c r="BF52" s="2630"/>
      <c r="BG52" s="2630"/>
      <c r="BH52" s="2630"/>
      <c r="BI52" s="2630"/>
      <c r="BJ52" s="2630"/>
      <c r="BK52" s="2630"/>
      <c r="BL52" s="2630"/>
      <c r="BM52" s="2630"/>
      <c r="BN52" s="2630"/>
      <c r="BO52" s="2630"/>
      <c r="BP52" s="2630"/>
      <c r="BQ52" s="2630"/>
      <c r="BR52" s="2630"/>
      <c r="BS52" s="2630"/>
      <c r="BT52" s="2630"/>
      <c r="BU52" s="2630"/>
      <c r="BV52" s="2630"/>
      <c r="BW52" s="2630"/>
      <c r="BX52" s="2630"/>
      <c r="BY52" s="2630"/>
      <c r="BZ52" s="2630"/>
      <c r="CA52" s="2630"/>
      <c r="CB52" s="2784" t="str">
        <f t="shared" si="17"/>
        <v xml:space="preserve">* El Número de Pueblos Originarios no puede superar el Total. </v>
      </c>
      <c r="CC52" s="2784" t="str">
        <f t="shared" si="18"/>
        <v xml:space="preserve">* El Número de Migrantes no puede superar el Total. </v>
      </c>
      <c r="CD52" s="2630"/>
      <c r="CE52" s="2630"/>
      <c r="CF52" s="1725">
        <f t="shared" si="19"/>
        <v>1</v>
      </c>
      <c r="CG52" s="1725">
        <f t="shared" si="19"/>
        <v>1</v>
      </c>
    </row>
    <row r="53" spans="1:85" x14ac:dyDescent="0.3">
      <c r="A53" s="6296">
        <v>29000024</v>
      </c>
      <c r="B53" s="6925"/>
      <c r="C53" s="1107" t="s">
        <v>3424</v>
      </c>
      <c r="D53" s="3975" t="s">
        <v>5292</v>
      </c>
      <c r="E53" s="3976" t="s">
        <v>5293</v>
      </c>
      <c r="F53" s="3977" t="s">
        <v>5294</v>
      </c>
      <c r="G53" s="3977" t="s">
        <v>5295</v>
      </c>
      <c r="H53" s="3977" t="s">
        <v>5296</v>
      </c>
      <c r="I53" s="3977" t="s">
        <v>5297</v>
      </c>
      <c r="J53" s="3977" t="s">
        <v>5298</v>
      </c>
      <c r="K53" s="3977" t="s">
        <v>5299</v>
      </c>
      <c r="L53" s="3977" t="s">
        <v>5300</v>
      </c>
      <c r="M53" s="3978" t="s">
        <v>5301</v>
      </c>
      <c r="N53" s="3979" t="s">
        <v>5302</v>
      </c>
      <c r="O53" s="3980" t="s">
        <v>5303</v>
      </c>
      <c r="P53" s="3981" t="s">
        <v>5304</v>
      </c>
      <c r="Q53" s="3969" t="s">
        <v>5305</v>
      </c>
      <c r="R53" s="3970" t="s">
        <v>5306</v>
      </c>
      <c r="S53" s="1687" t="str">
        <f t="shared" si="16"/>
        <v xml:space="preserve">* El Número de Pueblos Originarios no puede superar el Total. * El Número de Migrantes no puede superar el Total. </v>
      </c>
      <c r="AX53" s="2630"/>
      <c r="AY53" s="2630"/>
      <c r="AZ53" s="2630"/>
      <c r="BA53" s="2630"/>
      <c r="BB53" s="2630"/>
      <c r="BC53" s="2630"/>
      <c r="BD53" s="2630"/>
      <c r="BE53" s="2630"/>
      <c r="BF53" s="2630"/>
      <c r="BG53" s="2630"/>
      <c r="BH53" s="2630"/>
      <c r="BI53" s="2630"/>
      <c r="BJ53" s="2630"/>
      <c r="BK53" s="2630"/>
      <c r="BL53" s="2630"/>
      <c r="BM53" s="2630"/>
      <c r="BN53" s="2630"/>
      <c r="BO53" s="2630"/>
      <c r="BP53" s="2630"/>
      <c r="BQ53" s="2630"/>
      <c r="BR53" s="2630"/>
      <c r="BS53" s="2630"/>
      <c r="BT53" s="2630"/>
      <c r="BU53" s="2630"/>
      <c r="BV53" s="2630"/>
      <c r="BW53" s="2630"/>
      <c r="BX53" s="2630"/>
      <c r="BY53" s="2630"/>
      <c r="BZ53" s="2630"/>
      <c r="CA53" s="2630"/>
      <c r="CB53" s="2784" t="str">
        <f t="shared" si="17"/>
        <v xml:space="preserve">* El Número de Pueblos Originarios no puede superar el Total. </v>
      </c>
      <c r="CC53" s="2784" t="str">
        <f t="shared" si="18"/>
        <v xml:space="preserve">* El Número de Migrantes no puede superar el Total. </v>
      </c>
      <c r="CD53" s="2630"/>
      <c r="CE53" s="2630"/>
      <c r="CF53" s="1725">
        <f t="shared" si="19"/>
        <v>1</v>
      </c>
      <c r="CG53" s="1725">
        <f t="shared" si="19"/>
        <v>1</v>
      </c>
    </row>
    <row r="54" spans="1:85" x14ac:dyDescent="0.3">
      <c r="A54" s="6296">
        <v>29000025</v>
      </c>
      <c r="B54" s="6908"/>
      <c r="C54" s="38" t="s">
        <v>3425</v>
      </c>
      <c r="D54" s="38" t="s">
        <v>5292</v>
      </c>
      <c r="E54" s="4019" t="s">
        <v>5293</v>
      </c>
      <c r="F54" s="4020" t="s">
        <v>5294</v>
      </c>
      <c r="G54" s="4020" t="s">
        <v>5295</v>
      </c>
      <c r="H54" s="4020" t="s">
        <v>5296</v>
      </c>
      <c r="I54" s="4020" t="s">
        <v>5297</v>
      </c>
      <c r="J54" s="4020" t="s">
        <v>5298</v>
      </c>
      <c r="K54" s="4020" t="s">
        <v>5299</v>
      </c>
      <c r="L54" s="4020" t="s">
        <v>5300</v>
      </c>
      <c r="M54" s="4021" t="s">
        <v>5301</v>
      </c>
      <c r="N54" s="4022" t="s">
        <v>5302</v>
      </c>
      <c r="O54" s="4023" t="s">
        <v>5303</v>
      </c>
      <c r="P54" s="4024" t="s">
        <v>5304</v>
      </c>
      <c r="Q54" s="4008" t="s">
        <v>5305</v>
      </c>
      <c r="R54" s="4009" t="s">
        <v>5306</v>
      </c>
      <c r="S54" s="1687" t="str">
        <f t="shared" si="16"/>
        <v xml:space="preserve">* El Número de Pueblos Originarios no puede superar el Total. * El Número de Migrantes no puede superar el Total. </v>
      </c>
      <c r="AX54" s="2630"/>
      <c r="AY54" s="2630"/>
      <c r="AZ54" s="2630"/>
      <c r="BA54" s="2630"/>
      <c r="BB54" s="2630"/>
      <c r="BC54" s="2630"/>
      <c r="BD54" s="2630"/>
      <c r="BE54" s="2630"/>
      <c r="BF54" s="2630"/>
      <c r="BG54" s="2630"/>
      <c r="BH54" s="2630"/>
      <c r="BI54" s="2630"/>
      <c r="BJ54" s="2630"/>
      <c r="BK54" s="2630"/>
      <c r="BL54" s="2630"/>
      <c r="BM54" s="2630"/>
      <c r="BN54" s="2630"/>
      <c r="BO54" s="2630"/>
      <c r="BP54" s="2630"/>
      <c r="BQ54" s="2630"/>
      <c r="BR54" s="2630"/>
      <c r="BS54" s="2630"/>
      <c r="BT54" s="2630"/>
      <c r="BU54" s="2630"/>
      <c r="BV54" s="2630"/>
      <c r="BW54" s="2630"/>
      <c r="BX54" s="2630"/>
      <c r="BY54" s="2630"/>
      <c r="BZ54" s="2630"/>
      <c r="CA54" s="2630"/>
      <c r="CB54" s="2784" t="str">
        <f t="shared" si="17"/>
        <v xml:space="preserve">* El Número de Pueblos Originarios no puede superar el Total. </v>
      </c>
      <c r="CC54" s="2784" t="str">
        <f t="shared" si="18"/>
        <v xml:space="preserve">* El Número de Migrantes no puede superar el Total. </v>
      </c>
      <c r="CD54" s="2630"/>
      <c r="CE54" s="2630"/>
      <c r="CF54" s="1725">
        <f t="shared" si="19"/>
        <v>1</v>
      </c>
      <c r="CG54" s="1725">
        <f t="shared" si="19"/>
        <v>1</v>
      </c>
    </row>
    <row r="55" spans="1:85" x14ac:dyDescent="0.3">
      <c r="A55" s="6296">
        <v>29000026</v>
      </c>
      <c r="B55" s="8328" t="s">
        <v>3426</v>
      </c>
      <c r="C55" s="4041" t="s">
        <v>949</v>
      </c>
      <c r="D55" s="4042" t="s">
        <v>5292</v>
      </c>
      <c r="E55" s="4026" t="s">
        <v>5293</v>
      </c>
      <c r="F55" s="4011" t="s">
        <v>5294</v>
      </c>
      <c r="G55" s="4011" t="s">
        <v>5295</v>
      </c>
      <c r="H55" s="4011" t="s">
        <v>5296</v>
      </c>
      <c r="I55" s="4011" t="s">
        <v>5297</v>
      </c>
      <c r="J55" s="4011" t="s">
        <v>5298</v>
      </c>
      <c r="K55" s="4011" t="s">
        <v>5299</v>
      </c>
      <c r="L55" s="4011" t="s">
        <v>5300</v>
      </c>
      <c r="M55" s="4043" t="s">
        <v>5301</v>
      </c>
      <c r="N55" s="4044" t="s">
        <v>5302</v>
      </c>
      <c r="O55" s="4045" t="s">
        <v>5303</v>
      </c>
      <c r="P55" s="4046" t="s">
        <v>5304</v>
      </c>
      <c r="Q55" s="4016" t="s">
        <v>5305</v>
      </c>
      <c r="R55" s="4017" t="s">
        <v>5306</v>
      </c>
      <c r="S55" s="1687" t="str">
        <f t="shared" si="16"/>
        <v xml:space="preserve">* El Número de Pueblos Originarios no puede superar el Total. * El Número de Migrantes no puede superar el Total. </v>
      </c>
      <c r="AX55" s="2630"/>
      <c r="AY55" s="2630"/>
      <c r="AZ55" s="2630"/>
      <c r="BA55" s="2630"/>
      <c r="BB55" s="2630"/>
      <c r="BC55" s="2630"/>
      <c r="BD55" s="2630"/>
      <c r="BE55" s="2630"/>
      <c r="BF55" s="2630"/>
      <c r="BG55" s="2630"/>
      <c r="BH55" s="2630"/>
      <c r="BI55" s="2630"/>
      <c r="BJ55" s="2630"/>
      <c r="BK55" s="2630"/>
      <c r="BL55" s="2630"/>
      <c r="BM55" s="2630"/>
      <c r="BN55" s="2630"/>
      <c r="BO55" s="2630"/>
      <c r="BP55" s="2630"/>
      <c r="BQ55" s="2630"/>
      <c r="BR55" s="2630"/>
      <c r="BS55" s="2630"/>
      <c r="BT55" s="2630"/>
      <c r="BU55" s="2630"/>
      <c r="BV55" s="2630"/>
      <c r="BW55" s="2630"/>
      <c r="BX55" s="2630"/>
      <c r="BY55" s="2630"/>
      <c r="BZ55" s="2630"/>
      <c r="CA55" s="2630"/>
      <c r="CB55" s="2784" t="str">
        <f t="shared" si="17"/>
        <v xml:space="preserve">* El Número de Pueblos Originarios no puede superar el Total. </v>
      </c>
      <c r="CC55" s="2784" t="str">
        <f t="shared" si="18"/>
        <v xml:space="preserve">* El Número de Migrantes no puede superar el Total. </v>
      </c>
      <c r="CD55" s="2630"/>
      <c r="CE55" s="2630"/>
      <c r="CF55" s="1725">
        <f t="shared" si="19"/>
        <v>1</v>
      </c>
      <c r="CG55" s="1725">
        <f t="shared" si="19"/>
        <v>1</v>
      </c>
    </row>
    <row r="56" spans="1:85" x14ac:dyDescent="0.3">
      <c r="A56" s="6296">
        <v>29000027</v>
      </c>
      <c r="B56" s="6925"/>
      <c r="C56" s="1700" t="s">
        <v>3427</v>
      </c>
      <c r="D56" s="3710" t="s">
        <v>5292</v>
      </c>
      <c r="E56" s="3983" t="s">
        <v>5293</v>
      </c>
      <c r="F56" s="3984" t="s">
        <v>5294</v>
      </c>
      <c r="G56" s="3984" t="s">
        <v>5295</v>
      </c>
      <c r="H56" s="3984" t="s">
        <v>5296</v>
      </c>
      <c r="I56" s="3984" t="s">
        <v>5297</v>
      </c>
      <c r="J56" s="3984" t="s">
        <v>5298</v>
      </c>
      <c r="K56" s="3984" t="s">
        <v>5299</v>
      </c>
      <c r="L56" s="3984" t="s">
        <v>5300</v>
      </c>
      <c r="M56" s="3985" t="s">
        <v>5301</v>
      </c>
      <c r="N56" s="3969" t="s">
        <v>5302</v>
      </c>
      <c r="O56" s="3970" t="s">
        <v>5303</v>
      </c>
      <c r="P56" s="3974" t="s">
        <v>5304</v>
      </c>
      <c r="Q56" s="3969" t="s">
        <v>5305</v>
      </c>
      <c r="R56" s="3970" t="s">
        <v>5306</v>
      </c>
      <c r="S56" s="1687" t="str">
        <f t="shared" si="16"/>
        <v xml:space="preserve">* El Número de Pueblos Originarios no puede superar el Total. * El Número de Migrantes no puede superar el Total. </v>
      </c>
      <c r="AX56" s="2630"/>
      <c r="AY56" s="2630"/>
      <c r="AZ56" s="2630"/>
      <c r="BA56" s="2630"/>
      <c r="BB56" s="2630"/>
      <c r="BC56" s="2630"/>
      <c r="BD56" s="2630"/>
      <c r="BE56" s="2630"/>
      <c r="BF56" s="2630"/>
      <c r="BG56" s="2630"/>
      <c r="BH56" s="2630"/>
      <c r="BI56" s="2630"/>
      <c r="BJ56" s="2630"/>
      <c r="BK56" s="2630"/>
      <c r="BL56" s="2630"/>
      <c r="BM56" s="2630"/>
      <c r="BN56" s="2630"/>
      <c r="BO56" s="2630"/>
      <c r="BP56" s="2630"/>
      <c r="BQ56" s="2630"/>
      <c r="BR56" s="2630"/>
      <c r="BS56" s="2630"/>
      <c r="BT56" s="2630"/>
      <c r="BU56" s="2630"/>
      <c r="BV56" s="2630"/>
      <c r="BW56" s="2630"/>
      <c r="BX56" s="2630"/>
      <c r="BY56" s="2630"/>
      <c r="BZ56" s="2630"/>
      <c r="CA56" s="2630"/>
      <c r="CB56" s="2784" t="str">
        <f t="shared" si="17"/>
        <v xml:space="preserve">* El Número de Pueblos Originarios no puede superar el Total. </v>
      </c>
      <c r="CC56" s="2784" t="str">
        <f t="shared" si="18"/>
        <v xml:space="preserve">* El Número de Migrantes no puede superar el Total. </v>
      </c>
      <c r="CD56" s="2630"/>
      <c r="CE56" s="2630"/>
      <c r="CF56" s="1725">
        <f t="shared" si="19"/>
        <v>1</v>
      </c>
      <c r="CG56" s="1725">
        <f t="shared" si="19"/>
        <v>1</v>
      </c>
    </row>
    <row r="57" spans="1:85" ht="15" customHeight="1" x14ac:dyDescent="0.3">
      <c r="A57" s="6296">
        <v>29000028</v>
      </c>
      <c r="B57" s="6925"/>
      <c r="C57" s="3706" t="s">
        <v>3428</v>
      </c>
      <c r="D57" s="3710" t="s">
        <v>5292</v>
      </c>
      <c r="E57" s="3976" t="s">
        <v>5293</v>
      </c>
      <c r="F57" s="3977" t="s">
        <v>5294</v>
      </c>
      <c r="G57" s="3977" t="s">
        <v>5295</v>
      </c>
      <c r="H57" s="3977" t="s">
        <v>5296</v>
      </c>
      <c r="I57" s="3977" t="s">
        <v>5297</v>
      </c>
      <c r="J57" s="3977" t="s">
        <v>5298</v>
      </c>
      <c r="K57" s="3977" t="s">
        <v>5299</v>
      </c>
      <c r="L57" s="3977" t="s">
        <v>5300</v>
      </c>
      <c r="M57" s="3978" t="s">
        <v>5301</v>
      </c>
      <c r="N57" s="3979" t="s">
        <v>5302</v>
      </c>
      <c r="O57" s="3980" t="s">
        <v>5303</v>
      </c>
      <c r="P57" s="3981" t="s">
        <v>5304</v>
      </c>
      <c r="Q57" s="3969" t="s">
        <v>5305</v>
      </c>
      <c r="R57" s="3970" t="s">
        <v>5306</v>
      </c>
      <c r="S57" s="1687" t="str">
        <f t="shared" si="16"/>
        <v xml:space="preserve">* El Número de Pueblos Originarios no puede superar el Total. * El Número de Migrantes no puede superar el Total. </v>
      </c>
      <c r="AX57" s="2630"/>
      <c r="AY57" s="2630"/>
      <c r="AZ57" s="2630"/>
      <c r="BA57" s="2630"/>
      <c r="BB57" s="2630"/>
      <c r="BC57" s="2630"/>
      <c r="BD57" s="2630"/>
      <c r="BE57" s="2630"/>
      <c r="BF57" s="2630"/>
      <c r="BG57" s="2630"/>
      <c r="BH57" s="2630"/>
      <c r="BI57" s="2630"/>
      <c r="BJ57" s="2630"/>
      <c r="BK57" s="2630"/>
      <c r="BL57" s="2630"/>
      <c r="BM57" s="2630"/>
      <c r="BN57" s="2630"/>
      <c r="BO57" s="2630"/>
      <c r="BP57" s="2630"/>
      <c r="BQ57" s="2630"/>
      <c r="BR57" s="2630"/>
      <c r="BS57" s="2630"/>
      <c r="BT57" s="2630"/>
      <c r="BU57" s="2630"/>
      <c r="BV57" s="2630"/>
      <c r="BW57" s="2630"/>
      <c r="BX57" s="2630"/>
      <c r="BY57" s="2630"/>
      <c r="BZ57" s="2630"/>
      <c r="CA57" s="2630"/>
      <c r="CB57" s="2784" t="str">
        <f t="shared" si="17"/>
        <v xml:space="preserve">* El Número de Pueblos Originarios no puede superar el Total. </v>
      </c>
      <c r="CC57" s="2784" t="str">
        <f t="shared" si="18"/>
        <v xml:space="preserve">* El Número de Migrantes no puede superar el Total. </v>
      </c>
      <c r="CD57" s="2630"/>
      <c r="CE57" s="2630"/>
      <c r="CF57" s="1725">
        <f t="shared" si="19"/>
        <v>1</v>
      </c>
      <c r="CG57" s="1725">
        <f t="shared" si="19"/>
        <v>1</v>
      </c>
    </row>
    <row r="58" spans="1:85" ht="21.6" x14ac:dyDescent="0.3">
      <c r="A58" s="6296">
        <v>29000029</v>
      </c>
      <c r="B58" s="6908"/>
      <c r="C58" s="4047" t="s">
        <v>3429</v>
      </c>
      <c r="D58" s="2359" t="s">
        <v>5292</v>
      </c>
      <c r="E58" s="4028" t="s">
        <v>5293</v>
      </c>
      <c r="F58" s="4003" t="s">
        <v>5294</v>
      </c>
      <c r="G58" s="4003" t="s">
        <v>5295</v>
      </c>
      <c r="H58" s="4003" t="s">
        <v>5296</v>
      </c>
      <c r="I58" s="4003" t="s">
        <v>5297</v>
      </c>
      <c r="J58" s="4003" t="s">
        <v>5298</v>
      </c>
      <c r="K58" s="4003" t="s">
        <v>5299</v>
      </c>
      <c r="L58" s="4003" t="s">
        <v>5300</v>
      </c>
      <c r="M58" s="4004" t="s">
        <v>5301</v>
      </c>
      <c r="N58" s="4005" t="s">
        <v>5302</v>
      </c>
      <c r="O58" s="4006" t="s">
        <v>5303</v>
      </c>
      <c r="P58" s="4007" t="s">
        <v>5304</v>
      </c>
      <c r="Q58" s="4008" t="s">
        <v>5305</v>
      </c>
      <c r="R58" s="4009" t="s">
        <v>5306</v>
      </c>
      <c r="S58" s="1687" t="str">
        <f t="shared" si="16"/>
        <v xml:space="preserve">* El Número de Pueblos Originarios no puede superar el Total. * El Número de Migrantes no puede superar el Total. </v>
      </c>
      <c r="AX58" s="2630"/>
      <c r="AY58" s="2630"/>
      <c r="AZ58" s="2630"/>
      <c r="BA58" s="2630"/>
      <c r="BB58" s="2630"/>
      <c r="BC58" s="2630"/>
      <c r="BD58" s="2630"/>
      <c r="BE58" s="2630"/>
      <c r="BF58" s="2630"/>
      <c r="BG58" s="2630"/>
      <c r="BH58" s="2630"/>
      <c r="BI58" s="2630"/>
      <c r="BJ58" s="2630"/>
      <c r="BK58" s="2630"/>
      <c r="BL58" s="2630"/>
      <c r="BM58" s="2630"/>
      <c r="BN58" s="2630"/>
      <c r="BO58" s="2630"/>
      <c r="BP58" s="2630"/>
      <c r="BQ58" s="2630"/>
      <c r="BR58" s="2630"/>
      <c r="BS58" s="2630"/>
      <c r="BT58" s="2630"/>
      <c r="BU58" s="2630"/>
      <c r="BV58" s="2630"/>
      <c r="BW58" s="2630"/>
      <c r="BX58" s="2630"/>
      <c r="BY58" s="2630"/>
      <c r="BZ58" s="2630"/>
      <c r="CA58" s="2630"/>
      <c r="CB58" s="2784" t="str">
        <f t="shared" si="17"/>
        <v xml:space="preserve">* El Número de Pueblos Originarios no puede superar el Total. </v>
      </c>
      <c r="CC58" s="2784" t="str">
        <f t="shared" si="18"/>
        <v xml:space="preserve">* El Número de Migrantes no puede superar el Total. </v>
      </c>
      <c r="CD58" s="2630"/>
      <c r="CE58" s="2630"/>
      <c r="CF58" s="1725">
        <f t="shared" si="19"/>
        <v>1</v>
      </c>
      <c r="CG58" s="1725">
        <f t="shared" si="19"/>
        <v>1</v>
      </c>
    </row>
    <row r="59" spans="1:85" x14ac:dyDescent="0.3">
      <c r="A59" s="6296">
        <v>29000049</v>
      </c>
      <c r="B59" s="8328" t="s">
        <v>3430</v>
      </c>
      <c r="C59" s="4048" t="s">
        <v>949</v>
      </c>
      <c r="D59" s="4049" t="s">
        <v>5292</v>
      </c>
      <c r="E59" s="4050" t="s">
        <v>5293</v>
      </c>
      <c r="F59" s="4051" t="s">
        <v>5294</v>
      </c>
      <c r="G59" s="4051" t="s">
        <v>5295</v>
      </c>
      <c r="H59" s="4051" t="s">
        <v>5296</v>
      </c>
      <c r="I59" s="4051" t="s">
        <v>5297</v>
      </c>
      <c r="J59" s="4051" t="s">
        <v>5298</v>
      </c>
      <c r="K59" s="4051" t="s">
        <v>5299</v>
      </c>
      <c r="L59" s="4051" t="s">
        <v>5300</v>
      </c>
      <c r="M59" s="4052" t="s">
        <v>5301</v>
      </c>
      <c r="N59" s="4053" t="s">
        <v>5302</v>
      </c>
      <c r="O59" s="4054" t="s">
        <v>5303</v>
      </c>
      <c r="P59" s="4055" t="s">
        <v>5304</v>
      </c>
      <c r="Q59" s="4016" t="s">
        <v>5305</v>
      </c>
      <c r="R59" s="4017" t="s">
        <v>5306</v>
      </c>
      <c r="S59" s="1687" t="str">
        <f t="shared" si="16"/>
        <v xml:space="preserve">* El Número de Pueblos Originarios no puede superar el Total. * El Número de Migrantes no puede superar el Total. </v>
      </c>
      <c r="AX59" s="2630"/>
      <c r="AY59" s="2630"/>
      <c r="AZ59" s="2630"/>
      <c r="BA59" s="2630"/>
      <c r="BB59" s="2630"/>
      <c r="BC59" s="2630"/>
      <c r="BD59" s="2630"/>
      <c r="BE59" s="2630"/>
      <c r="BF59" s="2630"/>
      <c r="BG59" s="2630"/>
      <c r="BH59" s="2630"/>
      <c r="BI59" s="2630"/>
      <c r="BJ59" s="2630"/>
      <c r="BK59" s="2630"/>
      <c r="BL59" s="2630"/>
      <c r="BM59" s="2630"/>
      <c r="BN59" s="2630"/>
      <c r="BO59" s="2630"/>
      <c r="BP59" s="2630"/>
      <c r="BQ59" s="2630"/>
      <c r="BR59" s="2630"/>
      <c r="BS59" s="2630"/>
      <c r="BT59" s="2630"/>
      <c r="BU59" s="2630"/>
      <c r="BV59" s="2630"/>
      <c r="BW59" s="2630"/>
      <c r="BX59" s="2630"/>
      <c r="BY59" s="2630"/>
      <c r="BZ59" s="2630"/>
      <c r="CA59" s="2630"/>
      <c r="CB59" s="2784" t="str">
        <f t="shared" si="17"/>
        <v xml:space="preserve">* El Número de Pueblos Originarios no puede superar el Total. </v>
      </c>
      <c r="CC59" s="2784" t="str">
        <f t="shared" si="18"/>
        <v xml:space="preserve">* El Número de Migrantes no puede superar el Total. </v>
      </c>
      <c r="CD59" s="2630"/>
      <c r="CE59" s="2630"/>
      <c r="CF59" s="1725">
        <f t="shared" si="19"/>
        <v>1</v>
      </c>
      <c r="CG59" s="1725">
        <f t="shared" si="19"/>
        <v>1</v>
      </c>
    </row>
    <row r="60" spans="1:85" x14ac:dyDescent="0.3">
      <c r="A60" s="6296">
        <v>29000050</v>
      </c>
      <c r="B60" s="6925"/>
      <c r="C60" s="1699" t="s">
        <v>3427</v>
      </c>
      <c r="D60" s="4056" t="s">
        <v>5292</v>
      </c>
      <c r="E60" s="4057" t="s">
        <v>5293</v>
      </c>
      <c r="F60" s="4058" t="s">
        <v>5294</v>
      </c>
      <c r="G60" s="4058" t="s">
        <v>5295</v>
      </c>
      <c r="H60" s="4058" t="s">
        <v>5296</v>
      </c>
      <c r="I60" s="4058" t="s">
        <v>5297</v>
      </c>
      <c r="J60" s="4058" t="s">
        <v>5298</v>
      </c>
      <c r="K60" s="4058" t="s">
        <v>5299</v>
      </c>
      <c r="L60" s="4058" t="s">
        <v>5300</v>
      </c>
      <c r="M60" s="4059" t="s">
        <v>5301</v>
      </c>
      <c r="N60" s="4060" t="s">
        <v>5302</v>
      </c>
      <c r="O60" s="4061" t="s">
        <v>5303</v>
      </c>
      <c r="P60" s="4062" t="s">
        <v>5304</v>
      </c>
      <c r="Q60" s="3969" t="s">
        <v>5305</v>
      </c>
      <c r="R60" s="3970" t="s">
        <v>5306</v>
      </c>
      <c r="S60" s="1687" t="str">
        <f t="shared" si="16"/>
        <v/>
      </c>
      <c r="AX60" s="2630"/>
      <c r="AY60" s="2630"/>
      <c r="AZ60" s="2630"/>
      <c r="BA60" s="2630"/>
      <c r="BB60" s="2630"/>
      <c r="BC60" s="2630"/>
      <c r="BD60" s="2630"/>
      <c r="BE60" s="2630"/>
      <c r="BF60" s="2630"/>
      <c r="BG60" s="2630"/>
      <c r="BH60" s="2630"/>
      <c r="BI60" s="2630"/>
      <c r="BJ60" s="2630"/>
      <c r="BK60" s="2630"/>
      <c r="BL60" s="2630"/>
      <c r="BM60" s="2630"/>
      <c r="BN60" s="2630"/>
      <c r="BO60" s="2630"/>
      <c r="BP60" s="2630"/>
      <c r="BQ60" s="2630"/>
      <c r="BR60" s="2630"/>
      <c r="BS60" s="2630"/>
      <c r="BT60" s="2630"/>
      <c r="BU60" s="2630"/>
      <c r="BV60" s="2630"/>
      <c r="BW60" s="2630"/>
      <c r="BX60" s="2630"/>
      <c r="BY60" s="2630"/>
      <c r="BZ60" s="2630"/>
      <c r="CA60" s="2630"/>
      <c r="CB60" s="2630"/>
      <c r="CC60" s="2630"/>
      <c r="CD60" s="2630"/>
      <c r="CE60" s="2630"/>
    </row>
    <row r="61" spans="1:85" x14ac:dyDescent="0.3">
      <c r="A61" s="6296">
        <v>29000051</v>
      </c>
      <c r="B61" s="6925"/>
      <c r="C61" s="3706" t="s">
        <v>3431</v>
      </c>
      <c r="D61" s="4063" t="s">
        <v>5292</v>
      </c>
      <c r="E61" s="3976" t="s">
        <v>5293</v>
      </c>
      <c r="F61" s="3977" t="s">
        <v>5294</v>
      </c>
      <c r="G61" s="3977" t="s">
        <v>5295</v>
      </c>
      <c r="H61" s="3977" t="s">
        <v>5296</v>
      </c>
      <c r="I61" s="3977" t="s">
        <v>5297</v>
      </c>
      <c r="J61" s="3977" t="s">
        <v>5298</v>
      </c>
      <c r="K61" s="3977" t="s">
        <v>5299</v>
      </c>
      <c r="L61" s="3977" t="s">
        <v>5300</v>
      </c>
      <c r="M61" s="3978" t="s">
        <v>5301</v>
      </c>
      <c r="N61" s="3979" t="s">
        <v>5302</v>
      </c>
      <c r="O61" s="3980" t="s">
        <v>5303</v>
      </c>
      <c r="P61" s="3981" t="s">
        <v>5304</v>
      </c>
      <c r="Q61" s="3969" t="s">
        <v>5305</v>
      </c>
      <c r="R61" s="3970" t="s">
        <v>5306</v>
      </c>
      <c r="S61" s="1687" t="str">
        <f t="shared" si="16"/>
        <v xml:space="preserve">* El Número de Pueblos Originarios no puede superar el Total. * El Número de Migrantes no puede superar el Total. </v>
      </c>
      <c r="AX61" s="2630"/>
      <c r="AY61" s="2630"/>
      <c r="AZ61" s="2630"/>
      <c r="BA61" s="2630"/>
      <c r="BB61" s="2630"/>
      <c r="BC61" s="2630"/>
      <c r="BD61" s="2630"/>
      <c r="BE61" s="2630"/>
      <c r="BF61" s="2630"/>
      <c r="BG61" s="2630"/>
      <c r="BH61" s="2630"/>
      <c r="BI61" s="2630"/>
      <c r="BJ61" s="2630"/>
      <c r="BK61" s="2630"/>
      <c r="BL61" s="2630"/>
      <c r="BM61" s="2630"/>
      <c r="BN61" s="2630"/>
      <c r="BO61" s="2630"/>
      <c r="BP61" s="2630"/>
      <c r="BQ61" s="2630"/>
      <c r="BR61" s="2630"/>
      <c r="BS61" s="2630"/>
      <c r="BT61" s="2630"/>
      <c r="BU61" s="2630"/>
      <c r="BV61" s="2630"/>
      <c r="BW61" s="2630"/>
      <c r="BX61" s="2630"/>
      <c r="BY61" s="2630"/>
      <c r="BZ61" s="2630"/>
      <c r="CA61" s="2630"/>
      <c r="CB61" s="2784" t="str">
        <f t="shared" si="17"/>
        <v xml:space="preserve">* El Número de Pueblos Originarios no puede superar el Total. </v>
      </c>
      <c r="CC61" s="2784" t="str">
        <f t="shared" si="18"/>
        <v xml:space="preserve">* El Número de Migrantes no puede superar el Total. </v>
      </c>
      <c r="CD61" s="2630"/>
      <c r="CE61" s="2630"/>
      <c r="CF61" s="1725">
        <f t="shared" si="19"/>
        <v>1</v>
      </c>
      <c r="CG61" s="1725">
        <f t="shared" si="19"/>
        <v>1</v>
      </c>
    </row>
    <row r="62" spans="1:85" x14ac:dyDescent="0.3">
      <c r="A62" s="6296">
        <v>29000052</v>
      </c>
      <c r="B62" s="6908"/>
      <c r="C62" s="4064" t="s">
        <v>3432</v>
      </c>
      <c r="D62" s="1703" t="s">
        <v>5292</v>
      </c>
      <c r="E62" s="4019" t="s">
        <v>5293</v>
      </c>
      <c r="F62" s="4020" t="s">
        <v>5294</v>
      </c>
      <c r="G62" s="4020" t="s">
        <v>5295</v>
      </c>
      <c r="H62" s="4020" t="s">
        <v>5296</v>
      </c>
      <c r="I62" s="4020" t="s">
        <v>5297</v>
      </c>
      <c r="J62" s="4020" t="s">
        <v>5298</v>
      </c>
      <c r="K62" s="4020" t="s">
        <v>5299</v>
      </c>
      <c r="L62" s="4020" t="s">
        <v>5300</v>
      </c>
      <c r="M62" s="4021" t="s">
        <v>5301</v>
      </c>
      <c r="N62" s="4022" t="s">
        <v>5302</v>
      </c>
      <c r="O62" s="4023" t="s">
        <v>5303</v>
      </c>
      <c r="P62" s="4024" t="s">
        <v>5304</v>
      </c>
      <c r="Q62" s="4008" t="s">
        <v>5305</v>
      </c>
      <c r="R62" s="4009" t="s">
        <v>5306</v>
      </c>
      <c r="S62" s="1687" t="str">
        <f t="shared" si="16"/>
        <v xml:space="preserve">* El Número de Pueblos Originarios no puede superar el Total. * El Número de Migrantes no puede superar el Total. </v>
      </c>
      <c r="AX62" s="2630"/>
      <c r="AY62" s="2630"/>
      <c r="AZ62" s="2630"/>
      <c r="BA62" s="2630"/>
      <c r="BB62" s="2630"/>
      <c r="BC62" s="2630"/>
      <c r="BD62" s="2630"/>
      <c r="BE62" s="2630"/>
      <c r="BF62" s="2630"/>
      <c r="BG62" s="2630"/>
      <c r="BH62" s="2630"/>
      <c r="BI62" s="2630"/>
      <c r="BJ62" s="2630"/>
      <c r="BK62" s="2630"/>
      <c r="BL62" s="2630"/>
      <c r="BM62" s="2630"/>
      <c r="BN62" s="2630"/>
      <c r="BO62" s="2630"/>
      <c r="BP62" s="2630"/>
      <c r="BQ62" s="2630"/>
      <c r="BR62" s="2630"/>
      <c r="BS62" s="2630"/>
      <c r="BT62" s="2630"/>
      <c r="BU62" s="2630"/>
      <c r="BV62" s="2630"/>
      <c r="BW62" s="2630"/>
      <c r="BX62" s="2630"/>
      <c r="BY62" s="2630"/>
      <c r="BZ62" s="2630"/>
      <c r="CA62" s="2630"/>
      <c r="CB62" s="2784" t="str">
        <f t="shared" si="17"/>
        <v xml:space="preserve">* El Número de Pueblos Originarios no puede superar el Total. </v>
      </c>
      <c r="CC62" s="2784" t="str">
        <f t="shared" si="18"/>
        <v xml:space="preserve">* El Número de Migrantes no puede superar el Total. </v>
      </c>
      <c r="CD62" s="2630"/>
      <c r="CE62" s="2630"/>
      <c r="CF62" s="1725">
        <f t="shared" si="19"/>
        <v>1</v>
      </c>
      <c r="CG62" s="1725">
        <f t="shared" si="19"/>
        <v>1</v>
      </c>
    </row>
    <row r="63" spans="1:85" x14ac:dyDescent="0.3">
      <c r="A63" s="6296">
        <v>29000030</v>
      </c>
      <c r="B63" s="8328" t="s">
        <v>3433</v>
      </c>
      <c r="C63" s="4041" t="s">
        <v>949</v>
      </c>
      <c r="D63" s="3983" t="s">
        <v>5292</v>
      </c>
      <c r="E63" s="4065" t="s">
        <v>5293</v>
      </c>
      <c r="F63" s="4066" t="s">
        <v>5294</v>
      </c>
      <c r="G63" s="4066" t="s">
        <v>5295</v>
      </c>
      <c r="H63" s="4066" t="s">
        <v>5296</v>
      </c>
      <c r="I63" s="4066" t="s">
        <v>5297</v>
      </c>
      <c r="J63" s="4066" t="s">
        <v>5298</v>
      </c>
      <c r="K63" s="4066" t="s">
        <v>5299</v>
      </c>
      <c r="L63" s="4066" t="s">
        <v>5300</v>
      </c>
      <c r="M63" s="4067" t="s">
        <v>5301</v>
      </c>
      <c r="N63" s="4044" t="s">
        <v>5302</v>
      </c>
      <c r="O63" s="4045" t="s">
        <v>5303</v>
      </c>
      <c r="P63" s="4046" t="s">
        <v>5304</v>
      </c>
      <c r="Q63" s="4016" t="s">
        <v>5305</v>
      </c>
      <c r="R63" s="4017" t="s">
        <v>5306</v>
      </c>
      <c r="S63" s="1687" t="str">
        <f t="shared" si="16"/>
        <v xml:space="preserve">* El Número de Pueblos Originarios no puede superar el Total. * El Número de Migrantes no puede superar el Total. </v>
      </c>
      <c r="AX63" s="2630"/>
      <c r="AY63" s="2630"/>
      <c r="AZ63" s="2630"/>
      <c r="BA63" s="2630"/>
      <c r="BB63" s="2630"/>
      <c r="BC63" s="2630"/>
      <c r="BD63" s="2630"/>
      <c r="BE63" s="2630"/>
      <c r="BF63" s="2630"/>
      <c r="BG63" s="2630"/>
      <c r="BH63" s="2630"/>
      <c r="BI63" s="2630"/>
      <c r="BJ63" s="2630"/>
      <c r="BK63" s="2630"/>
      <c r="BL63" s="2630"/>
      <c r="BM63" s="2630"/>
      <c r="BN63" s="2630"/>
      <c r="BO63" s="2630"/>
      <c r="BP63" s="2630"/>
      <c r="BQ63" s="2630"/>
      <c r="BR63" s="2630"/>
      <c r="BS63" s="2630"/>
      <c r="BT63" s="2630"/>
      <c r="BU63" s="2630"/>
      <c r="BV63" s="2630"/>
      <c r="BW63" s="2630"/>
      <c r="BX63" s="2630"/>
      <c r="BY63" s="2630"/>
      <c r="BZ63" s="2630"/>
      <c r="CA63" s="2630"/>
      <c r="CB63" s="2784" t="str">
        <f t="shared" si="17"/>
        <v xml:space="preserve">* El Número de Pueblos Originarios no puede superar el Total. </v>
      </c>
      <c r="CC63" s="2784" t="str">
        <f t="shared" si="18"/>
        <v xml:space="preserve">* El Número de Migrantes no puede superar el Total. </v>
      </c>
      <c r="CD63" s="2630"/>
      <c r="CE63" s="2630"/>
      <c r="CF63" s="1725">
        <f t="shared" si="19"/>
        <v>1</v>
      </c>
      <c r="CG63" s="1725">
        <f t="shared" si="19"/>
        <v>1</v>
      </c>
    </row>
    <row r="64" spans="1:85" x14ac:dyDescent="0.3">
      <c r="A64" s="6296">
        <v>29000031</v>
      </c>
      <c r="B64" s="6908"/>
      <c r="C64" s="1106" t="s">
        <v>3410</v>
      </c>
      <c r="D64" s="4019" t="s">
        <v>5292</v>
      </c>
      <c r="E64" s="4068" t="s">
        <v>5293</v>
      </c>
      <c r="F64" s="4069" t="s">
        <v>5294</v>
      </c>
      <c r="G64" s="4069" t="s">
        <v>5295</v>
      </c>
      <c r="H64" s="4069" t="s">
        <v>5296</v>
      </c>
      <c r="I64" s="4069" t="s">
        <v>5297</v>
      </c>
      <c r="J64" s="4069" t="s">
        <v>5298</v>
      </c>
      <c r="K64" s="4069" t="s">
        <v>5299</v>
      </c>
      <c r="L64" s="4069" t="s">
        <v>5300</v>
      </c>
      <c r="M64" s="4070" t="s">
        <v>5301</v>
      </c>
      <c r="N64" s="4071" t="s">
        <v>5302</v>
      </c>
      <c r="O64" s="4009" t="s">
        <v>5303</v>
      </c>
      <c r="P64" s="4072" t="s">
        <v>5304</v>
      </c>
      <c r="Q64" s="4008" t="s">
        <v>5305</v>
      </c>
      <c r="R64" s="4009" t="s">
        <v>5306</v>
      </c>
      <c r="S64" s="1687" t="str">
        <f t="shared" si="16"/>
        <v xml:space="preserve">* El Número de Pueblos Originarios no puede superar el Total. * El Número de Migrantes no puede superar el Total. </v>
      </c>
      <c r="AX64" s="2630"/>
      <c r="AY64" s="2630"/>
      <c r="AZ64" s="2630"/>
      <c r="BA64" s="2630"/>
      <c r="BB64" s="2630"/>
      <c r="BC64" s="2630"/>
      <c r="BD64" s="2630"/>
      <c r="BE64" s="2630"/>
      <c r="BF64" s="2630"/>
      <c r="BG64" s="2630"/>
      <c r="BH64" s="2630"/>
      <c r="BI64" s="2630"/>
      <c r="BJ64" s="2630"/>
      <c r="BK64" s="2630"/>
      <c r="BL64" s="2630"/>
      <c r="BM64" s="2630"/>
      <c r="BN64" s="2630"/>
      <c r="BO64" s="2630"/>
      <c r="BP64" s="2630"/>
      <c r="BQ64" s="2630"/>
      <c r="BR64" s="2630"/>
      <c r="BS64" s="2630"/>
      <c r="BT64" s="2630"/>
      <c r="BU64" s="2630"/>
      <c r="BV64" s="2630"/>
      <c r="BW64" s="2630"/>
      <c r="BX64" s="2630"/>
      <c r="BY64" s="2630"/>
      <c r="BZ64" s="2630"/>
      <c r="CA64" s="2630"/>
      <c r="CB64" s="2784" t="str">
        <f t="shared" si="17"/>
        <v xml:space="preserve">* El Número de Pueblos Originarios no puede superar el Total. </v>
      </c>
      <c r="CC64" s="2784" t="str">
        <f t="shared" si="18"/>
        <v xml:space="preserve">* El Número de Migrantes no puede superar el Total. </v>
      </c>
      <c r="CD64" s="2630"/>
      <c r="CE64" s="2630"/>
      <c r="CF64" s="1725">
        <f t="shared" si="19"/>
        <v>1</v>
      </c>
      <c r="CG64" s="1725">
        <f t="shared" si="19"/>
        <v>1</v>
      </c>
    </row>
    <row r="65" spans="1:5" ht="18" customHeight="1" x14ac:dyDescent="0.3">
      <c r="B65" s="4073" t="s">
        <v>3434</v>
      </c>
      <c r="C65" s="19"/>
      <c r="D65" s="15"/>
      <c r="E65" s="19"/>
    </row>
    <row r="66" spans="1:5" ht="30.6" x14ac:dyDescent="0.3">
      <c r="B66" s="4758" t="s">
        <v>3435</v>
      </c>
      <c r="C66" s="4759" t="s">
        <v>1047</v>
      </c>
      <c r="D66" s="4757" t="s">
        <v>3436</v>
      </c>
      <c r="E66" s="4757" t="s">
        <v>3437</v>
      </c>
    </row>
    <row r="67" spans="1:5" ht="21.6" x14ac:dyDescent="0.3">
      <c r="A67" s="6296">
        <v>29000034</v>
      </c>
      <c r="B67" s="8337" t="s">
        <v>238</v>
      </c>
      <c r="C67" s="4074" t="s">
        <v>3438</v>
      </c>
      <c r="D67" s="4075" t="s">
        <v>5292</v>
      </c>
      <c r="E67" s="4075" t="s">
        <v>5293</v>
      </c>
    </row>
    <row r="68" spans="1:5" x14ac:dyDescent="0.3">
      <c r="A68" s="6296">
        <v>29000035</v>
      </c>
      <c r="B68" s="8302"/>
      <c r="C68" s="4076" t="s">
        <v>3439</v>
      </c>
      <c r="D68" s="4077" t="s">
        <v>5292</v>
      </c>
      <c r="E68" s="4077" t="s">
        <v>5293</v>
      </c>
    </row>
    <row r="69" spans="1:5" x14ac:dyDescent="0.3">
      <c r="A69" s="6296">
        <v>29000036</v>
      </c>
      <c r="B69" s="8302"/>
      <c r="C69" s="4076" t="s">
        <v>3440</v>
      </c>
      <c r="D69" s="4077" t="s">
        <v>5292</v>
      </c>
      <c r="E69" s="4077" t="s">
        <v>5293</v>
      </c>
    </row>
    <row r="70" spans="1:5" ht="21.6" x14ac:dyDescent="0.3">
      <c r="A70" s="6296">
        <v>29000037</v>
      </c>
      <c r="B70" s="8302"/>
      <c r="C70" s="4076" t="s">
        <v>3441</v>
      </c>
      <c r="D70" s="4077" t="s">
        <v>5292</v>
      </c>
      <c r="E70" s="4077" t="s">
        <v>5293</v>
      </c>
    </row>
    <row r="71" spans="1:5" x14ac:dyDescent="0.3">
      <c r="A71" s="6296">
        <v>29101683</v>
      </c>
      <c r="B71" s="8302"/>
      <c r="C71" s="4076" t="s">
        <v>3442</v>
      </c>
      <c r="D71" s="4077" t="s">
        <v>5292</v>
      </c>
      <c r="E71" s="4077" t="s">
        <v>5293</v>
      </c>
    </row>
    <row r="72" spans="1:5" x14ac:dyDescent="0.3">
      <c r="A72" s="6296">
        <v>29000039</v>
      </c>
      <c r="B72" s="8302"/>
      <c r="C72" s="4078" t="s">
        <v>3443</v>
      </c>
      <c r="D72" s="4077" t="s">
        <v>5292</v>
      </c>
      <c r="E72" s="4077" t="s">
        <v>5293</v>
      </c>
    </row>
    <row r="73" spans="1:5" x14ac:dyDescent="0.3">
      <c r="A73" s="6296">
        <v>29000040</v>
      </c>
      <c r="B73" s="8302"/>
      <c r="C73" s="4076" t="s">
        <v>3444</v>
      </c>
      <c r="D73" s="4077" t="s">
        <v>5292</v>
      </c>
      <c r="E73" s="4077" t="s">
        <v>5293</v>
      </c>
    </row>
    <row r="74" spans="1:5" x14ac:dyDescent="0.3">
      <c r="A74" s="6296">
        <v>29101684</v>
      </c>
      <c r="B74" s="8302"/>
      <c r="C74" s="4076" t="s">
        <v>3445</v>
      </c>
      <c r="D74" s="4077" t="s">
        <v>5292</v>
      </c>
      <c r="E74" s="4077" t="s">
        <v>5293</v>
      </c>
    </row>
    <row r="75" spans="1:5" x14ac:dyDescent="0.3">
      <c r="A75" s="6296">
        <v>29000042</v>
      </c>
      <c r="B75" s="8302"/>
      <c r="C75" s="4078" t="s">
        <v>3446</v>
      </c>
      <c r="D75" s="4077" t="s">
        <v>5292</v>
      </c>
      <c r="E75" s="4077" t="s">
        <v>5293</v>
      </c>
    </row>
    <row r="76" spans="1:5" x14ac:dyDescent="0.3">
      <c r="A76" s="6296">
        <v>29000043</v>
      </c>
      <c r="B76" s="8302"/>
      <c r="C76" s="4078" t="s">
        <v>3447</v>
      </c>
      <c r="D76" s="4077" t="s">
        <v>5292</v>
      </c>
      <c r="E76" s="4077" t="s">
        <v>5293</v>
      </c>
    </row>
    <row r="77" spans="1:5" x14ac:dyDescent="0.3">
      <c r="A77" s="6296">
        <v>29101050</v>
      </c>
      <c r="B77" s="8302"/>
      <c r="C77" s="4078" t="s">
        <v>3448</v>
      </c>
      <c r="D77" s="4079" t="s">
        <v>5292</v>
      </c>
      <c r="E77" s="4079" t="s">
        <v>5293</v>
      </c>
    </row>
    <row r="78" spans="1:5" x14ac:dyDescent="0.3">
      <c r="A78" s="6296">
        <v>29101060</v>
      </c>
      <c r="B78" s="8302"/>
      <c r="C78" s="4078" t="s">
        <v>3449</v>
      </c>
      <c r="D78" s="4079" t="s">
        <v>5292</v>
      </c>
      <c r="E78" s="4079" t="s">
        <v>5293</v>
      </c>
    </row>
    <row r="79" spans="1:5" x14ac:dyDescent="0.3">
      <c r="A79" s="6296">
        <v>29000054</v>
      </c>
      <c r="B79" s="8302"/>
      <c r="C79" s="4078" t="s">
        <v>3450</v>
      </c>
      <c r="D79" s="4079" t="s">
        <v>5292</v>
      </c>
      <c r="E79" s="4079" t="s">
        <v>5293</v>
      </c>
    </row>
    <row r="80" spans="1:5" x14ac:dyDescent="0.3">
      <c r="A80" s="6296">
        <v>29000055</v>
      </c>
      <c r="B80" s="8302"/>
      <c r="C80" s="4078" t="s">
        <v>3451</v>
      </c>
      <c r="D80" s="4079" t="s">
        <v>5292</v>
      </c>
      <c r="E80" s="4079" t="s">
        <v>5293</v>
      </c>
    </row>
    <row r="81" spans="1:5" x14ac:dyDescent="0.3">
      <c r="A81" s="6296">
        <v>29000056</v>
      </c>
      <c r="B81" s="8302"/>
      <c r="C81" s="4078" t="s">
        <v>3452</v>
      </c>
      <c r="D81" s="4079" t="s">
        <v>5292</v>
      </c>
      <c r="E81" s="4079" t="s">
        <v>5293</v>
      </c>
    </row>
    <row r="82" spans="1:5" x14ac:dyDescent="0.3">
      <c r="A82" s="6296">
        <v>29101070</v>
      </c>
      <c r="B82" s="8302"/>
      <c r="C82" s="4076" t="s">
        <v>3453</v>
      </c>
      <c r="D82" s="4079" t="s">
        <v>5292</v>
      </c>
      <c r="E82" s="4079" t="s">
        <v>5293</v>
      </c>
    </row>
    <row r="83" spans="1:5" ht="21.6" x14ac:dyDescent="0.3">
      <c r="A83" s="6296">
        <v>29101080</v>
      </c>
      <c r="B83" s="8302"/>
      <c r="C83" s="4076" t="s">
        <v>3454</v>
      </c>
      <c r="D83" s="4079" t="s">
        <v>5292</v>
      </c>
      <c r="E83" s="4079" t="s">
        <v>5293</v>
      </c>
    </row>
    <row r="84" spans="1:5" x14ac:dyDescent="0.3">
      <c r="A84" s="6296">
        <v>29101090</v>
      </c>
      <c r="B84" s="8302"/>
      <c r="C84" s="4078" t="s">
        <v>3455</v>
      </c>
      <c r="D84" s="4079" t="s">
        <v>5292</v>
      </c>
      <c r="E84" s="4079" t="s">
        <v>5293</v>
      </c>
    </row>
    <row r="85" spans="1:5" x14ac:dyDescent="0.3">
      <c r="A85" s="6296">
        <v>29101100</v>
      </c>
      <c r="B85" s="8302"/>
      <c r="C85" s="4078" t="s">
        <v>3456</v>
      </c>
      <c r="D85" s="4079" t="s">
        <v>5292</v>
      </c>
      <c r="E85" s="4079" t="s">
        <v>5293</v>
      </c>
    </row>
    <row r="86" spans="1:5" x14ac:dyDescent="0.3">
      <c r="A86" s="6296">
        <v>29101110</v>
      </c>
      <c r="B86" s="8303"/>
      <c r="C86" s="3003" t="s">
        <v>3457</v>
      </c>
      <c r="D86" s="4080" t="s">
        <v>5292</v>
      </c>
      <c r="E86" s="4080" t="s">
        <v>5293</v>
      </c>
    </row>
    <row r="87" spans="1:5" x14ac:dyDescent="0.3">
      <c r="A87" s="6296">
        <v>29000045</v>
      </c>
      <c r="B87" s="8335" t="s">
        <v>239</v>
      </c>
      <c r="C87" s="4081" t="s">
        <v>3458</v>
      </c>
      <c r="D87" s="4082" t="s">
        <v>5292</v>
      </c>
      <c r="E87" s="4082" t="s">
        <v>5293</v>
      </c>
    </row>
    <row r="88" spans="1:5" x14ac:dyDescent="0.3">
      <c r="A88" s="6296">
        <v>29000046</v>
      </c>
      <c r="B88" s="6972"/>
      <c r="C88" s="4076" t="s">
        <v>3459</v>
      </c>
      <c r="D88" s="4083" t="s">
        <v>5292</v>
      </c>
      <c r="E88" s="4083" t="s">
        <v>5293</v>
      </c>
    </row>
    <row r="89" spans="1:5" x14ac:dyDescent="0.3">
      <c r="A89" s="6296">
        <v>29000060</v>
      </c>
      <c r="B89" s="6972"/>
      <c r="C89" s="4076" t="s">
        <v>3460</v>
      </c>
      <c r="D89" s="4084" t="s">
        <v>5292</v>
      </c>
      <c r="E89" s="4084" t="s">
        <v>5293</v>
      </c>
    </row>
    <row r="90" spans="1:5" x14ac:dyDescent="0.3">
      <c r="A90" s="6296">
        <v>29000047</v>
      </c>
      <c r="B90" s="6972"/>
      <c r="C90" s="4076" t="s">
        <v>3461</v>
      </c>
      <c r="D90" s="4084" t="s">
        <v>5292</v>
      </c>
      <c r="E90" s="4084" t="s">
        <v>5293</v>
      </c>
    </row>
    <row r="91" spans="1:5" x14ac:dyDescent="0.3">
      <c r="A91" s="6296">
        <v>29101200</v>
      </c>
      <c r="B91" s="6972"/>
      <c r="C91" s="4076" t="s">
        <v>3462</v>
      </c>
      <c r="D91" s="4085" t="s">
        <v>5292</v>
      </c>
      <c r="E91" s="4085" t="s">
        <v>5293</v>
      </c>
    </row>
    <row r="92" spans="1:5" x14ac:dyDescent="0.3">
      <c r="A92" s="6296" t="s">
        <v>1761</v>
      </c>
      <c r="B92" s="6972"/>
      <c r="C92" s="4076" t="s">
        <v>3463</v>
      </c>
      <c r="D92" s="4086" t="s">
        <v>5292</v>
      </c>
      <c r="E92" s="4087" t="s">
        <v>5293</v>
      </c>
    </row>
    <row r="93" spans="1:5" x14ac:dyDescent="0.3">
      <c r="A93" s="6296">
        <v>29101685</v>
      </c>
      <c r="B93" s="6972"/>
      <c r="C93" s="4076" t="s">
        <v>3464</v>
      </c>
      <c r="D93" s="4086" t="s">
        <v>5292</v>
      </c>
      <c r="E93" s="4087" t="s">
        <v>5293</v>
      </c>
    </row>
    <row r="94" spans="1:5" x14ac:dyDescent="0.3">
      <c r="A94" s="6296">
        <v>29101686</v>
      </c>
      <c r="B94" s="6972"/>
      <c r="C94" s="4076" t="s">
        <v>3465</v>
      </c>
      <c r="D94" s="4086" t="s">
        <v>5292</v>
      </c>
      <c r="E94" s="4087" t="s">
        <v>5293</v>
      </c>
    </row>
    <row r="95" spans="1:5" x14ac:dyDescent="0.3">
      <c r="A95" s="6296">
        <v>29101687</v>
      </c>
      <c r="B95" s="6972"/>
      <c r="C95" s="4076" t="s">
        <v>3466</v>
      </c>
      <c r="D95" s="4086" t="s">
        <v>5292</v>
      </c>
      <c r="E95" s="4087" t="s">
        <v>5293</v>
      </c>
    </row>
    <row r="96" spans="1:5" x14ac:dyDescent="0.3">
      <c r="A96" s="6296">
        <v>29101688</v>
      </c>
      <c r="B96" s="6972"/>
      <c r="C96" s="4076" t="s">
        <v>3467</v>
      </c>
      <c r="D96" s="4086" t="s">
        <v>5292</v>
      </c>
      <c r="E96" s="4087" t="s">
        <v>5293</v>
      </c>
    </row>
    <row r="97" spans="1:5" x14ac:dyDescent="0.3">
      <c r="A97" s="6296">
        <v>29101689</v>
      </c>
      <c r="B97" s="6972"/>
      <c r="C97" s="4076" t="s">
        <v>3468</v>
      </c>
      <c r="D97" s="4086" t="s">
        <v>5292</v>
      </c>
      <c r="E97" s="4087" t="s">
        <v>5293</v>
      </c>
    </row>
    <row r="98" spans="1:5" x14ac:dyDescent="0.3">
      <c r="A98" s="6296">
        <v>29101690</v>
      </c>
      <c r="B98" s="6972"/>
      <c r="C98" s="4076" t="s">
        <v>3469</v>
      </c>
      <c r="D98" s="4086" t="s">
        <v>5292</v>
      </c>
      <c r="E98" s="4087" t="s">
        <v>5293</v>
      </c>
    </row>
    <row r="99" spans="1:5" x14ac:dyDescent="0.3">
      <c r="A99" s="6296">
        <v>29101691</v>
      </c>
      <c r="B99" s="6972"/>
      <c r="C99" s="4088" t="s">
        <v>3470</v>
      </c>
      <c r="D99" s="4086" t="s">
        <v>5292</v>
      </c>
      <c r="E99" s="4087" t="s">
        <v>5293</v>
      </c>
    </row>
    <row r="100" spans="1:5" x14ac:dyDescent="0.3">
      <c r="A100" s="6296">
        <v>29101692</v>
      </c>
      <c r="B100" s="8336"/>
      <c r="C100" s="3003" t="s">
        <v>3471</v>
      </c>
      <c r="D100" s="4089" t="s">
        <v>5292</v>
      </c>
      <c r="E100" s="4090" t="s">
        <v>5293</v>
      </c>
    </row>
    <row r="101" spans="1:5" ht="18" customHeight="1" x14ac:dyDescent="0.3">
      <c r="B101" s="4073" t="s">
        <v>3472</v>
      </c>
      <c r="C101" s="19"/>
      <c r="D101" s="15"/>
      <c r="E101" s="19"/>
    </row>
    <row r="102" spans="1:5" x14ac:dyDescent="0.3">
      <c r="B102" s="7029" t="s">
        <v>23</v>
      </c>
      <c r="C102" s="7029" t="s">
        <v>24</v>
      </c>
      <c r="D102" s="8326" t="s">
        <v>3473</v>
      </c>
      <c r="E102" s="8327"/>
    </row>
    <row r="103" spans="1:5" x14ac:dyDescent="0.3">
      <c r="B103" s="8329"/>
      <c r="C103" s="8329"/>
      <c r="D103" s="4753" t="s">
        <v>22</v>
      </c>
      <c r="E103" s="4753" t="s">
        <v>27</v>
      </c>
    </row>
    <row r="104" spans="1:5" ht="15" customHeight="1" x14ac:dyDescent="0.3">
      <c r="A104" s="6296">
        <v>29101120</v>
      </c>
      <c r="B104" s="4091" t="s">
        <v>3474</v>
      </c>
      <c r="C104" s="4092" t="s">
        <v>5292</v>
      </c>
      <c r="D104" s="4093" t="s">
        <v>5293</v>
      </c>
      <c r="E104" s="4093" t="s">
        <v>5294</v>
      </c>
    </row>
    <row r="105" spans="1:5" ht="15" customHeight="1" x14ac:dyDescent="0.3">
      <c r="A105" s="6296">
        <v>29101130</v>
      </c>
      <c r="B105" s="1110" t="s">
        <v>3475</v>
      </c>
      <c r="C105" s="38" t="s">
        <v>5292</v>
      </c>
      <c r="D105" s="4094" t="s">
        <v>5293</v>
      </c>
      <c r="E105" s="4094" t="s">
        <v>5294</v>
      </c>
    </row>
    <row r="106" spans="1:5" ht="18" customHeight="1" x14ac:dyDescent="0.3">
      <c r="A106" s="20"/>
      <c r="B106" s="4073" t="s">
        <v>3476</v>
      </c>
      <c r="C106" s="19"/>
    </row>
    <row r="107" spans="1:5" ht="17.25" customHeight="1" x14ac:dyDescent="0.3">
      <c r="A107" s="20"/>
      <c r="B107" s="8334" t="s">
        <v>3477</v>
      </c>
      <c r="C107" s="6971"/>
    </row>
    <row r="108" spans="1:5" x14ac:dyDescent="0.3">
      <c r="A108" s="6296">
        <v>29101220</v>
      </c>
      <c r="B108" s="4095" t="s">
        <v>3478</v>
      </c>
      <c r="C108" s="4096" t="s">
        <v>5292</v>
      </c>
    </row>
    <row r="109" spans="1:5" x14ac:dyDescent="0.3">
      <c r="A109" s="6296">
        <v>29101230</v>
      </c>
      <c r="B109" s="4097" t="s">
        <v>3479</v>
      </c>
      <c r="C109" s="4017" t="s">
        <v>5292</v>
      </c>
    </row>
    <row r="110" spans="1:5" x14ac:dyDescent="0.3">
      <c r="A110" s="6296">
        <v>29101240</v>
      </c>
      <c r="B110" s="4097" t="s">
        <v>3480</v>
      </c>
      <c r="C110" s="3970" t="s">
        <v>5292</v>
      </c>
    </row>
    <row r="111" spans="1:5" x14ac:dyDescent="0.3">
      <c r="A111" s="6296">
        <v>29101250</v>
      </c>
      <c r="B111" s="4097" t="s">
        <v>3481</v>
      </c>
      <c r="C111" s="3970" t="s">
        <v>5292</v>
      </c>
    </row>
    <row r="112" spans="1:5" x14ac:dyDescent="0.3">
      <c r="A112" s="6296">
        <v>29101260</v>
      </c>
      <c r="B112" s="4097" t="s">
        <v>3482</v>
      </c>
      <c r="C112" s="3970" t="s">
        <v>5292</v>
      </c>
    </row>
    <row r="113" spans="1:6" x14ac:dyDescent="0.3">
      <c r="A113" s="6296">
        <v>29101270</v>
      </c>
      <c r="B113" s="4097" t="s">
        <v>3483</v>
      </c>
      <c r="C113" s="3970" t="s">
        <v>5292</v>
      </c>
    </row>
    <row r="114" spans="1:6" x14ac:dyDescent="0.3">
      <c r="A114" s="6296">
        <v>29101280</v>
      </c>
      <c r="B114" s="4097" t="s">
        <v>3484</v>
      </c>
      <c r="C114" s="3970" t="s">
        <v>5292</v>
      </c>
    </row>
    <row r="115" spans="1:6" x14ac:dyDescent="0.3">
      <c r="A115" s="6296">
        <v>29101290</v>
      </c>
      <c r="B115" s="4097" t="s">
        <v>3485</v>
      </c>
      <c r="C115" s="3970" t="s">
        <v>5292</v>
      </c>
    </row>
    <row r="116" spans="1:6" x14ac:dyDescent="0.3">
      <c r="A116" s="6296">
        <v>29101300</v>
      </c>
      <c r="B116" s="4097" t="s">
        <v>3486</v>
      </c>
      <c r="C116" s="3970" t="s">
        <v>5292</v>
      </c>
    </row>
    <row r="117" spans="1:6" x14ac:dyDescent="0.3">
      <c r="A117" s="6296">
        <v>29101310</v>
      </c>
      <c r="B117" s="4097" t="s">
        <v>3487</v>
      </c>
      <c r="C117" s="3970" t="s">
        <v>5292</v>
      </c>
    </row>
    <row r="118" spans="1:6" x14ac:dyDescent="0.3">
      <c r="A118" s="6296">
        <v>29101320</v>
      </c>
      <c r="B118" s="4097" t="s">
        <v>3488</v>
      </c>
      <c r="C118" s="3970" t="s">
        <v>5292</v>
      </c>
    </row>
    <row r="119" spans="1:6" x14ac:dyDescent="0.3">
      <c r="A119" s="6296">
        <v>29101330</v>
      </c>
      <c r="B119" s="4097" t="s">
        <v>3489</v>
      </c>
      <c r="C119" s="3970" t="s">
        <v>5292</v>
      </c>
    </row>
    <row r="120" spans="1:6" x14ac:dyDescent="0.3">
      <c r="A120" s="6296">
        <v>29101340</v>
      </c>
      <c r="B120" s="4097" t="s">
        <v>3490</v>
      </c>
      <c r="C120" s="3970" t="s">
        <v>5292</v>
      </c>
    </row>
    <row r="121" spans="1:6" x14ac:dyDescent="0.3">
      <c r="A121" s="6296">
        <v>29101350</v>
      </c>
      <c r="B121" s="4097" t="s">
        <v>3491</v>
      </c>
      <c r="C121" s="3970" t="s">
        <v>5292</v>
      </c>
    </row>
    <row r="122" spans="1:6" x14ac:dyDescent="0.3">
      <c r="A122" s="6296">
        <v>29101360</v>
      </c>
      <c r="B122" s="4097" t="s">
        <v>3492</v>
      </c>
      <c r="C122" s="3970" t="s">
        <v>5292</v>
      </c>
    </row>
    <row r="123" spans="1:6" x14ac:dyDescent="0.3">
      <c r="A123" s="6296">
        <v>29101370</v>
      </c>
      <c r="B123" s="4097" t="s">
        <v>3493</v>
      </c>
      <c r="C123" s="3970" t="s">
        <v>5292</v>
      </c>
    </row>
    <row r="124" spans="1:6" x14ac:dyDescent="0.3">
      <c r="A124" s="6296">
        <v>29101380</v>
      </c>
      <c r="B124" s="4098" t="s">
        <v>3494</v>
      </c>
      <c r="C124" s="4009" t="s">
        <v>5292</v>
      </c>
    </row>
    <row r="125" spans="1:6" x14ac:dyDescent="0.3">
      <c r="A125" s="6267"/>
      <c r="B125" s="4099" t="s">
        <v>24</v>
      </c>
      <c r="C125" s="4100">
        <f>SUM(C108:C124)</f>
        <v>0</v>
      </c>
    </row>
    <row r="126" spans="1:6" ht="18" customHeight="1" x14ac:dyDescent="0.3">
      <c r="B126" s="4073" t="s">
        <v>3495</v>
      </c>
      <c r="C126" s="19"/>
      <c r="D126" s="15"/>
      <c r="E126" s="19"/>
      <c r="F126" s="19"/>
    </row>
    <row r="127" spans="1:6" ht="20.399999999999999" x14ac:dyDescent="0.3">
      <c r="B127" s="4101" t="s">
        <v>3496</v>
      </c>
      <c r="C127" s="4101" t="s">
        <v>701</v>
      </c>
      <c r="D127" s="4101" t="s">
        <v>24</v>
      </c>
      <c r="E127" s="4101" t="s">
        <v>3497</v>
      </c>
      <c r="F127" s="4101" t="s">
        <v>3498</v>
      </c>
    </row>
    <row r="128" spans="1:6" x14ac:dyDescent="0.3">
      <c r="A128" s="6296">
        <v>29101693</v>
      </c>
      <c r="B128" s="8331" t="s">
        <v>3499</v>
      </c>
      <c r="C128" s="4102" t="s">
        <v>3500</v>
      </c>
      <c r="D128" s="4096" t="s">
        <v>5292</v>
      </c>
      <c r="E128" s="4103" t="s">
        <v>5293</v>
      </c>
      <c r="F128" s="4103" t="s">
        <v>5294</v>
      </c>
    </row>
    <row r="129" spans="1:6" x14ac:dyDescent="0.3">
      <c r="A129" s="6296">
        <v>29101694</v>
      </c>
      <c r="B129" s="8332"/>
      <c r="C129" s="4104" t="s">
        <v>3501</v>
      </c>
      <c r="D129" s="4009" t="s">
        <v>5292</v>
      </c>
      <c r="E129" s="4105" t="s">
        <v>5293</v>
      </c>
      <c r="F129" s="4105" t="s">
        <v>5294</v>
      </c>
    </row>
    <row r="130" spans="1:6" x14ac:dyDescent="0.3">
      <c r="A130" s="6296">
        <v>29101695</v>
      </c>
      <c r="B130" s="4106" t="s">
        <v>3502</v>
      </c>
      <c r="C130" s="4106" t="s">
        <v>3503</v>
      </c>
      <c r="D130" s="4017" t="s">
        <v>5292</v>
      </c>
      <c r="E130" s="4107" t="s">
        <v>5293</v>
      </c>
      <c r="F130" s="4107" t="s">
        <v>5294</v>
      </c>
    </row>
    <row r="131" spans="1:6" x14ac:dyDescent="0.3">
      <c r="A131" s="6296">
        <v>29101696</v>
      </c>
      <c r="B131" s="8333" t="s">
        <v>3504</v>
      </c>
      <c r="C131" s="4108" t="s">
        <v>3505</v>
      </c>
      <c r="D131" s="3970" t="s">
        <v>5292</v>
      </c>
      <c r="E131" s="4109" t="s">
        <v>5293</v>
      </c>
      <c r="F131" s="4109" t="s">
        <v>5294</v>
      </c>
    </row>
    <row r="132" spans="1:6" x14ac:dyDescent="0.3">
      <c r="A132" s="6296">
        <v>29101697</v>
      </c>
      <c r="B132" s="8332"/>
      <c r="C132" s="4104" t="s">
        <v>3506</v>
      </c>
      <c r="D132" s="4009" t="s">
        <v>5292</v>
      </c>
      <c r="E132" s="4009" t="s">
        <v>5293</v>
      </c>
      <c r="F132" s="4009" t="s">
        <v>5294</v>
      </c>
    </row>
    <row r="133" spans="1:6" x14ac:dyDescent="0.3">
      <c r="A133" s="6296">
        <v>29101698</v>
      </c>
      <c r="B133" s="8331" t="s">
        <v>3507</v>
      </c>
      <c r="C133" s="4108" t="s">
        <v>3505</v>
      </c>
      <c r="D133" s="4096" t="s">
        <v>5292</v>
      </c>
      <c r="E133" s="4096" t="s">
        <v>5293</v>
      </c>
      <c r="F133" s="4103" t="s">
        <v>5294</v>
      </c>
    </row>
    <row r="134" spans="1:6" x14ac:dyDescent="0.3">
      <c r="A134" s="6296">
        <v>29101699</v>
      </c>
      <c r="B134" s="8332"/>
      <c r="C134" s="4104" t="s">
        <v>3506</v>
      </c>
      <c r="D134" s="4009" t="s">
        <v>5292</v>
      </c>
      <c r="E134" s="4009" t="s">
        <v>5293</v>
      </c>
      <c r="F134" s="4105" t="s">
        <v>5294</v>
      </c>
    </row>
    <row r="135" spans="1:6" x14ac:dyDescent="0.3">
      <c r="A135" s="6296">
        <v>29101700</v>
      </c>
      <c r="B135" s="8331" t="s">
        <v>3508</v>
      </c>
      <c r="C135" s="4102" t="s">
        <v>3385</v>
      </c>
      <c r="D135" s="4096" t="s">
        <v>5292</v>
      </c>
      <c r="E135" s="4103" t="s">
        <v>5293</v>
      </c>
      <c r="F135" s="4103" t="s">
        <v>5294</v>
      </c>
    </row>
    <row r="136" spans="1:6" x14ac:dyDescent="0.3">
      <c r="A136" s="6296">
        <v>29101701</v>
      </c>
      <c r="B136" s="8332"/>
      <c r="C136" s="4104" t="s">
        <v>3386</v>
      </c>
      <c r="D136" s="4009" t="s">
        <v>5292</v>
      </c>
      <c r="E136" s="4105" t="s">
        <v>5293</v>
      </c>
      <c r="F136" s="4105" t="s">
        <v>5294</v>
      </c>
    </row>
    <row r="137" spans="1:6" ht="18" customHeight="1" x14ac:dyDescent="0.3">
      <c r="A137" s="20"/>
      <c r="B137" s="4073" t="s">
        <v>3509</v>
      </c>
      <c r="C137" s="19"/>
      <c r="D137" s="15"/>
      <c r="E137" s="19"/>
    </row>
    <row r="138" spans="1:6" ht="20.399999999999999" x14ac:dyDescent="0.3">
      <c r="A138" s="20"/>
      <c r="B138" s="4101" t="s">
        <v>137</v>
      </c>
      <c r="C138" s="4101" t="s">
        <v>3510</v>
      </c>
      <c r="D138" s="4101" t="s">
        <v>3511</v>
      </c>
      <c r="E138" s="4101" t="s">
        <v>3512</v>
      </c>
    </row>
    <row r="139" spans="1:6" x14ac:dyDescent="0.3">
      <c r="A139" s="6296">
        <v>29101702</v>
      </c>
      <c r="B139" s="4102" t="s">
        <v>3513</v>
      </c>
      <c r="C139" s="4096" t="s">
        <v>5292</v>
      </c>
      <c r="D139" s="4096" t="s">
        <v>5293</v>
      </c>
      <c r="E139" s="4096" t="s">
        <v>5294</v>
      </c>
    </row>
    <row r="140" spans="1:6" x14ac:dyDescent="0.3">
      <c r="A140" s="6296">
        <v>29101703</v>
      </c>
      <c r="B140" s="4110" t="s">
        <v>3514</v>
      </c>
      <c r="C140" s="3970" t="s">
        <v>5292</v>
      </c>
      <c r="D140" s="3970" t="s">
        <v>5293</v>
      </c>
      <c r="E140" s="3970" t="s">
        <v>5294</v>
      </c>
    </row>
    <row r="141" spans="1:6" x14ac:dyDescent="0.3">
      <c r="A141" s="6296">
        <v>29101704</v>
      </c>
      <c r="B141" s="4110" t="s">
        <v>3515</v>
      </c>
      <c r="C141" s="3970" t="s">
        <v>5292</v>
      </c>
      <c r="D141" s="4109" t="s">
        <v>5293</v>
      </c>
      <c r="E141" s="4109" t="s">
        <v>5294</v>
      </c>
    </row>
    <row r="142" spans="1:6" x14ac:dyDescent="0.3">
      <c r="A142" s="6296">
        <v>29101705</v>
      </c>
      <c r="B142" s="4110" t="s">
        <v>3516</v>
      </c>
      <c r="C142" s="3970" t="s">
        <v>5292</v>
      </c>
      <c r="D142" s="4109" t="s">
        <v>5293</v>
      </c>
      <c r="E142" s="4109" t="s">
        <v>5294</v>
      </c>
    </row>
    <row r="143" spans="1:6" x14ac:dyDescent="0.3">
      <c r="A143" s="6296">
        <v>29101706</v>
      </c>
      <c r="B143" s="4110" t="s">
        <v>3517</v>
      </c>
      <c r="C143" s="3970" t="s">
        <v>5292</v>
      </c>
      <c r="D143" s="3970" t="s">
        <v>5293</v>
      </c>
      <c r="E143" s="3970" t="s">
        <v>5294</v>
      </c>
    </row>
    <row r="144" spans="1:6" x14ac:dyDescent="0.3">
      <c r="A144" s="6296">
        <v>29101707</v>
      </c>
      <c r="B144" s="4001" t="s">
        <v>3518</v>
      </c>
      <c r="C144" s="4094" t="s">
        <v>5292</v>
      </c>
      <c r="D144" s="4094" t="s">
        <v>5293</v>
      </c>
      <c r="E144" s="4094" t="s">
        <v>5294</v>
      </c>
    </row>
    <row r="145" spans="1:14" ht="18" customHeight="1" x14ac:dyDescent="0.3">
      <c r="B145" s="4073" t="s">
        <v>3519</v>
      </c>
      <c r="C145" s="19"/>
      <c r="D145" s="15"/>
      <c r="E145" s="19"/>
      <c r="F145" s="19"/>
      <c r="G145" s="19"/>
      <c r="H145" s="19"/>
      <c r="I145" s="19"/>
      <c r="J145" s="19"/>
      <c r="K145" s="19"/>
      <c r="L145" s="19"/>
      <c r="M145" s="19"/>
      <c r="N145" s="19"/>
    </row>
    <row r="146" spans="1:14" x14ac:dyDescent="0.3">
      <c r="B146" s="8338" t="s">
        <v>3520</v>
      </c>
      <c r="C146" s="8338" t="s">
        <v>24</v>
      </c>
      <c r="D146" s="8339" t="s">
        <v>3381</v>
      </c>
      <c r="E146" s="8339"/>
      <c r="F146" s="8350" t="s">
        <v>4</v>
      </c>
      <c r="G146" s="8351"/>
      <c r="H146" s="8339" t="s">
        <v>945</v>
      </c>
      <c r="I146" s="8339"/>
      <c r="J146" s="8339" t="s">
        <v>946</v>
      </c>
      <c r="K146" s="8340"/>
      <c r="L146" s="8341" t="s">
        <v>3736</v>
      </c>
      <c r="M146" s="8342"/>
      <c r="N146" s="8342"/>
    </row>
    <row r="147" spans="1:14" x14ac:dyDescent="0.3">
      <c r="B147" s="7016"/>
      <c r="C147" s="7016"/>
      <c r="D147" s="4111" t="s">
        <v>22</v>
      </c>
      <c r="E147" s="4111" t="s">
        <v>27</v>
      </c>
      <c r="F147" s="4111" t="s">
        <v>22</v>
      </c>
      <c r="G147" s="4111" t="s">
        <v>27</v>
      </c>
      <c r="H147" s="4111" t="s">
        <v>22</v>
      </c>
      <c r="I147" s="4111" t="s">
        <v>27</v>
      </c>
      <c r="J147" s="4111" t="s">
        <v>22</v>
      </c>
      <c r="K147" s="4112" t="s">
        <v>27</v>
      </c>
      <c r="L147" s="4113" t="s">
        <v>948</v>
      </c>
      <c r="M147" s="4114" t="s">
        <v>3521</v>
      </c>
      <c r="N147" s="4114" t="s">
        <v>3522</v>
      </c>
    </row>
    <row r="148" spans="1:14" x14ac:dyDescent="0.3">
      <c r="A148" s="6296">
        <v>29101708</v>
      </c>
      <c r="B148" s="4115" t="s">
        <v>3523</v>
      </c>
      <c r="C148" s="8761" t="s">
        <v>5292</v>
      </c>
      <c r="D148" s="8762" t="s">
        <v>5293</v>
      </c>
      <c r="E148" s="8762" t="s">
        <v>5294</v>
      </c>
      <c r="F148" s="8762" t="s">
        <v>5295</v>
      </c>
      <c r="G148" s="8762" t="s">
        <v>5296</v>
      </c>
      <c r="H148" s="8762" t="s">
        <v>5297</v>
      </c>
      <c r="I148" s="8762" t="s">
        <v>5298</v>
      </c>
      <c r="J148" s="8762" t="s">
        <v>5299</v>
      </c>
      <c r="K148" s="8763" t="s">
        <v>5300</v>
      </c>
      <c r="L148" s="8764" t="s">
        <v>5301</v>
      </c>
      <c r="M148" s="8765" t="s">
        <v>5302</v>
      </c>
      <c r="N148" s="8765" t="s">
        <v>5303</v>
      </c>
    </row>
    <row r="149" spans="1:14" x14ac:dyDescent="0.3">
      <c r="A149" s="6296">
        <v>29101709</v>
      </c>
      <c r="B149" s="4118" t="s">
        <v>3524</v>
      </c>
      <c r="C149" s="8766" t="s">
        <v>5292</v>
      </c>
      <c r="D149" s="8767" t="s">
        <v>5293</v>
      </c>
      <c r="E149" s="8767" t="s">
        <v>5294</v>
      </c>
      <c r="F149" s="8767" t="s">
        <v>5295</v>
      </c>
      <c r="G149" s="8767" t="s">
        <v>5296</v>
      </c>
      <c r="H149" s="8767" t="s">
        <v>5297</v>
      </c>
      <c r="I149" s="8767" t="s">
        <v>5298</v>
      </c>
      <c r="J149" s="8767" t="s">
        <v>5299</v>
      </c>
      <c r="K149" s="8768" t="s">
        <v>5300</v>
      </c>
      <c r="L149" s="8769" t="s">
        <v>5301</v>
      </c>
      <c r="M149" s="8767" t="s">
        <v>5302</v>
      </c>
      <c r="N149" s="8767" t="s">
        <v>5303</v>
      </c>
    </row>
    <row r="150" spans="1:14" x14ac:dyDescent="0.3">
      <c r="A150" s="6296">
        <v>29101710</v>
      </c>
      <c r="B150" s="4119" t="s">
        <v>3525</v>
      </c>
      <c r="C150" s="8770" t="s">
        <v>5292</v>
      </c>
      <c r="D150" s="8771" t="s">
        <v>5293</v>
      </c>
      <c r="E150" s="8771" t="s">
        <v>5294</v>
      </c>
      <c r="F150" s="8771" t="s">
        <v>5295</v>
      </c>
      <c r="G150" s="8771" t="s">
        <v>5296</v>
      </c>
      <c r="H150" s="8771" t="s">
        <v>5297</v>
      </c>
      <c r="I150" s="8771" t="s">
        <v>5298</v>
      </c>
      <c r="J150" s="8771" t="s">
        <v>5299</v>
      </c>
      <c r="K150" s="8772" t="s">
        <v>5300</v>
      </c>
      <c r="L150" s="8773" t="s">
        <v>5301</v>
      </c>
      <c r="M150" s="8771" t="s">
        <v>5302</v>
      </c>
      <c r="N150" s="8771" t="s">
        <v>5303</v>
      </c>
    </row>
    <row r="151" spans="1:14" ht="18" customHeight="1" x14ac:dyDescent="0.3">
      <c r="A151" s="6296"/>
      <c r="B151" s="4073" t="s">
        <v>3526</v>
      </c>
      <c r="C151" s="19"/>
      <c r="D151" s="15"/>
      <c r="E151" s="19"/>
      <c r="F151" s="19"/>
      <c r="G151" s="19"/>
      <c r="H151" s="19"/>
      <c r="I151" s="19"/>
    </row>
    <row r="152" spans="1:14" x14ac:dyDescent="0.3">
      <c r="A152" s="6296"/>
      <c r="B152" s="8338" t="s">
        <v>3520</v>
      </c>
      <c r="C152" s="8338" t="s">
        <v>24</v>
      </c>
      <c r="D152" s="8343" t="s">
        <v>12</v>
      </c>
      <c r="E152" s="8344"/>
      <c r="F152" s="8345" t="s">
        <v>3384</v>
      </c>
      <c r="G152" s="8345"/>
      <c r="H152" s="8345"/>
      <c r="I152" s="8346"/>
    </row>
    <row r="153" spans="1:14" x14ac:dyDescent="0.3">
      <c r="A153" s="6296"/>
      <c r="B153" s="7030"/>
      <c r="C153" s="7030"/>
      <c r="D153" s="8343"/>
      <c r="E153" s="8344"/>
      <c r="F153" s="8347" t="s">
        <v>3385</v>
      </c>
      <c r="G153" s="8338" t="s">
        <v>1470</v>
      </c>
      <c r="H153" s="8349" t="s">
        <v>3527</v>
      </c>
      <c r="I153" s="8349"/>
    </row>
    <row r="154" spans="1:14" x14ac:dyDescent="0.3">
      <c r="A154" s="6296"/>
      <c r="B154" s="7016"/>
      <c r="C154" s="7016"/>
      <c r="D154" s="4111" t="s">
        <v>3528</v>
      </c>
      <c r="E154" s="4112" t="s">
        <v>946</v>
      </c>
      <c r="F154" s="8348"/>
      <c r="G154" s="7016"/>
      <c r="H154" s="4111" t="s">
        <v>3385</v>
      </c>
      <c r="I154" s="4111" t="s">
        <v>1470</v>
      </c>
    </row>
    <row r="155" spans="1:14" ht="15" customHeight="1" x14ac:dyDescent="0.3">
      <c r="A155" s="6296">
        <v>29101711</v>
      </c>
      <c r="B155" s="4115" t="s">
        <v>3529</v>
      </c>
      <c r="C155" s="4619" t="s">
        <v>5292</v>
      </c>
      <c r="D155" s="4117" t="s">
        <v>5293</v>
      </c>
      <c r="E155" s="4122" t="s">
        <v>5294</v>
      </c>
      <c r="F155" s="4116" t="s">
        <v>5295</v>
      </c>
      <c r="G155" s="4117" t="s">
        <v>5296</v>
      </c>
      <c r="H155" s="4117" t="s">
        <v>5297</v>
      </c>
      <c r="I155" s="4117" t="s">
        <v>5298</v>
      </c>
    </row>
    <row r="156" spans="1:14" ht="15" customHeight="1" x14ac:dyDescent="0.3">
      <c r="A156" s="6296">
        <v>29101712</v>
      </c>
      <c r="B156" s="3925" t="s">
        <v>3530</v>
      </c>
      <c r="C156" s="4620" t="s">
        <v>5292</v>
      </c>
      <c r="D156" s="3926" t="s">
        <v>5293</v>
      </c>
      <c r="E156" s="3927" t="s">
        <v>5294</v>
      </c>
      <c r="F156" s="3930" t="s">
        <v>5295</v>
      </c>
      <c r="G156" s="3926" t="s">
        <v>5296</v>
      </c>
      <c r="H156" s="3926" t="s">
        <v>5297</v>
      </c>
      <c r="I156" s="3926" t="s">
        <v>5298</v>
      </c>
    </row>
    <row r="157" spans="1:14" ht="15" customHeight="1" x14ac:dyDescent="0.3">
      <c r="A157" s="6296">
        <v>29101713</v>
      </c>
      <c r="B157" s="4123" t="s">
        <v>3531</v>
      </c>
      <c r="C157" s="4621" t="s">
        <v>5292</v>
      </c>
      <c r="D157" s="2215" t="s">
        <v>5293</v>
      </c>
      <c r="E157" s="4120" t="s">
        <v>5294</v>
      </c>
      <c r="F157" s="4121" t="s">
        <v>5295</v>
      </c>
      <c r="G157" s="2215" t="s">
        <v>5296</v>
      </c>
      <c r="H157" s="2215" t="s">
        <v>5297</v>
      </c>
      <c r="I157" s="2215" t="s">
        <v>5298</v>
      </c>
    </row>
    <row r="198" spans="2:3" hidden="1" x14ac:dyDescent="0.3">
      <c r="B198" s="4124">
        <f>SUM(C12:C28,D32:D64,D67:E100,C104:C105,C125,D128:F136,C139:E144,C149:C150,C155:C157)</f>
        <v>0</v>
      </c>
      <c r="C198" s="4124">
        <f>SUM(CF12:CH64)</f>
        <v>90</v>
      </c>
    </row>
  </sheetData>
  <mergeCells count="54">
    <mergeCell ref="B146:B147"/>
    <mergeCell ref="J146:K146"/>
    <mergeCell ref="L146:N146"/>
    <mergeCell ref="B152:B154"/>
    <mergeCell ref="C152:C154"/>
    <mergeCell ref="D152:E153"/>
    <mergeCell ref="F152:I152"/>
    <mergeCell ref="F153:F154"/>
    <mergeCell ref="C146:C147"/>
    <mergeCell ref="G153:G154"/>
    <mergeCell ref="H153:I153"/>
    <mergeCell ref="D146:E146"/>
    <mergeCell ref="F146:G146"/>
    <mergeCell ref="H146:I146"/>
    <mergeCell ref="B40:B42"/>
    <mergeCell ref="B128:B129"/>
    <mergeCell ref="B131:B132"/>
    <mergeCell ref="B133:B134"/>
    <mergeCell ref="B135:B136"/>
    <mergeCell ref="B107:C107"/>
    <mergeCell ref="B49:B54"/>
    <mergeCell ref="B87:B100"/>
    <mergeCell ref="B43:B45"/>
    <mergeCell ref="B46:B48"/>
    <mergeCell ref="B67:B86"/>
    <mergeCell ref="D102:E102"/>
    <mergeCell ref="B55:B58"/>
    <mergeCell ref="B59:B62"/>
    <mergeCell ref="B63:B64"/>
    <mergeCell ref="B102:B103"/>
    <mergeCell ref="C102:C103"/>
    <mergeCell ref="N30:P30"/>
    <mergeCell ref="Q30:Q31"/>
    <mergeCell ref="C11:U11"/>
    <mergeCell ref="C16:U16"/>
    <mergeCell ref="C23:U23"/>
    <mergeCell ref="C26:U26"/>
    <mergeCell ref="R30:R31"/>
    <mergeCell ref="B32:B39"/>
    <mergeCell ref="B6:U6"/>
    <mergeCell ref="B9:B10"/>
    <mergeCell ref="C9:E9"/>
    <mergeCell ref="F9:G9"/>
    <mergeCell ref="H9:I9"/>
    <mergeCell ref="J9:K9"/>
    <mergeCell ref="L9:M9"/>
    <mergeCell ref="N9:O9"/>
    <mergeCell ref="P9:Q9"/>
    <mergeCell ref="R9:S9"/>
    <mergeCell ref="T9:T10"/>
    <mergeCell ref="U9:U10"/>
    <mergeCell ref="B30:C31"/>
    <mergeCell ref="D30:D31"/>
    <mergeCell ref="E30:M30"/>
  </mergeCells>
  <dataValidations count="2">
    <dataValidation allowBlank="1" showInputMessage="1" showErrorMessage="1" error="Valor no Permitido" sqref="A6:XFD6 B11:B13 T9:U9 B15:B46 R10:S10 D12:E15 S24:S25 D9:Q10 L145:N147 S17:S22 D27:E28 G153 D17:E22 R25 B198:C198 D8:U8 B8:B9 V11 Q29:R30 S14:S15 D151:E154 E65 B87 C8:C92 C125:C138 B101:B102 D141:E142 C145:C146 E33:M33 G146 G145:I145 F148:G148 D145:E148 B148:C157 F145:F146 G151:I151 H153:I154 F151:F153 D65:D66 N27:Q28 D24:E25 H146:I148 E63:M64 N34:P40 D60:D62 N61:P63 N57:P59 N51:P55 N48:P49 N45:P46 N42:P43 N29:P32 D29:D58 E59:M60 E29:M31 J145:K148 D137:E138 B104:B146 D126:D127 F133:F136 E126:F131 E135:E136 D66:E66 R22 N17:Q22 N24:Q25 B49:B67 C104:C105 D101:E103 C94:C102" xr:uid="{00000000-0002-0000-1500-000000000000}"/>
    <dataValidation type="whole" operator="greaterThanOrEqual" allowBlank="1" showInputMessage="1" showErrorMessage="1" error="Valor no Permitido" sqref="F12:R15 S12:S13 T12:U15 F17:M22 R17:R21 T17:U22 F24:M25 F27:M28 R27:U28 R24 T24:U25 E32:M32 E34:M58 D59 N33:P33 N41:P41 N44:P44 N47:P47 N50:P50 N56:P56 N60:P60 E61:M62 D63:D64 N64:P64 Q32:R64 D67:E100 D104:E105 C108:C124 D128:D136 E132:E134 F132 C139:C144 D139:E140 D143:E144 D149:N150 L148:N148 D155:I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O180"/>
  <sheetViews>
    <sheetView showGridLines="0" workbookViewId="0"/>
  </sheetViews>
  <sheetFormatPr baseColWidth="10" defaultColWidth="11.44140625" defaultRowHeight="14.4" x14ac:dyDescent="0.3"/>
  <cols>
    <col min="1" max="1" width="13.33203125" customWidth="1"/>
    <col min="2" max="2" width="66.44140625" style="4230" customWidth="1"/>
    <col min="3" max="3" width="13.5546875" style="4230" customWidth="1"/>
    <col min="4" max="6" width="11.44140625" style="4230"/>
    <col min="7" max="7" width="13.33203125" style="4230" customWidth="1"/>
    <col min="8" max="8" width="11.44140625" style="4230"/>
    <col min="9" max="9" width="16.6640625" style="4230" customWidth="1"/>
    <col min="10" max="10" width="13.44140625" style="4230" customWidth="1"/>
    <col min="11" max="11" width="13.33203125" style="4230" bestFit="1" customWidth="1"/>
    <col min="12" max="18" width="11.44140625" style="4230"/>
    <col min="19" max="19" width="15.88671875" style="4230" customWidth="1"/>
    <col min="20" max="20" width="14" style="4230" customWidth="1"/>
    <col min="21" max="21" width="14.44140625" style="4230" customWidth="1"/>
    <col min="22" max="24" width="11.44140625" style="4230"/>
    <col min="25" max="25" width="11.33203125" style="4230" customWidth="1"/>
    <col min="26" max="26" width="12" style="4230" customWidth="1"/>
    <col min="27" max="41" width="11.44140625" style="4230"/>
  </cols>
  <sheetData>
    <row r="1" spans="1:38" x14ac:dyDescent="0.3">
      <c r="B1" s="774" t="s">
        <v>3879</v>
      </c>
    </row>
    <row r="2" spans="1:38" x14ac:dyDescent="0.3">
      <c r="B2" s="774" t="str">
        <f>CONCATENATE("COMUNA: ",NOMBRE!B2," - ","( ",NOMBRE!C2,NOMBRE!D2,NOMBRE!E2,NOMBRE!F2,NOMBRE!G2," )")</f>
        <v>COMUNA:  - (  )</v>
      </c>
    </row>
    <row r="3" spans="1:38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38" x14ac:dyDescent="0.3">
      <c r="B4" s="774" t="str">
        <f>CONCATENATE("MES: ",NOMBRE!B6," - ","( ",NOMBRE!C6,NOMBRE!D6," )")</f>
        <v>MES:  - (  )</v>
      </c>
    </row>
    <row r="5" spans="1:38" x14ac:dyDescent="0.3">
      <c r="B5" s="774" t="str">
        <f>CONCATENATE("AÑO: ",NOMBRE!B7)</f>
        <v>AÑO: 2024</v>
      </c>
    </row>
    <row r="6" spans="1:38" s="103" customFormat="1" ht="18" customHeight="1" x14ac:dyDescent="0.3">
      <c r="B6" s="7731" t="s">
        <v>3532</v>
      </c>
      <c r="C6" s="7731"/>
      <c r="D6" s="7731"/>
      <c r="E6" s="7731"/>
      <c r="F6" s="7731"/>
      <c r="G6" s="7731"/>
      <c r="H6" s="7731"/>
      <c r="I6" s="7731"/>
      <c r="J6" s="7731"/>
      <c r="K6" s="7731"/>
      <c r="L6" s="7731"/>
      <c r="M6" s="7731"/>
      <c r="N6" s="7731"/>
      <c r="O6" s="7731"/>
      <c r="P6" s="7731"/>
      <c r="Q6" s="7731"/>
      <c r="R6" s="7731"/>
      <c r="S6" s="7731"/>
      <c r="T6" s="7731"/>
      <c r="U6" s="7731"/>
      <c r="V6" s="7731"/>
      <c r="W6" s="7731"/>
      <c r="X6" s="7731"/>
      <c r="Y6" s="7731"/>
      <c r="Z6" s="7731"/>
      <c r="AA6" s="7731"/>
      <c r="AB6" s="7731"/>
      <c r="AC6" s="7731"/>
      <c r="AD6" s="7731"/>
      <c r="AE6" s="7731"/>
      <c r="AF6" s="7731"/>
      <c r="AG6" s="102"/>
      <c r="AH6" s="102"/>
    </row>
    <row r="7" spans="1:38" s="103" customFormat="1" ht="16.2" x14ac:dyDescent="0.3">
      <c r="B7" s="4125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</row>
    <row r="8" spans="1:38" s="101" customFormat="1" ht="18" customHeight="1" x14ac:dyDescent="0.2">
      <c r="B8" s="562" t="s">
        <v>3533</v>
      </c>
      <c r="C8" s="562"/>
      <c r="D8" s="562"/>
      <c r="E8" s="562"/>
      <c r="F8" s="562"/>
      <c r="G8" s="562"/>
      <c r="H8" s="562"/>
    </row>
    <row r="9" spans="1:38" s="102" customFormat="1" ht="24.9" customHeight="1" x14ac:dyDescent="0.2">
      <c r="B9" s="7933" t="s">
        <v>3534</v>
      </c>
      <c r="C9" s="6557" t="s">
        <v>3535</v>
      </c>
      <c r="D9" s="6419"/>
      <c r="E9" s="6419"/>
      <c r="F9" s="6419"/>
      <c r="G9" s="6419"/>
      <c r="H9" s="8352"/>
      <c r="I9" s="6557" t="s">
        <v>3536</v>
      </c>
      <c r="J9" s="6419"/>
      <c r="K9" s="6419"/>
      <c r="L9" s="6419"/>
      <c r="M9" s="6419"/>
      <c r="N9" s="8352"/>
      <c r="O9" s="6557" t="s">
        <v>3537</v>
      </c>
      <c r="P9" s="6419"/>
      <c r="Q9" s="6419"/>
      <c r="R9" s="6419"/>
      <c r="S9" s="6419"/>
      <c r="T9" s="8353"/>
      <c r="U9" s="8354" t="s">
        <v>3384</v>
      </c>
      <c r="V9" s="8354"/>
      <c r="W9" s="8355"/>
      <c r="X9" s="8356" t="s">
        <v>3538</v>
      </c>
      <c r="Y9" s="6419"/>
      <c r="Z9" s="6419"/>
      <c r="AA9" s="6419"/>
      <c r="AB9" s="6419"/>
      <c r="AC9" s="8353"/>
      <c r="AD9" s="8357" t="s">
        <v>3384</v>
      </c>
      <c r="AE9" s="8354"/>
      <c r="AF9" s="8355"/>
      <c r="AG9" s="8356" t="s">
        <v>3539</v>
      </c>
      <c r="AH9" s="6419"/>
      <c r="AI9" s="6419"/>
      <c r="AJ9" s="6419"/>
      <c r="AK9" s="6419"/>
      <c r="AL9" s="8352"/>
    </row>
    <row r="10" spans="1:38" s="102" customFormat="1" ht="15" customHeight="1" x14ac:dyDescent="0.2">
      <c r="B10" s="7108"/>
      <c r="C10" s="8354" t="s">
        <v>3735</v>
      </c>
      <c r="D10" s="8361"/>
      <c r="E10" s="8362" t="s">
        <v>4</v>
      </c>
      <c r="F10" s="8361"/>
      <c r="G10" s="8362" t="s">
        <v>3540</v>
      </c>
      <c r="H10" s="8361"/>
      <c r="I10" s="8354" t="s">
        <v>3735</v>
      </c>
      <c r="J10" s="8361"/>
      <c r="K10" s="8362" t="s">
        <v>4</v>
      </c>
      <c r="L10" s="8361"/>
      <c r="M10" s="8362" t="s">
        <v>3540</v>
      </c>
      <c r="N10" s="8361"/>
      <c r="O10" s="8362" t="s">
        <v>3735</v>
      </c>
      <c r="P10" s="8361"/>
      <c r="Q10" s="8362" t="s">
        <v>4</v>
      </c>
      <c r="R10" s="8361"/>
      <c r="S10" s="8362" t="s">
        <v>3540</v>
      </c>
      <c r="T10" s="8355"/>
      <c r="U10" s="8358" t="s">
        <v>948</v>
      </c>
      <c r="V10" s="8360" t="s">
        <v>702</v>
      </c>
      <c r="W10" s="8353"/>
      <c r="X10" s="8357" t="s">
        <v>3735</v>
      </c>
      <c r="Y10" s="8361"/>
      <c r="Z10" s="8354" t="s">
        <v>4</v>
      </c>
      <c r="AA10" s="8361"/>
      <c r="AB10" s="8362" t="s">
        <v>3540</v>
      </c>
      <c r="AC10" s="8361"/>
      <c r="AD10" s="8363" t="s">
        <v>948</v>
      </c>
      <c r="AE10" s="8360" t="s">
        <v>702</v>
      </c>
      <c r="AF10" s="8353"/>
      <c r="AG10" s="8354" t="s">
        <v>3735</v>
      </c>
      <c r="AH10" s="8361"/>
      <c r="AI10" s="8362" t="s">
        <v>4</v>
      </c>
      <c r="AJ10" s="8361"/>
      <c r="AK10" s="8362" t="s">
        <v>3540</v>
      </c>
      <c r="AL10" s="8361"/>
    </row>
    <row r="11" spans="1:38" s="102" customFormat="1" ht="15" customHeight="1" x14ac:dyDescent="0.2">
      <c r="B11" s="6362"/>
      <c r="C11" s="4132" t="s">
        <v>22</v>
      </c>
      <c r="D11" s="4133" t="s">
        <v>27</v>
      </c>
      <c r="E11" s="4134" t="s">
        <v>22</v>
      </c>
      <c r="F11" s="4133" t="s">
        <v>27</v>
      </c>
      <c r="G11" s="4134" t="s">
        <v>22</v>
      </c>
      <c r="H11" s="4133" t="s">
        <v>27</v>
      </c>
      <c r="I11" s="4134" t="s">
        <v>22</v>
      </c>
      <c r="J11" s="4133" t="s">
        <v>27</v>
      </c>
      <c r="K11" s="4134" t="s">
        <v>22</v>
      </c>
      <c r="L11" s="4133" t="s">
        <v>27</v>
      </c>
      <c r="M11" s="4134" t="s">
        <v>22</v>
      </c>
      <c r="N11" s="4133" t="s">
        <v>27</v>
      </c>
      <c r="O11" s="4134" t="s">
        <v>22</v>
      </c>
      <c r="P11" s="4133" t="s">
        <v>27</v>
      </c>
      <c r="Q11" s="4134" t="s">
        <v>22</v>
      </c>
      <c r="R11" s="4133" t="s">
        <v>27</v>
      </c>
      <c r="S11" s="4134" t="s">
        <v>22</v>
      </c>
      <c r="T11" s="4135" t="s">
        <v>27</v>
      </c>
      <c r="U11" s="8359"/>
      <c r="V11" s="4136" t="s">
        <v>950</v>
      </c>
      <c r="W11" s="4137" t="s">
        <v>951</v>
      </c>
      <c r="X11" s="4138" t="s">
        <v>22</v>
      </c>
      <c r="Y11" s="4133" t="s">
        <v>27</v>
      </c>
      <c r="Z11" s="4132" t="s">
        <v>22</v>
      </c>
      <c r="AA11" s="4133" t="s">
        <v>27</v>
      </c>
      <c r="AB11" s="4134" t="s">
        <v>22</v>
      </c>
      <c r="AC11" s="4135" t="s">
        <v>27</v>
      </c>
      <c r="AD11" s="6638"/>
      <c r="AE11" s="4136" t="s">
        <v>950</v>
      </c>
      <c r="AF11" s="4137" t="s">
        <v>951</v>
      </c>
      <c r="AG11" s="4138" t="s">
        <v>22</v>
      </c>
      <c r="AH11" s="4133" t="s">
        <v>27</v>
      </c>
      <c r="AI11" s="4132" t="s">
        <v>22</v>
      </c>
      <c r="AJ11" s="4133" t="s">
        <v>27</v>
      </c>
      <c r="AK11" s="4134" t="s">
        <v>22</v>
      </c>
      <c r="AL11" s="4133" t="s">
        <v>27</v>
      </c>
    </row>
    <row r="12" spans="1:38" s="102" customFormat="1" ht="15" customHeight="1" x14ac:dyDescent="0.25">
      <c r="A12" s="6238"/>
      <c r="B12" s="4139" t="s">
        <v>24</v>
      </c>
      <c r="C12" s="583">
        <f t="shared" ref="C12:AL12" si="0">SUM(C13:C72)</f>
        <v>0</v>
      </c>
      <c r="D12" s="3349">
        <f t="shared" si="0"/>
        <v>0</v>
      </c>
      <c r="E12" s="120">
        <f t="shared" si="0"/>
        <v>0</v>
      </c>
      <c r="F12" s="3349">
        <f t="shared" si="0"/>
        <v>0</v>
      </c>
      <c r="G12" s="120">
        <f>SUM(G13:G72)</f>
        <v>0</v>
      </c>
      <c r="H12" s="3349">
        <f>SUM(H13:H72)</f>
        <v>0</v>
      </c>
      <c r="I12" s="120">
        <f>SUM(I13:I72)</f>
        <v>0</v>
      </c>
      <c r="J12" s="3349">
        <f>SUM(J13:J72)</f>
        <v>0</v>
      </c>
      <c r="K12" s="120">
        <f t="shared" si="0"/>
        <v>0</v>
      </c>
      <c r="L12" s="3349">
        <f t="shared" si="0"/>
        <v>0</v>
      </c>
      <c r="M12" s="120">
        <f t="shared" si="0"/>
        <v>0</v>
      </c>
      <c r="N12" s="3349">
        <f t="shared" si="0"/>
        <v>0</v>
      </c>
      <c r="O12" s="120">
        <f>SUM(O13:O72)</f>
        <v>0</v>
      </c>
      <c r="P12" s="3349">
        <f>SUM(P13:P72)</f>
        <v>0</v>
      </c>
      <c r="Q12" s="583">
        <f>SUM(Q13:Q72)</f>
        <v>0</v>
      </c>
      <c r="R12" s="3349">
        <f t="shared" si="0"/>
        <v>0</v>
      </c>
      <c r="S12" s="120">
        <f t="shared" si="0"/>
        <v>0</v>
      </c>
      <c r="T12" s="4140">
        <f t="shared" si="0"/>
        <v>0</v>
      </c>
      <c r="U12" s="4141">
        <f t="shared" si="0"/>
        <v>0</v>
      </c>
      <c r="V12" s="583">
        <f t="shared" si="0"/>
        <v>0</v>
      </c>
      <c r="W12" s="3368">
        <f t="shared" si="0"/>
        <v>0</v>
      </c>
      <c r="X12" s="4142">
        <f>SUM(X13:X72)</f>
        <v>0</v>
      </c>
      <c r="Y12" s="3349">
        <f>SUM(Y13:Y72)</f>
        <v>0</v>
      </c>
      <c r="Z12" s="583">
        <f t="shared" si="0"/>
        <v>0</v>
      </c>
      <c r="AA12" s="3349">
        <f t="shared" si="0"/>
        <v>0</v>
      </c>
      <c r="AB12" s="120">
        <f t="shared" si="0"/>
        <v>0</v>
      </c>
      <c r="AC12" s="4140">
        <f t="shared" si="0"/>
        <v>0</v>
      </c>
      <c r="AD12" s="4143">
        <f t="shared" si="0"/>
        <v>0</v>
      </c>
      <c r="AE12" s="583">
        <f t="shared" si="0"/>
        <v>0</v>
      </c>
      <c r="AF12" s="3368">
        <f t="shared" si="0"/>
        <v>0</v>
      </c>
      <c r="AG12" s="4142">
        <f>SUM(AG13:AG72)</f>
        <v>0</v>
      </c>
      <c r="AH12" s="3349">
        <f>SUM(AH13:AH72)</f>
        <v>0</v>
      </c>
      <c r="AI12" s="583">
        <f t="shared" si="0"/>
        <v>0</v>
      </c>
      <c r="AJ12" s="3349">
        <f t="shared" si="0"/>
        <v>0</v>
      </c>
      <c r="AK12" s="120">
        <f t="shared" si="0"/>
        <v>0</v>
      </c>
      <c r="AL12" s="3349">
        <f t="shared" si="0"/>
        <v>0</v>
      </c>
    </row>
    <row r="13" spans="1:38" s="102" customFormat="1" ht="15" customHeight="1" x14ac:dyDescent="0.2">
      <c r="A13" s="6296">
        <v>30000000</v>
      </c>
      <c r="B13" s="1939" t="s">
        <v>224</v>
      </c>
      <c r="C13" s="4144" t="s">
        <v>5292</v>
      </c>
      <c r="D13" s="3790" t="s">
        <v>5293</v>
      </c>
      <c r="E13" s="4144" t="s">
        <v>5294</v>
      </c>
      <c r="F13" s="3790" t="s">
        <v>5295</v>
      </c>
      <c r="G13" s="4144" t="s">
        <v>5296</v>
      </c>
      <c r="H13" s="3790" t="s">
        <v>5297</v>
      </c>
      <c r="I13" s="4144" t="s">
        <v>5298</v>
      </c>
      <c r="J13" s="3790" t="s">
        <v>5299</v>
      </c>
      <c r="K13" s="4144" t="s">
        <v>5300</v>
      </c>
      <c r="L13" s="3790" t="s">
        <v>5301</v>
      </c>
      <c r="M13" s="4144" t="s">
        <v>5302</v>
      </c>
      <c r="N13" s="3790" t="s">
        <v>5303</v>
      </c>
      <c r="O13" s="4145" t="s">
        <v>5304</v>
      </c>
      <c r="P13" s="4146" t="s">
        <v>5305</v>
      </c>
      <c r="Q13" s="4145" t="s">
        <v>5306</v>
      </c>
      <c r="R13" s="4146" t="s">
        <v>5307</v>
      </c>
      <c r="S13" s="4147" t="s">
        <v>5308</v>
      </c>
      <c r="T13" s="4148" t="s">
        <v>5309</v>
      </c>
      <c r="U13" s="4149" t="s">
        <v>5310</v>
      </c>
      <c r="V13" s="4150" t="s">
        <v>5311</v>
      </c>
      <c r="W13" s="3790" t="s">
        <v>5312</v>
      </c>
      <c r="X13" s="4149" t="s">
        <v>5313</v>
      </c>
      <c r="Y13" s="3790" t="s">
        <v>5314</v>
      </c>
      <c r="Z13" s="4151" t="s">
        <v>5315</v>
      </c>
      <c r="AA13" s="3790" t="s">
        <v>5316</v>
      </c>
      <c r="AB13" s="4144" t="s">
        <v>5317</v>
      </c>
      <c r="AC13" s="3791" t="s">
        <v>5318</v>
      </c>
      <c r="AD13" s="4149" t="s">
        <v>5319</v>
      </c>
      <c r="AE13" s="4150" t="s">
        <v>5320</v>
      </c>
      <c r="AF13" s="3790" t="s">
        <v>5321</v>
      </c>
      <c r="AG13" s="4152" t="s">
        <v>5322</v>
      </c>
      <c r="AH13" s="4153" t="s">
        <v>5323</v>
      </c>
      <c r="AI13" s="4154" t="s">
        <v>5324</v>
      </c>
      <c r="AJ13" s="4153" t="s">
        <v>5325</v>
      </c>
      <c r="AK13" s="4155" t="s">
        <v>5326</v>
      </c>
      <c r="AL13" s="4153" t="s">
        <v>5327</v>
      </c>
    </row>
    <row r="14" spans="1:38" s="102" customFormat="1" ht="15" customHeight="1" x14ac:dyDescent="0.2">
      <c r="A14" s="6296">
        <v>30000001</v>
      </c>
      <c r="B14" s="3381" t="s">
        <v>952</v>
      </c>
      <c r="C14" s="90" t="s">
        <v>5292</v>
      </c>
      <c r="D14" s="92" t="s">
        <v>5293</v>
      </c>
      <c r="E14" s="90" t="s">
        <v>5294</v>
      </c>
      <c r="F14" s="92" t="s">
        <v>5295</v>
      </c>
      <c r="G14" s="90" t="s">
        <v>5296</v>
      </c>
      <c r="H14" s="92" t="s">
        <v>5297</v>
      </c>
      <c r="I14" s="90" t="s">
        <v>5298</v>
      </c>
      <c r="J14" s="92" t="s">
        <v>5299</v>
      </c>
      <c r="K14" s="90" t="s">
        <v>5300</v>
      </c>
      <c r="L14" s="92" t="s">
        <v>5301</v>
      </c>
      <c r="M14" s="90" t="s">
        <v>5302</v>
      </c>
      <c r="N14" s="92" t="s">
        <v>5303</v>
      </c>
      <c r="O14" s="3309" t="s">
        <v>5304</v>
      </c>
      <c r="P14" s="3353" t="s">
        <v>5305</v>
      </c>
      <c r="Q14" s="3309" t="s">
        <v>5306</v>
      </c>
      <c r="R14" s="3353" t="s">
        <v>5307</v>
      </c>
      <c r="S14" s="3308" t="s">
        <v>5308</v>
      </c>
      <c r="T14" s="4156" t="s">
        <v>5309</v>
      </c>
      <c r="U14" s="2833" t="s">
        <v>5310</v>
      </c>
      <c r="V14" s="1967" t="s">
        <v>5311</v>
      </c>
      <c r="W14" s="92" t="s">
        <v>5312</v>
      </c>
      <c r="X14" s="2833" t="s">
        <v>5313</v>
      </c>
      <c r="Y14" s="92" t="s">
        <v>5314</v>
      </c>
      <c r="Z14" s="129" t="s">
        <v>5315</v>
      </c>
      <c r="AA14" s="92" t="s">
        <v>5316</v>
      </c>
      <c r="AB14" s="90" t="s">
        <v>5317</v>
      </c>
      <c r="AC14" s="94" t="s">
        <v>5318</v>
      </c>
      <c r="AD14" s="2833" t="s">
        <v>5319</v>
      </c>
      <c r="AE14" s="1967" t="s">
        <v>5320</v>
      </c>
      <c r="AF14" s="92" t="s">
        <v>5321</v>
      </c>
      <c r="AG14" s="4157" t="s">
        <v>5322</v>
      </c>
      <c r="AH14" s="4158" t="s">
        <v>5323</v>
      </c>
      <c r="AI14" s="4159" t="s">
        <v>5324</v>
      </c>
      <c r="AJ14" s="4158" t="s">
        <v>5325</v>
      </c>
      <c r="AK14" s="4160" t="s">
        <v>5326</v>
      </c>
      <c r="AL14" s="4158" t="s">
        <v>5327</v>
      </c>
    </row>
    <row r="15" spans="1:38" s="102" customFormat="1" ht="15" customHeight="1" x14ac:dyDescent="0.2">
      <c r="A15" s="6296">
        <v>30000002</v>
      </c>
      <c r="B15" s="3381" t="s">
        <v>226</v>
      </c>
      <c r="C15" s="90" t="s">
        <v>5292</v>
      </c>
      <c r="D15" s="92" t="s">
        <v>5293</v>
      </c>
      <c r="E15" s="90" t="s">
        <v>5294</v>
      </c>
      <c r="F15" s="92" t="s">
        <v>5295</v>
      </c>
      <c r="G15" s="90" t="s">
        <v>5296</v>
      </c>
      <c r="H15" s="92" t="s">
        <v>5297</v>
      </c>
      <c r="I15" s="90" t="s">
        <v>5298</v>
      </c>
      <c r="J15" s="92" t="s">
        <v>5299</v>
      </c>
      <c r="K15" s="90" t="s">
        <v>5300</v>
      </c>
      <c r="L15" s="92" t="s">
        <v>5301</v>
      </c>
      <c r="M15" s="90" t="s">
        <v>5302</v>
      </c>
      <c r="N15" s="92" t="s">
        <v>5303</v>
      </c>
      <c r="O15" s="3309" t="s">
        <v>5304</v>
      </c>
      <c r="P15" s="3353" t="s">
        <v>5305</v>
      </c>
      <c r="Q15" s="3309" t="s">
        <v>5306</v>
      </c>
      <c r="R15" s="3353" t="s">
        <v>5307</v>
      </c>
      <c r="S15" s="3308" t="s">
        <v>5308</v>
      </c>
      <c r="T15" s="4156" t="s">
        <v>5309</v>
      </c>
      <c r="U15" s="2833" t="s">
        <v>5310</v>
      </c>
      <c r="V15" s="1967" t="s">
        <v>5311</v>
      </c>
      <c r="W15" s="92" t="s">
        <v>5312</v>
      </c>
      <c r="X15" s="2833" t="s">
        <v>5313</v>
      </c>
      <c r="Y15" s="92" t="s">
        <v>5314</v>
      </c>
      <c r="Z15" s="129" t="s">
        <v>5315</v>
      </c>
      <c r="AA15" s="92" t="s">
        <v>5316</v>
      </c>
      <c r="AB15" s="90" t="s">
        <v>5317</v>
      </c>
      <c r="AC15" s="94" t="s">
        <v>5318</v>
      </c>
      <c r="AD15" s="2833" t="s">
        <v>5319</v>
      </c>
      <c r="AE15" s="1967" t="s">
        <v>5320</v>
      </c>
      <c r="AF15" s="92" t="s">
        <v>5321</v>
      </c>
      <c r="AG15" s="4157" t="s">
        <v>5322</v>
      </c>
      <c r="AH15" s="4158" t="s">
        <v>5323</v>
      </c>
      <c r="AI15" s="4159" t="s">
        <v>5324</v>
      </c>
      <c r="AJ15" s="4158" t="s">
        <v>5325</v>
      </c>
      <c r="AK15" s="4160" t="s">
        <v>5326</v>
      </c>
      <c r="AL15" s="4158" t="s">
        <v>5327</v>
      </c>
    </row>
    <row r="16" spans="1:38" s="102" customFormat="1" ht="15" customHeight="1" x14ac:dyDescent="0.2">
      <c r="A16" s="6296">
        <v>30000003</v>
      </c>
      <c r="B16" s="3381" t="s">
        <v>3541</v>
      </c>
      <c r="C16" s="90" t="s">
        <v>5292</v>
      </c>
      <c r="D16" s="92" t="s">
        <v>5293</v>
      </c>
      <c r="E16" s="90" t="s">
        <v>5294</v>
      </c>
      <c r="F16" s="92" t="s">
        <v>5295</v>
      </c>
      <c r="G16" s="90" t="s">
        <v>5296</v>
      </c>
      <c r="H16" s="92" t="s">
        <v>5297</v>
      </c>
      <c r="I16" s="90" t="s">
        <v>5298</v>
      </c>
      <c r="J16" s="92" t="s">
        <v>5299</v>
      </c>
      <c r="K16" s="90" t="s">
        <v>5300</v>
      </c>
      <c r="L16" s="92" t="s">
        <v>5301</v>
      </c>
      <c r="M16" s="90" t="s">
        <v>5302</v>
      </c>
      <c r="N16" s="92" t="s">
        <v>5303</v>
      </c>
      <c r="O16" s="3309" t="s">
        <v>5304</v>
      </c>
      <c r="P16" s="3353" t="s">
        <v>5305</v>
      </c>
      <c r="Q16" s="3309" t="s">
        <v>5306</v>
      </c>
      <c r="R16" s="3353" t="s">
        <v>5307</v>
      </c>
      <c r="S16" s="3308" t="s">
        <v>5308</v>
      </c>
      <c r="T16" s="4156" t="s">
        <v>5309</v>
      </c>
      <c r="U16" s="2833" t="s">
        <v>5310</v>
      </c>
      <c r="V16" s="1967" t="s">
        <v>5311</v>
      </c>
      <c r="W16" s="92" t="s">
        <v>5312</v>
      </c>
      <c r="X16" s="2833" t="s">
        <v>5313</v>
      </c>
      <c r="Y16" s="92" t="s">
        <v>5314</v>
      </c>
      <c r="Z16" s="129" t="s">
        <v>5315</v>
      </c>
      <c r="AA16" s="92" t="s">
        <v>5316</v>
      </c>
      <c r="AB16" s="90" t="s">
        <v>5317</v>
      </c>
      <c r="AC16" s="94" t="s">
        <v>5318</v>
      </c>
      <c r="AD16" s="2833" t="s">
        <v>5319</v>
      </c>
      <c r="AE16" s="1967" t="s">
        <v>5320</v>
      </c>
      <c r="AF16" s="92" t="s">
        <v>5321</v>
      </c>
      <c r="AG16" s="4157" t="s">
        <v>5322</v>
      </c>
      <c r="AH16" s="4158" t="s">
        <v>5323</v>
      </c>
      <c r="AI16" s="4159" t="s">
        <v>5324</v>
      </c>
      <c r="AJ16" s="4158" t="s">
        <v>5325</v>
      </c>
      <c r="AK16" s="4160" t="s">
        <v>5326</v>
      </c>
      <c r="AL16" s="4158" t="s">
        <v>5327</v>
      </c>
    </row>
    <row r="17" spans="1:38" s="102" customFormat="1" ht="15" customHeight="1" x14ac:dyDescent="0.2">
      <c r="A17" s="6296">
        <v>30000004</v>
      </c>
      <c r="B17" s="3381" t="s">
        <v>953</v>
      </c>
      <c r="C17" s="90" t="s">
        <v>5292</v>
      </c>
      <c r="D17" s="92" t="s">
        <v>5293</v>
      </c>
      <c r="E17" s="90" t="s">
        <v>5294</v>
      </c>
      <c r="F17" s="92" t="s">
        <v>5295</v>
      </c>
      <c r="G17" s="90" t="s">
        <v>5296</v>
      </c>
      <c r="H17" s="92" t="s">
        <v>5297</v>
      </c>
      <c r="I17" s="90" t="s">
        <v>5298</v>
      </c>
      <c r="J17" s="92" t="s">
        <v>5299</v>
      </c>
      <c r="K17" s="90" t="s">
        <v>5300</v>
      </c>
      <c r="L17" s="92" t="s">
        <v>5301</v>
      </c>
      <c r="M17" s="90" t="s">
        <v>5302</v>
      </c>
      <c r="N17" s="92" t="s">
        <v>5303</v>
      </c>
      <c r="O17" s="3309" t="s">
        <v>5304</v>
      </c>
      <c r="P17" s="3353" t="s">
        <v>5305</v>
      </c>
      <c r="Q17" s="3309" t="s">
        <v>5306</v>
      </c>
      <c r="R17" s="3353" t="s">
        <v>5307</v>
      </c>
      <c r="S17" s="3308" t="s">
        <v>5308</v>
      </c>
      <c r="T17" s="4156" t="s">
        <v>5309</v>
      </c>
      <c r="U17" s="2833" t="s">
        <v>5310</v>
      </c>
      <c r="V17" s="1967" t="s">
        <v>5311</v>
      </c>
      <c r="W17" s="92" t="s">
        <v>5312</v>
      </c>
      <c r="X17" s="2833" t="s">
        <v>5313</v>
      </c>
      <c r="Y17" s="92" t="s">
        <v>5314</v>
      </c>
      <c r="Z17" s="129" t="s">
        <v>5315</v>
      </c>
      <c r="AA17" s="92" t="s">
        <v>5316</v>
      </c>
      <c r="AB17" s="90" t="s">
        <v>5317</v>
      </c>
      <c r="AC17" s="94" t="s">
        <v>5318</v>
      </c>
      <c r="AD17" s="2833" t="s">
        <v>5319</v>
      </c>
      <c r="AE17" s="1967" t="s">
        <v>5320</v>
      </c>
      <c r="AF17" s="92" t="s">
        <v>5321</v>
      </c>
      <c r="AG17" s="4157" t="s">
        <v>5322</v>
      </c>
      <c r="AH17" s="4158" t="s">
        <v>5323</v>
      </c>
      <c r="AI17" s="4159" t="s">
        <v>5324</v>
      </c>
      <c r="AJ17" s="4158" t="s">
        <v>5325</v>
      </c>
      <c r="AK17" s="4160" t="s">
        <v>5326</v>
      </c>
      <c r="AL17" s="4158" t="s">
        <v>5327</v>
      </c>
    </row>
    <row r="18" spans="1:38" s="102" customFormat="1" ht="15" customHeight="1" x14ac:dyDescent="0.2">
      <c r="A18" s="6296">
        <v>30000005</v>
      </c>
      <c r="B18" s="3381" t="s">
        <v>954</v>
      </c>
      <c r="C18" s="90" t="s">
        <v>5292</v>
      </c>
      <c r="D18" s="92" t="s">
        <v>5293</v>
      </c>
      <c r="E18" s="90" t="s">
        <v>5294</v>
      </c>
      <c r="F18" s="92" t="s">
        <v>5295</v>
      </c>
      <c r="G18" s="90" t="s">
        <v>5296</v>
      </c>
      <c r="H18" s="92" t="s">
        <v>5297</v>
      </c>
      <c r="I18" s="90" t="s">
        <v>5298</v>
      </c>
      <c r="J18" s="92" t="s">
        <v>5299</v>
      </c>
      <c r="K18" s="90" t="s">
        <v>5300</v>
      </c>
      <c r="L18" s="92" t="s">
        <v>5301</v>
      </c>
      <c r="M18" s="90" t="s">
        <v>5302</v>
      </c>
      <c r="N18" s="92" t="s">
        <v>5303</v>
      </c>
      <c r="O18" s="3309" t="s">
        <v>5304</v>
      </c>
      <c r="P18" s="3353" t="s">
        <v>5305</v>
      </c>
      <c r="Q18" s="3309" t="s">
        <v>5306</v>
      </c>
      <c r="R18" s="3353" t="s">
        <v>5307</v>
      </c>
      <c r="S18" s="3308" t="s">
        <v>5308</v>
      </c>
      <c r="T18" s="4156" t="s">
        <v>5309</v>
      </c>
      <c r="U18" s="2833" t="s">
        <v>5310</v>
      </c>
      <c r="V18" s="1967" t="s">
        <v>5311</v>
      </c>
      <c r="W18" s="92" t="s">
        <v>5312</v>
      </c>
      <c r="X18" s="2833" t="s">
        <v>5313</v>
      </c>
      <c r="Y18" s="92" t="s">
        <v>5314</v>
      </c>
      <c r="Z18" s="129" t="s">
        <v>5315</v>
      </c>
      <c r="AA18" s="92" t="s">
        <v>5316</v>
      </c>
      <c r="AB18" s="90" t="s">
        <v>5317</v>
      </c>
      <c r="AC18" s="94" t="s">
        <v>5318</v>
      </c>
      <c r="AD18" s="2833" t="s">
        <v>5319</v>
      </c>
      <c r="AE18" s="1967" t="s">
        <v>5320</v>
      </c>
      <c r="AF18" s="92" t="s">
        <v>5321</v>
      </c>
      <c r="AG18" s="4157" t="s">
        <v>5322</v>
      </c>
      <c r="AH18" s="4158" t="s">
        <v>5323</v>
      </c>
      <c r="AI18" s="4159" t="s">
        <v>5324</v>
      </c>
      <c r="AJ18" s="4158" t="s">
        <v>5325</v>
      </c>
      <c r="AK18" s="4160" t="s">
        <v>5326</v>
      </c>
      <c r="AL18" s="4158" t="s">
        <v>5327</v>
      </c>
    </row>
    <row r="19" spans="1:38" s="102" customFormat="1" ht="15" customHeight="1" x14ac:dyDescent="0.2">
      <c r="A19" s="6296">
        <v>30000006</v>
      </c>
      <c r="B19" s="3381" t="s">
        <v>955</v>
      </c>
      <c r="C19" s="90" t="s">
        <v>5292</v>
      </c>
      <c r="D19" s="92" t="s">
        <v>5293</v>
      </c>
      <c r="E19" s="90" t="s">
        <v>5294</v>
      </c>
      <c r="F19" s="92" t="s">
        <v>5295</v>
      </c>
      <c r="G19" s="90" t="s">
        <v>5296</v>
      </c>
      <c r="H19" s="92" t="s">
        <v>5297</v>
      </c>
      <c r="I19" s="90" t="s">
        <v>5298</v>
      </c>
      <c r="J19" s="92" t="s">
        <v>5299</v>
      </c>
      <c r="K19" s="90" t="s">
        <v>5300</v>
      </c>
      <c r="L19" s="92" t="s">
        <v>5301</v>
      </c>
      <c r="M19" s="90" t="s">
        <v>5302</v>
      </c>
      <c r="N19" s="92" t="s">
        <v>5303</v>
      </c>
      <c r="O19" s="3309" t="s">
        <v>5304</v>
      </c>
      <c r="P19" s="3353" t="s">
        <v>5305</v>
      </c>
      <c r="Q19" s="3309" t="s">
        <v>5306</v>
      </c>
      <c r="R19" s="3353" t="s">
        <v>5307</v>
      </c>
      <c r="S19" s="3308" t="s">
        <v>5308</v>
      </c>
      <c r="T19" s="4156" t="s">
        <v>5309</v>
      </c>
      <c r="U19" s="2833" t="s">
        <v>5310</v>
      </c>
      <c r="V19" s="1967" t="s">
        <v>5311</v>
      </c>
      <c r="W19" s="92" t="s">
        <v>5312</v>
      </c>
      <c r="X19" s="2833" t="s">
        <v>5313</v>
      </c>
      <c r="Y19" s="92" t="s">
        <v>5314</v>
      </c>
      <c r="Z19" s="129" t="s">
        <v>5315</v>
      </c>
      <c r="AA19" s="92" t="s">
        <v>5316</v>
      </c>
      <c r="AB19" s="90" t="s">
        <v>5317</v>
      </c>
      <c r="AC19" s="94" t="s">
        <v>5318</v>
      </c>
      <c r="AD19" s="2833" t="s">
        <v>5319</v>
      </c>
      <c r="AE19" s="1967" t="s">
        <v>5320</v>
      </c>
      <c r="AF19" s="92" t="s">
        <v>5321</v>
      </c>
      <c r="AG19" s="4157" t="s">
        <v>5322</v>
      </c>
      <c r="AH19" s="4158" t="s">
        <v>5323</v>
      </c>
      <c r="AI19" s="4159" t="s">
        <v>5324</v>
      </c>
      <c r="AJ19" s="4158" t="s">
        <v>5325</v>
      </c>
      <c r="AK19" s="4160" t="s">
        <v>5326</v>
      </c>
      <c r="AL19" s="4158" t="s">
        <v>5327</v>
      </c>
    </row>
    <row r="20" spans="1:38" s="102" customFormat="1" ht="15" customHeight="1" x14ac:dyDescent="0.2">
      <c r="A20" s="6296">
        <v>30000007</v>
      </c>
      <c r="B20" s="3381" t="s">
        <v>956</v>
      </c>
      <c r="C20" s="90" t="s">
        <v>5292</v>
      </c>
      <c r="D20" s="92" t="s">
        <v>5293</v>
      </c>
      <c r="E20" s="90" t="s">
        <v>5294</v>
      </c>
      <c r="F20" s="92" t="s">
        <v>5295</v>
      </c>
      <c r="G20" s="90" t="s">
        <v>5296</v>
      </c>
      <c r="H20" s="92" t="s">
        <v>5297</v>
      </c>
      <c r="I20" s="90" t="s">
        <v>5298</v>
      </c>
      <c r="J20" s="92" t="s">
        <v>5299</v>
      </c>
      <c r="K20" s="90" t="s">
        <v>5300</v>
      </c>
      <c r="L20" s="92" t="s">
        <v>5301</v>
      </c>
      <c r="M20" s="90" t="s">
        <v>5302</v>
      </c>
      <c r="N20" s="92" t="s">
        <v>5303</v>
      </c>
      <c r="O20" s="3309" t="s">
        <v>5304</v>
      </c>
      <c r="P20" s="3353" t="s">
        <v>5305</v>
      </c>
      <c r="Q20" s="3309" t="s">
        <v>5306</v>
      </c>
      <c r="R20" s="3353" t="s">
        <v>5307</v>
      </c>
      <c r="S20" s="3308" t="s">
        <v>5308</v>
      </c>
      <c r="T20" s="4156" t="s">
        <v>5309</v>
      </c>
      <c r="U20" s="2833" t="s">
        <v>5310</v>
      </c>
      <c r="V20" s="1967" t="s">
        <v>5311</v>
      </c>
      <c r="W20" s="92" t="s">
        <v>5312</v>
      </c>
      <c r="X20" s="2833" t="s">
        <v>5313</v>
      </c>
      <c r="Y20" s="92" t="s">
        <v>5314</v>
      </c>
      <c r="Z20" s="129" t="s">
        <v>5315</v>
      </c>
      <c r="AA20" s="92" t="s">
        <v>5316</v>
      </c>
      <c r="AB20" s="90" t="s">
        <v>5317</v>
      </c>
      <c r="AC20" s="94" t="s">
        <v>5318</v>
      </c>
      <c r="AD20" s="2833" t="s">
        <v>5319</v>
      </c>
      <c r="AE20" s="1967" t="s">
        <v>5320</v>
      </c>
      <c r="AF20" s="92" t="s">
        <v>5321</v>
      </c>
      <c r="AG20" s="4157" t="s">
        <v>5322</v>
      </c>
      <c r="AH20" s="4158" t="s">
        <v>5323</v>
      </c>
      <c r="AI20" s="4159" t="s">
        <v>5324</v>
      </c>
      <c r="AJ20" s="4158" t="s">
        <v>5325</v>
      </c>
      <c r="AK20" s="4160" t="s">
        <v>5326</v>
      </c>
      <c r="AL20" s="4158" t="s">
        <v>5327</v>
      </c>
    </row>
    <row r="21" spans="1:38" s="102" customFormat="1" ht="15" customHeight="1" x14ac:dyDescent="0.2">
      <c r="A21" s="6296">
        <v>30000008</v>
      </c>
      <c r="B21" s="3381" t="s">
        <v>957</v>
      </c>
      <c r="C21" s="90" t="s">
        <v>5292</v>
      </c>
      <c r="D21" s="92" t="s">
        <v>5293</v>
      </c>
      <c r="E21" s="90" t="s">
        <v>5294</v>
      </c>
      <c r="F21" s="92" t="s">
        <v>5295</v>
      </c>
      <c r="G21" s="90" t="s">
        <v>5296</v>
      </c>
      <c r="H21" s="92" t="s">
        <v>5297</v>
      </c>
      <c r="I21" s="90" t="s">
        <v>5298</v>
      </c>
      <c r="J21" s="92" t="s">
        <v>5299</v>
      </c>
      <c r="K21" s="90" t="s">
        <v>5300</v>
      </c>
      <c r="L21" s="92" t="s">
        <v>5301</v>
      </c>
      <c r="M21" s="90" t="s">
        <v>5302</v>
      </c>
      <c r="N21" s="92" t="s">
        <v>5303</v>
      </c>
      <c r="O21" s="3309" t="s">
        <v>5304</v>
      </c>
      <c r="P21" s="3353" t="s">
        <v>5305</v>
      </c>
      <c r="Q21" s="3309" t="s">
        <v>5306</v>
      </c>
      <c r="R21" s="3353" t="s">
        <v>5307</v>
      </c>
      <c r="S21" s="3308" t="s">
        <v>5308</v>
      </c>
      <c r="T21" s="4156" t="s">
        <v>5309</v>
      </c>
      <c r="U21" s="2833" t="s">
        <v>5310</v>
      </c>
      <c r="V21" s="1967" t="s">
        <v>5311</v>
      </c>
      <c r="W21" s="92" t="s">
        <v>5312</v>
      </c>
      <c r="X21" s="2833" t="s">
        <v>5313</v>
      </c>
      <c r="Y21" s="92" t="s">
        <v>5314</v>
      </c>
      <c r="Z21" s="129" t="s">
        <v>5315</v>
      </c>
      <c r="AA21" s="92" t="s">
        <v>5316</v>
      </c>
      <c r="AB21" s="90" t="s">
        <v>5317</v>
      </c>
      <c r="AC21" s="94" t="s">
        <v>5318</v>
      </c>
      <c r="AD21" s="2833" t="s">
        <v>5319</v>
      </c>
      <c r="AE21" s="1967" t="s">
        <v>5320</v>
      </c>
      <c r="AF21" s="92" t="s">
        <v>5321</v>
      </c>
      <c r="AG21" s="4157" t="s">
        <v>5322</v>
      </c>
      <c r="AH21" s="4158" t="s">
        <v>5323</v>
      </c>
      <c r="AI21" s="4159" t="s">
        <v>5324</v>
      </c>
      <c r="AJ21" s="4158" t="s">
        <v>5325</v>
      </c>
      <c r="AK21" s="4160" t="s">
        <v>5326</v>
      </c>
      <c r="AL21" s="4158" t="s">
        <v>5327</v>
      </c>
    </row>
    <row r="22" spans="1:38" s="102" customFormat="1" ht="15" customHeight="1" x14ac:dyDescent="0.2">
      <c r="A22" s="6296">
        <v>30000009</v>
      </c>
      <c r="B22" s="3381" t="s">
        <v>958</v>
      </c>
      <c r="C22" s="90" t="s">
        <v>5292</v>
      </c>
      <c r="D22" s="92" t="s">
        <v>5293</v>
      </c>
      <c r="E22" s="90" t="s">
        <v>5294</v>
      </c>
      <c r="F22" s="92" t="s">
        <v>5295</v>
      </c>
      <c r="G22" s="90" t="s">
        <v>5296</v>
      </c>
      <c r="H22" s="92" t="s">
        <v>5297</v>
      </c>
      <c r="I22" s="90" t="s">
        <v>5298</v>
      </c>
      <c r="J22" s="92" t="s">
        <v>5299</v>
      </c>
      <c r="K22" s="90" t="s">
        <v>5300</v>
      </c>
      <c r="L22" s="92" t="s">
        <v>5301</v>
      </c>
      <c r="M22" s="90" t="s">
        <v>5302</v>
      </c>
      <c r="N22" s="92" t="s">
        <v>5303</v>
      </c>
      <c r="O22" s="3309" t="s">
        <v>5304</v>
      </c>
      <c r="P22" s="3353" t="s">
        <v>5305</v>
      </c>
      <c r="Q22" s="3309" t="s">
        <v>5306</v>
      </c>
      <c r="R22" s="3353" t="s">
        <v>5307</v>
      </c>
      <c r="S22" s="3308" t="s">
        <v>5308</v>
      </c>
      <c r="T22" s="4156" t="s">
        <v>5309</v>
      </c>
      <c r="U22" s="2833" t="s">
        <v>5310</v>
      </c>
      <c r="V22" s="1967" t="s">
        <v>5311</v>
      </c>
      <c r="W22" s="92" t="s">
        <v>5312</v>
      </c>
      <c r="X22" s="2833" t="s">
        <v>5313</v>
      </c>
      <c r="Y22" s="92" t="s">
        <v>5314</v>
      </c>
      <c r="Z22" s="129" t="s">
        <v>5315</v>
      </c>
      <c r="AA22" s="92" t="s">
        <v>5316</v>
      </c>
      <c r="AB22" s="90" t="s">
        <v>5317</v>
      </c>
      <c r="AC22" s="94" t="s">
        <v>5318</v>
      </c>
      <c r="AD22" s="2833" t="s">
        <v>5319</v>
      </c>
      <c r="AE22" s="1967" t="s">
        <v>5320</v>
      </c>
      <c r="AF22" s="92" t="s">
        <v>5321</v>
      </c>
      <c r="AG22" s="4157" t="s">
        <v>5322</v>
      </c>
      <c r="AH22" s="4158" t="s">
        <v>5323</v>
      </c>
      <c r="AI22" s="4159" t="s">
        <v>5324</v>
      </c>
      <c r="AJ22" s="4158" t="s">
        <v>5325</v>
      </c>
      <c r="AK22" s="4160" t="s">
        <v>5326</v>
      </c>
      <c r="AL22" s="4158" t="s">
        <v>5327</v>
      </c>
    </row>
    <row r="23" spans="1:38" s="102" customFormat="1" ht="15" customHeight="1" x14ac:dyDescent="0.2">
      <c r="A23" s="6296">
        <v>30000010</v>
      </c>
      <c r="B23" s="3381" t="s">
        <v>959</v>
      </c>
      <c r="C23" s="90" t="s">
        <v>5292</v>
      </c>
      <c r="D23" s="92" t="s">
        <v>5293</v>
      </c>
      <c r="E23" s="90" t="s">
        <v>5294</v>
      </c>
      <c r="F23" s="92" t="s">
        <v>5295</v>
      </c>
      <c r="G23" s="90" t="s">
        <v>5296</v>
      </c>
      <c r="H23" s="92" t="s">
        <v>5297</v>
      </c>
      <c r="I23" s="90" t="s">
        <v>5298</v>
      </c>
      <c r="J23" s="92" t="s">
        <v>5299</v>
      </c>
      <c r="K23" s="90" t="s">
        <v>5300</v>
      </c>
      <c r="L23" s="92" t="s">
        <v>5301</v>
      </c>
      <c r="M23" s="90" t="s">
        <v>5302</v>
      </c>
      <c r="N23" s="92" t="s">
        <v>5303</v>
      </c>
      <c r="O23" s="3309" t="s">
        <v>5304</v>
      </c>
      <c r="P23" s="3353" t="s">
        <v>5305</v>
      </c>
      <c r="Q23" s="3309" t="s">
        <v>5306</v>
      </c>
      <c r="R23" s="3353" t="s">
        <v>5307</v>
      </c>
      <c r="S23" s="3308" t="s">
        <v>5308</v>
      </c>
      <c r="T23" s="4156" t="s">
        <v>5309</v>
      </c>
      <c r="U23" s="2833" t="s">
        <v>5310</v>
      </c>
      <c r="V23" s="1967" t="s">
        <v>5311</v>
      </c>
      <c r="W23" s="92" t="s">
        <v>5312</v>
      </c>
      <c r="X23" s="2833" t="s">
        <v>5313</v>
      </c>
      <c r="Y23" s="92" t="s">
        <v>5314</v>
      </c>
      <c r="Z23" s="129" t="s">
        <v>5315</v>
      </c>
      <c r="AA23" s="92" t="s">
        <v>5316</v>
      </c>
      <c r="AB23" s="90" t="s">
        <v>5317</v>
      </c>
      <c r="AC23" s="94" t="s">
        <v>5318</v>
      </c>
      <c r="AD23" s="2833" t="s">
        <v>5319</v>
      </c>
      <c r="AE23" s="1967" t="s">
        <v>5320</v>
      </c>
      <c r="AF23" s="92" t="s">
        <v>5321</v>
      </c>
      <c r="AG23" s="4157" t="s">
        <v>5322</v>
      </c>
      <c r="AH23" s="4158" t="s">
        <v>5323</v>
      </c>
      <c r="AI23" s="4159" t="s">
        <v>5324</v>
      </c>
      <c r="AJ23" s="4158" t="s">
        <v>5325</v>
      </c>
      <c r="AK23" s="4160" t="s">
        <v>5326</v>
      </c>
      <c r="AL23" s="4158" t="s">
        <v>5327</v>
      </c>
    </row>
    <row r="24" spans="1:38" s="102" customFormat="1" ht="15" customHeight="1" x14ac:dyDescent="0.2">
      <c r="A24" s="6296">
        <v>30000011</v>
      </c>
      <c r="B24" s="3381" t="s">
        <v>960</v>
      </c>
      <c r="C24" s="90" t="s">
        <v>5292</v>
      </c>
      <c r="D24" s="92" t="s">
        <v>5293</v>
      </c>
      <c r="E24" s="90" t="s">
        <v>5294</v>
      </c>
      <c r="F24" s="92" t="s">
        <v>5295</v>
      </c>
      <c r="G24" s="90" t="s">
        <v>5296</v>
      </c>
      <c r="H24" s="92" t="s">
        <v>5297</v>
      </c>
      <c r="I24" s="90" t="s">
        <v>5298</v>
      </c>
      <c r="J24" s="92" t="s">
        <v>5299</v>
      </c>
      <c r="K24" s="90" t="s">
        <v>5300</v>
      </c>
      <c r="L24" s="92" t="s">
        <v>5301</v>
      </c>
      <c r="M24" s="90" t="s">
        <v>5302</v>
      </c>
      <c r="N24" s="92" t="s">
        <v>5303</v>
      </c>
      <c r="O24" s="3309" t="s">
        <v>5304</v>
      </c>
      <c r="P24" s="3353" t="s">
        <v>5305</v>
      </c>
      <c r="Q24" s="3309" t="s">
        <v>5306</v>
      </c>
      <c r="R24" s="3353" t="s">
        <v>5307</v>
      </c>
      <c r="S24" s="3308" t="s">
        <v>5308</v>
      </c>
      <c r="T24" s="4156" t="s">
        <v>5309</v>
      </c>
      <c r="U24" s="2833" t="s">
        <v>5310</v>
      </c>
      <c r="V24" s="1967" t="s">
        <v>5311</v>
      </c>
      <c r="W24" s="92" t="s">
        <v>5312</v>
      </c>
      <c r="X24" s="2833" t="s">
        <v>5313</v>
      </c>
      <c r="Y24" s="92" t="s">
        <v>5314</v>
      </c>
      <c r="Z24" s="129" t="s">
        <v>5315</v>
      </c>
      <c r="AA24" s="92" t="s">
        <v>5316</v>
      </c>
      <c r="AB24" s="90" t="s">
        <v>5317</v>
      </c>
      <c r="AC24" s="94" t="s">
        <v>5318</v>
      </c>
      <c r="AD24" s="2833" t="s">
        <v>5319</v>
      </c>
      <c r="AE24" s="1967" t="s">
        <v>5320</v>
      </c>
      <c r="AF24" s="92" t="s">
        <v>5321</v>
      </c>
      <c r="AG24" s="4157" t="s">
        <v>5322</v>
      </c>
      <c r="AH24" s="4158" t="s">
        <v>5323</v>
      </c>
      <c r="AI24" s="4159" t="s">
        <v>5324</v>
      </c>
      <c r="AJ24" s="4158" t="s">
        <v>5325</v>
      </c>
      <c r="AK24" s="4160" t="s">
        <v>5326</v>
      </c>
      <c r="AL24" s="4158" t="s">
        <v>5327</v>
      </c>
    </row>
    <row r="25" spans="1:38" s="102" customFormat="1" ht="15" customHeight="1" x14ac:dyDescent="0.2">
      <c r="A25" s="6296">
        <v>30000012</v>
      </c>
      <c r="B25" s="3381" t="s">
        <v>961</v>
      </c>
      <c r="C25" s="90" t="s">
        <v>5292</v>
      </c>
      <c r="D25" s="92" t="s">
        <v>5293</v>
      </c>
      <c r="E25" s="90" t="s">
        <v>5294</v>
      </c>
      <c r="F25" s="92" t="s">
        <v>5295</v>
      </c>
      <c r="G25" s="90" t="s">
        <v>5296</v>
      </c>
      <c r="H25" s="92" t="s">
        <v>5297</v>
      </c>
      <c r="I25" s="90" t="s">
        <v>5298</v>
      </c>
      <c r="J25" s="92" t="s">
        <v>5299</v>
      </c>
      <c r="K25" s="90" t="s">
        <v>5300</v>
      </c>
      <c r="L25" s="92" t="s">
        <v>5301</v>
      </c>
      <c r="M25" s="90" t="s">
        <v>5302</v>
      </c>
      <c r="N25" s="92" t="s">
        <v>5303</v>
      </c>
      <c r="O25" s="3309" t="s">
        <v>5304</v>
      </c>
      <c r="P25" s="3353" t="s">
        <v>5305</v>
      </c>
      <c r="Q25" s="3309" t="s">
        <v>5306</v>
      </c>
      <c r="R25" s="3353" t="s">
        <v>5307</v>
      </c>
      <c r="S25" s="3308" t="s">
        <v>5308</v>
      </c>
      <c r="T25" s="4156" t="s">
        <v>5309</v>
      </c>
      <c r="U25" s="2833" t="s">
        <v>5310</v>
      </c>
      <c r="V25" s="1967" t="s">
        <v>5311</v>
      </c>
      <c r="W25" s="92" t="s">
        <v>5312</v>
      </c>
      <c r="X25" s="2833" t="s">
        <v>5313</v>
      </c>
      <c r="Y25" s="92" t="s">
        <v>5314</v>
      </c>
      <c r="Z25" s="129" t="s">
        <v>5315</v>
      </c>
      <c r="AA25" s="92" t="s">
        <v>5316</v>
      </c>
      <c r="AB25" s="90" t="s">
        <v>5317</v>
      </c>
      <c r="AC25" s="94" t="s">
        <v>5318</v>
      </c>
      <c r="AD25" s="2833" t="s">
        <v>5319</v>
      </c>
      <c r="AE25" s="1967" t="s">
        <v>5320</v>
      </c>
      <c r="AF25" s="92" t="s">
        <v>5321</v>
      </c>
      <c r="AG25" s="4157" t="s">
        <v>5322</v>
      </c>
      <c r="AH25" s="4158" t="s">
        <v>5323</v>
      </c>
      <c r="AI25" s="4159" t="s">
        <v>5324</v>
      </c>
      <c r="AJ25" s="4158" t="s">
        <v>5325</v>
      </c>
      <c r="AK25" s="4160" t="s">
        <v>5326</v>
      </c>
      <c r="AL25" s="4158" t="s">
        <v>5327</v>
      </c>
    </row>
    <row r="26" spans="1:38" s="102" customFormat="1" ht="15" customHeight="1" x14ac:dyDescent="0.2">
      <c r="A26" s="6296">
        <v>30000013</v>
      </c>
      <c r="B26" s="3381" t="s">
        <v>962</v>
      </c>
      <c r="C26" s="90" t="s">
        <v>5292</v>
      </c>
      <c r="D26" s="92" t="s">
        <v>5293</v>
      </c>
      <c r="E26" s="90" t="s">
        <v>5294</v>
      </c>
      <c r="F26" s="92" t="s">
        <v>5295</v>
      </c>
      <c r="G26" s="90" t="s">
        <v>5296</v>
      </c>
      <c r="H26" s="92" t="s">
        <v>5297</v>
      </c>
      <c r="I26" s="90" t="s">
        <v>5298</v>
      </c>
      <c r="J26" s="92" t="s">
        <v>5299</v>
      </c>
      <c r="K26" s="90" t="s">
        <v>5300</v>
      </c>
      <c r="L26" s="92" t="s">
        <v>5301</v>
      </c>
      <c r="M26" s="90" t="s">
        <v>5302</v>
      </c>
      <c r="N26" s="92" t="s">
        <v>5303</v>
      </c>
      <c r="O26" s="3309" t="s">
        <v>5304</v>
      </c>
      <c r="P26" s="3353" t="s">
        <v>5305</v>
      </c>
      <c r="Q26" s="3309" t="s">
        <v>5306</v>
      </c>
      <c r="R26" s="3353" t="s">
        <v>5307</v>
      </c>
      <c r="S26" s="3308" t="s">
        <v>5308</v>
      </c>
      <c r="T26" s="4156" t="s">
        <v>5309</v>
      </c>
      <c r="U26" s="2833" t="s">
        <v>5310</v>
      </c>
      <c r="V26" s="1967" t="s">
        <v>5311</v>
      </c>
      <c r="W26" s="92" t="s">
        <v>5312</v>
      </c>
      <c r="X26" s="2833" t="s">
        <v>5313</v>
      </c>
      <c r="Y26" s="92" t="s">
        <v>5314</v>
      </c>
      <c r="Z26" s="129" t="s">
        <v>5315</v>
      </c>
      <c r="AA26" s="92" t="s">
        <v>5316</v>
      </c>
      <c r="AB26" s="90" t="s">
        <v>5317</v>
      </c>
      <c r="AC26" s="94" t="s">
        <v>5318</v>
      </c>
      <c r="AD26" s="2833" t="s">
        <v>5319</v>
      </c>
      <c r="AE26" s="1967" t="s">
        <v>5320</v>
      </c>
      <c r="AF26" s="92" t="s">
        <v>5321</v>
      </c>
      <c r="AG26" s="4157" t="s">
        <v>5322</v>
      </c>
      <c r="AH26" s="4158" t="s">
        <v>5323</v>
      </c>
      <c r="AI26" s="4159" t="s">
        <v>5324</v>
      </c>
      <c r="AJ26" s="4158" t="s">
        <v>5325</v>
      </c>
      <c r="AK26" s="4160" t="s">
        <v>5326</v>
      </c>
      <c r="AL26" s="4158" t="s">
        <v>5327</v>
      </c>
    </row>
    <row r="27" spans="1:38" s="102" customFormat="1" ht="15" customHeight="1" x14ac:dyDescent="0.2">
      <c r="A27" s="6296">
        <v>30000014</v>
      </c>
      <c r="B27" s="3381" t="s">
        <v>963</v>
      </c>
      <c r="C27" s="90" t="s">
        <v>5292</v>
      </c>
      <c r="D27" s="92" t="s">
        <v>5293</v>
      </c>
      <c r="E27" s="90" t="s">
        <v>5294</v>
      </c>
      <c r="F27" s="92" t="s">
        <v>5295</v>
      </c>
      <c r="G27" s="90" t="s">
        <v>5296</v>
      </c>
      <c r="H27" s="92" t="s">
        <v>5297</v>
      </c>
      <c r="I27" s="90" t="s">
        <v>5298</v>
      </c>
      <c r="J27" s="92" t="s">
        <v>5299</v>
      </c>
      <c r="K27" s="90" t="s">
        <v>5300</v>
      </c>
      <c r="L27" s="92" t="s">
        <v>5301</v>
      </c>
      <c r="M27" s="90" t="s">
        <v>5302</v>
      </c>
      <c r="N27" s="92" t="s">
        <v>5303</v>
      </c>
      <c r="O27" s="3309" t="s">
        <v>5304</v>
      </c>
      <c r="P27" s="3353" t="s">
        <v>5305</v>
      </c>
      <c r="Q27" s="3309" t="s">
        <v>5306</v>
      </c>
      <c r="R27" s="3353" t="s">
        <v>5307</v>
      </c>
      <c r="S27" s="3308" t="s">
        <v>5308</v>
      </c>
      <c r="T27" s="4156" t="s">
        <v>5309</v>
      </c>
      <c r="U27" s="2833" t="s">
        <v>5310</v>
      </c>
      <c r="V27" s="1967" t="s">
        <v>5311</v>
      </c>
      <c r="W27" s="92" t="s">
        <v>5312</v>
      </c>
      <c r="X27" s="2833" t="s">
        <v>5313</v>
      </c>
      <c r="Y27" s="92" t="s">
        <v>5314</v>
      </c>
      <c r="Z27" s="129" t="s">
        <v>5315</v>
      </c>
      <c r="AA27" s="92" t="s">
        <v>5316</v>
      </c>
      <c r="AB27" s="90" t="s">
        <v>5317</v>
      </c>
      <c r="AC27" s="94" t="s">
        <v>5318</v>
      </c>
      <c r="AD27" s="2833" t="s">
        <v>5319</v>
      </c>
      <c r="AE27" s="1967" t="s">
        <v>5320</v>
      </c>
      <c r="AF27" s="92" t="s">
        <v>5321</v>
      </c>
      <c r="AG27" s="4157" t="s">
        <v>5322</v>
      </c>
      <c r="AH27" s="4158" t="s">
        <v>5323</v>
      </c>
      <c r="AI27" s="4159" t="s">
        <v>5324</v>
      </c>
      <c r="AJ27" s="4158" t="s">
        <v>5325</v>
      </c>
      <c r="AK27" s="4160" t="s">
        <v>5326</v>
      </c>
      <c r="AL27" s="4158" t="s">
        <v>5327</v>
      </c>
    </row>
    <row r="28" spans="1:38" s="102" customFormat="1" ht="15" customHeight="1" x14ac:dyDescent="0.2">
      <c r="A28" s="6296">
        <v>30000015</v>
      </c>
      <c r="B28" s="3381" t="s">
        <v>964</v>
      </c>
      <c r="C28" s="90" t="s">
        <v>5292</v>
      </c>
      <c r="D28" s="92" t="s">
        <v>5293</v>
      </c>
      <c r="E28" s="90" t="s">
        <v>5294</v>
      </c>
      <c r="F28" s="92" t="s">
        <v>5295</v>
      </c>
      <c r="G28" s="90" t="s">
        <v>5296</v>
      </c>
      <c r="H28" s="92" t="s">
        <v>5297</v>
      </c>
      <c r="I28" s="90" t="s">
        <v>5298</v>
      </c>
      <c r="J28" s="92" t="s">
        <v>5299</v>
      </c>
      <c r="K28" s="90" t="s">
        <v>5300</v>
      </c>
      <c r="L28" s="92" t="s">
        <v>5301</v>
      </c>
      <c r="M28" s="90" t="s">
        <v>5302</v>
      </c>
      <c r="N28" s="92" t="s">
        <v>5303</v>
      </c>
      <c r="O28" s="3309" t="s">
        <v>5304</v>
      </c>
      <c r="P28" s="3353" t="s">
        <v>5305</v>
      </c>
      <c r="Q28" s="3309" t="s">
        <v>5306</v>
      </c>
      <c r="R28" s="3353" t="s">
        <v>5307</v>
      </c>
      <c r="S28" s="3308" t="s">
        <v>5308</v>
      </c>
      <c r="T28" s="4156" t="s">
        <v>5309</v>
      </c>
      <c r="U28" s="2833" t="s">
        <v>5310</v>
      </c>
      <c r="V28" s="1967" t="s">
        <v>5311</v>
      </c>
      <c r="W28" s="92" t="s">
        <v>5312</v>
      </c>
      <c r="X28" s="2833" t="s">
        <v>5313</v>
      </c>
      <c r="Y28" s="92" t="s">
        <v>5314</v>
      </c>
      <c r="Z28" s="129" t="s">
        <v>5315</v>
      </c>
      <c r="AA28" s="92" t="s">
        <v>5316</v>
      </c>
      <c r="AB28" s="90" t="s">
        <v>5317</v>
      </c>
      <c r="AC28" s="94" t="s">
        <v>5318</v>
      </c>
      <c r="AD28" s="2833" t="s">
        <v>5319</v>
      </c>
      <c r="AE28" s="1967" t="s">
        <v>5320</v>
      </c>
      <c r="AF28" s="92" t="s">
        <v>5321</v>
      </c>
      <c r="AG28" s="4157" t="s">
        <v>5322</v>
      </c>
      <c r="AH28" s="4158" t="s">
        <v>5323</v>
      </c>
      <c r="AI28" s="4159" t="s">
        <v>5324</v>
      </c>
      <c r="AJ28" s="4158" t="s">
        <v>5325</v>
      </c>
      <c r="AK28" s="4160" t="s">
        <v>5326</v>
      </c>
      <c r="AL28" s="4158" t="s">
        <v>5327</v>
      </c>
    </row>
    <row r="29" spans="1:38" s="102" customFormat="1" ht="15" customHeight="1" x14ac:dyDescent="0.2">
      <c r="A29" s="6296">
        <v>30000016</v>
      </c>
      <c r="B29" s="3381" t="s">
        <v>965</v>
      </c>
      <c r="C29" s="90" t="s">
        <v>5292</v>
      </c>
      <c r="D29" s="92" t="s">
        <v>5293</v>
      </c>
      <c r="E29" s="90" t="s">
        <v>5294</v>
      </c>
      <c r="F29" s="92" t="s">
        <v>5295</v>
      </c>
      <c r="G29" s="90" t="s">
        <v>5296</v>
      </c>
      <c r="H29" s="92" t="s">
        <v>5297</v>
      </c>
      <c r="I29" s="90" t="s">
        <v>5298</v>
      </c>
      <c r="J29" s="92" t="s">
        <v>5299</v>
      </c>
      <c r="K29" s="90" t="s">
        <v>5300</v>
      </c>
      <c r="L29" s="92" t="s">
        <v>5301</v>
      </c>
      <c r="M29" s="90" t="s">
        <v>5302</v>
      </c>
      <c r="N29" s="92" t="s">
        <v>5303</v>
      </c>
      <c r="O29" s="3309" t="s">
        <v>5304</v>
      </c>
      <c r="P29" s="3353" t="s">
        <v>5305</v>
      </c>
      <c r="Q29" s="3309" t="s">
        <v>5306</v>
      </c>
      <c r="R29" s="3353" t="s">
        <v>5307</v>
      </c>
      <c r="S29" s="3308" t="s">
        <v>5308</v>
      </c>
      <c r="T29" s="4156" t="s">
        <v>5309</v>
      </c>
      <c r="U29" s="2833" t="s">
        <v>5310</v>
      </c>
      <c r="V29" s="1967" t="s">
        <v>5311</v>
      </c>
      <c r="W29" s="92" t="s">
        <v>5312</v>
      </c>
      <c r="X29" s="2833" t="s">
        <v>5313</v>
      </c>
      <c r="Y29" s="92" t="s">
        <v>5314</v>
      </c>
      <c r="Z29" s="129" t="s">
        <v>5315</v>
      </c>
      <c r="AA29" s="92" t="s">
        <v>5316</v>
      </c>
      <c r="AB29" s="90" t="s">
        <v>5317</v>
      </c>
      <c r="AC29" s="94" t="s">
        <v>5318</v>
      </c>
      <c r="AD29" s="2833" t="s">
        <v>5319</v>
      </c>
      <c r="AE29" s="1967" t="s">
        <v>5320</v>
      </c>
      <c r="AF29" s="92" t="s">
        <v>5321</v>
      </c>
      <c r="AG29" s="4157" t="s">
        <v>5322</v>
      </c>
      <c r="AH29" s="4158" t="s">
        <v>5323</v>
      </c>
      <c r="AI29" s="4159" t="s">
        <v>5324</v>
      </c>
      <c r="AJ29" s="4158" t="s">
        <v>5325</v>
      </c>
      <c r="AK29" s="4160" t="s">
        <v>5326</v>
      </c>
      <c r="AL29" s="4158" t="s">
        <v>5327</v>
      </c>
    </row>
    <row r="30" spans="1:38" s="102" customFormat="1" ht="15" customHeight="1" x14ac:dyDescent="0.2">
      <c r="A30" s="6296">
        <v>30000017</v>
      </c>
      <c r="B30" s="3381" t="s">
        <v>966</v>
      </c>
      <c r="C30" s="90" t="s">
        <v>5292</v>
      </c>
      <c r="D30" s="92" t="s">
        <v>5293</v>
      </c>
      <c r="E30" s="90" t="s">
        <v>5294</v>
      </c>
      <c r="F30" s="92" t="s">
        <v>5295</v>
      </c>
      <c r="G30" s="90" t="s">
        <v>5296</v>
      </c>
      <c r="H30" s="92" t="s">
        <v>5297</v>
      </c>
      <c r="I30" s="90" t="s">
        <v>5298</v>
      </c>
      <c r="J30" s="92" t="s">
        <v>5299</v>
      </c>
      <c r="K30" s="90" t="s">
        <v>5300</v>
      </c>
      <c r="L30" s="92" t="s">
        <v>5301</v>
      </c>
      <c r="M30" s="90" t="s">
        <v>5302</v>
      </c>
      <c r="N30" s="92" t="s">
        <v>5303</v>
      </c>
      <c r="O30" s="3309" t="s">
        <v>5304</v>
      </c>
      <c r="P30" s="3353" t="s">
        <v>5305</v>
      </c>
      <c r="Q30" s="3309" t="s">
        <v>5306</v>
      </c>
      <c r="R30" s="3353" t="s">
        <v>5307</v>
      </c>
      <c r="S30" s="3308" t="s">
        <v>5308</v>
      </c>
      <c r="T30" s="4156" t="s">
        <v>5309</v>
      </c>
      <c r="U30" s="2833" t="s">
        <v>5310</v>
      </c>
      <c r="V30" s="1967" t="s">
        <v>5311</v>
      </c>
      <c r="W30" s="92" t="s">
        <v>5312</v>
      </c>
      <c r="X30" s="2833" t="s">
        <v>5313</v>
      </c>
      <c r="Y30" s="92" t="s">
        <v>5314</v>
      </c>
      <c r="Z30" s="129" t="s">
        <v>5315</v>
      </c>
      <c r="AA30" s="92" t="s">
        <v>5316</v>
      </c>
      <c r="AB30" s="90" t="s">
        <v>5317</v>
      </c>
      <c r="AC30" s="94" t="s">
        <v>5318</v>
      </c>
      <c r="AD30" s="2833" t="s">
        <v>5319</v>
      </c>
      <c r="AE30" s="1967" t="s">
        <v>5320</v>
      </c>
      <c r="AF30" s="92" t="s">
        <v>5321</v>
      </c>
      <c r="AG30" s="4157" t="s">
        <v>5322</v>
      </c>
      <c r="AH30" s="4158" t="s">
        <v>5323</v>
      </c>
      <c r="AI30" s="4159" t="s">
        <v>5324</v>
      </c>
      <c r="AJ30" s="4158" t="s">
        <v>5325</v>
      </c>
      <c r="AK30" s="4160" t="s">
        <v>5326</v>
      </c>
      <c r="AL30" s="4158" t="s">
        <v>5327</v>
      </c>
    </row>
    <row r="31" spans="1:38" s="102" customFormat="1" ht="15" customHeight="1" x14ac:dyDescent="0.2">
      <c r="A31" s="6296">
        <v>30000018</v>
      </c>
      <c r="B31" s="3381" t="s">
        <v>967</v>
      </c>
      <c r="C31" s="90" t="s">
        <v>5292</v>
      </c>
      <c r="D31" s="92" t="s">
        <v>5293</v>
      </c>
      <c r="E31" s="90" t="s">
        <v>5294</v>
      </c>
      <c r="F31" s="92" t="s">
        <v>5295</v>
      </c>
      <c r="G31" s="90" t="s">
        <v>5296</v>
      </c>
      <c r="H31" s="92" t="s">
        <v>5297</v>
      </c>
      <c r="I31" s="90" t="s">
        <v>5298</v>
      </c>
      <c r="J31" s="92" t="s">
        <v>5299</v>
      </c>
      <c r="K31" s="90" t="s">
        <v>5300</v>
      </c>
      <c r="L31" s="92" t="s">
        <v>5301</v>
      </c>
      <c r="M31" s="90" t="s">
        <v>5302</v>
      </c>
      <c r="N31" s="92" t="s">
        <v>5303</v>
      </c>
      <c r="O31" s="3309" t="s">
        <v>5304</v>
      </c>
      <c r="P31" s="3353" t="s">
        <v>5305</v>
      </c>
      <c r="Q31" s="3309" t="s">
        <v>5306</v>
      </c>
      <c r="R31" s="3353" t="s">
        <v>5307</v>
      </c>
      <c r="S31" s="3308" t="s">
        <v>5308</v>
      </c>
      <c r="T31" s="4156" t="s">
        <v>5309</v>
      </c>
      <c r="U31" s="2833" t="s">
        <v>5310</v>
      </c>
      <c r="V31" s="1967" t="s">
        <v>5311</v>
      </c>
      <c r="W31" s="92" t="s">
        <v>5312</v>
      </c>
      <c r="X31" s="2833" t="s">
        <v>5313</v>
      </c>
      <c r="Y31" s="92" t="s">
        <v>5314</v>
      </c>
      <c r="Z31" s="129" t="s">
        <v>5315</v>
      </c>
      <c r="AA31" s="92" t="s">
        <v>5316</v>
      </c>
      <c r="AB31" s="90" t="s">
        <v>5317</v>
      </c>
      <c r="AC31" s="94" t="s">
        <v>5318</v>
      </c>
      <c r="AD31" s="2833" t="s">
        <v>5319</v>
      </c>
      <c r="AE31" s="1967" t="s">
        <v>5320</v>
      </c>
      <c r="AF31" s="92" t="s">
        <v>5321</v>
      </c>
      <c r="AG31" s="4157" t="s">
        <v>5322</v>
      </c>
      <c r="AH31" s="4158" t="s">
        <v>5323</v>
      </c>
      <c r="AI31" s="4159" t="s">
        <v>5324</v>
      </c>
      <c r="AJ31" s="4158" t="s">
        <v>5325</v>
      </c>
      <c r="AK31" s="4160" t="s">
        <v>5326</v>
      </c>
      <c r="AL31" s="4158" t="s">
        <v>5327</v>
      </c>
    </row>
    <row r="32" spans="1:38" s="102" customFormat="1" ht="15" customHeight="1" x14ac:dyDescent="0.2">
      <c r="A32" s="6296">
        <v>30000019</v>
      </c>
      <c r="B32" s="3381" t="s">
        <v>968</v>
      </c>
      <c r="C32" s="90" t="s">
        <v>5292</v>
      </c>
      <c r="D32" s="92" t="s">
        <v>5293</v>
      </c>
      <c r="E32" s="90" t="s">
        <v>5294</v>
      </c>
      <c r="F32" s="92" t="s">
        <v>5295</v>
      </c>
      <c r="G32" s="90" t="s">
        <v>5296</v>
      </c>
      <c r="H32" s="92" t="s">
        <v>5297</v>
      </c>
      <c r="I32" s="90" t="s">
        <v>5298</v>
      </c>
      <c r="J32" s="92" t="s">
        <v>5299</v>
      </c>
      <c r="K32" s="90" t="s">
        <v>5300</v>
      </c>
      <c r="L32" s="92" t="s">
        <v>5301</v>
      </c>
      <c r="M32" s="90" t="s">
        <v>5302</v>
      </c>
      <c r="N32" s="92" t="s">
        <v>5303</v>
      </c>
      <c r="O32" s="3309" t="s">
        <v>5304</v>
      </c>
      <c r="P32" s="3353" t="s">
        <v>5305</v>
      </c>
      <c r="Q32" s="3309" t="s">
        <v>5306</v>
      </c>
      <c r="R32" s="3353" t="s">
        <v>5307</v>
      </c>
      <c r="S32" s="3308" t="s">
        <v>5308</v>
      </c>
      <c r="T32" s="4156" t="s">
        <v>5309</v>
      </c>
      <c r="U32" s="2833" t="s">
        <v>5310</v>
      </c>
      <c r="V32" s="1967" t="s">
        <v>5311</v>
      </c>
      <c r="W32" s="92" t="s">
        <v>5312</v>
      </c>
      <c r="X32" s="2833" t="s">
        <v>5313</v>
      </c>
      <c r="Y32" s="92" t="s">
        <v>5314</v>
      </c>
      <c r="Z32" s="129" t="s">
        <v>5315</v>
      </c>
      <c r="AA32" s="92" t="s">
        <v>5316</v>
      </c>
      <c r="AB32" s="90" t="s">
        <v>5317</v>
      </c>
      <c r="AC32" s="94" t="s">
        <v>5318</v>
      </c>
      <c r="AD32" s="2833" t="s">
        <v>5319</v>
      </c>
      <c r="AE32" s="1967" t="s">
        <v>5320</v>
      </c>
      <c r="AF32" s="92" t="s">
        <v>5321</v>
      </c>
      <c r="AG32" s="4157" t="s">
        <v>5322</v>
      </c>
      <c r="AH32" s="4158" t="s">
        <v>5323</v>
      </c>
      <c r="AI32" s="4159" t="s">
        <v>5324</v>
      </c>
      <c r="AJ32" s="4158" t="s">
        <v>5325</v>
      </c>
      <c r="AK32" s="4160" t="s">
        <v>5326</v>
      </c>
      <c r="AL32" s="4158" t="s">
        <v>5327</v>
      </c>
    </row>
    <row r="33" spans="1:38" s="102" customFormat="1" ht="15" customHeight="1" x14ac:dyDescent="0.2">
      <c r="A33" s="6296">
        <v>30000020</v>
      </c>
      <c r="B33" s="3381" t="s">
        <v>227</v>
      </c>
      <c r="C33" s="90" t="s">
        <v>5292</v>
      </c>
      <c r="D33" s="92" t="s">
        <v>5293</v>
      </c>
      <c r="E33" s="90" t="s">
        <v>5294</v>
      </c>
      <c r="F33" s="92" t="s">
        <v>5295</v>
      </c>
      <c r="G33" s="90" t="s">
        <v>5296</v>
      </c>
      <c r="H33" s="92" t="s">
        <v>5297</v>
      </c>
      <c r="I33" s="90" t="s">
        <v>5298</v>
      </c>
      <c r="J33" s="92" t="s">
        <v>5299</v>
      </c>
      <c r="K33" s="90" t="s">
        <v>5300</v>
      </c>
      <c r="L33" s="92" t="s">
        <v>5301</v>
      </c>
      <c r="M33" s="90" t="s">
        <v>5302</v>
      </c>
      <c r="N33" s="92" t="s">
        <v>5303</v>
      </c>
      <c r="O33" s="3309" t="s">
        <v>5304</v>
      </c>
      <c r="P33" s="3353" t="s">
        <v>5305</v>
      </c>
      <c r="Q33" s="3309" t="s">
        <v>5306</v>
      </c>
      <c r="R33" s="3353" t="s">
        <v>5307</v>
      </c>
      <c r="S33" s="3308" t="s">
        <v>5308</v>
      </c>
      <c r="T33" s="4156" t="s">
        <v>5309</v>
      </c>
      <c r="U33" s="2833" t="s">
        <v>5310</v>
      </c>
      <c r="V33" s="1967" t="s">
        <v>5311</v>
      </c>
      <c r="W33" s="92" t="s">
        <v>5312</v>
      </c>
      <c r="X33" s="2833" t="s">
        <v>5313</v>
      </c>
      <c r="Y33" s="92" t="s">
        <v>5314</v>
      </c>
      <c r="Z33" s="129" t="s">
        <v>5315</v>
      </c>
      <c r="AA33" s="92" t="s">
        <v>5316</v>
      </c>
      <c r="AB33" s="90" t="s">
        <v>5317</v>
      </c>
      <c r="AC33" s="94" t="s">
        <v>5318</v>
      </c>
      <c r="AD33" s="2833" t="s">
        <v>5319</v>
      </c>
      <c r="AE33" s="1967" t="s">
        <v>5320</v>
      </c>
      <c r="AF33" s="92" t="s">
        <v>5321</v>
      </c>
      <c r="AG33" s="4157" t="s">
        <v>5322</v>
      </c>
      <c r="AH33" s="4158" t="s">
        <v>5323</v>
      </c>
      <c r="AI33" s="4159" t="s">
        <v>5324</v>
      </c>
      <c r="AJ33" s="4158" t="s">
        <v>5325</v>
      </c>
      <c r="AK33" s="4160" t="s">
        <v>5326</v>
      </c>
      <c r="AL33" s="4158" t="s">
        <v>5327</v>
      </c>
    </row>
    <row r="34" spans="1:38" s="102" customFormat="1" ht="15" customHeight="1" x14ac:dyDescent="0.2">
      <c r="A34" s="6296">
        <v>30000021</v>
      </c>
      <c r="B34" s="3381" t="s">
        <v>969</v>
      </c>
      <c r="C34" s="90" t="s">
        <v>5292</v>
      </c>
      <c r="D34" s="92" t="s">
        <v>5293</v>
      </c>
      <c r="E34" s="90" t="s">
        <v>5294</v>
      </c>
      <c r="F34" s="92" t="s">
        <v>5295</v>
      </c>
      <c r="G34" s="90" t="s">
        <v>5296</v>
      </c>
      <c r="H34" s="92" t="s">
        <v>5297</v>
      </c>
      <c r="I34" s="90" t="s">
        <v>5298</v>
      </c>
      <c r="J34" s="92" t="s">
        <v>5299</v>
      </c>
      <c r="K34" s="90" t="s">
        <v>5300</v>
      </c>
      <c r="L34" s="92" t="s">
        <v>5301</v>
      </c>
      <c r="M34" s="90" t="s">
        <v>5302</v>
      </c>
      <c r="N34" s="92" t="s">
        <v>5303</v>
      </c>
      <c r="O34" s="3309" t="s">
        <v>5304</v>
      </c>
      <c r="P34" s="3353" t="s">
        <v>5305</v>
      </c>
      <c r="Q34" s="3309" t="s">
        <v>5306</v>
      </c>
      <c r="R34" s="3353" t="s">
        <v>5307</v>
      </c>
      <c r="S34" s="3308" t="s">
        <v>5308</v>
      </c>
      <c r="T34" s="4156" t="s">
        <v>5309</v>
      </c>
      <c r="U34" s="2833" t="s">
        <v>5310</v>
      </c>
      <c r="V34" s="1967" t="s">
        <v>5311</v>
      </c>
      <c r="W34" s="92" t="s">
        <v>5312</v>
      </c>
      <c r="X34" s="2833" t="s">
        <v>5313</v>
      </c>
      <c r="Y34" s="92" t="s">
        <v>5314</v>
      </c>
      <c r="Z34" s="129" t="s">
        <v>5315</v>
      </c>
      <c r="AA34" s="92" t="s">
        <v>5316</v>
      </c>
      <c r="AB34" s="90" t="s">
        <v>5317</v>
      </c>
      <c r="AC34" s="94" t="s">
        <v>5318</v>
      </c>
      <c r="AD34" s="2833" t="s">
        <v>5319</v>
      </c>
      <c r="AE34" s="1967" t="s">
        <v>5320</v>
      </c>
      <c r="AF34" s="92" t="s">
        <v>5321</v>
      </c>
      <c r="AG34" s="4157" t="s">
        <v>5322</v>
      </c>
      <c r="AH34" s="4158" t="s">
        <v>5323</v>
      </c>
      <c r="AI34" s="4159" t="s">
        <v>5324</v>
      </c>
      <c r="AJ34" s="4158" t="s">
        <v>5325</v>
      </c>
      <c r="AK34" s="4160" t="s">
        <v>5326</v>
      </c>
      <c r="AL34" s="4158" t="s">
        <v>5327</v>
      </c>
    </row>
    <row r="35" spans="1:38" s="102" customFormat="1" ht="15" customHeight="1" x14ac:dyDescent="0.2">
      <c r="A35" s="6296">
        <v>30000022</v>
      </c>
      <c r="B35" s="3381" t="s">
        <v>970</v>
      </c>
      <c r="C35" s="90" t="s">
        <v>5292</v>
      </c>
      <c r="D35" s="92" t="s">
        <v>5293</v>
      </c>
      <c r="E35" s="90" t="s">
        <v>5294</v>
      </c>
      <c r="F35" s="92" t="s">
        <v>5295</v>
      </c>
      <c r="G35" s="90" t="s">
        <v>5296</v>
      </c>
      <c r="H35" s="92" t="s">
        <v>5297</v>
      </c>
      <c r="I35" s="90" t="s">
        <v>5298</v>
      </c>
      <c r="J35" s="92" t="s">
        <v>5299</v>
      </c>
      <c r="K35" s="90" t="s">
        <v>5300</v>
      </c>
      <c r="L35" s="92" t="s">
        <v>5301</v>
      </c>
      <c r="M35" s="90" t="s">
        <v>5302</v>
      </c>
      <c r="N35" s="92" t="s">
        <v>5303</v>
      </c>
      <c r="O35" s="3309" t="s">
        <v>5304</v>
      </c>
      <c r="P35" s="3353" t="s">
        <v>5305</v>
      </c>
      <c r="Q35" s="3309" t="s">
        <v>5306</v>
      </c>
      <c r="R35" s="3353" t="s">
        <v>5307</v>
      </c>
      <c r="S35" s="3308" t="s">
        <v>5308</v>
      </c>
      <c r="T35" s="4156" t="s">
        <v>5309</v>
      </c>
      <c r="U35" s="2833" t="s">
        <v>5310</v>
      </c>
      <c r="V35" s="1967" t="s">
        <v>5311</v>
      </c>
      <c r="W35" s="92" t="s">
        <v>5312</v>
      </c>
      <c r="X35" s="2833" t="s">
        <v>5313</v>
      </c>
      <c r="Y35" s="92" t="s">
        <v>5314</v>
      </c>
      <c r="Z35" s="129" t="s">
        <v>5315</v>
      </c>
      <c r="AA35" s="92" t="s">
        <v>5316</v>
      </c>
      <c r="AB35" s="90" t="s">
        <v>5317</v>
      </c>
      <c r="AC35" s="94" t="s">
        <v>5318</v>
      </c>
      <c r="AD35" s="2833" t="s">
        <v>5319</v>
      </c>
      <c r="AE35" s="1967" t="s">
        <v>5320</v>
      </c>
      <c r="AF35" s="92" t="s">
        <v>5321</v>
      </c>
      <c r="AG35" s="4157" t="s">
        <v>5322</v>
      </c>
      <c r="AH35" s="4158" t="s">
        <v>5323</v>
      </c>
      <c r="AI35" s="4159" t="s">
        <v>5324</v>
      </c>
      <c r="AJ35" s="4158" t="s">
        <v>5325</v>
      </c>
      <c r="AK35" s="4160" t="s">
        <v>5326</v>
      </c>
      <c r="AL35" s="4158" t="s">
        <v>5327</v>
      </c>
    </row>
    <row r="36" spans="1:38" s="102" customFormat="1" ht="15" customHeight="1" x14ac:dyDescent="0.2">
      <c r="A36" s="6296">
        <v>30000023</v>
      </c>
      <c r="B36" s="3381" t="s">
        <v>228</v>
      </c>
      <c r="C36" s="90" t="s">
        <v>5292</v>
      </c>
      <c r="D36" s="92" t="s">
        <v>5293</v>
      </c>
      <c r="E36" s="90" t="s">
        <v>5294</v>
      </c>
      <c r="F36" s="92" t="s">
        <v>5295</v>
      </c>
      <c r="G36" s="90" t="s">
        <v>5296</v>
      </c>
      <c r="H36" s="92" t="s">
        <v>5297</v>
      </c>
      <c r="I36" s="90" t="s">
        <v>5298</v>
      </c>
      <c r="J36" s="92" t="s">
        <v>5299</v>
      </c>
      <c r="K36" s="90" t="s">
        <v>5300</v>
      </c>
      <c r="L36" s="92" t="s">
        <v>5301</v>
      </c>
      <c r="M36" s="90" t="s">
        <v>5302</v>
      </c>
      <c r="N36" s="92" t="s">
        <v>5303</v>
      </c>
      <c r="O36" s="3309" t="s">
        <v>5304</v>
      </c>
      <c r="P36" s="3353" t="s">
        <v>5305</v>
      </c>
      <c r="Q36" s="3309" t="s">
        <v>5306</v>
      </c>
      <c r="R36" s="3353" t="s">
        <v>5307</v>
      </c>
      <c r="S36" s="3308" t="s">
        <v>5308</v>
      </c>
      <c r="T36" s="4156" t="s">
        <v>5309</v>
      </c>
      <c r="U36" s="2833" t="s">
        <v>5310</v>
      </c>
      <c r="V36" s="1967" t="s">
        <v>5311</v>
      </c>
      <c r="W36" s="92" t="s">
        <v>5312</v>
      </c>
      <c r="X36" s="2833" t="s">
        <v>5313</v>
      </c>
      <c r="Y36" s="92" t="s">
        <v>5314</v>
      </c>
      <c r="Z36" s="129" t="s">
        <v>5315</v>
      </c>
      <c r="AA36" s="92" t="s">
        <v>5316</v>
      </c>
      <c r="AB36" s="90" t="s">
        <v>5317</v>
      </c>
      <c r="AC36" s="94" t="s">
        <v>5318</v>
      </c>
      <c r="AD36" s="2833" t="s">
        <v>5319</v>
      </c>
      <c r="AE36" s="1967" t="s">
        <v>5320</v>
      </c>
      <c r="AF36" s="92" t="s">
        <v>5321</v>
      </c>
      <c r="AG36" s="4157" t="s">
        <v>5322</v>
      </c>
      <c r="AH36" s="4158" t="s">
        <v>5323</v>
      </c>
      <c r="AI36" s="4159" t="s">
        <v>5324</v>
      </c>
      <c r="AJ36" s="4158" t="s">
        <v>5325</v>
      </c>
      <c r="AK36" s="4160" t="s">
        <v>5326</v>
      </c>
      <c r="AL36" s="4158" t="s">
        <v>5327</v>
      </c>
    </row>
    <row r="37" spans="1:38" s="102" customFormat="1" ht="15" customHeight="1" x14ac:dyDescent="0.2">
      <c r="A37" s="6296">
        <v>30000024</v>
      </c>
      <c r="B37" s="3381" t="s">
        <v>229</v>
      </c>
      <c r="C37" s="90" t="s">
        <v>5292</v>
      </c>
      <c r="D37" s="92" t="s">
        <v>5293</v>
      </c>
      <c r="E37" s="90" t="s">
        <v>5294</v>
      </c>
      <c r="F37" s="92" t="s">
        <v>5295</v>
      </c>
      <c r="G37" s="90" t="s">
        <v>5296</v>
      </c>
      <c r="H37" s="92" t="s">
        <v>5297</v>
      </c>
      <c r="I37" s="90" t="s">
        <v>5298</v>
      </c>
      <c r="J37" s="92" t="s">
        <v>5299</v>
      </c>
      <c r="K37" s="90" t="s">
        <v>5300</v>
      </c>
      <c r="L37" s="92" t="s">
        <v>5301</v>
      </c>
      <c r="M37" s="90" t="s">
        <v>5302</v>
      </c>
      <c r="N37" s="92" t="s">
        <v>5303</v>
      </c>
      <c r="O37" s="3309" t="s">
        <v>5304</v>
      </c>
      <c r="P37" s="3353" t="s">
        <v>5305</v>
      </c>
      <c r="Q37" s="3309" t="s">
        <v>5306</v>
      </c>
      <c r="R37" s="3353" t="s">
        <v>5307</v>
      </c>
      <c r="S37" s="3308" t="s">
        <v>5308</v>
      </c>
      <c r="T37" s="4156" t="s">
        <v>5309</v>
      </c>
      <c r="U37" s="2833" t="s">
        <v>5310</v>
      </c>
      <c r="V37" s="1967" t="s">
        <v>5311</v>
      </c>
      <c r="W37" s="92" t="s">
        <v>5312</v>
      </c>
      <c r="X37" s="2833" t="s">
        <v>5313</v>
      </c>
      <c r="Y37" s="92" t="s">
        <v>5314</v>
      </c>
      <c r="Z37" s="129" t="s">
        <v>5315</v>
      </c>
      <c r="AA37" s="92" t="s">
        <v>5316</v>
      </c>
      <c r="AB37" s="90" t="s">
        <v>5317</v>
      </c>
      <c r="AC37" s="94" t="s">
        <v>5318</v>
      </c>
      <c r="AD37" s="2833" t="s">
        <v>5319</v>
      </c>
      <c r="AE37" s="1967" t="s">
        <v>5320</v>
      </c>
      <c r="AF37" s="92" t="s">
        <v>5321</v>
      </c>
      <c r="AG37" s="4157" t="s">
        <v>5322</v>
      </c>
      <c r="AH37" s="4158" t="s">
        <v>5323</v>
      </c>
      <c r="AI37" s="4159" t="s">
        <v>5324</v>
      </c>
      <c r="AJ37" s="4158" t="s">
        <v>5325</v>
      </c>
      <c r="AK37" s="4160" t="s">
        <v>5326</v>
      </c>
      <c r="AL37" s="4158" t="s">
        <v>5327</v>
      </c>
    </row>
    <row r="38" spans="1:38" s="102" customFormat="1" ht="15" customHeight="1" x14ac:dyDescent="0.2">
      <c r="A38" s="6296">
        <v>30000025</v>
      </c>
      <c r="B38" s="3381" t="s">
        <v>971</v>
      </c>
      <c r="C38" s="90" t="s">
        <v>5292</v>
      </c>
      <c r="D38" s="92" t="s">
        <v>5293</v>
      </c>
      <c r="E38" s="90" t="s">
        <v>5294</v>
      </c>
      <c r="F38" s="92" t="s">
        <v>5295</v>
      </c>
      <c r="G38" s="90" t="s">
        <v>5296</v>
      </c>
      <c r="H38" s="92" t="s">
        <v>5297</v>
      </c>
      <c r="I38" s="90" t="s">
        <v>5298</v>
      </c>
      <c r="J38" s="92" t="s">
        <v>5299</v>
      </c>
      <c r="K38" s="90" t="s">
        <v>5300</v>
      </c>
      <c r="L38" s="92" t="s">
        <v>5301</v>
      </c>
      <c r="M38" s="90" t="s">
        <v>5302</v>
      </c>
      <c r="N38" s="92" t="s">
        <v>5303</v>
      </c>
      <c r="O38" s="3309" t="s">
        <v>5304</v>
      </c>
      <c r="P38" s="3353" t="s">
        <v>5305</v>
      </c>
      <c r="Q38" s="3309" t="s">
        <v>5306</v>
      </c>
      <c r="R38" s="3353" t="s">
        <v>5307</v>
      </c>
      <c r="S38" s="3308" t="s">
        <v>5308</v>
      </c>
      <c r="T38" s="4156" t="s">
        <v>5309</v>
      </c>
      <c r="U38" s="2833" t="s">
        <v>5310</v>
      </c>
      <c r="V38" s="1967" t="s">
        <v>5311</v>
      </c>
      <c r="W38" s="92" t="s">
        <v>5312</v>
      </c>
      <c r="X38" s="2833" t="s">
        <v>5313</v>
      </c>
      <c r="Y38" s="92" t="s">
        <v>5314</v>
      </c>
      <c r="Z38" s="129" t="s">
        <v>5315</v>
      </c>
      <c r="AA38" s="92" t="s">
        <v>5316</v>
      </c>
      <c r="AB38" s="90" t="s">
        <v>5317</v>
      </c>
      <c r="AC38" s="94" t="s">
        <v>5318</v>
      </c>
      <c r="AD38" s="2833" t="s">
        <v>5319</v>
      </c>
      <c r="AE38" s="1967" t="s">
        <v>5320</v>
      </c>
      <c r="AF38" s="92" t="s">
        <v>5321</v>
      </c>
      <c r="AG38" s="4157" t="s">
        <v>5322</v>
      </c>
      <c r="AH38" s="4158" t="s">
        <v>5323</v>
      </c>
      <c r="AI38" s="4159" t="s">
        <v>5324</v>
      </c>
      <c r="AJ38" s="4158" t="s">
        <v>5325</v>
      </c>
      <c r="AK38" s="4160" t="s">
        <v>5326</v>
      </c>
      <c r="AL38" s="4158" t="s">
        <v>5327</v>
      </c>
    </row>
    <row r="39" spans="1:38" s="102" customFormat="1" ht="15" customHeight="1" x14ac:dyDescent="0.2">
      <c r="A39" s="6296">
        <v>30000026</v>
      </c>
      <c r="B39" s="3381" t="s">
        <v>972</v>
      </c>
      <c r="C39" s="90" t="s">
        <v>5292</v>
      </c>
      <c r="D39" s="92" t="s">
        <v>5293</v>
      </c>
      <c r="E39" s="90" t="s">
        <v>5294</v>
      </c>
      <c r="F39" s="92" t="s">
        <v>5295</v>
      </c>
      <c r="G39" s="90" t="s">
        <v>5296</v>
      </c>
      <c r="H39" s="92" t="s">
        <v>5297</v>
      </c>
      <c r="I39" s="90" t="s">
        <v>5298</v>
      </c>
      <c r="J39" s="92" t="s">
        <v>5299</v>
      </c>
      <c r="K39" s="90" t="s">
        <v>5300</v>
      </c>
      <c r="L39" s="92" t="s">
        <v>5301</v>
      </c>
      <c r="M39" s="90" t="s">
        <v>5302</v>
      </c>
      <c r="N39" s="92" t="s">
        <v>5303</v>
      </c>
      <c r="O39" s="3309" t="s">
        <v>5304</v>
      </c>
      <c r="P39" s="3353" t="s">
        <v>5305</v>
      </c>
      <c r="Q39" s="3309" t="s">
        <v>5306</v>
      </c>
      <c r="R39" s="3353" t="s">
        <v>5307</v>
      </c>
      <c r="S39" s="3308" t="s">
        <v>5308</v>
      </c>
      <c r="T39" s="4156" t="s">
        <v>5309</v>
      </c>
      <c r="U39" s="2833" t="s">
        <v>5310</v>
      </c>
      <c r="V39" s="1967" t="s">
        <v>5311</v>
      </c>
      <c r="W39" s="92" t="s">
        <v>5312</v>
      </c>
      <c r="X39" s="2833" t="s">
        <v>5313</v>
      </c>
      <c r="Y39" s="92" t="s">
        <v>5314</v>
      </c>
      <c r="Z39" s="129" t="s">
        <v>5315</v>
      </c>
      <c r="AA39" s="92" t="s">
        <v>5316</v>
      </c>
      <c r="AB39" s="90" t="s">
        <v>5317</v>
      </c>
      <c r="AC39" s="94" t="s">
        <v>5318</v>
      </c>
      <c r="AD39" s="2833" t="s">
        <v>5319</v>
      </c>
      <c r="AE39" s="1967" t="s">
        <v>5320</v>
      </c>
      <c r="AF39" s="92" t="s">
        <v>5321</v>
      </c>
      <c r="AG39" s="4157" t="s">
        <v>5322</v>
      </c>
      <c r="AH39" s="4158" t="s">
        <v>5323</v>
      </c>
      <c r="AI39" s="4159" t="s">
        <v>5324</v>
      </c>
      <c r="AJ39" s="4158" t="s">
        <v>5325</v>
      </c>
      <c r="AK39" s="4160" t="s">
        <v>5326</v>
      </c>
      <c r="AL39" s="4158" t="s">
        <v>5327</v>
      </c>
    </row>
    <row r="40" spans="1:38" s="102" customFormat="1" ht="15" customHeight="1" x14ac:dyDescent="0.2">
      <c r="A40" s="6296">
        <v>30000027</v>
      </c>
      <c r="B40" s="3381" t="s">
        <v>973</v>
      </c>
      <c r="C40" s="90" t="s">
        <v>5292</v>
      </c>
      <c r="D40" s="92" t="s">
        <v>5293</v>
      </c>
      <c r="E40" s="90" t="s">
        <v>5294</v>
      </c>
      <c r="F40" s="92" t="s">
        <v>5295</v>
      </c>
      <c r="G40" s="90" t="s">
        <v>5296</v>
      </c>
      <c r="H40" s="92" t="s">
        <v>5297</v>
      </c>
      <c r="I40" s="90" t="s">
        <v>5298</v>
      </c>
      <c r="J40" s="92" t="s">
        <v>5299</v>
      </c>
      <c r="K40" s="90" t="s">
        <v>5300</v>
      </c>
      <c r="L40" s="92" t="s">
        <v>5301</v>
      </c>
      <c r="M40" s="90" t="s">
        <v>5302</v>
      </c>
      <c r="N40" s="92" t="s">
        <v>5303</v>
      </c>
      <c r="O40" s="3309" t="s">
        <v>5304</v>
      </c>
      <c r="P40" s="3353" t="s">
        <v>5305</v>
      </c>
      <c r="Q40" s="3309" t="s">
        <v>5306</v>
      </c>
      <c r="R40" s="3353" t="s">
        <v>5307</v>
      </c>
      <c r="S40" s="3308" t="s">
        <v>5308</v>
      </c>
      <c r="T40" s="4156" t="s">
        <v>5309</v>
      </c>
      <c r="U40" s="2833" t="s">
        <v>5310</v>
      </c>
      <c r="V40" s="1967" t="s">
        <v>5311</v>
      </c>
      <c r="W40" s="92" t="s">
        <v>5312</v>
      </c>
      <c r="X40" s="2833" t="s">
        <v>5313</v>
      </c>
      <c r="Y40" s="92" t="s">
        <v>5314</v>
      </c>
      <c r="Z40" s="129" t="s">
        <v>5315</v>
      </c>
      <c r="AA40" s="92" t="s">
        <v>5316</v>
      </c>
      <c r="AB40" s="90" t="s">
        <v>5317</v>
      </c>
      <c r="AC40" s="94" t="s">
        <v>5318</v>
      </c>
      <c r="AD40" s="2833" t="s">
        <v>5319</v>
      </c>
      <c r="AE40" s="1967" t="s">
        <v>5320</v>
      </c>
      <c r="AF40" s="92" t="s">
        <v>5321</v>
      </c>
      <c r="AG40" s="4157" t="s">
        <v>5322</v>
      </c>
      <c r="AH40" s="4158" t="s">
        <v>5323</v>
      </c>
      <c r="AI40" s="4159" t="s">
        <v>5324</v>
      </c>
      <c r="AJ40" s="4158" t="s">
        <v>5325</v>
      </c>
      <c r="AK40" s="4160" t="s">
        <v>5326</v>
      </c>
      <c r="AL40" s="4158" t="s">
        <v>5327</v>
      </c>
    </row>
    <row r="41" spans="1:38" s="102" customFormat="1" ht="15" customHeight="1" x14ac:dyDescent="0.2">
      <c r="A41" s="6296">
        <v>30000028</v>
      </c>
      <c r="B41" s="3381" t="s">
        <v>974</v>
      </c>
      <c r="C41" s="90" t="s">
        <v>5292</v>
      </c>
      <c r="D41" s="92" t="s">
        <v>5293</v>
      </c>
      <c r="E41" s="90" t="s">
        <v>5294</v>
      </c>
      <c r="F41" s="92" t="s">
        <v>5295</v>
      </c>
      <c r="G41" s="90" t="s">
        <v>5296</v>
      </c>
      <c r="H41" s="92" t="s">
        <v>5297</v>
      </c>
      <c r="I41" s="90" t="s">
        <v>5298</v>
      </c>
      <c r="J41" s="92" t="s">
        <v>5299</v>
      </c>
      <c r="K41" s="90" t="s">
        <v>5300</v>
      </c>
      <c r="L41" s="92" t="s">
        <v>5301</v>
      </c>
      <c r="M41" s="90" t="s">
        <v>5302</v>
      </c>
      <c r="N41" s="92" t="s">
        <v>5303</v>
      </c>
      <c r="O41" s="3309" t="s">
        <v>5304</v>
      </c>
      <c r="P41" s="3353" t="s">
        <v>5305</v>
      </c>
      <c r="Q41" s="3309" t="s">
        <v>5306</v>
      </c>
      <c r="R41" s="3353" t="s">
        <v>5307</v>
      </c>
      <c r="S41" s="3308" t="s">
        <v>5308</v>
      </c>
      <c r="T41" s="4156" t="s">
        <v>5309</v>
      </c>
      <c r="U41" s="2833" t="s">
        <v>5310</v>
      </c>
      <c r="V41" s="1967" t="s">
        <v>5311</v>
      </c>
      <c r="W41" s="92" t="s">
        <v>5312</v>
      </c>
      <c r="X41" s="2833" t="s">
        <v>5313</v>
      </c>
      <c r="Y41" s="92" t="s">
        <v>5314</v>
      </c>
      <c r="Z41" s="129" t="s">
        <v>5315</v>
      </c>
      <c r="AA41" s="92" t="s">
        <v>5316</v>
      </c>
      <c r="AB41" s="90" t="s">
        <v>5317</v>
      </c>
      <c r="AC41" s="94" t="s">
        <v>5318</v>
      </c>
      <c r="AD41" s="2833" t="s">
        <v>5319</v>
      </c>
      <c r="AE41" s="1967" t="s">
        <v>5320</v>
      </c>
      <c r="AF41" s="92" t="s">
        <v>5321</v>
      </c>
      <c r="AG41" s="4157" t="s">
        <v>5322</v>
      </c>
      <c r="AH41" s="4158" t="s">
        <v>5323</v>
      </c>
      <c r="AI41" s="4159" t="s">
        <v>5324</v>
      </c>
      <c r="AJ41" s="4158" t="s">
        <v>5325</v>
      </c>
      <c r="AK41" s="4160" t="s">
        <v>5326</v>
      </c>
      <c r="AL41" s="4158" t="s">
        <v>5327</v>
      </c>
    </row>
    <row r="42" spans="1:38" s="102" customFormat="1" ht="15" customHeight="1" x14ac:dyDescent="0.2">
      <c r="A42" s="6296">
        <v>30000029</v>
      </c>
      <c r="B42" s="3381" t="s">
        <v>975</v>
      </c>
      <c r="C42" s="90" t="s">
        <v>5292</v>
      </c>
      <c r="D42" s="92" t="s">
        <v>5293</v>
      </c>
      <c r="E42" s="90" t="s">
        <v>5294</v>
      </c>
      <c r="F42" s="92" t="s">
        <v>5295</v>
      </c>
      <c r="G42" s="90" t="s">
        <v>5296</v>
      </c>
      <c r="H42" s="92" t="s">
        <v>5297</v>
      </c>
      <c r="I42" s="90" t="s">
        <v>5298</v>
      </c>
      <c r="J42" s="92" t="s">
        <v>5299</v>
      </c>
      <c r="K42" s="90" t="s">
        <v>5300</v>
      </c>
      <c r="L42" s="92" t="s">
        <v>5301</v>
      </c>
      <c r="M42" s="90" t="s">
        <v>5302</v>
      </c>
      <c r="N42" s="92" t="s">
        <v>5303</v>
      </c>
      <c r="O42" s="3309" t="s">
        <v>5304</v>
      </c>
      <c r="P42" s="3353" t="s">
        <v>5305</v>
      </c>
      <c r="Q42" s="3309" t="s">
        <v>5306</v>
      </c>
      <c r="R42" s="3353" t="s">
        <v>5307</v>
      </c>
      <c r="S42" s="3308" t="s">
        <v>5308</v>
      </c>
      <c r="T42" s="4156" t="s">
        <v>5309</v>
      </c>
      <c r="U42" s="2833" t="s">
        <v>5310</v>
      </c>
      <c r="V42" s="1967" t="s">
        <v>5311</v>
      </c>
      <c r="W42" s="92" t="s">
        <v>5312</v>
      </c>
      <c r="X42" s="2833" t="s">
        <v>5313</v>
      </c>
      <c r="Y42" s="92" t="s">
        <v>5314</v>
      </c>
      <c r="Z42" s="129" t="s">
        <v>5315</v>
      </c>
      <c r="AA42" s="92" t="s">
        <v>5316</v>
      </c>
      <c r="AB42" s="90" t="s">
        <v>5317</v>
      </c>
      <c r="AC42" s="94" t="s">
        <v>5318</v>
      </c>
      <c r="AD42" s="2833" t="s">
        <v>5319</v>
      </c>
      <c r="AE42" s="1967" t="s">
        <v>5320</v>
      </c>
      <c r="AF42" s="92" t="s">
        <v>5321</v>
      </c>
      <c r="AG42" s="4157" t="s">
        <v>5322</v>
      </c>
      <c r="AH42" s="4158" t="s">
        <v>5323</v>
      </c>
      <c r="AI42" s="4159" t="s">
        <v>5324</v>
      </c>
      <c r="AJ42" s="4158" t="s">
        <v>5325</v>
      </c>
      <c r="AK42" s="4160" t="s">
        <v>5326</v>
      </c>
      <c r="AL42" s="4158" t="s">
        <v>5327</v>
      </c>
    </row>
    <row r="43" spans="1:38" s="102" customFormat="1" ht="15" customHeight="1" x14ac:dyDescent="0.2">
      <c r="A43" s="6296">
        <v>30000030</v>
      </c>
      <c r="B43" s="3381" t="s">
        <v>976</v>
      </c>
      <c r="C43" s="90" t="s">
        <v>5292</v>
      </c>
      <c r="D43" s="92" t="s">
        <v>5293</v>
      </c>
      <c r="E43" s="90" t="s">
        <v>5294</v>
      </c>
      <c r="F43" s="92" t="s">
        <v>5295</v>
      </c>
      <c r="G43" s="90" t="s">
        <v>5296</v>
      </c>
      <c r="H43" s="92" t="s">
        <v>5297</v>
      </c>
      <c r="I43" s="90" t="s">
        <v>5298</v>
      </c>
      <c r="J43" s="92" t="s">
        <v>5299</v>
      </c>
      <c r="K43" s="90" t="s">
        <v>5300</v>
      </c>
      <c r="L43" s="92" t="s">
        <v>5301</v>
      </c>
      <c r="M43" s="90" t="s">
        <v>5302</v>
      </c>
      <c r="N43" s="92" t="s">
        <v>5303</v>
      </c>
      <c r="O43" s="3309" t="s">
        <v>5304</v>
      </c>
      <c r="P43" s="3353" t="s">
        <v>5305</v>
      </c>
      <c r="Q43" s="3309" t="s">
        <v>5306</v>
      </c>
      <c r="R43" s="3353" t="s">
        <v>5307</v>
      </c>
      <c r="S43" s="3308" t="s">
        <v>5308</v>
      </c>
      <c r="T43" s="4156" t="s">
        <v>5309</v>
      </c>
      <c r="U43" s="2833" t="s">
        <v>5310</v>
      </c>
      <c r="V43" s="1967" t="s">
        <v>5311</v>
      </c>
      <c r="W43" s="92" t="s">
        <v>5312</v>
      </c>
      <c r="X43" s="2833" t="s">
        <v>5313</v>
      </c>
      <c r="Y43" s="92" t="s">
        <v>5314</v>
      </c>
      <c r="Z43" s="129" t="s">
        <v>5315</v>
      </c>
      <c r="AA43" s="92" t="s">
        <v>5316</v>
      </c>
      <c r="AB43" s="90" t="s">
        <v>5317</v>
      </c>
      <c r="AC43" s="94" t="s">
        <v>5318</v>
      </c>
      <c r="AD43" s="2833" t="s">
        <v>5319</v>
      </c>
      <c r="AE43" s="1967" t="s">
        <v>5320</v>
      </c>
      <c r="AF43" s="92" t="s">
        <v>5321</v>
      </c>
      <c r="AG43" s="4157" t="s">
        <v>5322</v>
      </c>
      <c r="AH43" s="4158" t="s">
        <v>5323</v>
      </c>
      <c r="AI43" s="4159" t="s">
        <v>5324</v>
      </c>
      <c r="AJ43" s="4158" t="s">
        <v>5325</v>
      </c>
      <c r="AK43" s="4160" t="s">
        <v>5326</v>
      </c>
      <c r="AL43" s="4158" t="s">
        <v>5327</v>
      </c>
    </row>
    <row r="44" spans="1:38" s="102" customFormat="1" ht="15" customHeight="1" x14ac:dyDescent="0.2">
      <c r="A44" s="6296">
        <v>30000031</v>
      </c>
      <c r="B44" s="3381" t="s">
        <v>977</v>
      </c>
      <c r="C44" s="90" t="s">
        <v>5292</v>
      </c>
      <c r="D44" s="92" t="s">
        <v>5293</v>
      </c>
      <c r="E44" s="90" t="s">
        <v>5294</v>
      </c>
      <c r="F44" s="92" t="s">
        <v>5295</v>
      </c>
      <c r="G44" s="90" t="s">
        <v>5296</v>
      </c>
      <c r="H44" s="92" t="s">
        <v>5297</v>
      </c>
      <c r="I44" s="90" t="s">
        <v>5298</v>
      </c>
      <c r="J44" s="92" t="s">
        <v>5299</v>
      </c>
      <c r="K44" s="90" t="s">
        <v>5300</v>
      </c>
      <c r="L44" s="92" t="s">
        <v>5301</v>
      </c>
      <c r="M44" s="90" t="s">
        <v>5302</v>
      </c>
      <c r="N44" s="92" t="s">
        <v>5303</v>
      </c>
      <c r="O44" s="3309" t="s">
        <v>5304</v>
      </c>
      <c r="P44" s="3353" t="s">
        <v>5305</v>
      </c>
      <c r="Q44" s="3309" t="s">
        <v>5306</v>
      </c>
      <c r="R44" s="3353" t="s">
        <v>5307</v>
      </c>
      <c r="S44" s="3308" t="s">
        <v>5308</v>
      </c>
      <c r="T44" s="4156" t="s">
        <v>5309</v>
      </c>
      <c r="U44" s="2833" t="s">
        <v>5310</v>
      </c>
      <c r="V44" s="1967" t="s">
        <v>5311</v>
      </c>
      <c r="W44" s="92" t="s">
        <v>5312</v>
      </c>
      <c r="X44" s="2833" t="s">
        <v>5313</v>
      </c>
      <c r="Y44" s="92" t="s">
        <v>5314</v>
      </c>
      <c r="Z44" s="129" t="s">
        <v>5315</v>
      </c>
      <c r="AA44" s="92" t="s">
        <v>5316</v>
      </c>
      <c r="AB44" s="90" t="s">
        <v>5317</v>
      </c>
      <c r="AC44" s="94" t="s">
        <v>5318</v>
      </c>
      <c r="AD44" s="2833" t="s">
        <v>5319</v>
      </c>
      <c r="AE44" s="1967" t="s">
        <v>5320</v>
      </c>
      <c r="AF44" s="92" t="s">
        <v>5321</v>
      </c>
      <c r="AG44" s="4157" t="s">
        <v>5322</v>
      </c>
      <c r="AH44" s="4158" t="s">
        <v>5323</v>
      </c>
      <c r="AI44" s="4159" t="s">
        <v>5324</v>
      </c>
      <c r="AJ44" s="4158" t="s">
        <v>5325</v>
      </c>
      <c r="AK44" s="4160" t="s">
        <v>5326</v>
      </c>
      <c r="AL44" s="4158" t="s">
        <v>5327</v>
      </c>
    </row>
    <row r="45" spans="1:38" s="102" customFormat="1" ht="15" customHeight="1" x14ac:dyDescent="0.2">
      <c r="A45" s="6296">
        <v>30000032</v>
      </c>
      <c r="B45" s="3381" t="s">
        <v>978</v>
      </c>
      <c r="C45" s="90" t="s">
        <v>5292</v>
      </c>
      <c r="D45" s="92" t="s">
        <v>5293</v>
      </c>
      <c r="E45" s="90" t="s">
        <v>5294</v>
      </c>
      <c r="F45" s="92" t="s">
        <v>5295</v>
      </c>
      <c r="G45" s="90" t="s">
        <v>5296</v>
      </c>
      <c r="H45" s="92" t="s">
        <v>5297</v>
      </c>
      <c r="I45" s="90" t="s">
        <v>5298</v>
      </c>
      <c r="J45" s="92" t="s">
        <v>5299</v>
      </c>
      <c r="K45" s="90" t="s">
        <v>5300</v>
      </c>
      <c r="L45" s="92" t="s">
        <v>5301</v>
      </c>
      <c r="M45" s="90" t="s">
        <v>5302</v>
      </c>
      <c r="N45" s="92" t="s">
        <v>5303</v>
      </c>
      <c r="O45" s="3309" t="s">
        <v>5304</v>
      </c>
      <c r="P45" s="3353" t="s">
        <v>5305</v>
      </c>
      <c r="Q45" s="3309" t="s">
        <v>5306</v>
      </c>
      <c r="R45" s="3353" t="s">
        <v>5307</v>
      </c>
      <c r="S45" s="3308" t="s">
        <v>5308</v>
      </c>
      <c r="T45" s="4156" t="s">
        <v>5309</v>
      </c>
      <c r="U45" s="2833" t="s">
        <v>5310</v>
      </c>
      <c r="V45" s="1967" t="s">
        <v>5311</v>
      </c>
      <c r="W45" s="92" t="s">
        <v>5312</v>
      </c>
      <c r="X45" s="2833" t="s">
        <v>5313</v>
      </c>
      <c r="Y45" s="92" t="s">
        <v>5314</v>
      </c>
      <c r="Z45" s="129" t="s">
        <v>5315</v>
      </c>
      <c r="AA45" s="92" t="s">
        <v>5316</v>
      </c>
      <c r="AB45" s="90" t="s">
        <v>5317</v>
      </c>
      <c r="AC45" s="94" t="s">
        <v>5318</v>
      </c>
      <c r="AD45" s="2833" t="s">
        <v>5319</v>
      </c>
      <c r="AE45" s="1967" t="s">
        <v>5320</v>
      </c>
      <c r="AF45" s="92" t="s">
        <v>5321</v>
      </c>
      <c r="AG45" s="4157" t="s">
        <v>5322</v>
      </c>
      <c r="AH45" s="4158" t="s">
        <v>5323</v>
      </c>
      <c r="AI45" s="4159" t="s">
        <v>5324</v>
      </c>
      <c r="AJ45" s="4158" t="s">
        <v>5325</v>
      </c>
      <c r="AK45" s="4160" t="s">
        <v>5326</v>
      </c>
      <c r="AL45" s="4158" t="s">
        <v>5327</v>
      </c>
    </row>
    <row r="46" spans="1:38" s="102" customFormat="1" ht="15" customHeight="1" x14ac:dyDescent="0.2">
      <c r="A46" s="6296">
        <v>30000033</v>
      </c>
      <c r="B46" s="3381" t="s">
        <v>979</v>
      </c>
      <c r="C46" s="90" t="s">
        <v>5292</v>
      </c>
      <c r="D46" s="92" t="s">
        <v>5293</v>
      </c>
      <c r="E46" s="90" t="s">
        <v>5294</v>
      </c>
      <c r="F46" s="92" t="s">
        <v>5295</v>
      </c>
      <c r="G46" s="90" t="s">
        <v>5296</v>
      </c>
      <c r="H46" s="92" t="s">
        <v>5297</v>
      </c>
      <c r="I46" s="90" t="s">
        <v>5298</v>
      </c>
      <c r="J46" s="92" t="s">
        <v>5299</v>
      </c>
      <c r="K46" s="90" t="s">
        <v>5300</v>
      </c>
      <c r="L46" s="92" t="s">
        <v>5301</v>
      </c>
      <c r="M46" s="90" t="s">
        <v>5302</v>
      </c>
      <c r="N46" s="92" t="s">
        <v>5303</v>
      </c>
      <c r="O46" s="3309" t="s">
        <v>5304</v>
      </c>
      <c r="P46" s="3353" t="s">
        <v>5305</v>
      </c>
      <c r="Q46" s="3309" t="s">
        <v>5306</v>
      </c>
      <c r="R46" s="3353" t="s">
        <v>5307</v>
      </c>
      <c r="S46" s="3308" t="s">
        <v>5308</v>
      </c>
      <c r="T46" s="4156" t="s">
        <v>5309</v>
      </c>
      <c r="U46" s="2833" t="s">
        <v>5310</v>
      </c>
      <c r="V46" s="1967" t="s">
        <v>5311</v>
      </c>
      <c r="W46" s="92" t="s">
        <v>5312</v>
      </c>
      <c r="X46" s="2833" t="s">
        <v>5313</v>
      </c>
      <c r="Y46" s="92" t="s">
        <v>5314</v>
      </c>
      <c r="Z46" s="129" t="s">
        <v>5315</v>
      </c>
      <c r="AA46" s="92" t="s">
        <v>5316</v>
      </c>
      <c r="AB46" s="90" t="s">
        <v>5317</v>
      </c>
      <c r="AC46" s="94" t="s">
        <v>5318</v>
      </c>
      <c r="AD46" s="2833" t="s">
        <v>5319</v>
      </c>
      <c r="AE46" s="1967" t="s">
        <v>5320</v>
      </c>
      <c r="AF46" s="92" t="s">
        <v>5321</v>
      </c>
      <c r="AG46" s="4157" t="s">
        <v>5322</v>
      </c>
      <c r="AH46" s="4158" t="s">
        <v>5323</v>
      </c>
      <c r="AI46" s="4159" t="s">
        <v>5324</v>
      </c>
      <c r="AJ46" s="4158" t="s">
        <v>5325</v>
      </c>
      <c r="AK46" s="4160" t="s">
        <v>5326</v>
      </c>
      <c r="AL46" s="4158" t="s">
        <v>5327</v>
      </c>
    </row>
    <row r="47" spans="1:38" s="102" customFormat="1" ht="15" customHeight="1" x14ac:dyDescent="0.2">
      <c r="A47" s="6296">
        <v>30000034</v>
      </c>
      <c r="B47" s="112" t="s">
        <v>980</v>
      </c>
      <c r="C47" s="90" t="s">
        <v>5292</v>
      </c>
      <c r="D47" s="92" t="s">
        <v>5293</v>
      </c>
      <c r="E47" s="90" t="s">
        <v>5294</v>
      </c>
      <c r="F47" s="92" t="s">
        <v>5295</v>
      </c>
      <c r="G47" s="90" t="s">
        <v>5296</v>
      </c>
      <c r="H47" s="92" t="s">
        <v>5297</v>
      </c>
      <c r="I47" s="90" t="s">
        <v>5298</v>
      </c>
      <c r="J47" s="92" t="s">
        <v>5299</v>
      </c>
      <c r="K47" s="90" t="s">
        <v>5300</v>
      </c>
      <c r="L47" s="92" t="s">
        <v>5301</v>
      </c>
      <c r="M47" s="90" t="s">
        <v>5302</v>
      </c>
      <c r="N47" s="92" t="s">
        <v>5303</v>
      </c>
      <c r="O47" s="3309" t="s">
        <v>5304</v>
      </c>
      <c r="P47" s="3353" t="s">
        <v>5305</v>
      </c>
      <c r="Q47" s="3309" t="s">
        <v>5306</v>
      </c>
      <c r="R47" s="3353" t="s">
        <v>5307</v>
      </c>
      <c r="S47" s="3308" t="s">
        <v>5308</v>
      </c>
      <c r="T47" s="4156" t="s">
        <v>5309</v>
      </c>
      <c r="U47" s="2833" t="s">
        <v>5310</v>
      </c>
      <c r="V47" s="1967" t="s">
        <v>5311</v>
      </c>
      <c r="W47" s="92" t="s">
        <v>5312</v>
      </c>
      <c r="X47" s="2833" t="s">
        <v>5313</v>
      </c>
      <c r="Y47" s="92" t="s">
        <v>5314</v>
      </c>
      <c r="Z47" s="129" t="s">
        <v>5315</v>
      </c>
      <c r="AA47" s="92" t="s">
        <v>5316</v>
      </c>
      <c r="AB47" s="90" t="s">
        <v>5317</v>
      </c>
      <c r="AC47" s="94" t="s">
        <v>5318</v>
      </c>
      <c r="AD47" s="2833" t="s">
        <v>5319</v>
      </c>
      <c r="AE47" s="1967" t="s">
        <v>5320</v>
      </c>
      <c r="AF47" s="92" t="s">
        <v>5321</v>
      </c>
      <c r="AG47" s="4157" t="s">
        <v>5322</v>
      </c>
      <c r="AH47" s="4158" t="s">
        <v>5323</v>
      </c>
      <c r="AI47" s="4159" t="s">
        <v>5324</v>
      </c>
      <c r="AJ47" s="4158" t="s">
        <v>5325</v>
      </c>
      <c r="AK47" s="4160" t="s">
        <v>5326</v>
      </c>
      <c r="AL47" s="4158" t="s">
        <v>5327</v>
      </c>
    </row>
    <row r="48" spans="1:38" s="102" customFormat="1" ht="15" customHeight="1" x14ac:dyDescent="0.2">
      <c r="A48" s="6296">
        <v>30000035</v>
      </c>
      <c r="B48" s="3611" t="s">
        <v>981</v>
      </c>
      <c r="C48" s="90" t="s">
        <v>5292</v>
      </c>
      <c r="D48" s="92" t="s">
        <v>5293</v>
      </c>
      <c r="E48" s="90" t="s">
        <v>5294</v>
      </c>
      <c r="F48" s="92" t="s">
        <v>5295</v>
      </c>
      <c r="G48" s="90" t="s">
        <v>5296</v>
      </c>
      <c r="H48" s="92" t="s">
        <v>5297</v>
      </c>
      <c r="I48" s="90" t="s">
        <v>5298</v>
      </c>
      <c r="J48" s="92" t="s">
        <v>5299</v>
      </c>
      <c r="K48" s="90" t="s">
        <v>5300</v>
      </c>
      <c r="L48" s="92" t="s">
        <v>5301</v>
      </c>
      <c r="M48" s="90" t="s">
        <v>5302</v>
      </c>
      <c r="N48" s="92" t="s">
        <v>5303</v>
      </c>
      <c r="O48" s="3309" t="s">
        <v>5304</v>
      </c>
      <c r="P48" s="3353" t="s">
        <v>5305</v>
      </c>
      <c r="Q48" s="3309" t="s">
        <v>5306</v>
      </c>
      <c r="R48" s="3353" t="s">
        <v>5307</v>
      </c>
      <c r="S48" s="3308" t="s">
        <v>5308</v>
      </c>
      <c r="T48" s="4156" t="s">
        <v>5309</v>
      </c>
      <c r="U48" s="2833" t="s">
        <v>5310</v>
      </c>
      <c r="V48" s="1967" t="s">
        <v>5311</v>
      </c>
      <c r="W48" s="92" t="s">
        <v>5312</v>
      </c>
      <c r="X48" s="2833" t="s">
        <v>5313</v>
      </c>
      <c r="Y48" s="92" t="s">
        <v>5314</v>
      </c>
      <c r="Z48" s="129" t="s">
        <v>5315</v>
      </c>
      <c r="AA48" s="92" t="s">
        <v>5316</v>
      </c>
      <c r="AB48" s="90" t="s">
        <v>5317</v>
      </c>
      <c r="AC48" s="94" t="s">
        <v>5318</v>
      </c>
      <c r="AD48" s="2833" t="s">
        <v>5319</v>
      </c>
      <c r="AE48" s="1967" t="s">
        <v>5320</v>
      </c>
      <c r="AF48" s="92" t="s">
        <v>5321</v>
      </c>
      <c r="AG48" s="4157" t="s">
        <v>5322</v>
      </c>
      <c r="AH48" s="4158" t="s">
        <v>5323</v>
      </c>
      <c r="AI48" s="4159" t="s">
        <v>5324</v>
      </c>
      <c r="AJ48" s="4158" t="s">
        <v>5325</v>
      </c>
      <c r="AK48" s="4160" t="s">
        <v>5326</v>
      </c>
      <c r="AL48" s="4158" t="s">
        <v>5327</v>
      </c>
    </row>
    <row r="49" spans="1:38" s="102" customFormat="1" ht="15" customHeight="1" x14ac:dyDescent="0.2">
      <c r="A49" s="6296">
        <v>30000036</v>
      </c>
      <c r="B49" s="3381" t="s">
        <v>982</v>
      </c>
      <c r="C49" s="90" t="s">
        <v>5292</v>
      </c>
      <c r="D49" s="92" t="s">
        <v>5293</v>
      </c>
      <c r="E49" s="90" t="s">
        <v>5294</v>
      </c>
      <c r="F49" s="92" t="s">
        <v>5295</v>
      </c>
      <c r="G49" s="90" t="s">
        <v>5296</v>
      </c>
      <c r="H49" s="92" t="s">
        <v>5297</v>
      </c>
      <c r="I49" s="90" t="s">
        <v>5298</v>
      </c>
      <c r="J49" s="92" t="s">
        <v>5299</v>
      </c>
      <c r="K49" s="90" t="s">
        <v>5300</v>
      </c>
      <c r="L49" s="92" t="s">
        <v>5301</v>
      </c>
      <c r="M49" s="90" t="s">
        <v>5302</v>
      </c>
      <c r="N49" s="92" t="s">
        <v>5303</v>
      </c>
      <c r="O49" s="3309" t="s">
        <v>5304</v>
      </c>
      <c r="P49" s="3353" t="s">
        <v>5305</v>
      </c>
      <c r="Q49" s="3309" t="s">
        <v>5306</v>
      </c>
      <c r="R49" s="3353" t="s">
        <v>5307</v>
      </c>
      <c r="S49" s="3308" t="s">
        <v>5308</v>
      </c>
      <c r="T49" s="4156" t="s">
        <v>5309</v>
      </c>
      <c r="U49" s="2833" t="s">
        <v>5310</v>
      </c>
      <c r="V49" s="1967" t="s">
        <v>5311</v>
      </c>
      <c r="W49" s="92" t="s">
        <v>5312</v>
      </c>
      <c r="X49" s="2833" t="s">
        <v>5313</v>
      </c>
      <c r="Y49" s="92" t="s">
        <v>5314</v>
      </c>
      <c r="Z49" s="129" t="s">
        <v>5315</v>
      </c>
      <c r="AA49" s="92" t="s">
        <v>5316</v>
      </c>
      <c r="AB49" s="90" t="s">
        <v>5317</v>
      </c>
      <c r="AC49" s="94" t="s">
        <v>5318</v>
      </c>
      <c r="AD49" s="2833" t="s">
        <v>5319</v>
      </c>
      <c r="AE49" s="1967" t="s">
        <v>5320</v>
      </c>
      <c r="AF49" s="92" t="s">
        <v>5321</v>
      </c>
      <c r="AG49" s="4157" t="s">
        <v>5322</v>
      </c>
      <c r="AH49" s="4158" t="s">
        <v>5323</v>
      </c>
      <c r="AI49" s="4159" t="s">
        <v>5324</v>
      </c>
      <c r="AJ49" s="4158" t="s">
        <v>5325</v>
      </c>
      <c r="AK49" s="4160" t="s">
        <v>5326</v>
      </c>
      <c r="AL49" s="4158" t="s">
        <v>5327</v>
      </c>
    </row>
    <row r="50" spans="1:38" s="102" customFormat="1" ht="15" customHeight="1" x14ac:dyDescent="0.2">
      <c r="A50" s="6296">
        <v>30000037</v>
      </c>
      <c r="B50" s="3381" t="s">
        <v>983</v>
      </c>
      <c r="C50" s="90" t="s">
        <v>5292</v>
      </c>
      <c r="D50" s="92" t="s">
        <v>5293</v>
      </c>
      <c r="E50" s="90" t="s">
        <v>5294</v>
      </c>
      <c r="F50" s="92" t="s">
        <v>5295</v>
      </c>
      <c r="G50" s="90" t="s">
        <v>5296</v>
      </c>
      <c r="H50" s="92" t="s">
        <v>5297</v>
      </c>
      <c r="I50" s="90" t="s">
        <v>5298</v>
      </c>
      <c r="J50" s="92" t="s">
        <v>5299</v>
      </c>
      <c r="K50" s="90" t="s">
        <v>5300</v>
      </c>
      <c r="L50" s="92" t="s">
        <v>5301</v>
      </c>
      <c r="M50" s="90" t="s">
        <v>5302</v>
      </c>
      <c r="N50" s="92" t="s">
        <v>5303</v>
      </c>
      <c r="O50" s="3309" t="s">
        <v>5304</v>
      </c>
      <c r="P50" s="3353" t="s">
        <v>5305</v>
      </c>
      <c r="Q50" s="3309" t="s">
        <v>5306</v>
      </c>
      <c r="R50" s="3353" t="s">
        <v>5307</v>
      </c>
      <c r="S50" s="3308" t="s">
        <v>5308</v>
      </c>
      <c r="T50" s="4156" t="s">
        <v>5309</v>
      </c>
      <c r="U50" s="2833" t="s">
        <v>5310</v>
      </c>
      <c r="V50" s="1967" t="s">
        <v>5311</v>
      </c>
      <c r="W50" s="92" t="s">
        <v>5312</v>
      </c>
      <c r="X50" s="2833" t="s">
        <v>5313</v>
      </c>
      <c r="Y50" s="92" t="s">
        <v>5314</v>
      </c>
      <c r="Z50" s="129" t="s">
        <v>5315</v>
      </c>
      <c r="AA50" s="92" t="s">
        <v>5316</v>
      </c>
      <c r="AB50" s="90" t="s">
        <v>5317</v>
      </c>
      <c r="AC50" s="94" t="s">
        <v>5318</v>
      </c>
      <c r="AD50" s="2833" t="s">
        <v>5319</v>
      </c>
      <c r="AE50" s="1967" t="s">
        <v>5320</v>
      </c>
      <c r="AF50" s="92" t="s">
        <v>5321</v>
      </c>
      <c r="AG50" s="4157" t="s">
        <v>5322</v>
      </c>
      <c r="AH50" s="4158" t="s">
        <v>5323</v>
      </c>
      <c r="AI50" s="4159" t="s">
        <v>5324</v>
      </c>
      <c r="AJ50" s="4158" t="s">
        <v>5325</v>
      </c>
      <c r="AK50" s="4160" t="s">
        <v>5326</v>
      </c>
      <c r="AL50" s="4158" t="s">
        <v>5327</v>
      </c>
    </row>
    <row r="51" spans="1:38" s="102" customFormat="1" ht="15" customHeight="1" x14ac:dyDescent="0.2">
      <c r="A51" s="6296">
        <v>30000038</v>
      </c>
      <c r="B51" s="3381" t="s">
        <v>3542</v>
      </c>
      <c r="C51" s="90" t="s">
        <v>5292</v>
      </c>
      <c r="D51" s="92" t="s">
        <v>5293</v>
      </c>
      <c r="E51" s="90" t="s">
        <v>5294</v>
      </c>
      <c r="F51" s="92" t="s">
        <v>5295</v>
      </c>
      <c r="G51" s="90" t="s">
        <v>5296</v>
      </c>
      <c r="H51" s="92" t="s">
        <v>5297</v>
      </c>
      <c r="I51" s="90" t="s">
        <v>5298</v>
      </c>
      <c r="J51" s="92" t="s">
        <v>5299</v>
      </c>
      <c r="K51" s="90" t="s">
        <v>5300</v>
      </c>
      <c r="L51" s="92" t="s">
        <v>5301</v>
      </c>
      <c r="M51" s="90" t="s">
        <v>5302</v>
      </c>
      <c r="N51" s="92" t="s">
        <v>5303</v>
      </c>
      <c r="O51" s="3309" t="s">
        <v>5304</v>
      </c>
      <c r="P51" s="3353" t="s">
        <v>5305</v>
      </c>
      <c r="Q51" s="3309" t="s">
        <v>5306</v>
      </c>
      <c r="R51" s="3353" t="s">
        <v>5307</v>
      </c>
      <c r="S51" s="3308" t="s">
        <v>5308</v>
      </c>
      <c r="T51" s="4156" t="s">
        <v>5309</v>
      </c>
      <c r="U51" s="2833" t="s">
        <v>5310</v>
      </c>
      <c r="V51" s="1967" t="s">
        <v>5311</v>
      </c>
      <c r="W51" s="92" t="s">
        <v>5312</v>
      </c>
      <c r="X51" s="2833" t="s">
        <v>5313</v>
      </c>
      <c r="Y51" s="92" t="s">
        <v>5314</v>
      </c>
      <c r="Z51" s="129" t="s">
        <v>5315</v>
      </c>
      <c r="AA51" s="92" t="s">
        <v>5316</v>
      </c>
      <c r="AB51" s="90" t="s">
        <v>5317</v>
      </c>
      <c r="AC51" s="94" t="s">
        <v>5318</v>
      </c>
      <c r="AD51" s="2833" t="s">
        <v>5319</v>
      </c>
      <c r="AE51" s="1967" t="s">
        <v>5320</v>
      </c>
      <c r="AF51" s="92" t="s">
        <v>5321</v>
      </c>
      <c r="AG51" s="4157" t="s">
        <v>5322</v>
      </c>
      <c r="AH51" s="4158" t="s">
        <v>5323</v>
      </c>
      <c r="AI51" s="4159" t="s">
        <v>5324</v>
      </c>
      <c r="AJ51" s="4158" t="s">
        <v>5325</v>
      </c>
      <c r="AK51" s="4160" t="s">
        <v>5326</v>
      </c>
      <c r="AL51" s="4158" t="s">
        <v>5327</v>
      </c>
    </row>
    <row r="52" spans="1:38" s="102" customFormat="1" ht="15" customHeight="1" x14ac:dyDescent="0.2">
      <c r="A52" s="6296">
        <v>30000039</v>
      </c>
      <c r="B52" s="3381" t="s">
        <v>984</v>
      </c>
      <c r="C52" s="90" t="s">
        <v>5292</v>
      </c>
      <c r="D52" s="92" t="s">
        <v>5293</v>
      </c>
      <c r="E52" s="90" t="s">
        <v>5294</v>
      </c>
      <c r="F52" s="92" t="s">
        <v>5295</v>
      </c>
      <c r="G52" s="90" t="s">
        <v>5296</v>
      </c>
      <c r="H52" s="92" t="s">
        <v>5297</v>
      </c>
      <c r="I52" s="90" t="s">
        <v>5298</v>
      </c>
      <c r="J52" s="92" t="s">
        <v>5299</v>
      </c>
      <c r="K52" s="90" t="s">
        <v>5300</v>
      </c>
      <c r="L52" s="92" t="s">
        <v>5301</v>
      </c>
      <c r="M52" s="90" t="s">
        <v>5302</v>
      </c>
      <c r="N52" s="92" t="s">
        <v>5303</v>
      </c>
      <c r="O52" s="3309" t="s">
        <v>5304</v>
      </c>
      <c r="P52" s="3353" t="s">
        <v>5305</v>
      </c>
      <c r="Q52" s="3309" t="s">
        <v>5306</v>
      </c>
      <c r="R52" s="3353" t="s">
        <v>5307</v>
      </c>
      <c r="S52" s="3308" t="s">
        <v>5308</v>
      </c>
      <c r="T52" s="4156" t="s">
        <v>5309</v>
      </c>
      <c r="U52" s="2833" t="s">
        <v>5310</v>
      </c>
      <c r="V52" s="1967" t="s">
        <v>5311</v>
      </c>
      <c r="W52" s="92" t="s">
        <v>5312</v>
      </c>
      <c r="X52" s="2833" t="s">
        <v>5313</v>
      </c>
      <c r="Y52" s="92" t="s">
        <v>5314</v>
      </c>
      <c r="Z52" s="129" t="s">
        <v>5315</v>
      </c>
      <c r="AA52" s="92" t="s">
        <v>5316</v>
      </c>
      <c r="AB52" s="90" t="s">
        <v>5317</v>
      </c>
      <c r="AC52" s="94" t="s">
        <v>5318</v>
      </c>
      <c r="AD52" s="2833" t="s">
        <v>5319</v>
      </c>
      <c r="AE52" s="1967" t="s">
        <v>5320</v>
      </c>
      <c r="AF52" s="92" t="s">
        <v>5321</v>
      </c>
      <c r="AG52" s="4157" t="s">
        <v>5322</v>
      </c>
      <c r="AH52" s="4158" t="s">
        <v>5323</v>
      </c>
      <c r="AI52" s="4159" t="s">
        <v>5324</v>
      </c>
      <c r="AJ52" s="4158" t="s">
        <v>5325</v>
      </c>
      <c r="AK52" s="4160" t="s">
        <v>5326</v>
      </c>
      <c r="AL52" s="4158" t="s">
        <v>5327</v>
      </c>
    </row>
    <row r="53" spans="1:38" s="102" customFormat="1" ht="15" customHeight="1" x14ac:dyDescent="0.2">
      <c r="A53" s="6296">
        <v>30000040</v>
      </c>
      <c r="B53" s="3381" t="s">
        <v>3543</v>
      </c>
      <c r="C53" s="90" t="s">
        <v>5292</v>
      </c>
      <c r="D53" s="92" t="s">
        <v>5293</v>
      </c>
      <c r="E53" s="90" t="s">
        <v>5294</v>
      </c>
      <c r="F53" s="92" t="s">
        <v>5295</v>
      </c>
      <c r="G53" s="90" t="s">
        <v>5296</v>
      </c>
      <c r="H53" s="92" t="s">
        <v>5297</v>
      </c>
      <c r="I53" s="90" t="s">
        <v>5298</v>
      </c>
      <c r="J53" s="92" t="s">
        <v>5299</v>
      </c>
      <c r="K53" s="90" t="s">
        <v>5300</v>
      </c>
      <c r="L53" s="92" t="s">
        <v>5301</v>
      </c>
      <c r="M53" s="90" t="s">
        <v>5302</v>
      </c>
      <c r="N53" s="92" t="s">
        <v>5303</v>
      </c>
      <c r="O53" s="3309" t="s">
        <v>5304</v>
      </c>
      <c r="P53" s="3353" t="s">
        <v>5305</v>
      </c>
      <c r="Q53" s="3309" t="s">
        <v>5306</v>
      </c>
      <c r="R53" s="3353" t="s">
        <v>5307</v>
      </c>
      <c r="S53" s="3308" t="s">
        <v>5308</v>
      </c>
      <c r="T53" s="4156" t="s">
        <v>5309</v>
      </c>
      <c r="U53" s="2833" t="s">
        <v>5310</v>
      </c>
      <c r="V53" s="1967" t="s">
        <v>5311</v>
      </c>
      <c r="W53" s="92" t="s">
        <v>5312</v>
      </c>
      <c r="X53" s="2833" t="s">
        <v>5313</v>
      </c>
      <c r="Y53" s="92" t="s">
        <v>5314</v>
      </c>
      <c r="Z53" s="129" t="s">
        <v>5315</v>
      </c>
      <c r="AA53" s="92" t="s">
        <v>5316</v>
      </c>
      <c r="AB53" s="90" t="s">
        <v>5317</v>
      </c>
      <c r="AC53" s="94" t="s">
        <v>5318</v>
      </c>
      <c r="AD53" s="2833" t="s">
        <v>5319</v>
      </c>
      <c r="AE53" s="1967" t="s">
        <v>5320</v>
      </c>
      <c r="AF53" s="92" t="s">
        <v>5321</v>
      </c>
      <c r="AG53" s="4157" t="s">
        <v>5322</v>
      </c>
      <c r="AH53" s="4158" t="s">
        <v>5323</v>
      </c>
      <c r="AI53" s="4159" t="s">
        <v>5324</v>
      </c>
      <c r="AJ53" s="4158" t="s">
        <v>5325</v>
      </c>
      <c r="AK53" s="4160" t="s">
        <v>5326</v>
      </c>
      <c r="AL53" s="4158" t="s">
        <v>5327</v>
      </c>
    </row>
    <row r="54" spans="1:38" s="102" customFormat="1" ht="15" customHeight="1" x14ac:dyDescent="0.2">
      <c r="A54" s="6296">
        <v>30000041</v>
      </c>
      <c r="B54" s="3381" t="s">
        <v>234</v>
      </c>
      <c r="C54" s="90" t="s">
        <v>5292</v>
      </c>
      <c r="D54" s="92" t="s">
        <v>5293</v>
      </c>
      <c r="E54" s="90" t="s">
        <v>5294</v>
      </c>
      <c r="F54" s="92" t="s">
        <v>5295</v>
      </c>
      <c r="G54" s="90" t="s">
        <v>5296</v>
      </c>
      <c r="H54" s="92" t="s">
        <v>5297</v>
      </c>
      <c r="I54" s="90" t="s">
        <v>5298</v>
      </c>
      <c r="J54" s="92" t="s">
        <v>5299</v>
      </c>
      <c r="K54" s="90" t="s">
        <v>5300</v>
      </c>
      <c r="L54" s="92" t="s">
        <v>5301</v>
      </c>
      <c r="M54" s="90" t="s">
        <v>5302</v>
      </c>
      <c r="N54" s="92" t="s">
        <v>5303</v>
      </c>
      <c r="O54" s="3309" t="s">
        <v>5304</v>
      </c>
      <c r="P54" s="3353" t="s">
        <v>5305</v>
      </c>
      <c r="Q54" s="3309" t="s">
        <v>5306</v>
      </c>
      <c r="R54" s="3353" t="s">
        <v>5307</v>
      </c>
      <c r="S54" s="3308" t="s">
        <v>5308</v>
      </c>
      <c r="T54" s="4156" t="s">
        <v>5309</v>
      </c>
      <c r="U54" s="2833" t="s">
        <v>5310</v>
      </c>
      <c r="V54" s="1967" t="s">
        <v>5311</v>
      </c>
      <c r="W54" s="92" t="s">
        <v>5312</v>
      </c>
      <c r="X54" s="2833" t="s">
        <v>5313</v>
      </c>
      <c r="Y54" s="92" t="s">
        <v>5314</v>
      </c>
      <c r="Z54" s="129" t="s">
        <v>5315</v>
      </c>
      <c r="AA54" s="92" t="s">
        <v>5316</v>
      </c>
      <c r="AB54" s="90" t="s">
        <v>5317</v>
      </c>
      <c r="AC54" s="94" t="s">
        <v>5318</v>
      </c>
      <c r="AD54" s="2833" t="s">
        <v>5319</v>
      </c>
      <c r="AE54" s="1967" t="s">
        <v>5320</v>
      </c>
      <c r="AF54" s="92" t="s">
        <v>5321</v>
      </c>
      <c r="AG54" s="4157" t="s">
        <v>5322</v>
      </c>
      <c r="AH54" s="4158" t="s">
        <v>5323</v>
      </c>
      <c r="AI54" s="4159" t="s">
        <v>5324</v>
      </c>
      <c r="AJ54" s="4158" t="s">
        <v>5325</v>
      </c>
      <c r="AK54" s="4160" t="s">
        <v>5326</v>
      </c>
      <c r="AL54" s="4158" t="s">
        <v>5327</v>
      </c>
    </row>
    <row r="55" spans="1:38" s="102" customFormat="1" ht="15" customHeight="1" x14ac:dyDescent="0.2">
      <c r="A55" s="6296">
        <v>30000042</v>
      </c>
      <c r="B55" s="3381" t="s">
        <v>985</v>
      </c>
      <c r="C55" s="90" t="s">
        <v>5292</v>
      </c>
      <c r="D55" s="92" t="s">
        <v>5293</v>
      </c>
      <c r="E55" s="90" t="s">
        <v>5294</v>
      </c>
      <c r="F55" s="92" t="s">
        <v>5295</v>
      </c>
      <c r="G55" s="90" t="s">
        <v>5296</v>
      </c>
      <c r="H55" s="92" t="s">
        <v>5297</v>
      </c>
      <c r="I55" s="90" t="s">
        <v>5298</v>
      </c>
      <c r="J55" s="92" t="s">
        <v>5299</v>
      </c>
      <c r="K55" s="90" t="s">
        <v>5300</v>
      </c>
      <c r="L55" s="92" t="s">
        <v>5301</v>
      </c>
      <c r="M55" s="90" t="s">
        <v>5302</v>
      </c>
      <c r="N55" s="92" t="s">
        <v>5303</v>
      </c>
      <c r="O55" s="3309" t="s">
        <v>5304</v>
      </c>
      <c r="P55" s="3353" t="s">
        <v>5305</v>
      </c>
      <c r="Q55" s="3309" t="s">
        <v>5306</v>
      </c>
      <c r="R55" s="3353" t="s">
        <v>5307</v>
      </c>
      <c r="S55" s="3308" t="s">
        <v>5308</v>
      </c>
      <c r="T55" s="4156" t="s">
        <v>5309</v>
      </c>
      <c r="U55" s="2833" t="s">
        <v>5310</v>
      </c>
      <c r="V55" s="1967" t="s">
        <v>5311</v>
      </c>
      <c r="W55" s="92" t="s">
        <v>5312</v>
      </c>
      <c r="X55" s="2833" t="s">
        <v>5313</v>
      </c>
      <c r="Y55" s="92" t="s">
        <v>5314</v>
      </c>
      <c r="Z55" s="129" t="s">
        <v>5315</v>
      </c>
      <c r="AA55" s="92" t="s">
        <v>5316</v>
      </c>
      <c r="AB55" s="90" t="s">
        <v>5317</v>
      </c>
      <c r="AC55" s="94" t="s">
        <v>5318</v>
      </c>
      <c r="AD55" s="2833" t="s">
        <v>5319</v>
      </c>
      <c r="AE55" s="1967" t="s">
        <v>5320</v>
      </c>
      <c r="AF55" s="92" t="s">
        <v>5321</v>
      </c>
      <c r="AG55" s="4157" t="s">
        <v>5322</v>
      </c>
      <c r="AH55" s="4158" t="s">
        <v>5323</v>
      </c>
      <c r="AI55" s="4159" t="s">
        <v>5324</v>
      </c>
      <c r="AJ55" s="4158" t="s">
        <v>5325</v>
      </c>
      <c r="AK55" s="4160" t="s">
        <v>5326</v>
      </c>
      <c r="AL55" s="4158" t="s">
        <v>5327</v>
      </c>
    </row>
    <row r="56" spans="1:38" s="102" customFormat="1" ht="15" customHeight="1" x14ac:dyDescent="0.2">
      <c r="A56" s="6296">
        <v>30000043</v>
      </c>
      <c r="B56" s="1939" t="s">
        <v>236</v>
      </c>
      <c r="C56" s="90" t="s">
        <v>5292</v>
      </c>
      <c r="D56" s="92" t="s">
        <v>5293</v>
      </c>
      <c r="E56" s="90" t="s">
        <v>5294</v>
      </c>
      <c r="F56" s="92" t="s">
        <v>5295</v>
      </c>
      <c r="G56" s="90" t="s">
        <v>5296</v>
      </c>
      <c r="H56" s="92" t="s">
        <v>5297</v>
      </c>
      <c r="I56" s="90" t="s">
        <v>5298</v>
      </c>
      <c r="J56" s="92" t="s">
        <v>5299</v>
      </c>
      <c r="K56" s="90" t="s">
        <v>5300</v>
      </c>
      <c r="L56" s="92" t="s">
        <v>5301</v>
      </c>
      <c r="M56" s="90" t="s">
        <v>5302</v>
      </c>
      <c r="N56" s="92" t="s">
        <v>5303</v>
      </c>
      <c r="O56" s="3309" t="s">
        <v>5304</v>
      </c>
      <c r="P56" s="3353" t="s">
        <v>5305</v>
      </c>
      <c r="Q56" s="3309" t="s">
        <v>5306</v>
      </c>
      <c r="R56" s="3353" t="s">
        <v>5307</v>
      </c>
      <c r="S56" s="3308" t="s">
        <v>5308</v>
      </c>
      <c r="T56" s="4156" t="s">
        <v>5309</v>
      </c>
      <c r="U56" s="2833" t="s">
        <v>5310</v>
      </c>
      <c r="V56" s="1967" t="s">
        <v>5311</v>
      </c>
      <c r="W56" s="92" t="s">
        <v>5312</v>
      </c>
      <c r="X56" s="2833" t="s">
        <v>5313</v>
      </c>
      <c r="Y56" s="92" t="s">
        <v>5314</v>
      </c>
      <c r="Z56" s="129" t="s">
        <v>5315</v>
      </c>
      <c r="AA56" s="92" t="s">
        <v>5316</v>
      </c>
      <c r="AB56" s="90" t="s">
        <v>5317</v>
      </c>
      <c r="AC56" s="94" t="s">
        <v>5318</v>
      </c>
      <c r="AD56" s="2833" t="s">
        <v>5319</v>
      </c>
      <c r="AE56" s="1967" t="s">
        <v>5320</v>
      </c>
      <c r="AF56" s="92" t="s">
        <v>5321</v>
      </c>
      <c r="AG56" s="4157" t="s">
        <v>5322</v>
      </c>
      <c r="AH56" s="4158" t="s">
        <v>5323</v>
      </c>
      <c r="AI56" s="4159" t="s">
        <v>5324</v>
      </c>
      <c r="AJ56" s="4158" t="s">
        <v>5325</v>
      </c>
      <c r="AK56" s="4160" t="s">
        <v>5326</v>
      </c>
      <c r="AL56" s="4158" t="s">
        <v>5327</v>
      </c>
    </row>
    <row r="57" spans="1:38" s="102" customFormat="1" ht="15" customHeight="1" x14ac:dyDescent="0.2">
      <c r="A57" s="6296">
        <v>30000044</v>
      </c>
      <c r="B57" s="3611" t="s">
        <v>237</v>
      </c>
      <c r="C57" s="90" t="s">
        <v>5292</v>
      </c>
      <c r="D57" s="92" t="s">
        <v>5293</v>
      </c>
      <c r="E57" s="90" t="s">
        <v>5294</v>
      </c>
      <c r="F57" s="92" t="s">
        <v>5295</v>
      </c>
      <c r="G57" s="90" t="s">
        <v>5296</v>
      </c>
      <c r="H57" s="92" t="s">
        <v>5297</v>
      </c>
      <c r="I57" s="90" t="s">
        <v>5298</v>
      </c>
      <c r="J57" s="92" t="s">
        <v>5299</v>
      </c>
      <c r="K57" s="90" t="s">
        <v>5300</v>
      </c>
      <c r="L57" s="92" t="s">
        <v>5301</v>
      </c>
      <c r="M57" s="90" t="s">
        <v>5302</v>
      </c>
      <c r="N57" s="92" t="s">
        <v>5303</v>
      </c>
      <c r="O57" s="3309" t="s">
        <v>5304</v>
      </c>
      <c r="P57" s="3353" t="s">
        <v>5305</v>
      </c>
      <c r="Q57" s="3309" t="s">
        <v>5306</v>
      </c>
      <c r="R57" s="3353" t="s">
        <v>5307</v>
      </c>
      <c r="S57" s="3308" t="s">
        <v>5308</v>
      </c>
      <c r="T57" s="4156" t="s">
        <v>5309</v>
      </c>
      <c r="U57" s="2833" t="s">
        <v>5310</v>
      </c>
      <c r="V57" s="1967" t="s">
        <v>5311</v>
      </c>
      <c r="W57" s="92" t="s">
        <v>5312</v>
      </c>
      <c r="X57" s="2833" t="s">
        <v>5313</v>
      </c>
      <c r="Y57" s="92" t="s">
        <v>5314</v>
      </c>
      <c r="Z57" s="129" t="s">
        <v>5315</v>
      </c>
      <c r="AA57" s="92" t="s">
        <v>5316</v>
      </c>
      <c r="AB57" s="90" t="s">
        <v>5317</v>
      </c>
      <c r="AC57" s="94" t="s">
        <v>5318</v>
      </c>
      <c r="AD57" s="2833" t="s">
        <v>5319</v>
      </c>
      <c r="AE57" s="1967" t="s">
        <v>5320</v>
      </c>
      <c r="AF57" s="92" t="s">
        <v>5321</v>
      </c>
      <c r="AG57" s="4157" t="s">
        <v>5322</v>
      </c>
      <c r="AH57" s="4158" t="s">
        <v>5323</v>
      </c>
      <c r="AI57" s="4159" t="s">
        <v>5324</v>
      </c>
      <c r="AJ57" s="4158" t="s">
        <v>5325</v>
      </c>
      <c r="AK57" s="4160" t="s">
        <v>5326</v>
      </c>
      <c r="AL57" s="4158" t="s">
        <v>5327</v>
      </c>
    </row>
    <row r="58" spans="1:38" s="102" customFormat="1" ht="15" customHeight="1" x14ac:dyDescent="0.2">
      <c r="A58" s="6296">
        <v>30000045</v>
      </c>
      <c r="B58" s="3611" t="s">
        <v>986</v>
      </c>
      <c r="C58" s="90" t="s">
        <v>5292</v>
      </c>
      <c r="D58" s="92" t="s">
        <v>5293</v>
      </c>
      <c r="E58" s="90" t="s">
        <v>5294</v>
      </c>
      <c r="F58" s="92" t="s">
        <v>5295</v>
      </c>
      <c r="G58" s="90" t="s">
        <v>5296</v>
      </c>
      <c r="H58" s="92" t="s">
        <v>5297</v>
      </c>
      <c r="I58" s="90" t="s">
        <v>5298</v>
      </c>
      <c r="J58" s="92" t="s">
        <v>5299</v>
      </c>
      <c r="K58" s="90" t="s">
        <v>5300</v>
      </c>
      <c r="L58" s="92" t="s">
        <v>5301</v>
      </c>
      <c r="M58" s="90" t="s">
        <v>5302</v>
      </c>
      <c r="N58" s="92" t="s">
        <v>5303</v>
      </c>
      <c r="O58" s="3309" t="s">
        <v>5304</v>
      </c>
      <c r="P58" s="3353" t="s">
        <v>5305</v>
      </c>
      <c r="Q58" s="3309" t="s">
        <v>5306</v>
      </c>
      <c r="R58" s="3353" t="s">
        <v>5307</v>
      </c>
      <c r="S58" s="3308" t="s">
        <v>5308</v>
      </c>
      <c r="T58" s="4156" t="s">
        <v>5309</v>
      </c>
      <c r="U58" s="2833" t="s">
        <v>5310</v>
      </c>
      <c r="V58" s="1967" t="s">
        <v>5311</v>
      </c>
      <c r="W58" s="92" t="s">
        <v>5312</v>
      </c>
      <c r="X58" s="2833" t="s">
        <v>5313</v>
      </c>
      <c r="Y58" s="92" t="s">
        <v>5314</v>
      </c>
      <c r="Z58" s="129" t="s">
        <v>5315</v>
      </c>
      <c r="AA58" s="92" t="s">
        <v>5316</v>
      </c>
      <c r="AB58" s="90" t="s">
        <v>5317</v>
      </c>
      <c r="AC58" s="94" t="s">
        <v>5318</v>
      </c>
      <c r="AD58" s="2833" t="s">
        <v>5319</v>
      </c>
      <c r="AE58" s="1967" t="s">
        <v>5320</v>
      </c>
      <c r="AF58" s="92" t="s">
        <v>5321</v>
      </c>
      <c r="AG58" s="4157" t="s">
        <v>5322</v>
      </c>
      <c r="AH58" s="4158" t="s">
        <v>5323</v>
      </c>
      <c r="AI58" s="4159" t="s">
        <v>5324</v>
      </c>
      <c r="AJ58" s="4158" t="s">
        <v>5325</v>
      </c>
      <c r="AK58" s="4160" t="s">
        <v>5326</v>
      </c>
      <c r="AL58" s="4158" t="s">
        <v>5327</v>
      </c>
    </row>
    <row r="59" spans="1:38" s="102" customFormat="1" ht="15" customHeight="1" x14ac:dyDescent="0.2">
      <c r="A59" s="6296">
        <v>30000046</v>
      </c>
      <c r="B59" s="3611" t="s">
        <v>987</v>
      </c>
      <c r="C59" s="90" t="s">
        <v>5292</v>
      </c>
      <c r="D59" s="92" t="s">
        <v>5293</v>
      </c>
      <c r="E59" s="90" t="s">
        <v>5294</v>
      </c>
      <c r="F59" s="92" t="s">
        <v>5295</v>
      </c>
      <c r="G59" s="90" t="s">
        <v>5296</v>
      </c>
      <c r="H59" s="92" t="s">
        <v>5297</v>
      </c>
      <c r="I59" s="90" t="s">
        <v>5298</v>
      </c>
      <c r="J59" s="92" t="s">
        <v>5299</v>
      </c>
      <c r="K59" s="90" t="s">
        <v>5300</v>
      </c>
      <c r="L59" s="92" t="s">
        <v>5301</v>
      </c>
      <c r="M59" s="90" t="s">
        <v>5302</v>
      </c>
      <c r="N59" s="92" t="s">
        <v>5303</v>
      </c>
      <c r="O59" s="3309" t="s">
        <v>5304</v>
      </c>
      <c r="P59" s="3353" t="s">
        <v>5305</v>
      </c>
      <c r="Q59" s="3309" t="s">
        <v>5306</v>
      </c>
      <c r="R59" s="3353" t="s">
        <v>5307</v>
      </c>
      <c r="S59" s="3308" t="s">
        <v>5308</v>
      </c>
      <c r="T59" s="4156" t="s">
        <v>5309</v>
      </c>
      <c r="U59" s="2833" t="s">
        <v>5310</v>
      </c>
      <c r="V59" s="1967" t="s">
        <v>5311</v>
      </c>
      <c r="W59" s="92" t="s">
        <v>5312</v>
      </c>
      <c r="X59" s="2833" t="s">
        <v>5313</v>
      </c>
      <c r="Y59" s="92" t="s">
        <v>5314</v>
      </c>
      <c r="Z59" s="129" t="s">
        <v>5315</v>
      </c>
      <c r="AA59" s="92" t="s">
        <v>5316</v>
      </c>
      <c r="AB59" s="90" t="s">
        <v>5317</v>
      </c>
      <c r="AC59" s="94" t="s">
        <v>5318</v>
      </c>
      <c r="AD59" s="2833" t="s">
        <v>5319</v>
      </c>
      <c r="AE59" s="1967" t="s">
        <v>5320</v>
      </c>
      <c r="AF59" s="92" t="s">
        <v>5321</v>
      </c>
      <c r="AG59" s="4157" t="s">
        <v>5322</v>
      </c>
      <c r="AH59" s="4158" t="s">
        <v>5323</v>
      </c>
      <c r="AI59" s="4159" t="s">
        <v>5324</v>
      </c>
      <c r="AJ59" s="4158" t="s">
        <v>5325</v>
      </c>
      <c r="AK59" s="4160" t="s">
        <v>5326</v>
      </c>
      <c r="AL59" s="4158" t="s">
        <v>5327</v>
      </c>
    </row>
    <row r="60" spans="1:38" s="102" customFormat="1" ht="15" customHeight="1" x14ac:dyDescent="0.2">
      <c r="A60" s="6296">
        <v>30000047</v>
      </c>
      <c r="B60" s="3381" t="s">
        <v>238</v>
      </c>
      <c r="C60" s="90" t="s">
        <v>5292</v>
      </c>
      <c r="D60" s="92" t="s">
        <v>5293</v>
      </c>
      <c r="E60" s="90" t="s">
        <v>5294</v>
      </c>
      <c r="F60" s="92" t="s">
        <v>5295</v>
      </c>
      <c r="G60" s="90" t="s">
        <v>5296</v>
      </c>
      <c r="H60" s="92" t="s">
        <v>5297</v>
      </c>
      <c r="I60" s="90" t="s">
        <v>5298</v>
      </c>
      <c r="J60" s="92" t="s">
        <v>5299</v>
      </c>
      <c r="K60" s="90" t="s">
        <v>5300</v>
      </c>
      <c r="L60" s="92" t="s">
        <v>5301</v>
      </c>
      <c r="M60" s="90" t="s">
        <v>5302</v>
      </c>
      <c r="N60" s="92" t="s">
        <v>5303</v>
      </c>
      <c r="O60" s="3309" t="s">
        <v>5304</v>
      </c>
      <c r="P60" s="3353" t="s">
        <v>5305</v>
      </c>
      <c r="Q60" s="3309" t="s">
        <v>5306</v>
      </c>
      <c r="R60" s="3353" t="s">
        <v>5307</v>
      </c>
      <c r="S60" s="3308" t="s">
        <v>5308</v>
      </c>
      <c r="T60" s="4156" t="s">
        <v>5309</v>
      </c>
      <c r="U60" s="2833" t="s">
        <v>5310</v>
      </c>
      <c r="V60" s="1967" t="s">
        <v>5311</v>
      </c>
      <c r="W60" s="92" t="s">
        <v>5312</v>
      </c>
      <c r="X60" s="2833" t="s">
        <v>5313</v>
      </c>
      <c r="Y60" s="92" t="s">
        <v>5314</v>
      </c>
      <c r="Z60" s="129" t="s">
        <v>5315</v>
      </c>
      <c r="AA60" s="92" t="s">
        <v>5316</v>
      </c>
      <c r="AB60" s="90" t="s">
        <v>5317</v>
      </c>
      <c r="AC60" s="94" t="s">
        <v>5318</v>
      </c>
      <c r="AD60" s="2833" t="s">
        <v>5319</v>
      </c>
      <c r="AE60" s="1967" t="s">
        <v>5320</v>
      </c>
      <c r="AF60" s="92" t="s">
        <v>5321</v>
      </c>
      <c r="AG60" s="4157" t="s">
        <v>5322</v>
      </c>
      <c r="AH60" s="4158" t="s">
        <v>5323</v>
      </c>
      <c r="AI60" s="4159" t="s">
        <v>5324</v>
      </c>
      <c r="AJ60" s="4158" t="s">
        <v>5325</v>
      </c>
      <c r="AK60" s="4160" t="s">
        <v>5326</v>
      </c>
      <c r="AL60" s="4158" t="s">
        <v>5327</v>
      </c>
    </row>
    <row r="61" spans="1:38" s="102" customFormat="1" ht="15" customHeight="1" x14ac:dyDescent="0.2">
      <c r="A61" s="6296">
        <v>30000048</v>
      </c>
      <c r="B61" s="3381" t="s">
        <v>239</v>
      </c>
      <c r="C61" s="90" t="s">
        <v>5292</v>
      </c>
      <c r="D61" s="92" t="s">
        <v>5293</v>
      </c>
      <c r="E61" s="90" t="s">
        <v>5294</v>
      </c>
      <c r="F61" s="92" t="s">
        <v>5295</v>
      </c>
      <c r="G61" s="90" t="s">
        <v>5296</v>
      </c>
      <c r="H61" s="92" t="s">
        <v>5297</v>
      </c>
      <c r="I61" s="90" t="s">
        <v>5298</v>
      </c>
      <c r="J61" s="92" t="s">
        <v>5299</v>
      </c>
      <c r="K61" s="90" t="s">
        <v>5300</v>
      </c>
      <c r="L61" s="92" t="s">
        <v>5301</v>
      </c>
      <c r="M61" s="90" t="s">
        <v>5302</v>
      </c>
      <c r="N61" s="92" t="s">
        <v>5303</v>
      </c>
      <c r="O61" s="3309" t="s">
        <v>5304</v>
      </c>
      <c r="P61" s="3353" t="s">
        <v>5305</v>
      </c>
      <c r="Q61" s="3309" t="s">
        <v>5306</v>
      </c>
      <c r="R61" s="3353" t="s">
        <v>5307</v>
      </c>
      <c r="S61" s="3308" t="s">
        <v>5308</v>
      </c>
      <c r="T61" s="4156" t="s">
        <v>5309</v>
      </c>
      <c r="U61" s="2833" t="s">
        <v>5310</v>
      </c>
      <c r="V61" s="1967" t="s">
        <v>5311</v>
      </c>
      <c r="W61" s="92" t="s">
        <v>5312</v>
      </c>
      <c r="X61" s="2833" t="s">
        <v>5313</v>
      </c>
      <c r="Y61" s="92" t="s">
        <v>5314</v>
      </c>
      <c r="Z61" s="129" t="s">
        <v>5315</v>
      </c>
      <c r="AA61" s="92" t="s">
        <v>5316</v>
      </c>
      <c r="AB61" s="90" t="s">
        <v>5317</v>
      </c>
      <c r="AC61" s="94" t="s">
        <v>5318</v>
      </c>
      <c r="AD61" s="2833" t="s">
        <v>5319</v>
      </c>
      <c r="AE61" s="1967" t="s">
        <v>5320</v>
      </c>
      <c r="AF61" s="92" t="s">
        <v>5321</v>
      </c>
      <c r="AG61" s="4157" t="s">
        <v>5322</v>
      </c>
      <c r="AH61" s="4158" t="s">
        <v>5323</v>
      </c>
      <c r="AI61" s="4159" t="s">
        <v>5324</v>
      </c>
      <c r="AJ61" s="4158" t="s">
        <v>5325</v>
      </c>
      <c r="AK61" s="4160" t="s">
        <v>5326</v>
      </c>
      <c r="AL61" s="4158" t="s">
        <v>5327</v>
      </c>
    </row>
    <row r="62" spans="1:38" s="102" customFormat="1" ht="15" customHeight="1" x14ac:dyDescent="0.2">
      <c r="A62" s="6296">
        <v>30000049</v>
      </c>
      <c r="B62" s="3381" t="s">
        <v>988</v>
      </c>
      <c r="C62" s="90" t="s">
        <v>5292</v>
      </c>
      <c r="D62" s="92" t="s">
        <v>5293</v>
      </c>
      <c r="E62" s="90" t="s">
        <v>5294</v>
      </c>
      <c r="F62" s="92" t="s">
        <v>5295</v>
      </c>
      <c r="G62" s="90" t="s">
        <v>5296</v>
      </c>
      <c r="H62" s="92" t="s">
        <v>5297</v>
      </c>
      <c r="I62" s="90" t="s">
        <v>5298</v>
      </c>
      <c r="J62" s="92" t="s">
        <v>5299</v>
      </c>
      <c r="K62" s="90" t="s">
        <v>5300</v>
      </c>
      <c r="L62" s="92" t="s">
        <v>5301</v>
      </c>
      <c r="M62" s="90" t="s">
        <v>5302</v>
      </c>
      <c r="N62" s="92" t="s">
        <v>5303</v>
      </c>
      <c r="O62" s="3309" t="s">
        <v>5304</v>
      </c>
      <c r="P62" s="3353" t="s">
        <v>5305</v>
      </c>
      <c r="Q62" s="3309" t="s">
        <v>5306</v>
      </c>
      <c r="R62" s="3353" t="s">
        <v>5307</v>
      </c>
      <c r="S62" s="3308" t="s">
        <v>5308</v>
      </c>
      <c r="T62" s="4156" t="s">
        <v>5309</v>
      </c>
      <c r="U62" s="2833" t="s">
        <v>5310</v>
      </c>
      <c r="V62" s="1967" t="s">
        <v>5311</v>
      </c>
      <c r="W62" s="92" t="s">
        <v>5312</v>
      </c>
      <c r="X62" s="2833" t="s">
        <v>5313</v>
      </c>
      <c r="Y62" s="92" t="s">
        <v>5314</v>
      </c>
      <c r="Z62" s="129" t="s">
        <v>5315</v>
      </c>
      <c r="AA62" s="92" t="s">
        <v>5316</v>
      </c>
      <c r="AB62" s="90" t="s">
        <v>5317</v>
      </c>
      <c r="AC62" s="94" t="s">
        <v>5318</v>
      </c>
      <c r="AD62" s="2833" t="s">
        <v>5319</v>
      </c>
      <c r="AE62" s="1967" t="s">
        <v>5320</v>
      </c>
      <c r="AF62" s="92" t="s">
        <v>5321</v>
      </c>
      <c r="AG62" s="4157" t="s">
        <v>5322</v>
      </c>
      <c r="AH62" s="4158" t="s">
        <v>5323</v>
      </c>
      <c r="AI62" s="4159" t="s">
        <v>5324</v>
      </c>
      <c r="AJ62" s="4158" t="s">
        <v>5325</v>
      </c>
      <c r="AK62" s="4160" t="s">
        <v>5326</v>
      </c>
      <c r="AL62" s="4158" t="s">
        <v>5327</v>
      </c>
    </row>
    <row r="63" spans="1:38" s="102" customFormat="1" ht="15" customHeight="1" x14ac:dyDescent="0.2">
      <c r="A63" s="6296">
        <v>30000050</v>
      </c>
      <c r="B63" s="3381" t="s">
        <v>989</v>
      </c>
      <c r="C63" s="90" t="s">
        <v>5292</v>
      </c>
      <c r="D63" s="92" t="s">
        <v>5293</v>
      </c>
      <c r="E63" s="90" t="s">
        <v>5294</v>
      </c>
      <c r="F63" s="92" t="s">
        <v>5295</v>
      </c>
      <c r="G63" s="90" t="s">
        <v>5296</v>
      </c>
      <c r="H63" s="92" t="s">
        <v>5297</v>
      </c>
      <c r="I63" s="90" t="s">
        <v>5298</v>
      </c>
      <c r="J63" s="92" t="s">
        <v>5299</v>
      </c>
      <c r="K63" s="90" t="s">
        <v>5300</v>
      </c>
      <c r="L63" s="92" t="s">
        <v>5301</v>
      </c>
      <c r="M63" s="90" t="s">
        <v>5302</v>
      </c>
      <c r="N63" s="92" t="s">
        <v>5303</v>
      </c>
      <c r="O63" s="3309" t="s">
        <v>5304</v>
      </c>
      <c r="P63" s="3353" t="s">
        <v>5305</v>
      </c>
      <c r="Q63" s="3309" t="s">
        <v>5306</v>
      </c>
      <c r="R63" s="3353" t="s">
        <v>5307</v>
      </c>
      <c r="S63" s="3308" t="s">
        <v>5308</v>
      </c>
      <c r="T63" s="4156" t="s">
        <v>5309</v>
      </c>
      <c r="U63" s="2833" t="s">
        <v>5310</v>
      </c>
      <c r="V63" s="1967" t="s">
        <v>5311</v>
      </c>
      <c r="W63" s="92" t="s">
        <v>5312</v>
      </c>
      <c r="X63" s="2833" t="s">
        <v>5313</v>
      </c>
      <c r="Y63" s="92" t="s">
        <v>5314</v>
      </c>
      <c r="Z63" s="129" t="s">
        <v>5315</v>
      </c>
      <c r="AA63" s="92" t="s">
        <v>5316</v>
      </c>
      <c r="AB63" s="90" t="s">
        <v>5317</v>
      </c>
      <c r="AC63" s="94" t="s">
        <v>5318</v>
      </c>
      <c r="AD63" s="2833" t="s">
        <v>5319</v>
      </c>
      <c r="AE63" s="1967" t="s">
        <v>5320</v>
      </c>
      <c r="AF63" s="92" t="s">
        <v>5321</v>
      </c>
      <c r="AG63" s="4157" t="s">
        <v>5322</v>
      </c>
      <c r="AH63" s="4158" t="s">
        <v>5323</v>
      </c>
      <c r="AI63" s="4159" t="s">
        <v>5324</v>
      </c>
      <c r="AJ63" s="4158" t="s">
        <v>5325</v>
      </c>
      <c r="AK63" s="4160" t="s">
        <v>5326</v>
      </c>
      <c r="AL63" s="4158" t="s">
        <v>5327</v>
      </c>
    </row>
    <row r="64" spans="1:38" s="102" customFormat="1" ht="15" customHeight="1" x14ac:dyDescent="0.2">
      <c r="A64" s="6296">
        <v>30000051</v>
      </c>
      <c r="B64" s="3381" t="s">
        <v>990</v>
      </c>
      <c r="C64" s="90" t="s">
        <v>5292</v>
      </c>
      <c r="D64" s="92" t="s">
        <v>5293</v>
      </c>
      <c r="E64" s="90" t="s">
        <v>5294</v>
      </c>
      <c r="F64" s="92" t="s">
        <v>5295</v>
      </c>
      <c r="G64" s="90" t="s">
        <v>5296</v>
      </c>
      <c r="H64" s="92" t="s">
        <v>5297</v>
      </c>
      <c r="I64" s="90" t="s">
        <v>5298</v>
      </c>
      <c r="J64" s="92" t="s">
        <v>5299</v>
      </c>
      <c r="K64" s="90" t="s">
        <v>5300</v>
      </c>
      <c r="L64" s="92" t="s">
        <v>5301</v>
      </c>
      <c r="M64" s="90" t="s">
        <v>5302</v>
      </c>
      <c r="N64" s="92" t="s">
        <v>5303</v>
      </c>
      <c r="O64" s="3309" t="s">
        <v>5304</v>
      </c>
      <c r="P64" s="3353" t="s">
        <v>5305</v>
      </c>
      <c r="Q64" s="3309" t="s">
        <v>5306</v>
      </c>
      <c r="R64" s="3353" t="s">
        <v>5307</v>
      </c>
      <c r="S64" s="3308" t="s">
        <v>5308</v>
      </c>
      <c r="T64" s="4156" t="s">
        <v>5309</v>
      </c>
      <c r="U64" s="2833" t="s">
        <v>5310</v>
      </c>
      <c r="V64" s="1967" t="s">
        <v>5311</v>
      </c>
      <c r="W64" s="92" t="s">
        <v>5312</v>
      </c>
      <c r="X64" s="2833" t="s">
        <v>5313</v>
      </c>
      <c r="Y64" s="92" t="s">
        <v>5314</v>
      </c>
      <c r="Z64" s="129" t="s">
        <v>5315</v>
      </c>
      <c r="AA64" s="92" t="s">
        <v>5316</v>
      </c>
      <c r="AB64" s="90" t="s">
        <v>5317</v>
      </c>
      <c r="AC64" s="94" t="s">
        <v>5318</v>
      </c>
      <c r="AD64" s="2833" t="s">
        <v>5319</v>
      </c>
      <c r="AE64" s="1967" t="s">
        <v>5320</v>
      </c>
      <c r="AF64" s="92" t="s">
        <v>5321</v>
      </c>
      <c r="AG64" s="4157" t="s">
        <v>5322</v>
      </c>
      <c r="AH64" s="4158" t="s">
        <v>5323</v>
      </c>
      <c r="AI64" s="4159" t="s">
        <v>5324</v>
      </c>
      <c r="AJ64" s="4158" t="s">
        <v>5325</v>
      </c>
      <c r="AK64" s="4160" t="s">
        <v>5326</v>
      </c>
      <c r="AL64" s="4158" t="s">
        <v>5327</v>
      </c>
    </row>
    <row r="65" spans="1:38" s="102" customFormat="1" ht="15" customHeight="1" x14ac:dyDescent="0.2">
      <c r="A65" s="6296">
        <v>30000052</v>
      </c>
      <c r="B65" s="3381" t="s">
        <v>991</v>
      </c>
      <c r="C65" s="90" t="s">
        <v>5292</v>
      </c>
      <c r="D65" s="92" t="s">
        <v>5293</v>
      </c>
      <c r="E65" s="90" t="s">
        <v>5294</v>
      </c>
      <c r="F65" s="92" t="s">
        <v>5295</v>
      </c>
      <c r="G65" s="90" t="s">
        <v>5296</v>
      </c>
      <c r="H65" s="92" t="s">
        <v>5297</v>
      </c>
      <c r="I65" s="90" t="s">
        <v>5298</v>
      </c>
      <c r="J65" s="92" t="s">
        <v>5299</v>
      </c>
      <c r="K65" s="90" t="s">
        <v>5300</v>
      </c>
      <c r="L65" s="92" t="s">
        <v>5301</v>
      </c>
      <c r="M65" s="90" t="s">
        <v>5302</v>
      </c>
      <c r="N65" s="92" t="s">
        <v>5303</v>
      </c>
      <c r="O65" s="3309" t="s">
        <v>5304</v>
      </c>
      <c r="P65" s="3353" t="s">
        <v>5305</v>
      </c>
      <c r="Q65" s="3309" t="s">
        <v>5306</v>
      </c>
      <c r="R65" s="3353" t="s">
        <v>5307</v>
      </c>
      <c r="S65" s="3308" t="s">
        <v>5308</v>
      </c>
      <c r="T65" s="4156" t="s">
        <v>5309</v>
      </c>
      <c r="U65" s="2833" t="s">
        <v>5310</v>
      </c>
      <c r="V65" s="1967" t="s">
        <v>5311</v>
      </c>
      <c r="W65" s="92" t="s">
        <v>5312</v>
      </c>
      <c r="X65" s="2833" t="s">
        <v>5313</v>
      </c>
      <c r="Y65" s="92" t="s">
        <v>5314</v>
      </c>
      <c r="Z65" s="129" t="s">
        <v>5315</v>
      </c>
      <c r="AA65" s="92" t="s">
        <v>5316</v>
      </c>
      <c r="AB65" s="90" t="s">
        <v>5317</v>
      </c>
      <c r="AC65" s="94" t="s">
        <v>5318</v>
      </c>
      <c r="AD65" s="2833" t="s">
        <v>5319</v>
      </c>
      <c r="AE65" s="1967" t="s">
        <v>5320</v>
      </c>
      <c r="AF65" s="92" t="s">
        <v>5321</v>
      </c>
      <c r="AG65" s="4157" t="s">
        <v>5322</v>
      </c>
      <c r="AH65" s="4158" t="s">
        <v>5323</v>
      </c>
      <c r="AI65" s="4159" t="s">
        <v>5324</v>
      </c>
      <c r="AJ65" s="4158" t="s">
        <v>5325</v>
      </c>
      <c r="AK65" s="4160" t="s">
        <v>5326</v>
      </c>
      <c r="AL65" s="4158" t="s">
        <v>5327</v>
      </c>
    </row>
    <row r="66" spans="1:38" s="102" customFormat="1" ht="15" customHeight="1" x14ac:dyDescent="0.2">
      <c r="A66" s="6296">
        <v>30000053</v>
      </c>
      <c r="B66" s="3381" t="s">
        <v>992</v>
      </c>
      <c r="C66" s="90" t="s">
        <v>5292</v>
      </c>
      <c r="D66" s="92" t="s">
        <v>5293</v>
      </c>
      <c r="E66" s="90" t="s">
        <v>5294</v>
      </c>
      <c r="F66" s="92" t="s">
        <v>5295</v>
      </c>
      <c r="G66" s="90" t="s">
        <v>5296</v>
      </c>
      <c r="H66" s="92" t="s">
        <v>5297</v>
      </c>
      <c r="I66" s="90" t="s">
        <v>5298</v>
      </c>
      <c r="J66" s="92" t="s">
        <v>5299</v>
      </c>
      <c r="K66" s="90" t="s">
        <v>5300</v>
      </c>
      <c r="L66" s="92" t="s">
        <v>5301</v>
      </c>
      <c r="M66" s="90" t="s">
        <v>5302</v>
      </c>
      <c r="N66" s="92" t="s">
        <v>5303</v>
      </c>
      <c r="O66" s="3309" t="s">
        <v>5304</v>
      </c>
      <c r="P66" s="3353" t="s">
        <v>5305</v>
      </c>
      <c r="Q66" s="3309" t="s">
        <v>5306</v>
      </c>
      <c r="R66" s="3353" t="s">
        <v>5307</v>
      </c>
      <c r="S66" s="3308" t="s">
        <v>5308</v>
      </c>
      <c r="T66" s="4156" t="s">
        <v>5309</v>
      </c>
      <c r="U66" s="2833" t="s">
        <v>5310</v>
      </c>
      <c r="V66" s="1967" t="s">
        <v>5311</v>
      </c>
      <c r="W66" s="92" t="s">
        <v>5312</v>
      </c>
      <c r="X66" s="2833" t="s">
        <v>5313</v>
      </c>
      <c r="Y66" s="92" t="s">
        <v>5314</v>
      </c>
      <c r="Z66" s="129" t="s">
        <v>5315</v>
      </c>
      <c r="AA66" s="92" t="s">
        <v>5316</v>
      </c>
      <c r="AB66" s="90" t="s">
        <v>5317</v>
      </c>
      <c r="AC66" s="94" t="s">
        <v>5318</v>
      </c>
      <c r="AD66" s="2833" t="s">
        <v>5319</v>
      </c>
      <c r="AE66" s="1967" t="s">
        <v>5320</v>
      </c>
      <c r="AF66" s="92" t="s">
        <v>5321</v>
      </c>
      <c r="AG66" s="4157" t="s">
        <v>5322</v>
      </c>
      <c r="AH66" s="4158" t="s">
        <v>5323</v>
      </c>
      <c r="AI66" s="4159" t="s">
        <v>5324</v>
      </c>
      <c r="AJ66" s="4158" t="s">
        <v>5325</v>
      </c>
      <c r="AK66" s="4160" t="s">
        <v>5326</v>
      </c>
      <c r="AL66" s="4158" t="s">
        <v>5327</v>
      </c>
    </row>
    <row r="67" spans="1:38" s="102" customFormat="1" ht="15" customHeight="1" x14ac:dyDescent="0.2">
      <c r="A67" s="6296">
        <v>30000054</v>
      </c>
      <c r="B67" s="3381" t="s">
        <v>993</v>
      </c>
      <c r="C67" s="90" t="s">
        <v>5292</v>
      </c>
      <c r="D67" s="92" t="s">
        <v>5293</v>
      </c>
      <c r="E67" s="90" t="s">
        <v>5294</v>
      </c>
      <c r="F67" s="92" t="s">
        <v>5295</v>
      </c>
      <c r="G67" s="90" t="s">
        <v>5296</v>
      </c>
      <c r="H67" s="92" t="s">
        <v>5297</v>
      </c>
      <c r="I67" s="90" t="s">
        <v>5298</v>
      </c>
      <c r="J67" s="92" t="s">
        <v>5299</v>
      </c>
      <c r="K67" s="90" t="s">
        <v>5300</v>
      </c>
      <c r="L67" s="92" t="s">
        <v>5301</v>
      </c>
      <c r="M67" s="90" t="s">
        <v>5302</v>
      </c>
      <c r="N67" s="92" t="s">
        <v>5303</v>
      </c>
      <c r="O67" s="3309" t="s">
        <v>5304</v>
      </c>
      <c r="P67" s="3353" t="s">
        <v>5305</v>
      </c>
      <c r="Q67" s="3309" t="s">
        <v>5306</v>
      </c>
      <c r="R67" s="3353" t="s">
        <v>5307</v>
      </c>
      <c r="S67" s="3308" t="s">
        <v>5308</v>
      </c>
      <c r="T67" s="4156" t="s">
        <v>5309</v>
      </c>
      <c r="U67" s="2833" t="s">
        <v>5310</v>
      </c>
      <c r="V67" s="1967" t="s">
        <v>5311</v>
      </c>
      <c r="W67" s="92" t="s">
        <v>5312</v>
      </c>
      <c r="X67" s="2833" t="s">
        <v>5313</v>
      </c>
      <c r="Y67" s="92" t="s">
        <v>5314</v>
      </c>
      <c r="Z67" s="129" t="s">
        <v>5315</v>
      </c>
      <c r="AA67" s="92" t="s">
        <v>5316</v>
      </c>
      <c r="AB67" s="90" t="s">
        <v>5317</v>
      </c>
      <c r="AC67" s="94" t="s">
        <v>5318</v>
      </c>
      <c r="AD67" s="2833" t="s">
        <v>5319</v>
      </c>
      <c r="AE67" s="1967" t="s">
        <v>5320</v>
      </c>
      <c r="AF67" s="92" t="s">
        <v>5321</v>
      </c>
      <c r="AG67" s="4157" t="s">
        <v>5322</v>
      </c>
      <c r="AH67" s="4158" t="s">
        <v>5323</v>
      </c>
      <c r="AI67" s="4159" t="s">
        <v>5324</v>
      </c>
      <c r="AJ67" s="4158" t="s">
        <v>5325</v>
      </c>
      <c r="AK67" s="4160" t="s">
        <v>5326</v>
      </c>
      <c r="AL67" s="4158" t="s">
        <v>5327</v>
      </c>
    </row>
    <row r="68" spans="1:38" s="102" customFormat="1" ht="15" customHeight="1" x14ac:dyDescent="0.2">
      <c r="A68" s="6296">
        <v>30000086</v>
      </c>
      <c r="B68" s="3381" t="s">
        <v>994</v>
      </c>
      <c r="C68" s="90" t="s">
        <v>5292</v>
      </c>
      <c r="D68" s="92" t="s">
        <v>5293</v>
      </c>
      <c r="E68" s="90" t="s">
        <v>5294</v>
      </c>
      <c r="F68" s="92" t="s">
        <v>5295</v>
      </c>
      <c r="G68" s="90" t="s">
        <v>5296</v>
      </c>
      <c r="H68" s="92" t="s">
        <v>5297</v>
      </c>
      <c r="I68" s="90" t="s">
        <v>5298</v>
      </c>
      <c r="J68" s="92" t="s">
        <v>5299</v>
      </c>
      <c r="K68" s="90" t="s">
        <v>5300</v>
      </c>
      <c r="L68" s="92" t="s">
        <v>5301</v>
      </c>
      <c r="M68" s="90" t="s">
        <v>5302</v>
      </c>
      <c r="N68" s="92" t="s">
        <v>5303</v>
      </c>
      <c r="O68" s="3309" t="s">
        <v>5304</v>
      </c>
      <c r="P68" s="3353" t="s">
        <v>5305</v>
      </c>
      <c r="Q68" s="3309" t="s">
        <v>5306</v>
      </c>
      <c r="R68" s="3353" t="s">
        <v>5307</v>
      </c>
      <c r="S68" s="3308" t="s">
        <v>5308</v>
      </c>
      <c r="T68" s="4156" t="s">
        <v>5309</v>
      </c>
      <c r="U68" s="2833" t="s">
        <v>5310</v>
      </c>
      <c r="V68" s="1967" t="s">
        <v>5311</v>
      </c>
      <c r="W68" s="92" t="s">
        <v>5312</v>
      </c>
      <c r="X68" s="2833" t="s">
        <v>5313</v>
      </c>
      <c r="Y68" s="92" t="s">
        <v>5314</v>
      </c>
      <c r="Z68" s="129" t="s">
        <v>5315</v>
      </c>
      <c r="AA68" s="92" t="s">
        <v>5316</v>
      </c>
      <c r="AB68" s="90" t="s">
        <v>5317</v>
      </c>
      <c r="AC68" s="94" t="s">
        <v>5318</v>
      </c>
      <c r="AD68" s="2833" t="s">
        <v>5319</v>
      </c>
      <c r="AE68" s="1967" t="s">
        <v>5320</v>
      </c>
      <c r="AF68" s="92" t="s">
        <v>5321</v>
      </c>
      <c r="AG68" s="4157" t="s">
        <v>5322</v>
      </c>
      <c r="AH68" s="4158" t="s">
        <v>5323</v>
      </c>
      <c r="AI68" s="4159" t="s">
        <v>5324</v>
      </c>
      <c r="AJ68" s="4158" t="s">
        <v>5325</v>
      </c>
      <c r="AK68" s="4160" t="s">
        <v>5326</v>
      </c>
      <c r="AL68" s="4158" t="s">
        <v>5327</v>
      </c>
    </row>
    <row r="69" spans="1:38" s="102" customFormat="1" ht="15" customHeight="1" x14ac:dyDescent="0.2">
      <c r="A69" s="6296">
        <v>30000055</v>
      </c>
      <c r="B69" s="3381" t="s">
        <v>240</v>
      </c>
      <c r="C69" s="90" t="s">
        <v>5292</v>
      </c>
      <c r="D69" s="92" t="s">
        <v>5293</v>
      </c>
      <c r="E69" s="90" t="s">
        <v>5294</v>
      </c>
      <c r="F69" s="92" t="s">
        <v>5295</v>
      </c>
      <c r="G69" s="90" t="s">
        <v>5296</v>
      </c>
      <c r="H69" s="92" t="s">
        <v>5297</v>
      </c>
      <c r="I69" s="90" t="s">
        <v>5298</v>
      </c>
      <c r="J69" s="92" t="s">
        <v>5299</v>
      </c>
      <c r="K69" s="90" t="s">
        <v>5300</v>
      </c>
      <c r="L69" s="92" t="s">
        <v>5301</v>
      </c>
      <c r="M69" s="90" t="s">
        <v>5302</v>
      </c>
      <c r="N69" s="92" t="s">
        <v>5303</v>
      </c>
      <c r="O69" s="3309" t="s">
        <v>5304</v>
      </c>
      <c r="P69" s="3353" t="s">
        <v>5305</v>
      </c>
      <c r="Q69" s="3309" t="s">
        <v>5306</v>
      </c>
      <c r="R69" s="3353" t="s">
        <v>5307</v>
      </c>
      <c r="S69" s="3308" t="s">
        <v>5308</v>
      </c>
      <c r="T69" s="4156" t="s">
        <v>5309</v>
      </c>
      <c r="U69" s="2833" t="s">
        <v>5310</v>
      </c>
      <c r="V69" s="1967" t="s">
        <v>5311</v>
      </c>
      <c r="W69" s="92" t="s">
        <v>5312</v>
      </c>
      <c r="X69" s="2833" t="s">
        <v>5313</v>
      </c>
      <c r="Y69" s="92" t="s">
        <v>5314</v>
      </c>
      <c r="Z69" s="129" t="s">
        <v>5315</v>
      </c>
      <c r="AA69" s="92" t="s">
        <v>5316</v>
      </c>
      <c r="AB69" s="90" t="s">
        <v>5317</v>
      </c>
      <c r="AC69" s="94" t="s">
        <v>5318</v>
      </c>
      <c r="AD69" s="2833" t="s">
        <v>5319</v>
      </c>
      <c r="AE69" s="1967" t="s">
        <v>5320</v>
      </c>
      <c r="AF69" s="92" t="s">
        <v>5321</v>
      </c>
      <c r="AG69" s="4157" t="s">
        <v>5322</v>
      </c>
      <c r="AH69" s="4158" t="s">
        <v>5323</v>
      </c>
      <c r="AI69" s="4159" t="s">
        <v>5324</v>
      </c>
      <c r="AJ69" s="4158" t="s">
        <v>5325</v>
      </c>
      <c r="AK69" s="4160" t="s">
        <v>5326</v>
      </c>
      <c r="AL69" s="4158" t="s">
        <v>5327</v>
      </c>
    </row>
    <row r="70" spans="1:38" s="102" customFormat="1" ht="15" customHeight="1" x14ac:dyDescent="0.2">
      <c r="A70" s="6296">
        <v>30000056</v>
      </c>
      <c r="B70" s="3046" t="s">
        <v>3544</v>
      </c>
      <c r="C70" s="616" t="s">
        <v>5292</v>
      </c>
      <c r="D70" s="626" t="s">
        <v>5293</v>
      </c>
      <c r="E70" s="616" t="s">
        <v>5294</v>
      </c>
      <c r="F70" s="626" t="s">
        <v>5295</v>
      </c>
      <c r="G70" s="616" t="s">
        <v>5296</v>
      </c>
      <c r="H70" s="626" t="s">
        <v>5297</v>
      </c>
      <c r="I70" s="616" t="s">
        <v>5298</v>
      </c>
      <c r="J70" s="626" t="s">
        <v>5299</v>
      </c>
      <c r="K70" s="616" t="s">
        <v>5300</v>
      </c>
      <c r="L70" s="626" t="s">
        <v>5301</v>
      </c>
      <c r="M70" s="616" t="s">
        <v>5302</v>
      </c>
      <c r="N70" s="626" t="s">
        <v>5303</v>
      </c>
      <c r="O70" s="4161" t="s">
        <v>5304</v>
      </c>
      <c r="P70" s="786" t="s">
        <v>5305</v>
      </c>
      <c r="Q70" s="4161" t="s">
        <v>5306</v>
      </c>
      <c r="R70" s="786" t="s">
        <v>5307</v>
      </c>
      <c r="S70" s="3190" t="s">
        <v>5308</v>
      </c>
      <c r="T70" s="3006" t="s">
        <v>5309</v>
      </c>
      <c r="U70" s="916" t="s">
        <v>5310</v>
      </c>
      <c r="V70" s="3346" t="s">
        <v>5311</v>
      </c>
      <c r="W70" s="626" t="s">
        <v>5312</v>
      </c>
      <c r="X70" s="916" t="s">
        <v>5313</v>
      </c>
      <c r="Y70" s="626" t="s">
        <v>5314</v>
      </c>
      <c r="Z70" s="3143" t="s">
        <v>5315</v>
      </c>
      <c r="AA70" s="626" t="s">
        <v>5316</v>
      </c>
      <c r="AB70" s="616" t="s">
        <v>5317</v>
      </c>
      <c r="AC70" s="624" t="s">
        <v>5318</v>
      </c>
      <c r="AD70" s="916" t="s">
        <v>5319</v>
      </c>
      <c r="AE70" s="3346" t="s">
        <v>5320</v>
      </c>
      <c r="AF70" s="626" t="s">
        <v>5321</v>
      </c>
      <c r="AG70" s="4162" t="s">
        <v>5322</v>
      </c>
      <c r="AH70" s="4163" t="s">
        <v>5323</v>
      </c>
      <c r="AI70" s="4164" t="s">
        <v>5324</v>
      </c>
      <c r="AJ70" s="4163" t="s">
        <v>5325</v>
      </c>
      <c r="AK70" s="4165" t="s">
        <v>5326</v>
      </c>
      <c r="AL70" s="4163" t="s">
        <v>5327</v>
      </c>
    </row>
    <row r="71" spans="1:38" s="102" customFormat="1" ht="15" customHeight="1" x14ac:dyDescent="0.2">
      <c r="A71" s="6296">
        <v>30000087</v>
      </c>
      <c r="B71" s="1939" t="s">
        <v>241</v>
      </c>
      <c r="C71" s="616" t="s">
        <v>5292</v>
      </c>
      <c r="D71" s="626" t="s">
        <v>5293</v>
      </c>
      <c r="E71" s="616" t="s">
        <v>5294</v>
      </c>
      <c r="F71" s="626" t="s">
        <v>5295</v>
      </c>
      <c r="G71" s="616" t="s">
        <v>5296</v>
      </c>
      <c r="H71" s="626" t="s">
        <v>5297</v>
      </c>
      <c r="I71" s="616" t="s">
        <v>5298</v>
      </c>
      <c r="J71" s="626" t="s">
        <v>5299</v>
      </c>
      <c r="K71" s="616" t="s">
        <v>5300</v>
      </c>
      <c r="L71" s="626" t="s">
        <v>5301</v>
      </c>
      <c r="M71" s="616" t="s">
        <v>5302</v>
      </c>
      <c r="N71" s="626" t="s">
        <v>5303</v>
      </c>
      <c r="O71" s="4161" t="s">
        <v>5304</v>
      </c>
      <c r="P71" s="786" t="s">
        <v>5305</v>
      </c>
      <c r="Q71" s="4161" t="s">
        <v>5306</v>
      </c>
      <c r="R71" s="786" t="s">
        <v>5307</v>
      </c>
      <c r="S71" s="3190" t="s">
        <v>5308</v>
      </c>
      <c r="T71" s="3006" t="s">
        <v>5309</v>
      </c>
      <c r="U71" s="916" t="s">
        <v>5310</v>
      </c>
      <c r="V71" s="3346" t="s">
        <v>5311</v>
      </c>
      <c r="W71" s="626" t="s">
        <v>5312</v>
      </c>
      <c r="X71" s="916" t="s">
        <v>5313</v>
      </c>
      <c r="Y71" s="626" t="s">
        <v>5314</v>
      </c>
      <c r="Z71" s="3143" t="s">
        <v>5315</v>
      </c>
      <c r="AA71" s="626" t="s">
        <v>5316</v>
      </c>
      <c r="AB71" s="616" t="s">
        <v>5317</v>
      </c>
      <c r="AC71" s="624" t="s">
        <v>5318</v>
      </c>
      <c r="AD71" s="916" t="s">
        <v>5319</v>
      </c>
      <c r="AE71" s="3346" t="s">
        <v>5320</v>
      </c>
      <c r="AF71" s="626" t="s">
        <v>5321</v>
      </c>
      <c r="AG71" s="4162" t="s">
        <v>5322</v>
      </c>
      <c r="AH71" s="4163" t="s">
        <v>5323</v>
      </c>
      <c r="AI71" s="4164" t="s">
        <v>5324</v>
      </c>
      <c r="AJ71" s="4163" t="s">
        <v>5325</v>
      </c>
      <c r="AK71" s="4165" t="s">
        <v>5326</v>
      </c>
      <c r="AL71" s="4163" t="s">
        <v>5327</v>
      </c>
    </row>
    <row r="72" spans="1:38" s="102" customFormat="1" ht="15" customHeight="1" x14ac:dyDescent="0.2">
      <c r="A72" s="6296">
        <v>30000088</v>
      </c>
      <c r="B72" s="150" t="s">
        <v>995</v>
      </c>
      <c r="C72" s="114" t="s">
        <v>5292</v>
      </c>
      <c r="D72" s="3035" t="s">
        <v>5293</v>
      </c>
      <c r="E72" s="114" t="s">
        <v>5294</v>
      </c>
      <c r="F72" s="3035" t="s">
        <v>5295</v>
      </c>
      <c r="G72" s="114" t="s">
        <v>5296</v>
      </c>
      <c r="H72" s="3035" t="s">
        <v>5297</v>
      </c>
      <c r="I72" s="114" t="s">
        <v>5298</v>
      </c>
      <c r="J72" s="3035" t="s">
        <v>5299</v>
      </c>
      <c r="K72" s="114" t="s">
        <v>5300</v>
      </c>
      <c r="L72" s="3035" t="s">
        <v>5301</v>
      </c>
      <c r="M72" s="114" t="s">
        <v>5302</v>
      </c>
      <c r="N72" s="3035" t="s">
        <v>5303</v>
      </c>
      <c r="O72" s="583" t="s">
        <v>5304</v>
      </c>
      <c r="P72" s="3349" t="s">
        <v>5305</v>
      </c>
      <c r="Q72" s="583" t="s">
        <v>5306</v>
      </c>
      <c r="R72" s="3349" t="s">
        <v>5307</v>
      </c>
      <c r="S72" s="120" t="s">
        <v>5308</v>
      </c>
      <c r="T72" s="4166" t="s">
        <v>5309</v>
      </c>
      <c r="U72" s="3754" t="s">
        <v>5310</v>
      </c>
      <c r="V72" s="138" t="s">
        <v>5311</v>
      </c>
      <c r="W72" s="3035" t="s">
        <v>5312</v>
      </c>
      <c r="X72" s="3754" t="s">
        <v>5313</v>
      </c>
      <c r="Y72" s="3035" t="s">
        <v>5314</v>
      </c>
      <c r="Z72" s="121" t="s">
        <v>5315</v>
      </c>
      <c r="AA72" s="3035" t="s">
        <v>5316</v>
      </c>
      <c r="AB72" s="114" t="s">
        <v>5317</v>
      </c>
      <c r="AC72" s="3080" t="s">
        <v>5318</v>
      </c>
      <c r="AD72" s="3754" t="s">
        <v>5319</v>
      </c>
      <c r="AE72" s="138" t="s">
        <v>5320</v>
      </c>
      <c r="AF72" s="3035" t="s">
        <v>5321</v>
      </c>
      <c r="AG72" s="4167" t="s">
        <v>5322</v>
      </c>
      <c r="AH72" s="4168" t="s">
        <v>5323</v>
      </c>
      <c r="AI72" s="4169" t="s">
        <v>5324</v>
      </c>
      <c r="AJ72" s="4168" t="s">
        <v>5325</v>
      </c>
      <c r="AK72" s="4170" t="s">
        <v>5326</v>
      </c>
      <c r="AL72" s="4168" t="s">
        <v>5327</v>
      </c>
    </row>
    <row r="73" spans="1:38" s="101" customFormat="1" ht="18" customHeight="1" x14ac:dyDescent="0.25">
      <c r="A73" s="103"/>
      <c r="B73" s="562" t="s">
        <v>3545</v>
      </c>
      <c r="C73" s="562"/>
      <c r="D73" s="562"/>
      <c r="E73" s="562"/>
      <c r="F73" s="562"/>
      <c r="G73" s="562"/>
      <c r="H73" s="562"/>
    </row>
    <row r="74" spans="1:38" s="103" customFormat="1" ht="24.75" customHeight="1" x14ac:dyDescent="0.25">
      <c r="B74" s="8364" t="s">
        <v>3546</v>
      </c>
      <c r="C74" s="6557" t="s">
        <v>3547</v>
      </c>
      <c r="D74" s="6419"/>
      <c r="E74" s="6419"/>
      <c r="F74" s="6419"/>
      <c r="G74" s="6419"/>
      <c r="H74" s="8353"/>
      <c r="I74" s="8357" t="s">
        <v>3384</v>
      </c>
      <c r="J74" s="8354"/>
      <c r="K74" s="8355"/>
      <c r="L74" s="8356" t="s">
        <v>3539</v>
      </c>
      <c r="M74" s="6419"/>
      <c r="N74" s="6419"/>
      <c r="O74" s="6419"/>
      <c r="P74" s="6419"/>
      <c r="Q74" s="8352"/>
    </row>
    <row r="75" spans="1:38" s="103" customFormat="1" ht="15" customHeight="1" x14ac:dyDescent="0.25">
      <c r="B75" s="7097"/>
      <c r="C75" s="8354" t="s">
        <v>3735</v>
      </c>
      <c r="D75" s="8361"/>
      <c r="E75" s="8362" t="s">
        <v>4</v>
      </c>
      <c r="F75" s="8361"/>
      <c r="G75" s="8362" t="s">
        <v>3540</v>
      </c>
      <c r="H75" s="8355"/>
      <c r="I75" s="4127" t="s">
        <v>3548</v>
      </c>
      <c r="J75" s="6557" t="s">
        <v>702</v>
      </c>
      <c r="K75" s="8353"/>
      <c r="L75" s="8354" t="s">
        <v>3735</v>
      </c>
      <c r="M75" s="8361"/>
      <c r="N75" s="8362" t="s">
        <v>4</v>
      </c>
      <c r="O75" s="8361"/>
      <c r="P75" s="8362" t="s">
        <v>3540</v>
      </c>
      <c r="Q75" s="8361"/>
    </row>
    <row r="76" spans="1:38" s="103" customFormat="1" ht="23.25" customHeight="1" x14ac:dyDescent="0.25">
      <c r="B76" s="6339"/>
      <c r="C76" s="4132" t="s">
        <v>51</v>
      </c>
      <c r="D76" s="4133" t="s">
        <v>27</v>
      </c>
      <c r="E76" s="4134" t="s">
        <v>22</v>
      </c>
      <c r="F76" s="4133" t="s">
        <v>27</v>
      </c>
      <c r="G76" s="4132" t="s">
        <v>22</v>
      </c>
      <c r="H76" s="4135" t="s">
        <v>27</v>
      </c>
      <c r="I76" s="4127" t="s">
        <v>996</v>
      </c>
      <c r="J76" s="4171" t="s">
        <v>950</v>
      </c>
      <c r="K76" s="4127" t="s">
        <v>951</v>
      </c>
      <c r="L76" s="4138" t="s">
        <v>22</v>
      </c>
      <c r="M76" s="4133" t="s">
        <v>27</v>
      </c>
      <c r="N76" s="4132" t="s">
        <v>22</v>
      </c>
      <c r="O76" s="4133" t="s">
        <v>27</v>
      </c>
      <c r="P76" s="4134" t="s">
        <v>22</v>
      </c>
      <c r="Q76" s="4133" t="s">
        <v>27</v>
      </c>
    </row>
    <row r="77" spans="1:38" s="103" customFormat="1" ht="13.8" x14ac:dyDescent="0.25">
      <c r="A77" s="6296">
        <v>30000089</v>
      </c>
      <c r="B77" s="4172" t="s">
        <v>3549</v>
      </c>
      <c r="C77" s="4144" t="s">
        <v>5292</v>
      </c>
      <c r="D77" s="3790" t="s">
        <v>5293</v>
      </c>
      <c r="E77" s="4144" t="s">
        <v>5294</v>
      </c>
      <c r="F77" s="3790" t="s">
        <v>5295</v>
      </c>
      <c r="G77" s="4151" t="s">
        <v>5296</v>
      </c>
      <c r="H77" s="3791" t="s">
        <v>5297</v>
      </c>
      <c r="I77" s="4173" t="s">
        <v>5298</v>
      </c>
      <c r="J77" s="4144" t="s">
        <v>5299</v>
      </c>
      <c r="K77" s="3790" t="s">
        <v>5300</v>
      </c>
      <c r="L77" s="4149" t="s">
        <v>5301</v>
      </c>
      <c r="M77" s="3790" t="s">
        <v>5302</v>
      </c>
      <c r="N77" s="4151" t="s">
        <v>5303</v>
      </c>
      <c r="O77" s="3790" t="s">
        <v>5304</v>
      </c>
      <c r="P77" s="4144" t="s">
        <v>5305</v>
      </c>
      <c r="Q77" s="3790" t="s">
        <v>5306</v>
      </c>
    </row>
    <row r="78" spans="1:38" s="103" customFormat="1" ht="13.8" x14ac:dyDescent="0.25">
      <c r="A78" s="6296">
        <v>30000090</v>
      </c>
      <c r="B78" s="3184" t="s">
        <v>3550</v>
      </c>
      <c r="C78" s="616" t="s">
        <v>5292</v>
      </c>
      <c r="D78" s="626" t="s">
        <v>5293</v>
      </c>
      <c r="E78" s="616" t="s">
        <v>5294</v>
      </c>
      <c r="F78" s="626" t="s">
        <v>5295</v>
      </c>
      <c r="G78" s="3143" t="s">
        <v>5296</v>
      </c>
      <c r="H78" s="624" t="s">
        <v>5297</v>
      </c>
      <c r="I78" s="626" t="s">
        <v>5298</v>
      </c>
      <c r="J78" s="616" t="s">
        <v>5299</v>
      </c>
      <c r="K78" s="626" t="s">
        <v>5300</v>
      </c>
      <c r="L78" s="916" t="s">
        <v>5301</v>
      </c>
      <c r="M78" s="626" t="s">
        <v>5302</v>
      </c>
      <c r="N78" s="3143" t="s">
        <v>5303</v>
      </c>
      <c r="O78" s="626" t="s">
        <v>5304</v>
      </c>
      <c r="P78" s="616" t="s">
        <v>5305</v>
      </c>
      <c r="Q78" s="626" t="s">
        <v>5306</v>
      </c>
    </row>
    <row r="79" spans="1:38" s="103" customFormat="1" ht="18" customHeight="1" x14ac:dyDescent="0.25">
      <c r="A79" s="6296">
        <v>30000091</v>
      </c>
      <c r="B79" s="2994" t="s">
        <v>3213</v>
      </c>
      <c r="C79" s="4174" t="s">
        <v>5292</v>
      </c>
      <c r="D79" s="2924" t="s">
        <v>5293</v>
      </c>
      <c r="E79" s="3857" t="s">
        <v>5294</v>
      </c>
      <c r="F79" s="2924" t="s">
        <v>5295</v>
      </c>
      <c r="G79" s="4174" t="s">
        <v>5296</v>
      </c>
      <c r="H79" s="2923" t="s">
        <v>5297</v>
      </c>
      <c r="I79" s="2924" t="s">
        <v>5298</v>
      </c>
      <c r="J79" s="3857" t="s">
        <v>5299</v>
      </c>
      <c r="K79" s="2924" t="s">
        <v>5300</v>
      </c>
      <c r="L79" s="2922" t="s">
        <v>5301</v>
      </c>
      <c r="M79" s="2924" t="s">
        <v>5302</v>
      </c>
      <c r="N79" s="4174" t="s">
        <v>5303</v>
      </c>
      <c r="O79" s="2924" t="s">
        <v>5304</v>
      </c>
      <c r="P79" s="3857" t="s">
        <v>5305</v>
      </c>
      <c r="Q79" s="2924" t="s">
        <v>5306</v>
      </c>
    </row>
    <row r="80" spans="1:38" s="101" customFormat="1" ht="18" customHeight="1" x14ac:dyDescent="0.25">
      <c r="A80" s="103"/>
      <c r="B80" s="562" t="s">
        <v>3551</v>
      </c>
      <c r="C80" s="562"/>
      <c r="D80" s="562"/>
      <c r="E80" s="562"/>
      <c r="F80" s="562"/>
      <c r="G80" s="562"/>
      <c r="H80" s="562"/>
    </row>
    <row r="81" spans="1:38" s="103" customFormat="1" ht="15" customHeight="1" x14ac:dyDescent="0.25">
      <c r="B81" s="8365" t="s">
        <v>3552</v>
      </c>
      <c r="C81" s="6557" t="s">
        <v>3553</v>
      </c>
      <c r="D81" s="6419"/>
      <c r="E81" s="6419"/>
      <c r="F81" s="6419"/>
      <c r="G81" s="6419"/>
      <c r="H81" s="6419"/>
      <c r="I81" s="6419"/>
      <c r="J81" s="6419"/>
      <c r="K81" s="8353"/>
      <c r="L81" s="8356" t="s">
        <v>3554</v>
      </c>
      <c r="M81" s="6419"/>
      <c r="N81" s="6419"/>
      <c r="O81" s="6419"/>
      <c r="P81" s="6419"/>
      <c r="Q81" s="6419"/>
      <c r="R81" s="6419"/>
      <c r="S81" s="6419"/>
      <c r="T81" s="8353"/>
      <c r="U81" s="7870" t="s">
        <v>3555</v>
      </c>
      <c r="V81" s="8372"/>
      <c r="W81" s="4175"/>
      <c r="X81" s="4175"/>
      <c r="Y81" s="4175"/>
      <c r="Z81" s="4175"/>
      <c r="AA81" s="4175"/>
      <c r="AB81" s="4175"/>
      <c r="AC81" s="4175"/>
      <c r="AD81" s="4175"/>
      <c r="AE81" s="4175"/>
      <c r="AF81" s="4175"/>
      <c r="AG81" s="4175"/>
      <c r="AH81" s="4175"/>
      <c r="AI81" s="4175"/>
      <c r="AJ81" s="4175"/>
      <c r="AK81" s="4175"/>
      <c r="AL81" s="4175"/>
    </row>
    <row r="82" spans="1:38" s="103" customFormat="1" ht="15" customHeight="1" x14ac:dyDescent="0.25">
      <c r="B82" s="8366"/>
      <c r="C82" s="8362" t="s">
        <v>3735</v>
      </c>
      <c r="D82" s="8361"/>
      <c r="E82" s="8362" t="s">
        <v>4</v>
      </c>
      <c r="F82" s="8361"/>
      <c r="G82" s="8354" t="s">
        <v>3540</v>
      </c>
      <c r="H82" s="8355"/>
      <c r="I82" s="8357" t="s">
        <v>3384</v>
      </c>
      <c r="J82" s="8354"/>
      <c r="K82" s="8355"/>
      <c r="L82" s="8357" t="s">
        <v>3735</v>
      </c>
      <c r="M82" s="8361"/>
      <c r="N82" s="8362" t="s">
        <v>4</v>
      </c>
      <c r="O82" s="8361"/>
      <c r="P82" s="8362" t="s">
        <v>3540</v>
      </c>
      <c r="Q82" s="8355"/>
      <c r="R82" s="8357" t="s">
        <v>3384</v>
      </c>
      <c r="S82" s="8354"/>
      <c r="T82" s="8355"/>
      <c r="U82" s="7870"/>
      <c r="V82" s="8372"/>
      <c r="W82" s="4175"/>
      <c r="X82" s="4175"/>
      <c r="Y82" s="4175"/>
      <c r="Z82" s="4175"/>
      <c r="AA82" s="4175"/>
      <c r="AB82" s="4175"/>
      <c r="AC82" s="4175"/>
      <c r="AD82" s="4175"/>
      <c r="AE82" s="4175"/>
      <c r="AF82" s="4175"/>
      <c r="AG82" s="4175"/>
      <c r="AH82" s="4175"/>
      <c r="AI82" s="4175"/>
      <c r="AJ82" s="4175"/>
      <c r="AK82" s="4175"/>
      <c r="AL82" s="4175"/>
    </row>
    <row r="83" spans="1:38" s="103" customFormat="1" ht="15" customHeight="1" x14ac:dyDescent="0.25">
      <c r="B83" s="8366"/>
      <c r="C83" s="8368" t="s">
        <v>22</v>
      </c>
      <c r="D83" s="8370" t="s">
        <v>27</v>
      </c>
      <c r="E83" s="8368" t="s">
        <v>22</v>
      </c>
      <c r="F83" s="8370" t="s">
        <v>27</v>
      </c>
      <c r="G83" s="8375" t="s">
        <v>22</v>
      </c>
      <c r="H83" s="8377" t="s">
        <v>27</v>
      </c>
      <c r="I83" s="8363" t="s">
        <v>948</v>
      </c>
      <c r="J83" s="8360" t="s">
        <v>702</v>
      </c>
      <c r="K83" s="8353"/>
      <c r="L83" s="8379" t="s">
        <v>22</v>
      </c>
      <c r="M83" s="8370" t="s">
        <v>27</v>
      </c>
      <c r="N83" s="8375" t="s">
        <v>22</v>
      </c>
      <c r="O83" s="8370" t="s">
        <v>27</v>
      </c>
      <c r="P83" s="8368" t="s">
        <v>22</v>
      </c>
      <c r="Q83" s="8377" t="s">
        <v>27</v>
      </c>
      <c r="R83" s="8363" t="s">
        <v>948</v>
      </c>
      <c r="S83" s="8360" t="s">
        <v>702</v>
      </c>
      <c r="T83" s="8353"/>
      <c r="U83" s="8373" t="s">
        <v>3556</v>
      </c>
      <c r="V83" s="8374" t="s">
        <v>3557</v>
      </c>
      <c r="W83" s="4175"/>
      <c r="X83" s="4175"/>
      <c r="Y83" s="4175"/>
      <c r="Z83" s="4175"/>
      <c r="AA83" s="4175"/>
      <c r="AB83" s="4175"/>
      <c r="AC83" s="4175"/>
      <c r="AD83" s="4175"/>
      <c r="AE83" s="4175"/>
      <c r="AF83" s="4175"/>
      <c r="AG83" s="4175"/>
      <c r="AH83" s="4175"/>
      <c r="AI83" s="4175"/>
      <c r="AJ83" s="4175"/>
      <c r="AK83" s="4175"/>
      <c r="AL83" s="4175"/>
    </row>
    <row r="84" spans="1:38" s="103" customFormat="1" ht="30" customHeight="1" x14ac:dyDescent="0.25">
      <c r="B84" s="8367"/>
      <c r="C84" s="8369"/>
      <c r="D84" s="8371"/>
      <c r="E84" s="8369"/>
      <c r="F84" s="8371"/>
      <c r="G84" s="8376"/>
      <c r="H84" s="8378"/>
      <c r="I84" s="6638"/>
      <c r="J84" s="4178" t="s">
        <v>950</v>
      </c>
      <c r="K84" s="4179" t="s">
        <v>951</v>
      </c>
      <c r="L84" s="8380"/>
      <c r="M84" s="8371"/>
      <c r="N84" s="8376"/>
      <c r="O84" s="8371"/>
      <c r="P84" s="8369"/>
      <c r="Q84" s="8378"/>
      <c r="R84" s="6638"/>
      <c r="S84" s="4178" t="s">
        <v>950</v>
      </c>
      <c r="T84" s="4179" t="s">
        <v>951</v>
      </c>
      <c r="U84" s="8373"/>
      <c r="V84" s="8374"/>
      <c r="W84" s="4175"/>
      <c r="X84" s="4175"/>
      <c r="Y84" s="4175"/>
      <c r="Z84" s="4175"/>
      <c r="AA84" s="4175"/>
      <c r="AB84" s="4175"/>
      <c r="AC84" s="4175"/>
      <c r="AD84" s="4175"/>
      <c r="AE84" s="4175"/>
      <c r="AF84" s="4175"/>
      <c r="AG84" s="4175"/>
      <c r="AH84" s="4175"/>
      <c r="AI84" s="4175"/>
      <c r="AJ84" s="4175"/>
      <c r="AK84" s="4175"/>
      <c r="AL84" s="4175"/>
    </row>
    <row r="85" spans="1:38" s="103" customFormat="1" ht="15" customHeight="1" x14ac:dyDescent="0.25">
      <c r="A85" s="6278"/>
      <c r="B85" s="4787" t="s">
        <v>3558</v>
      </c>
      <c r="C85" s="4180">
        <f>SUM(C86:C98)</f>
        <v>0</v>
      </c>
      <c r="D85" s="4181">
        <f t="shared" ref="D85:T85" si="1">SUM(D86:D98)</f>
        <v>0</v>
      </c>
      <c r="E85" s="4180">
        <f t="shared" si="1"/>
        <v>0</v>
      </c>
      <c r="F85" s="4181">
        <f t="shared" si="1"/>
        <v>0</v>
      </c>
      <c r="G85" s="4141">
        <f>SUM(G86:G98)</f>
        <v>0</v>
      </c>
      <c r="H85" s="4182">
        <f>SUM(H86:H98)</f>
        <v>0</v>
      </c>
      <c r="I85" s="4183">
        <f t="shared" si="1"/>
        <v>0</v>
      </c>
      <c r="J85" s="4184">
        <f t="shared" si="1"/>
        <v>0</v>
      </c>
      <c r="K85" s="4185">
        <f t="shared" si="1"/>
        <v>0</v>
      </c>
      <c r="L85" s="4183">
        <f>SUM(L86:L98)</f>
        <v>0</v>
      </c>
      <c r="M85" s="4186">
        <f>SUM(M86:M98)</f>
        <v>0</v>
      </c>
      <c r="N85" s="4187">
        <f t="shared" si="1"/>
        <v>0</v>
      </c>
      <c r="O85" s="4186">
        <f t="shared" si="1"/>
        <v>0</v>
      </c>
      <c r="P85" s="4141">
        <f t="shared" si="1"/>
        <v>0</v>
      </c>
      <c r="Q85" s="4182">
        <f t="shared" si="1"/>
        <v>0</v>
      </c>
      <c r="R85" s="4141">
        <f t="shared" si="1"/>
        <v>0</v>
      </c>
      <c r="S85" s="4141">
        <f t="shared" si="1"/>
        <v>0</v>
      </c>
      <c r="T85" s="4182">
        <f t="shared" si="1"/>
        <v>0</v>
      </c>
      <c r="U85" s="4188">
        <f>SUM(U86:U98)</f>
        <v>0</v>
      </c>
      <c r="V85" s="4188">
        <f>SUM(V86:V98)</f>
        <v>0</v>
      </c>
      <c r="W85" s="4175"/>
      <c r="X85" s="4175"/>
      <c r="Y85" s="102"/>
      <c r="Z85" s="4175"/>
      <c r="AA85" s="4175"/>
      <c r="AB85" s="4175"/>
      <c r="AC85" s="4175"/>
      <c r="AD85" s="4175"/>
      <c r="AE85" s="4175"/>
      <c r="AF85" s="4175"/>
      <c r="AG85" s="4175"/>
      <c r="AH85" s="4175"/>
      <c r="AI85" s="4175"/>
      <c r="AJ85" s="4175"/>
      <c r="AK85" s="4175"/>
      <c r="AL85" s="4175"/>
    </row>
    <row r="86" spans="1:38" s="103" customFormat="1" ht="15" customHeight="1" x14ac:dyDescent="0.25">
      <c r="A86" s="6296">
        <v>30000058</v>
      </c>
      <c r="B86" s="3508" t="s">
        <v>3559</v>
      </c>
      <c r="C86" s="131" t="s">
        <v>5292</v>
      </c>
      <c r="D86" s="1382" t="s">
        <v>5293</v>
      </c>
      <c r="E86" s="131" t="s">
        <v>5294</v>
      </c>
      <c r="F86" s="1382" t="s">
        <v>5295</v>
      </c>
      <c r="G86" s="125" t="s">
        <v>5296</v>
      </c>
      <c r="H86" s="3086" t="s">
        <v>5297</v>
      </c>
      <c r="I86" s="131" t="s">
        <v>5298</v>
      </c>
      <c r="J86" s="2399" t="s">
        <v>5299</v>
      </c>
      <c r="K86" s="3086" t="s">
        <v>5300</v>
      </c>
      <c r="L86" s="3753" t="s">
        <v>5301</v>
      </c>
      <c r="M86" s="1382" t="s">
        <v>5302</v>
      </c>
      <c r="N86" s="125" t="s">
        <v>5303</v>
      </c>
      <c r="O86" s="1382" t="s">
        <v>5304</v>
      </c>
      <c r="P86" s="131" t="s">
        <v>5305</v>
      </c>
      <c r="Q86" s="3086" t="s">
        <v>5306</v>
      </c>
      <c r="R86" s="3753" t="s">
        <v>5307</v>
      </c>
      <c r="S86" s="4189" t="s">
        <v>5308</v>
      </c>
      <c r="T86" s="3030" t="s">
        <v>5309</v>
      </c>
      <c r="U86" s="4173" t="s">
        <v>5310</v>
      </c>
      <c r="V86" s="4190" t="s">
        <v>5311</v>
      </c>
      <c r="W86" s="4175"/>
      <c r="X86" s="4175"/>
      <c r="Y86" s="102"/>
      <c r="Z86" s="4175"/>
      <c r="AA86" s="4175"/>
      <c r="AB86" s="4175"/>
      <c r="AC86" s="4175"/>
      <c r="AD86" s="4175"/>
      <c r="AE86" s="4175"/>
      <c r="AF86" s="4175"/>
      <c r="AG86" s="4175"/>
      <c r="AH86" s="4175"/>
      <c r="AI86" s="4175"/>
      <c r="AJ86" s="4175"/>
      <c r="AK86" s="4175"/>
      <c r="AL86" s="4175"/>
    </row>
    <row r="87" spans="1:38" s="103" customFormat="1" ht="15" customHeight="1" x14ac:dyDescent="0.25">
      <c r="A87" s="6296">
        <v>30000059</v>
      </c>
      <c r="B87" s="3508" t="s">
        <v>3560</v>
      </c>
      <c r="C87" s="90" t="s">
        <v>5292</v>
      </c>
      <c r="D87" s="92" t="s">
        <v>5293</v>
      </c>
      <c r="E87" s="90" t="s">
        <v>5294</v>
      </c>
      <c r="F87" s="92" t="s">
        <v>5295</v>
      </c>
      <c r="G87" s="129" t="s">
        <v>5296</v>
      </c>
      <c r="H87" s="94" t="s">
        <v>5297</v>
      </c>
      <c r="I87" s="90" t="s">
        <v>5298</v>
      </c>
      <c r="J87" s="1967" t="s">
        <v>5299</v>
      </c>
      <c r="K87" s="94" t="s">
        <v>5300</v>
      </c>
      <c r="L87" s="2833" t="s">
        <v>5301</v>
      </c>
      <c r="M87" s="92" t="s">
        <v>5302</v>
      </c>
      <c r="N87" s="129" t="s">
        <v>5303</v>
      </c>
      <c r="O87" s="92" t="s">
        <v>5304</v>
      </c>
      <c r="P87" s="90" t="s">
        <v>5305</v>
      </c>
      <c r="Q87" s="94" t="s">
        <v>5306</v>
      </c>
      <c r="R87" s="2833" t="s">
        <v>5307</v>
      </c>
      <c r="S87" s="127" t="s">
        <v>5308</v>
      </c>
      <c r="T87" s="1078" t="s">
        <v>5309</v>
      </c>
      <c r="U87" s="3077" t="s">
        <v>5310</v>
      </c>
      <c r="V87" s="3145" t="s">
        <v>5311</v>
      </c>
      <c r="W87" s="4175"/>
      <c r="X87" s="4175"/>
      <c r="Y87" s="102"/>
      <c r="Z87" s="4175"/>
      <c r="AA87" s="4175"/>
      <c r="AB87" s="4175"/>
      <c r="AC87" s="4175"/>
      <c r="AD87" s="4175"/>
      <c r="AE87" s="4175"/>
      <c r="AF87" s="4175"/>
      <c r="AG87" s="4175"/>
      <c r="AH87" s="4175"/>
      <c r="AI87" s="4175"/>
      <c r="AJ87" s="4175"/>
      <c r="AK87" s="4175"/>
      <c r="AL87" s="4175"/>
    </row>
    <row r="88" spans="1:38" s="103" customFormat="1" ht="15" customHeight="1" x14ac:dyDescent="0.25">
      <c r="A88" s="6296">
        <v>30000060</v>
      </c>
      <c r="B88" s="3508" t="s">
        <v>3561</v>
      </c>
      <c r="C88" s="90" t="s">
        <v>5292</v>
      </c>
      <c r="D88" s="92" t="s">
        <v>5293</v>
      </c>
      <c r="E88" s="90" t="s">
        <v>5294</v>
      </c>
      <c r="F88" s="92" t="s">
        <v>5295</v>
      </c>
      <c r="G88" s="129" t="s">
        <v>5296</v>
      </c>
      <c r="H88" s="94" t="s">
        <v>5297</v>
      </c>
      <c r="I88" s="90" t="s">
        <v>5298</v>
      </c>
      <c r="J88" s="1967" t="s">
        <v>5299</v>
      </c>
      <c r="K88" s="94" t="s">
        <v>5300</v>
      </c>
      <c r="L88" s="2833" t="s">
        <v>5301</v>
      </c>
      <c r="M88" s="92" t="s">
        <v>5302</v>
      </c>
      <c r="N88" s="129" t="s">
        <v>5303</v>
      </c>
      <c r="O88" s="92" t="s">
        <v>5304</v>
      </c>
      <c r="P88" s="90" t="s">
        <v>5305</v>
      </c>
      <c r="Q88" s="94" t="s">
        <v>5306</v>
      </c>
      <c r="R88" s="2833" t="s">
        <v>5307</v>
      </c>
      <c r="S88" s="127" t="s">
        <v>5308</v>
      </c>
      <c r="T88" s="1078" t="s">
        <v>5309</v>
      </c>
      <c r="U88" s="3077" t="s">
        <v>5310</v>
      </c>
      <c r="V88" s="3145" t="s">
        <v>5311</v>
      </c>
      <c r="W88" s="4175"/>
      <c r="X88" s="4175"/>
      <c r="Y88" s="102"/>
      <c r="Z88" s="4175"/>
      <c r="AA88" s="4175"/>
      <c r="AB88" s="4175"/>
      <c r="AC88" s="4175"/>
      <c r="AD88" s="4175"/>
      <c r="AE88" s="4175"/>
      <c r="AF88" s="4175"/>
      <c r="AG88" s="4175"/>
      <c r="AH88" s="4175"/>
      <c r="AI88" s="4175"/>
      <c r="AJ88" s="4175"/>
      <c r="AK88" s="4175"/>
      <c r="AL88" s="4175"/>
    </row>
    <row r="89" spans="1:38" s="103" customFormat="1" ht="15" customHeight="1" x14ac:dyDescent="0.25">
      <c r="A89" s="6296">
        <v>30000061</v>
      </c>
      <c r="B89" s="3508" t="s">
        <v>3562</v>
      </c>
      <c r="C89" s="90" t="s">
        <v>5292</v>
      </c>
      <c r="D89" s="92" t="s">
        <v>5293</v>
      </c>
      <c r="E89" s="90" t="s">
        <v>5294</v>
      </c>
      <c r="F89" s="92" t="s">
        <v>5295</v>
      </c>
      <c r="G89" s="129" t="s">
        <v>5296</v>
      </c>
      <c r="H89" s="94" t="s">
        <v>5297</v>
      </c>
      <c r="I89" s="90" t="s">
        <v>5298</v>
      </c>
      <c r="J89" s="1967" t="s">
        <v>5299</v>
      </c>
      <c r="K89" s="94" t="s">
        <v>5300</v>
      </c>
      <c r="L89" s="2833" t="s">
        <v>5301</v>
      </c>
      <c r="M89" s="92" t="s">
        <v>5302</v>
      </c>
      <c r="N89" s="129" t="s">
        <v>5303</v>
      </c>
      <c r="O89" s="92" t="s">
        <v>5304</v>
      </c>
      <c r="P89" s="90" t="s">
        <v>5305</v>
      </c>
      <c r="Q89" s="94" t="s">
        <v>5306</v>
      </c>
      <c r="R89" s="2833" t="s">
        <v>5307</v>
      </c>
      <c r="S89" s="127" t="s">
        <v>5308</v>
      </c>
      <c r="T89" s="1078" t="s">
        <v>5309</v>
      </c>
      <c r="U89" s="3077" t="s">
        <v>5310</v>
      </c>
      <c r="V89" s="3145" t="s">
        <v>5311</v>
      </c>
      <c r="W89" s="4175"/>
      <c r="X89" s="4175"/>
      <c r="Y89" s="102"/>
      <c r="Z89" s="4175"/>
      <c r="AA89" s="4175"/>
      <c r="AB89" s="4175"/>
      <c r="AC89" s="4175"/>
      <c r="AD89" s="4175"/>
      <c r="AE89" s="4175"/>
      <c r="AF89" s="4175"/>
      <c r="AG89" s="4175"/>
      <c r="AH89" s="4175"/>
      <c r="AI89" s="4175"/>
      <c r="AJ89" s="4175"/>
      <c r="AK89" s="4175"/>
      <c r="AL89" s="4175"/>
    </row>
    <row r="90" spans="1:38" s="103" customFormat="1" ht="15" customHeight="1" x14ac:dyDescent="0.25">
      <c r="A90" s="6296">
        <v>30000062</v>
      </c>
      <c r="B90" s="3508" t="s">
        <v>3563</v>
      </c>
      <c r="C90" s="90" t="s">
        <v>5292</v>
      </c>
      <c r="D90" s="92" t="s">
        <v>5293</v>
      </c>
      <c r="E90" s="90" t="s">
        <v>5294</v>
      </c>
      <c r="F90" s="92" t="s">
        <v>5295</v>
      </c>
      <c r="G90" s="129" t="s">
        <v>5296</v>
      </c>
      <c r="H90" s="94" t="s">
        <v>5297</v>
      </c>
      <c r="I90" s="90" t="s">
        <v>5298</v>
      </c>
      <c r="J90" s="1967" t="s">
        <v>5299</v>
      </c>
      <c r="K90" s="94" t="s">
        <v>5300</v>
      </c>
      <c r="L90" s="2833" t="s">
        <v>5301</v>
      </c>
      <c r="M90" s="92" t="s">
        <v>5302</v>
      </c>
      <c r="N90" s="129" t="s">
        <v>5303</v>
      </c>
      <c r="O90" s="92" t="s">
        <v>5304</v>
      </c>
      <c r="P90" s="90" t="s">
        <v>5305</v>
      </c>
      <c r="Q90" s="94" t="s">
        <v>5306</v>
      </c>
      <c r="R90" s="2833" t="s">
        <v>5307</v>
      </c>
      <c r="S90" s="127" t="s">
        <v>5308</v>
      </c>
      <c r="T90" s="1078" t="s">
        <v>5309</v>
      </c>
      <c r="U90" s="3077" t="s">
        <v>5310</v>
      </c>
      <c r="V90" s="3145" t="s">
        <v>5311</v>
      </c>
      <c r="W90" s="4175"/>
      <c r="X90" s="4175"/>
      <c r="Y90" s="102"/>
      <c r="Z90" s="4175"/>
      <c r="AA90" s="4175"/>
      <c r="AB90" s="4175"/>
      <c r="AC90" s="4175"/>
      <c r="AD90" s="4175"/>
      <c r="AE90" s="4175"/>
      <c r="AF90" s="4175"/>
      <c r="AG90" s="4175"/>
      <c r="AH90" s="4175"/>
      <c r="AI90" s="4175"/>
      <c r="AJ90" s="4175"/>
      <c r="AK90" s="4175"/>
      <c r="AL90" s="4175"/>
    </row>
    <row r="91" spans="1:38" s="103" customFormat="1" ht="15" customHeight="1" x14ac:dyDescent="0.25">
      <c r="A91" s="6296">
        <v>30000063</v>
      </c>
      <c r="B91" s="3508" t="s">
        <v>3564</v>
      </c>
      <c r="C91" s="90" t="s">
        <v>5292</v>
      </c>
      <c r="D91" s="92" t="s">
        <v>5293</v>
      </c>
      <c r="E91" s="90" t="s">
        <v>5294</v>
      </c>
      <c r="F91" s="92" t="s">
        <v>5295</v>
      </c>
      <c r="G91" s="129" t="s">
        <v>5296</v>
      </c>
      <c r="H91" s="94" t="s">
        <v>5297</v>
      </c>
      <c r="I91" s="90" t="s">
        <v>5298</v>
      </c>
      <c r="J91" s="1967" t="s">
        <v>5299</v>
      </c>
      <c r="K91" s="94" t="s">
        <v>5300</v>
      </c>
      <c r="L91" s="2833" t="s">
        <v>5301</v>
      </c>
      <c r="M91" s="92" t="s">
        <v>5302</v>
      </c>
      <c r="N91" s="129" t="s">
        <v>5303</v>
      </c>
      <c r="O91" s="92" t="s">
        <v>5304</v>
      </c>
      <c r="P91" s="90" t="s">
        <v>5305</v>
      </c>
      <c r="Q91" s="94" t="s">
        <v>5306</v>
      </c>
      <c r="R91" s="2833" t="s">
        <v>5307</v>
      </c>
      <c r="S91" s="127" t="s">
        <v>5308</v>
      </c>
      <c r="T91" s="1078" t="s">
        <v>5309</v>
      </c>
      <c r="U91" s="3077" t="s">
        <v>5310</v>
      </c>
      <c r="V91" s="3145" t="s">
        <v>5311</v>
      </c>
      <c r="W91" s="4175"/>
      <c r="X91" s="4175"/>
      <c r="Y91" s="102"/>
      <c r="Z91" s="4175"/>
      <c r="AA91" s="4175"/>
      <c r="AB91" s="4175"/>
      <c r="AC91" s="4175"/>
      <c r="AD91" s="4175"/>
      <c r="AE91" s="4175"/>
      <c r="AF91" s="4175"/>
      <c r="AG91" s="4175"/>
      <c r="AH91" s="4175"/>
      <c r="AI91" s="4175"/>
      <c r="AJ91" s="4175"/>
      <c r="AK91" s="4175"/>
      <c r="AL91" s="4175"/>
    </row>
    <row r="92" spans="1:38" s="103" customFormat="1" ht="15" customHeight="1" x14ac:dyDescent="0.25">
      <c r="A92" s="6296">
        <v>30000064</v>
      </c>
      <c r="B92" s="3508" t="s">
        <v>3565</v>
      </c>
      <c r="C92" s="90" t="s">
        <v>5292</v>
      </c>
      <c r="D92" s="92" t="s">
        <v>5293</v>
      </c>
      <c r="E92" s="90" t="s">
        <v>5294</v>
      </c>
      <c r="F92" s="92" t="s">
        <v>5295</v>
      </c>
      <c r="G92" s="129" t="s">
        <v>5296</v>
      </c>
      <c r="H92" s="94" t="s">
        <v>5297</v>
      </c>
      <c r="I92" s="90" t="s">
        <v>5298</v>
      </c>
      <c r="J92" s="1967" t="s">
        <v>5299</v>
      </c>
      <c r="K92" s="94" t="s">
        <v>5300</v>
      </c>
      <c r="L92" s="2833" t="s">
        <v>5301</v>
      </c>
      <c r="M92" s="92" t="s">
        <v>5302</v>
      </c>
      <c r="N92" s="129" t="s">
        <v>5303</v>
      </c>
      <c r="O92" s="92" t="s">
        <v>5304</v>
      </c>
      <c r="P92" s="90" t="s">
        <v>5305</v>
      </c>
      <c r="Q92" s="94" t="s">
        <v>5306</v>
      </c>
      <c r="R92" s="2833" t="s">
        <v>5307</v>
      </c>
      <c r="S92" s="127" t="s">
        <v>5308</v>
      </c>
      <c r="T92" s="1078" t="s">
        <v>5309</v>
      </c>
      <c r="U92" s="3077" t="s">
        <v>5310</v>
      </c>
      <c r="V92" s="3145" t="s">
        <v>5311</v>
      </c>
      <c r="W92" s="4175"/>
      <c r="X92" s="4175"/>
      <c r="Y92" s="102"/>
      <c r="Z92" s="4175"/>
      <c r="AA92" s="4175"/>
      <c r="AB92" s="4175"/>
      <c r="AC92" s="4175"/>
      <c r="AD92" s="4175"/>
      <c r="AE92" s="4175"/>
      <c r="AF92" s="4175"/>
      <c r="AG92" s="4175"/>
      <c r="AH92" s="4175"/>
      <c r="AI92" s="4175"/>
      <c r="AJ92" s="4175"/>
      <c r="AK92" s="4175"/>
      <c r="AL92" s="4175"/>
    </row>
    <row r="93" spans="1:38" s="103" customFormat="1" ht="15" customHeight="1" x14ac:dyDescent="0.25">
      <c r="A93" s="6296">
        <v>30000065</v>
      </c>
      <c r="B93" s="3508" t="s">
        <v>3566</v>
      </c>
      <c r="C93" s="90" t="s">
        <v>5292</v>
      </c>
      <c r="D93" s="92" t="s">
        <v>5293</v>
      </c>
      <c r="E93" s="90" t="s">
        <v>5294</v>
      </c>
      <c r="F93" s="92" t="s">
        <v>5295</v>
      </c>
      <c r="G93" s="129" t="s">
        <v>5296</v>
      </c>
      <c r="H93" s="94" t="s">
        <v>5297</v>
      </c>
      <c r="I93" s="90" t="s">
        <v>5298</v>
      </c>
      <c r="J93" s="1967" t="s">
        <v>5299</v>
      </c>
      <c r="K93" s="94" t="s">
        <v>5300</v>
      </c>
      <c r="L93" s="2833" t="s">
        <v>5301</v>
      </c>
      <c r="M93" s="92" t="s">
        <v>5302</v>
      </c>
      <c r="N93" s="129" t="s">
        <v>5303</v>
      </c>
      <c r="O93" s="92" t="s">
        <v>5304</v>
      </c>
      <c r="P93" s="90" t="s">
        <v>5305</v>
      </c>
      <c r="Q93" s="94" t="s">
        <v>5306</v>
      </c>
      <c r="R93" s="2833" t="s">
        <v>5307</v>
      </c>
      <c r="S93" s="127" t="s">
        <v>5308</v>
      </c>
      <c r="T93" s="1078" t="s">
        <v>5309</v>
      </c>
      <c r="U93" s="3077" t="s">
        <v>5310</v>
      </c>
      <c r="V93" s="3145" t="s">
        <v>5311</v>
      </c>
      <c r="W93" s="4175"/>
      <c r="X93" s="4175"/>
      <c r="Y93" s="102"/>
      <c r="Z93" s="4175"/>
      <c r="AA93" s="4175"/>
      <c r="AB93" s="4175"/>
      <c r="AC93" s="4175"/>
      <c r="AD93" s="4175"/>
      <c r="AE93" s="4175"/>
      <c r="AF93" s="4175"/>
      <c r="AG93" s="4175"/>
      <c r="AH93" s="4175"/>
      <c r="AI93" s="4175"/>
      <c r="AJ93" s="4175"/>
      <c r="AK93" s="4175"/>
      <c r="AL93" s="4175"/>
    </row>
    <row r="94" spans="1:38" s="103" customFormat="1" ht="15" customHeight="1" x14ac:dyDescent="0.25">
      <c r="A94" s="6296">
        <v>30000066</v>
      </c>
      <c r="B94" s="3508" t="s">
        <v>3567</v>
      </c>
      <c r="C94" s="90" t="s">
        <v>5292</v>
      </c>
      <c r="D94" s="92" t="s">
        <v>5293</v>
      </c>
      <c r="E94" s="90" t="s">
        <v>5294</v>
      </c>
      <c r="F94" s="92" t="s">
        <v>5295</v>
      </c>
      <c r="G94" s="129" t="s">
        <v>5296</v>
      </c>
      <c r="H94" s="94" t="s">
        <v>5297</v>
      </c>
      <c r="I94" s="616" t="s">
        <v>5298</v>
      </c>
      <c r="J94" s="3346" t="s">
        <v>5299</v>
      </c>
      <c r="K94" s="624" t="s">
        <v>5300</v>
      </c>
      <c r="L94" s="2833" t="s">
        <v>5301</v>
      </c>
      <c r="M94" s="92" t="s">
        <v>5302</v>
      </c>
      <c r="N94" s="129" t="s">
        <v>5303</v>
      </c>
      <c r="O94" s="92" t="s">
        <v>5304</v>
      </c>
      <c r="P94" s="90" t="s">
        <v>5305</v>
      </c>
      <c r="Q94" s="94" t="s">
        <v>5306</v>
      </c>
      <c r="R94" s="2833" t="s">
        <v>5307</v>
      </c>
      <c r="S94" s="127" t="s">
        <v>5308</v>
      </c>
      <c r="T94" s="1078" t="s">
        <v>5309</v>
      </c>
      <c r="U94" s="3077" t="s">
        <v>5310</v>
      </c>
      <c r="V94" s="3145" t="s">
        <v>5311</v>
      </c>
      <c r="W94" s="4175"/>
      <c r="X94" s="4175"/>
      <c r="Y94" s="102"/>
      <c r="Z94" s="4175"/>
      <c r="AA94" s="4175"/>
      <c r="AB94" s="4175"/>
      <c r="AC94" s="4175"/>
      <c r="AD94" s="4175"/>
      <c r="AE94" s="4175"/>
      <c r="AF94" s="4175"/>
      <c r="AG94" s="4175"/>
      <c r="AH94" s="4175"/>
      <c r="AI94" s="4175"/>
      <c r="AJ94" s="4175"/>
      <c r="AK94" s="4175"/>
      <c r="AL94" s="4175"/>
    </row>
    <row r="95" spans="1:38" s="103" customFormat="1" ht="15" customHeight="1" x14ac:dyDescent="0.25">
      <c r="A95" s="6296">
        <v>30000067</v>
      </c>
      <c r="B95" s="3508" t="s">
        <v>3568</v>
      </c>
      <c r="C95" s="789" t="s">
        <v>5292</v>
      </c>
      <c r="D95" s="3053" t="s">
        <v>5293</v>
      </c>
      <c r="E95" s="789" t="s">
        <v>5294</v>
      </c>
      <c r="F95" s="790" t="s">
        <v>5295</v>
      </c>
      <c r="G95" s="4191" t="s">
        <v>5296</v>
      </c>
      <c r="H95" s="801" t="s">
        <v>5297</v>
      </c>
      <c r="I95" s="4192" t="s">
        <v>5298</v>
      </c>
      <c r="J95" s="4193" t="s">
        <v>5299</v>
      </c>
      <c r="K95" s="4194" t="s">
        <v>5300</v>
      </c>
      <c r="L95" s="2833" t="s">
        <v>5301</v>
      </c>
      <c r="M95" s="92" t="s">
        <v>5302</v>
      </c>
      <c r="N95" s="129" t="s">
        <v>5303</v>
      </c>
      <c r="O95" s="92" t="s">
        <v>5304</v>
      </c>
      <c r="P95" s="90" t="s">
        <v>5305</v>
      </c>
      <c r="Q95" s="94" t="s">
        <v>5306</v>
      </c>
      <c r="R95" s="2833" t="s">
        <v>5307</v>
      </c>
      <c r="S95" s="127" t="s">
        <v>5308</v>
      </c>
      <c r="T95" s="1078" t="s">
        <v>5309</v>
      </c>
      <c r="U95" s="3077" t="s">
        <v>5310</v>
      </c>
      <c r="V95" s="3145" t="s">
        <v>5311</v>
      </c>
      <c r="W95" s="4175"/>
      <c r="X95" s="4175"/>
      <c r="Y95" s="102"/>
      <c r="Z95" s="4175"/>
      <c r="AA95" s="4175"/>
      <c r="AB95" s="4175"/>
      <c r="AC95" s="4175"/>
      <c r="AD95" s="4175"/>
      <c r="AE95" s="4175"/>
      <c r="AF95" s="4175"/>
      <c r="AG95" s="4175"/>
      <c r="AH95" s="4175"/>
      <c r="AI95" s="4175"/>
      <c r="AJ95" s="4175"/>
      <c r="AK95" s="4175"/>
      <c r="AL95" s="4175"/>
    </row>
    <row r="96" spans="1:38" s="103" customFormat="1" ht="15" customHeight="1" x14ac:dyDescent="0.25">
      <c r="A96" s="6296">
        <v>30000068</v>
      </c>
      <c r="B96" s="4195" t="s">
        <v>3569</v>
      </c>
      <c r="C96" s="151" t="s">
        <v>5292</v>
      </c>
      <c r="D96" s="4196" t="s">
        <v>5293</v>
      </c>
      <c r="E96" s="151" t="s">
        <v>5294</v>
      </c>
      <c r="F96" s="3022" t="s">
        <v>5295</v>
      </c>
      <c r="G96" s="197" t="s">
        <v>5296</v>
      </c>
      <c r="H96" s="3141" t="s">
        <v>5297</v>
      </c>
      <c r="I96" s="4197" t="s">
        <v>5298</v>
      </c>
      <c r="J96" s="4198" t="s">
        <v>5299</v>
      </c>
      <c r="K96" s="2416" t="s">
        <v>5300</v>
      </c>
      <c r="L96" s="2833" t="s">
        <v>5301</v>
      </c>
      <c r="M96" s="92" t="s">
        <v>5302</v>
      </c>
      <c r="N96" s="129" t="s">
        <v>5303</v>
      </c>
      <c r="O96" s="92" t="s">
        <v>5304</v>
      </c>
      <c r="P96" s="90" t="s">
        <v>5305</v>
      </c>
      <c r="Q96" s="94" t="s">
        <v>5306</v>
      </c>
      <c r="R96" s="2833" t="s">
        <v>5307</v>
      </c>
      <c r="S96" s="127" t="s">
        <v>5308</v>
      </c>
      <c r="T96" s="1078" t="s">
        <v>5309</v>
      </c>
      <c r="U96" s="3077" t="s">
        <v>5310</v>
      </c>
      <c r="V96" s="3145" t="s">
        <v>5311</v>
      </c>
      <c r="W96" s="4175"/>
      <c r="X96" s="4175"/>
      <c r="Y96" s="102"/>
      <c r="Z96" s="4175"/>
      <c r="AA96" s="4175"/>
      <c r="AB96" s="4175"/>
      <c r="AC96" s="4175"/>
      <c r="AD96" s="4175"/>
      <c r="AE96" s="4175"/>
      <c r="AF96" s="4175"/>
      <c r="AG96" s="4175"/>
      <c r="AH96" s="4175"/>
      <c r="AI96" s="4175"/>
      <c r="AJ96" s="4175"/>
      <c r="AK96" s="4175"/>
      <c r="AL96" s="4175"/>
    </row>
    <row r="97" spans="1:40" s="103" customFormat="1" ht="15" customHeight="1" x14ac:dyDescent="0.25">
      <c r="A97" s="6296">
        <v>30000069</v>
      </c>
      <c r="B97" s="4195" t="s">
        <v>3570</v>
      </c>
      <c r="C97" s="90" t="s">
        <v>5292</v>
      </c>
      <c r="D97" s="92" t="s">
        <v>5293</v>
      </c>
      <c r="E97" s="90" t="s">
        <v>5294</v>
      </c>
      <c r="F97" s="92" t="s">
        <v>5295</v>
      </c>
      <c r="G97" s="129" t="s">
        <v>5296</v>
      </c>
      <c r="H97" s="94" t="s">
        <v>5297</v>
      </c>
      <c r="I97" s="90" t="s">
        <v>5298</v>
      </c>
      <c r="J97" s="1967" t="s">
        <v>5299</v>
      </c>
      <c r="K97" s="94" t="s">
        <v>5300</v>
      </c>
      <c r="L97" s="2833" t="s">
        <v>5301</v>
      </c>
      <c r="M97" s="92" t="s">
        <v>5302</v>
      </c>
      <c r="N97" s="129" t="s">
        <v>5303</v>
      </c>
      <c r="O97" s="92" t="s">
        <v>5304</v>
      </c>
      <c r="P97" s="90" t="s">
        <v>5305</v>
      </c>
      <c r="Q97" s="94" t="s">
        <v>5306</v>
      </c>
      <c r="R97" s="2833" t="s">
        <v>5307</v>
      </c>
      <c r="S97" s="127" t="s">
        <v>5308</v>
      </c>
      <c r="T97" s="1078" t="s">
        <v>5309</v>
      </c>
      <c r="U97" s="3077" t="s">
        <v>5310</v>
      </c>
      <c r="V97" s="3145" t="s">
        <v>5311</v>
      </c>
      <c r="W97" s="4175"/>
      <c r="X97" s="4175"/>
      <c r="Y97" s="4175"/>
      <c r="Z97" s="4175"/>
      <c r="AA97" s="4175"/>
      <c r="AB97" s="4175"/>
      <c r="AC97" s="4175"/>
      <c r="AD97" s="4175"/>
      <c r="AE97" s="4175"/>
      <c r="AF97" s="4175"/>
      <c r="AG97" s="4175"/>
      <c r="AH97" s="4175"/>
      <c r="AI97" s="4175"/>
      <c r="AJ97" s="4175"/>
    </row>
    <row r="98" spans="1:40" s="103" customFormat="1" ht="15" customHeight="1" x14ac:dyDescent="0.25">
      <c r="A98" s="6296">
        <v>30000070</v>
      </c>
      <c r="B98" s="584" t="s">
        <v>3571</v>
      </c>
      <c r="C98" s="114" t="s">
        <v>5292</v>
      </c>
      <c r="D98" s="3035" t="s">
        <v>5293</v>
      </c>
      <c r="E98" s="114" t="s">
        <v>5294</v>
      </c>
      <c r="F98" s="3035" t="s">
        <v>5295</v>
      </c>
      <c r="G98" s="121" t="s">
        <v>5296</v>
      </c>
      <c r="H98" s="3080" t="s">
        <v>5297</v>
      </c>
      <c r="I98" s="114" t="s">
        <v>5298</v>
      </c>
      <c r="J98" s="138" t="s">
        <v>5299</v>
      </c>
      <c r="K98" s="3080" t="s">
        <v>5300</v>
      </c>
      <c r="L98" s="3754" t="s">
        <v>5301</v>
      </c>
      <c r="M98" s="3035" t="s">
        <v>5302</v>
      </c>
      <c r="N98" s="121" t="s">
        <v>5303</v>
      </c>
      <c r="O98" s="3035" t="s">
        <v>5304</v>
      </c>
      <c r="P98" s="114" t="s">
        <v>5305</v>
      </c>
      <c r="Q98" s="3080" t="s">
        <v>5306</v>
      </c>
      <c r="R98" s="3754" t="s">
        <v>5307</v>
      </c>
      <c r="S98" s="3020" t="s">
        <v>5308</v>
      </c>
      <c r="T98" s="770" t="s">
        <v>5309</v>
      </c>
      <c r="U98" s="2800" t="s">
        <v>5310</v>
      </c>
      <c r="V98" s="153" t="s">
        <v>5311</v>
      </c>
      <c r="W98" s="4175"/>
      <c r="X98" s="4175"/>
      <c r="Y98" s="4175"/>
      <c r="Z98" s="4175"/>
      <c r="AA98" s="4175"/>
      <c r="AB98" s="4175"/>
      <c r="AC98" s="4175"/>
      <c r="AD98" s="4175"/>
      <c r="AE98" s="4175"/>
      <c r="AF98" s="4175"/>
      <c r="AG98" s="4175"/>
      <c r="AH98" s="4175"/>
      <c r="AI98" s="4175"/>
      <c r="AJ98" s="4175"/>
    </row>
    <row r="99" spans="1:40" s="101" customFormat="1" ht="18" customHeight="1" x14ac:dyDescent="0.25">
      <c r="A99" s="103"/>
      <c r="B99" s="562" t="s">
        <v>3572</v>
      </c>
      <c r="C99" s="562"/>
      <c r="D99" s="562"/>
      <c r="E99" s="562"/>
      <c r="F99" s="562"/>
      <c r="G99" s="562"/>
      <c r="H99" s="562"/>
    </row>
    <row r="100" spans="1:40" s="102" customFormat="1" ht="15" customHeight="1" x14ac:dyDescent="0.25">
      <c r="A100" s="6297"/>
      <c r="B100" s="8382" t="s">
        <v>3573</v>
      </c>
      <c r="C100" s="6557" t="s">
        <v>3574</v>
      </c>
      <c r="D100" s="6419"/>
      <c r="E100" s="6419"/>
      <c r="F100" s="6419"/>
      <c r="G100" s="6419"/>
      <c r="H100" s="8352"/>
      <c r="I100" s="6557" t="s">
        <v>3575</v>
      </c>
      <c r="J100" s="6419"/>
      <c r="K100" s="6419"/>
      <c r="L100" s="6419"/>
      <c r="M100" s="6419"/>
      <c r="N100" s="8353"/>
      <c r="O100" s="8356" t="s">
        <v>3576</v>
      </c>
      <c r="P100" s="6419"/>
      <c r="Q100" s="6419"/>
      <c r="R100" s="6419"/>
      <c r="S100" s="6419"/>
      <c r="T100" s="8353"/>
      <c r="U100" s="8354" t="s">
        <v>3384</v>
      </c>
      <c r="V100" s="8354"/>
      <c r="W100" s="8355"/>
      <c r="X100" s="8356" t="s">
        <v>3577</v>
      </c>
      <c r="Y100" s="6419"/>
      <c r="Z100" s="6419"/>
      <c r="AA100" s="6419"/>
      <c r="AB100" s="6419"/>
      <c r="AC100" s="8352"/>
      <c r="AD100" s="4175"/>
      <c r="AE100" s="4175"/>
      <c r="AF100" s="4175"/>
      <c r="AG100" s="4175"/>
      <c r="AH100" s="4175"/>
      <c r="AI100" s="4175"/>
      <c r="AJ100" s="4175"/>
      <c r="AK100" s="4175"/>
      <c r="AL100" s="4175"/>
      <c r="AM100" s="4175"/>
      <c r="AN100" s="4175"/>
    </row>
    <row r="101" spans="1:40" s="102" customFormat="1" ht="15" customHeight="1" x14ac:dyDescent="0.25">
      <c r="A101" s="6297"/>
      <c r="B101" s="8383"/>
      <c r="C101" s="8354" t="s">
        <v>3735</v>
      </c>
      <c r="D101" s="8361"/>
      <c r="E101" s="8362" t="s">
        <v>4</v>
      </c>
      <c r="F101" s="8361"/>
      <c r="G101" s="8362" t="s">
        <v>3540</v>
      </c>
      <c r="H101" s="8361"/>
      <c r="I101" s="8354" t="s">
        <v>3735</v>
      </c>
      <c r="J101" s="8361"/>
      <c r="K101" s="8362" t="s">
        <v>4</v>
      </c>
      <c r="L101" s="8361"/>
      <c r="M101" s="8362" t="s">
        <v>3540</v>
      </c>
      <c r="N101" s="8355"/>
      <c r="O101" s="8354" t="s">
        <v>3735</v>
      </c>
      <c r="P101" s="8361"/>
      <c r="Q101" s="8362" t="s">
        <v>4</v>
      </c>
      <c r="R101" s="8361"/>
      <c r="S101" s="8362" t="s">
        <v>3540</v>
      </c>
      <c r="T101" s="8355"/>
      <c r="U101" s="4171" t="s">
        <v>948</v>
      </c>
      <c r="V101" s="6419" t="s">
        <v>702</v>
      </c>
      <c r="W101" s="8353"/>
      <c r="X101" s="8354" t="s">
        <v>3735</v>
      </c>
      <c r="Y101" s="8361"/>
      <c r="Z101" s="8362" t="s">
        <v>4</v>
      </c>
      <c r="AA101" s="8361"/>
      <c r="AB101" s="8362" t="s">
        <v>3540</v>
      </c>
      <c r="AC101" s="8361"/>
      <c r="AD101" s="4175"/>
      <c r="AE101" s="4175"/>
      <c r="AF101" s="4175"/>
      <c r="AG101" s="4175"/>
      <c r="AH101" s="4175"/>
      <c r="AI101" s="4175"/>
      <c r="AJ101" s="4175"/>
      <c r="AK101" s="4175"/>
      <c r="AL101" s="4175"/>
      <c r="AM101" s="4175"/>
      <c r="AN101" s="4175"/>
    </row>
    <row r="102" spans="1:40" s="102" customFormat="1" ht="21" customHeight="1" x14ac:dyDescent="0.25">
      <c r="A102" s="6297"/>
      <c r="B102" s="8384"/>
      <c r="C102" s="4132" t="s">
        <v>22</v>
      </c>
      <c r="D102" s="4133" t="s">
        <v>27</v>
      </c>
      <c r="E102" s="4134" t="s">
        <v>22</v>
      </c>
      <c r="F102" s="4133" t="s">
        <v>27</v>
      </c>
      <c r="G102" s="4134" t="s">
        <v>22</v>
      </c>
      <c r="H102" s="4133" t="s">
        <v>27</v>
      </c>
      <c r="I102" s="4134" t="s">
        <v>22</v>
      </c>
      <c r="J102" s="4133" t="s">
        <v>27</v>
      </c>
      <c r="K102" s="4134" t="s">
        <v>22</v>
      </c>
      <c r="L102" s="4133" t="s">
        <v>27</v>
      </c>
      <c r="M102" s="4134" t="s">
        <v>22</v>
      </c>
      <c r="N102" s="4135" t="s">
        <v>27</v>
      </c>
      <c r="O102" s="4138" t="s">
        <v>22</v>
      </c>
      <c r="P102" s="4133" t="s">
        <v>27</v>
      </c>
      <c r="Q102" s="4132" t="s">
        <v>22</v>
      </c>
      <c r="R102" s="4133" t="s">
        <v>27</v>
      </c>
      <c r="S102" s="4134" t="s">
        <v>22</v>
      </c>
      <c r="T102" s="4135" t="s">
        <v>27</v>
      </c>
      <c r="U102" s="3000" t="s">
        <v>996</v>
      </c>
      <c r="V102" s="4136" t="s">
        <v>950</v>
      </c>
      <c r="W102" s="4137" t="s">
        <v>951</v>
      </c>
      <c r="X102" s="4138" t="s">
        <v>22</v>
      </c>
      <c r="Y102" s="4133" t="s">
        <v>27</v>
      </c>
      <c r="Z102" s="4132" t="s">
        <v>22</v>
      </c>
      <c r="AA102" s="4133" t="s">
        <v>27</v>
      </c>
      <c r="AB102" s="4134" t="s">
        <v>22</v>
      </c>
      <c r="AC102" s="4133" t="s">
        <v>27</v>
      </c>
      <c r="AD102" s="4175"/>
      <c r="AE102" s="4175"/>
      <c r="AF102" s="4175"/>
      <c r="AG102" s="4175"/>
      <c r="AH102" s="4175"/>
      <c r="AI102" s="4175"/>
      <c r="AJ102" s="4175"/>
      <c r="AK102" s="4175"/>
      <c r="AL102" s="4175"/>
      <c r="AM102" s="4175"/>
      <c r="AN102" s="4175"/>
    </row>
    <row r="103" spans="1:40" s="102" customFormat="1" ht="15" customHeight="1" x14ac:dyDescent="0.25">
      <c r="A103" s="6278"/>
      <c r="B103" s="4139" t="s">
        <v>24</v>
      </c>
      <c r="C103" s="583">
        <f>SUM(C104:C114)</f>
        <v>0</v>
      </c>
      <c r="D103" s="4181">
        <f t="shared" ref="D103:AC103" si="2">SUM(D104:D114)</f>
        <v>0</v>
      </c>
      <c r="E103" s="583">
        <f t="shared" si="2"/>
        <v>0</v>
      </c>
      <c r="F103" s="4181">
        <f t="shared" si="2"/>
        <v>0</v>
      </c>
      <c r="G103" s="583">
        <f t="shared" si="2"/>
        <v>0</v>
      </c>
      <c r="H103" s="4181">
        <f t="shared" si="2"/>
        <v>0</v>
      </c>
      <c r="I103" s="583">
        <f t="shared" si="2"/>
        <v>0</v>
      </c>
      <c r="J103" s="4181">
        <f t="shared" si="2"/>
        <v>0</v>
      </c>
      <c r="K103" s="583">
        <f t="shared" si="2"/>
        <v>0</v>
      </c>
      <c r="L103" s="4181">
        <f t="shared" si="2"/>
        <v>0</v>
      </c>
      <c r="M103" s="583">
        <f t="shared" si="2"/>
        <v>0</v>
      </c>
      <c r="N103" s="583">
        <f t="shared" si="2"/>
        <v>0</v>
      </c>
      <c r="O103" s="4143">
        <f t="shared" si="2"/>
        <v>0</v>
      </c>
      <c r="P103" s="5835">
        <f t="shared" si="2"/>
        <v>0</v>
      </c>
      <c r="Q103" s="5607">
        <f t="shared" si="2"/>
        <v>0</v>
      </c>
      <c r="R103" s="5835">
        <f t="shared" si="2"/>
        <v>0</v>
      </c>
      <c r="S103" s="5607">
        <f t="shared" si="2"/>
        <v>0</v>
      </c>
      <c r="T103" s="4182">
        <f t="shared" si="2"/>
        <v>0</v>
      </c>
      <c r="U103" s="4143">
        <f t="shared" si="2"/>
        <v>0</v>
      </c>
      <c r="V103" s="4199">
        <f t="shared" si="2"/>
        <v>0</v>
      </c>
      <c r="W103" s="4200">
        <f t="shared" si="2"/>
        <v>0</v>
      </c>
      <c r="X103" s="4142">
        <f t="shared" si="2"/>
        <v>0</v>
      </c>
      <c r="Y103" s="3349">
        <f t="shared" si="2"/>
        <v>0</v>
      </c>
      <c r="Z103" s="583">
        <f t="shared" si="2"/>
        <v>0</v>
      </c>
      <c r="AA103" s="3349">
        <f t="shared" si="2"/>
        <v>0</v>
      </c>
      <c r="AB103" s="120">
        <f>SUM(AB104:AB114)</f>
        <v>0</v>
      </c>
      <c r="AC103" s="3349">
        <f t="shared" si="2"/>
        <v>0</v>
      </c>
      <c r="AD103" s="4175"/>
      <c r="AE103" s="4175"/>
      <c r="AF103" s="4175"/>
      <c r="AG103" s="4175"/>
      <c r="AH103" s="4175"/>
      <c r="AI103" s="4175"/>
      <c r="AJ103" s="4175"/>
      <c r="AK103" s="4175"/>
      <c r="AL103" s="4175"/>
      <c r="AM103" s="4175"/>
      <c r="AN103" s="4175"/>
    </row>
    <row r="104" spans="1:40" s="102" customFormat="1" ht="15" customHeight="1" x14ac:dyDescent="0.2">
      <c r="A104" s="6234">
        <v>30000071</v>
      </c>
      <c r="B104" s="3508" t="s">
        <v>3578</v>
      </c>
      <c r="C104" s="129" t="s">
        <v>5292</v>
      </c>
      <c r="D104" s="92" t="s">
        <v>5293</v>
      </c>
      <c r="E104" s="90" t="s">
        <v>5294</v>
      </c>
      <c r="F104" s="92" t="s">
        <v>5295</v>
      </c>
      <c r="G104" s="90" t="s">
        <v>5296</v>
      </c>
      <c r="H104" s="92" t="s">
        <v>5297</v>
      </c>
      <c r="I104" s="90" t="s">
        <v>5298</v>
      </c>
      <c r="J104" s="92" t="s">
        <v>5299</v>
      </c>
      <c r="K104" s="90" t="s">
        <v>5300</v>
      </c>
      <c r="L104" s="92" t="s">
        <v>5301</v>
      </c>
      <c r="M104" s="90" t="s">
        <v>5302</v>
      </c>
      <c r="N104" s="94" t="s">
        <v>5303</v>
      </c>
      <c r="O104" s="4201" t="s">
        <v>5304</v>
      </c>
      <c r="P104" s="3353" t="s">
        <v>5305</v>
      </c>
      <c r="Q104" s="3309" t="s">
        <v>5306</v>
      </c>
      <c r="R104" s="3353" t="s">
        <v>5307</v>
      </c>
      <c r="S104" s="3308" t="s">
        <v>5308</v>
      </c>
      <c r="T104" s="4202" t="s">
        <v>5309</v>
      </c>
      <c r="U104" s="129" t="s">
        <v>5310</v>
      </c>
      <c r="V104" s="1967" t="s">
        <v>5311</v>
      </c>
      <c r="W104" s="94" t="s">
        <v>5312</v>
      </c>
      <c r="X104" s="4203" t="s">
        <v>5313</v>
      </c>
      <c r="Y104" s="4204" t="s">
        <v>5314</v>
      </c>
      <c r="Z104" s="4205" t="s">
        <v>5315</v>
      </c>
      <c r="AA104" s="4204" t="s">
        <v>5316</v>
      </c>
      <c r="AB104" s="4206" t="s">
        <v>5317</v>
      </c>
      <c r="AC104" s="4204" t="s">
        <v>5318</v>
      </c>
      <c r="AD104" s="4175"/>
      <c r="AE104" s="4175"/>
      <c r="AF104" s="4175"/>
      <c r="AG104" s="4175"/>
      <c r="AH104" s="4175"/>
      <c r="AI104" s="4175"/>
      <c r="AJ104" s="4175"/>
      <c r="AK104" s="4175"/>
      <c r="AL104" s="4175"/>
      <c r="AM104" s="4175"/>
      <c r="AN104" s="4175"/>
    </row>
    <row r="105" spans="1:40" s="102" customFormat="1" ht="15" customHeight="1" x14ac:dyDescent="0.2">
      <c r="A105" s="6234">
        <v>30000072</v>
      </c>
      <c r="B105" s="3508" t="s">
        <v>3579</v>
      </c>
      <c r="C105" s="129" t="s">
        <v>5292</v>
      </c>
      <c r="D105" s="92" t="s">
        <v>5293</v>
      </c>
      <c r="E105" s="90" t="s">
        <v>5294</v>
      </c>
      <c r="F105" s="92" t="s">
        <v>5295</v>
      </c>
      <c r="G105" s="90" t="s">
        <v>5296</v>
      </c>
      <c r="H105" s="92" t="s">
        <v>5297</v>
      </c>
      <c r="I105" s="90" t="s">
        <v>5298</v>
      </c>
      <c r="J105" s="92" t="s">
        <v>5299</v>
      </c>
      <c r="K105" s="90" t="s">
        <v>5300</v>
      </c>
      <c r="L105" s="92" t="s">
        <v>5301</v>
      </c>
      <c r="M105" s="90" t="s">
        <v>5302</v>
      </c>
      <c r="N105" s="94" t="s">
        <v>5303</v>
      </c>
      <c r="O105" s="4201" t="s">
        <v>5304</v>
      </c>
      <c r="P105" s="3353" t="s">
        <v>5305</v>
      </c>
      <c r="Q105" s="3309" t="s">
        <v>5306</v>
      </c>
      <c r="R105" s="3353" t="s">
        <v>5307</v>
      </c>
      <c r="S105" s="3308" t="s">
        <v>5308</v>
      </c>
      <c r="T105" s="4202" t="s">
        <v>5309</v>
      </c>
      <c r="U105" s="129" t="s">
        <v>5310</v>
      </c>
      <c r="V105" s="1967" t="s">
        <v>5311</v>
      </c>
      <c r="W105" s="94" t="s">
        <v>5312</v>
      </c>
      <c r="X105" s="4157" t="s">
        <v>5313</v>
      </c>
      <c r="Y105" s="4158" t="s">
        <v>5314</v>
      </c>
      <c r="Z105" s="4159" t="s">
        <v>5315</v>
      </c>
      <c r="AA105" s="4158" t="s">
        <v>5316</v>
      </c>
      <c r="AB105" s="4160" t="s">
        <v>5317</v>
      </c>
      <c r="AC105" s="4158" t="s">
        <v>5318</v>
      </c>
      <c r="AD105" s="4175"/>
      <c r="AE105" s="4175"/>
      <c r="AF105" s="4175"/>
      <c r="AG105" s="4175"/>
      <c r="AH105" s="4175"/>
      <c r="AI105" s="4175"/>
      <c r="AJ105" s="4175"/>
      <c r="AK105" s="4175"/>
      <c r="AL105" s="4175"/>
      <c r="AM105" s="4175"/>
      <c r="AN105" s="4175"/>
    </row>
    <row r="106" spans="1:40" s="102" customFormat="1" ht="15" customHeight="1" x14ac:dyDescent="0.2">
      <c r="A106" s="6234">
        <v>30000073</v>
      </c>
      <c r="B106" s="3508" t="s">
        <v>3580</v>
      </c>
      <c r="C106" s="129" t="s">
        <v>5292</v>
      </c>
      <c r="D106" s="92" t="s">
        <v>5293</v>
      </c>
      <c r="E106" s="90" t="s">
        <v>5294</v>
      </c>
      <c r="F106" s="92" t="s">
        <v>5295</v>
      </c>
      <c r="G106" s="90" t="s">
        <v>5296</v>
      </c>
      <c r="H106" s="92" t="s">
        <v>5297</v>
      </c>
      <c r="I106" s="90" t="s">
        <v>5298</v>
      </c>
      <c r="J106" s="92" t="s">
        <v>5299</v>
      </c>
      <c r="K106" s="90" t="s">
        <v>5300</v>
      </c>
      <c r="L106" s="92" t="s">
        <v>5301</v>
      </c>
      <c r="M106" s="90" t="s">
        <v>5302</v>
      </c>
      <c r="N106" s="94" t="s">
        <v>5303</v>
      </c>
      <c r="O106" s="4201" t="s">
        <v>5304</v>
      </c>
      <c r="P106" s="3353" t="s">
        <v>5305</v>
      </c>
      <c r="Q106" s="3309" t="s">
        <v>5306</v>
      </c>
      <c r="R106" s="3353" t="s">
        <v>5307</v>
      </c>
      <c r="S106" s="3308" t="s">
        <v>5308</v>
      </c>
      <c r="T106" s="4202" t="s">
        <v>5309</v>
      </c>
      <c r="U106" s="129" t="s">
        <v>5310</v>
      </c>
      <c r="V106" s="1967" t="s">
        <v>5311</v>
      </c>
      <c r="W106" s="94" t="s">
        <v>5312</v>
      </c>
      <c r="X106" s="4157" t="s">
        <v>5313</v>
      </c>
      <c r="Y106" s="4158" t="s">
        <v>5314</v>
      </c>
      <c r="Z106" s="4159" t="s">
        <v>5315</v>
      </c>
      <c r="AA106" s="4158" t="s">
        <v>5316</v>
      </c>
      <c r="AB106" s="4160" t="s">
        <v>5317</v>
      </c>
      <c r="AC106" s="4158" t="s">
        <v>5318</v>
      </c>
      <c r="AD106" s="4175"/>
      <c r="AE106" s="4175"/>
      <c r="AF106" s="4175"/>
      <c r="AG106" s="4175"/>
      <c r="AH106" s="4175"/>
      <c r="AI106" s="4175"/>
      <c r="AJ106" s="4175"/>
      <c r="AK106" s="4175"/>
      <c r="AL106" s="4175"/>
      <c r="AM106" s="4175"/>
      <c r="AN106" s="4175"/>
    </row>
    <row r="107" spans="1:40" s="102" customFormat="1" ht="15" customHeight="1" x14ac:dyDescent="0.2">
      <c r="A107" s="6234">
        <v>30000074</v>
      </c>
      <c r="B107" s="3508" t="s">
        <v>3581</v>
      </c>
      <c r="C107" s="129" t="s">
        <v>5292</v>
      </c>
      <c r="D107" s="92" t="s">
        <v>5293</v>
      </c>
      <c r="E107" s="90" t="s">
        <v>5294</v>
      </c>
      <c r="F107" s="92" t="s">
        <v>5295</v>
      </c>
      <c r="G107" s="90" t="s">
        <v>5296</v>
      </c>
      <c r="H107" s="92" t="s">
        <v>5297</v>
      </c>
      <c r="I107" s="90" t="s">
        <v>5298</v>
      </c>
      <c r="J107" s="92" t="s">
        <v>5299</v>
      </c>
      <c r="K107" s="90" t="s">
        <v>5300</v>
      </c>
      <c r="L107" s="92" t="s">
        <v>5301</v>
      </c>
      <c r="M107" s="90" t="s">
        <v>5302</v>
      </c>
      <c r="N107" s="94" t="s">
        <v>5303</v>
      </c>
      <c r="O107" s="4201" t="s">
        <v>5304</v>
      </c>
      <c r="P107" s="3353" t="s">
        <v>5305</v>
      </c>
      <c r="Q107" s="3309" t="s">
        <v>5306</v>
      </c>
      <c r="R107" s="3353" t="s">
        <v>5307</v>
      </c>
      <c r="S107" s="3308" t="s">
        <v>5308</v>
      </c>
      <c r="T107" s="4202" t="s">
        <v>5309</v>
      </c>
      <c r="U107" s="129" t="s">
        <v>5310</v>
      </c>
      <c r="V107" s="1967" t="s">
        <v>5311</v>
      </c>
      <c r="W107" s="94" t="s">
        <v>5312</v>
      </c>
      <c r="X107" s="4157" t="s">
        <v>5313</v>
      </c>
      <c r="Y107" s="4158" t="s">
        <v>5314</v>
      </c>
      <c r="Z107" s="4159" t="s">
        <v>5315</v>
      </c>
      <c r="AA107" s="4158" t="s">
        <v>5316</v>
      </c>
      <c r="AB107" s="4160" t="s">
        <v>5317</v>
      </c>
      <c r="AC107" s="4158" t="s">
        <v>5318</v>
      </c>
      <c r="AD107" s="4175"/>
      <c r="AE107" s="4175"/>
      <c r="AF107" s="4175"/>
      <c r="AG107" s="4175"/>
      <c r="AH107" s="4175"/>
      <c r="AI107" s="4175"/>
      <c r="AJ107" s="4175"/>
      <c r="AK107" s="4175"/>
      <c r="AL107" s="4175"/>
      <c r="AM107" s="4175"/>
      <c r="AN107" s="4175"/>
    </row>
    <row r="108" spans="1:40" s="102" customFormat="1" ht="15" customHeight="1" x14ac:dyDescent="0.2">
      <c r="A108" s="6234">
        <v>30000075</v>
      </c>
      <c r="B108" s="3508" t="s">
        <v>3582</v>
      </c>
      <c r="C108" s="129" t="s">
        <v>5292</v>
      </c>
      <c r="D108" s="92" t="s">
        <v>5293</v>
      </c>
      <c r="E108" s="90" t="s">
        <v>5294</v>
      </c>
      <c r="F108" s="92" t="s">
        <v>5295</v>
      </c>
      <c r="G108" s="90" t="s">
        <v>5296</v>
      </c>
      <c r="H108" s="92" t="s">
        <v>5297</v>
      </c>
      <c r="I108" s="90" t="s">
        <v>5298</v>
      </c>
      <c r="J108" s="92" t="s">
        <v>5299</v>
      </c>
      <c r="K108" s="90" t="s">
        <v>5300</v>
      </c>
      <c r="L108" s="92" t="s">
        <v>5301</v>
      </c>
      <c r="M108" s="90" t="s">
        <v>5302</v>
      </c>
      <c r="N108" s="94" t="s">
        <v>5303</v>
      </c>
      <c r="O108" s="4201" t="s">
        <v>5304</v>
      </c>
      <c r="P108" s="3353" t="s">
        <v>5305</v>
      </c>
      <c r="Q108" s="3309" t="s">
        <v>5306</v>
      </c>
      <c r="R108" s="3353" t="s">
        <v>5307</v>
      </c>
      <c r="S108" s="3308" t="s">
        <v>5308</v>
      </c>
      <c r="T108" s="4202" t="s">
        <v>5309</v>
      </c>
      <c r="U108" s="129" t="s">
        <v>5310</v>
      </c>
      <c r="V108" s="1967" t="s">
        <v>5311</v>
      </c>
      <c r="W108" s="94" t="s">
        <v>5312</v>
      </c>
      <c r="X108" s="4157" t="s">
        <v>5313</v>
      </c>
      <c r="Y108" s="4158" t="s">
        <v>5314</v>
      </c>
      <c r="Z108" s="4159" t="s">
        <v>5315</v>
      </c>
      <c r="AA108" s="4158" t="s">
        <v>5316</v>
      </c>
      <c r="AB108" s="4160" t="s">
        <v>5317</v>
      </c>
      <c r="AC108" s="4158" t="s">
        <v>5318</v>
      </c>
      <c r="AD108" s="4175"/>
      <c r="AE108" s="4175"/>
      <c r="AF108" s="4175"/>
      <c r="AG108" s="4175"/>
      <c r="AH108" s="4175"/>
      <c r="AI108" s="4175"/>
      <c r="AJ108" s="4175"/>
      <c r="AK108" s="4175"/>
      <c r="AL108" s="4175"/>
      <c r="AM108" s="4175"/>
      <c r="AN108" s="4175"/>
    </row>
    <row r="109" spans="1:40" s="102" customFormat="1" ht="15" customHeight="1" x14ac:dyDescent="0.2">
      <c r="A109" s="6234">
        <v>30000076</v>
      </c>
      <c r="B109" s="3508" t="s">
        <v>3583</v>
      </c>
      <c r="C109" s="129" t="s">
        <v>5292</v>
      </c>
      <c r="D109" s="92" t="s">
        <v>5293</v>
      </c>
      <c r="E109" s="90" t="s">
        <v>5294</v>
      </c>
      <c r="F109" s="92" t="s">
        <v>5295</v>
      </c>
      <c r="G109" s="90" t="s">
        <v>5296</v>
      </c>
      <c r="H109" s="92" t="s">
        <v>5297</v>
      </c>
      <c r="I109" s="90" t="s">
        <v>5298</v>
      </c>
      <c r="J109" s="92" t="s">
        <v>5299</v>
      </c>
      <c r="K109" s="90" t="s">
        <v>5300</v>
      </c>
      <c r="L109" s="92" t="s">
        <v>5301</v>
      </c>
      <c r="M109" s="90" t="s">
        <v>5302</v>
      </c>
      <c r="N109" s="94" t="s">
        <v>5303</v>
      </c>
      <c r="O109" s="4201" t="s">
        <v>5304</v>
      </c>
      <c r="P109" s="3353" t="s">
        <v>5305</v>
      </c>
      <c r="Q109" s="3309" t="s">
        <v>5306</v>
      </c>
      <c r="R109" s="3353" t="s">
        <v>5307</v>
      </c>
      <c r="S109" s="3308" t="s">
        <v>5308</v>
      </c>
      <c r="T109" s="4202" t="s">
        <v>5309</v>
      </c>
      <c r="U109" s="129" t="s">
        <v>5310</v>
      </c>
      <c r="V109" s="1967" t="s">
        <v>5311</v>
      </c>
      <c r="W109" s="94" t="s">
        <v>5312</v>
      </c>
      <c r="X109" s="4157" t="s">
        <v>5313</v>
      </c>
      <c r="Y109" s="4158" t="s">
        <v>5314</v>
      </c>
      <c r="Z109" s="4159" t="s">
        <v>5315</v>
      </c>
      <c r="AA109" s="4158" t="s">
        <v>5316</v>
      </c>
      <c r="AB109" s="4160" t="s">
        <v>5317</v>
      </c>
      <c r="AC109" s="4158" t="s">
        <v>5318</v>
      </c>
      <c r="AD109" s="4175"/>
      <c r="AE109" s="4175"/>
      <c r="AF109" s="4175"/>
      <c r="AG109" s="4175"/>
      <c r="AH109" s="4175"/>
      <c r="AI109" s="4175"/>
      <c r="AJ109" s="4175"/>
      <c r="AK109" s="4175"/>
      <c r="AL109" s="4175"/>
      <c r="AM109" s="4175"/>
      <c r="AN109" s="4175"/>
    </row>
    <row r="110" spans="1:40" s="102" customFormat="1" ht="15" customHeight="1" x14ac:dyDescent="0.2">
      <c r="A110" s="6234">
        <v>30000077</v>
      </c>
      <c r="B110" s="3508" t="s">
        <v>3584</v>
      </c>
      <c r="C110" s="129" t="s">
        <v>5292</v>
      </c>
      <c r="D110" s="92" t="s">
        <v>5293</v>
      </c>
      <c r="E110" s="90" t="s">
        <v>5294</v>
      </c>
      <c r="F110" s="92" t="s">
        <v>5295</v>
      </c>
      <c r="G110" s="90" t="s">
        <v>5296</v>
      </c>
      <c r="H110" s="92" t="s">
        <v>5297</v>
      </c>
      <c r="I110" s="90" t="s">
        <v>5298</v>
      </c>
      <c r="J110" s="92" t="s">
        <v>5299</v>
      </c>
      <c r="K110" s="90" t="s">
        <v>5300</v>
      </c>
      <c r="L110" s="92" t="s">
        <v>5301</v>
      </c>
      <c r="M110" s="90" t="s">
        <v>5302</v>
      </c>
      <c r="N110" s="94" t="s">
        <v>5303</v>
      </c>
      <c r="O110" s="4201" t="s">
        <v>5304</v>
      </c>
      <c r="P110" s="3353" t="s">
        <v>5305</v>
      </c>
      <c r="Q110" s="3309" t="s">
        <v>5306</v>
      </c>
      <c r="R110" s="3353" t="s">
        <v>5307</v>
      </c>
      <c r="S110" s="3308" t="s">
        <v>5308</v>
      </c>
      <c r="T110" s="4202" t="s">
        <v>5309</v>
      </c>
      <c r="U110" s="129" t="s">
        <v>5310</v>
      </c>
      <c r="V110" s="1967" t="s">
        <v>5311</v>
      </c>
      <c r="W110" s="94" t="s">
        <v>5312</v>
      </c>
      <c r="X110" s="4157" t="s">
        <v>5313</v>
      </c>
      <c r="Y110" s="4158" t="s">
        <v>5314</v>
      </c>
      <c r="Z110" s="4159" t="s">
        <v>5315</v>
      </c>
      <c r="AA110" s="4158" t="s">
        <v>5316</v>
      </c>
      <c r="AB110" s="4160" t="s">
        <v>5317</v>
      </c>
      <c r="AC110" s="4158" t="s">
        <v>5318</v>
      </c>
      <c r="AD110" s="4175"/>
      <c r="AE110" s="4175"/>
      <c r="AF110" s="4175"/>
      <c r="AG110" s="4175"/>
      <c r="AH110" s="4175"/>
      <c r="AI110" s="4175"/>
      <c r="AJ110" s="4175"/>
      <c r="AK110" s="4175"/>
      <c r="AL110" s="4175"/>
      <c r="AM110" s="4175"/>
      <c r="AN110" s="4175"/>
    </row>
    <row r="111" spans="1:40" s="102" customFormat="1" ht="15" customHeight="1" x14ac:dyDescent="0.2">
      <c r="A111" s="6234">
        <v>30000078</v>
      </c>
      <c r="B111" s="3508" t="s">
        <v>3585</v>
      </c>
      <c r="C111" s="129" t="s">
        <v>5292</v>
      </c>
      <c r="D111" s="92" t="s">
        <v>5293</v>
      </c>
      <c r="E111" s="90" t="s">
        <v>5294</v>
      </c>
      <c r="F111" s="92" t="s">
        <v>5295</v>
      </c>
      <c r="G111" s="90" t="s">
        <v>5296</v>
      </c>
      <c r="H111" s="92" t="s">
        <v>5297</v>
      </c>
      <c r="I111" s="90" t="s">
        <v>5298</v>
      </c>
      <c r="J111" s="92" t="s">
        <v>5299</v>
      </c>
      <c r="K111" s="90" t="s">
        <v>5300</v>
      </c>
      <c r="L111" s="92" t="s">
        <v>5301</v>
      </c>
      <c r="M111" s="90" t="s">
        <v>5302</v>
      </c>
      <c r="N111" s="94" t="s">
        <v>5303</v>
      </c>
      <c r="O111" s="4201" t="s">
        <v>5304</v>
      </c>
      <c r="P111" s="3353" t="s">
        <v>5305</v>
      </c>
      <c r="Q111" s="3309" t="s">
        <v>5306</v>
      </c>
      <c r="R111" s="3353" t="s">
        <v>5307</v>
      </c>
      <c r="S111" s="3308" t="s">
        <v>5308</v>
      </c>
      <c r="T111" s="4202" t="s">
        <v>5309</v>
      </c>
      <c r="U111" s="129" t="s">
        <v>5310</v>
      </c>
      <c r="V111" s="1967" t="s">
        <v>5311</v>
      </c>
      <c r="W111" s="94" t="s">
        <v>5312</v>
      </c>
      <c r="X111" s="4157" t="s">
        <v>5313</v>
      </c>
      <c r="Y111" s="4158" t="s">
        <v>5314</v>
      </c>
      <c r="Z111" s="4159" t="s">
        <v>5315</v>
      </c>
      <c r="AA111" s="4158" t="s">
        <v>5316</v>
      </c>
      <c r="AB111" s="4160" t="s">
        <v>5317</v>
      </c>
      <c r="AC111" s="4158" t="s">
        <v>5318</v>
      </c>
      <c r="AD111" s="4175"/>
      <c r="AE111" s="4175"/>
      <c r="AF111" s="4175"/>
      <c r="AG111" s="4175"/>
      <c r="AH111" s="4175"/>
      <c r="AI111" s="4175"/>
      <c r="AJ111" s="4175"/>
      <c r="AK111" s="4175"/>
      <c r="AL111" s="4175"/>
      <c r="AM111" s="4175"/>
      <c r="AN111" s="4175"/>
    </row>
    <row r="112" spans="1:40" s="102" customFormat="1" ht="15" customHeight="1" x14ac:dyDescent="0.2">
      <c r="A112" s="6234">
        <v>30000079</v>
      </c>
      <c r="B112" s="3508" t="s">
        <v>3586</v>
      </c>
      <c r="C112" s="129" t="s">
        <v>5292</v>
      </c>
      <c r="D112" s="92" t="s">
        <v>5293</v>
      </c>
      <c r="E112" s="90" t="s">
        <v>5294</v>
      </c>
      <c r="F112" s="92" t="s">
        <v>5295</v>
      </c>
      <c r="G112" s="90" t="s">
        <v>5296</v>
      </c>
      <c r="H112" s="92" t="s">
        <v>5297</v>
      </c>
      <c r="I112" s="90" t="s">
        <v>5298</v>
      </c>
      <c r="J112" s="92" t="s">
        <v>5299</v>
      </c>
      <c r="K112" s="90" t="s">
        <v>5300</v>
      </c>
      <c r="L112" s="92" t="s">
        <v>5301</v>
      </c>
      <c r="M112" s="90" t="s">
        <v>5302</v>
      </c>
      <c r="N112" s="94" t="s">
        <v>5303</v>
      </c>
      <c r="O112" s="4201" t="s">
        <v>5304</v>
      </c>
      <c r="P112" s="3353" t="s">
        <v>5305</v>
      </c>
      <c r="Q112" s="3309" t="s">
        <v>5306</v>
      </c>
      <c r="R112" s="3353" t="s">
        <v>5307</v>
      </c>
      <c r="S112" s="3308" t="s">
        <v>5308</v>
      </c>
      <c r="T112" s="4202" t="s">
        <v>5309</v>
      </c>
      <c r="U112" s="129" t="s">
        <v>5310</v>
      </c>
      <c r="V112" s="1967" t="s">
        <v>5311</v>
      </c>
      <c r="W112" s="94" t="s">
        <v>5312</v>
      </c>
      <c r="X112" s="4157" t="s">
        <v>5313</v>
      </c>
      <c r="Y112" s="4158" t="s">
        <v>5314</v>
      </c>
      <c r="Z112" s="4159" t="s">
        <v>5315</v>
      </c>
      <c r="AA112" s="4158" t="s">
        <v>5316</v>
      </c>
      <c r="AB112" s="4160" t="s">
        <v>5317</v>
      </c>
      <c r="AC112" s="4158" t="s">
        <v>5318</v>
      </c>
      <c r="AD112" s="4175"/>
      <c r="AE112" s="4175"/>
      <c r="AF112" s="4175"/>
      <c r="AG112" s="4175"/>
      <c r="AH112" s="4175"/>
      <c r="AI112" s="4175"/>
      <c r="AJ112" s="4175"/>
      <c r="AK112" s="4175"/>
      <c r="AL112" s="4175"/>
      <c r="AM112" s="4175"/>
      <c r="AN112" s="4175"/>
    </row>
    <row r="113" spans="1:40" s="102" customFormat="1" ht="15" customHeight="1" x14ac:dyDescent="0.2">
      <c r="A113" s="6234">
        <v>30000080</v>
      </c>
      <c r="B113" s="3508" t="s">
        <v>3587</v>
      </c>
      <c r="C113" s="129" t="s">
        <v>5292</v>
      </c>
      <c r="D113" s="92" t="s">
        <v>5293</v>
      </c>
      <c r="E113" s="90" t="s">
        <v>5294</v>
      </c>
      <c r="F113" s="92" t="s">
        <v>5295</v>
      </c>
      <c r="G113" s="90" t="s">
        <v>5296</v>
      </c>
      <c r="H113" s="92" t="s">
        <v>5297</v>
      </c>
      <c r="I113" s="90" t="s">
        <v>5298</v>
      </c>
      <c r="J113" s="92" t="s">
        <v>5299</v>
      </c>
      <c r="K113" s="90" t="s">
        <v>5300</v>
      </c>
      <c r="L113" s="92" t="s">
        <v>5301</v>
      </c>
      <c r="M113" s="90" t="s">
        <v>5302</v>
      </c>
      <c r="N113" s="94" t="s">
        <v>5303</v>
      </c>
      <c r="O113" s="4201" t="s">
        <v>5304</v>
      </c>
      <c r="P113" s="3353" t="s">
        <v>5305</v>
      </c>
      <c r="Q113" s="3309" t="s">
        <v>5306</v>
      </c>
      <c r="R113" s="3353" t="s">
        <v>5307</v>
      </c>
      <c r="S113" s="3308" t="s">
        <v>5308</v>
      </c>
      <c r="T113" s="4202" t="s">
        <v>5309</v>
      </c>
      <c r="U113" s="129" t="s">
        <v>5310</v>
      </c>
      <c r="V113" s="1967" t="s">
        <v>5311</v>
      </c>
      <c r="W113" s="94" t="s">
        <v>5312</v>
      </c>
      <c r="X113" s="4157" t="s">
        <v>5313</v>
      </c>
      <c r="Y113" s="4158" t="s">
        <v>5314</v>
      </c>
      <c r="Z113" s="4159" t="s">
        <v>5315</v>
      </c>
      <c r="AA113" s="4158" t="s">
        <v>5316</v>
      </c>
      <c r="AB113" s="4160" t="s">
        <v>5317</v>
      </c>
      <c r="AC113" s="4158" t="s">
        <v>5318</v>
      </c>
      <c r="AD113" s="4175"/>
      <c r="AE113" s="4175"/>
      <c r="AF113" s="4175"/>
      <c r="AG113" s="4175"/>
      <c r="AH113" s="4175"/>
      <c r="AI113" s="4175"/>
      <c r="AJ113" s="4175"/>
      <c r="AK113" s="4175"/>
      <c r="AL113" s="4175"/>
      <c r="AM113" s="4175"/>
      <c r="AN113" s="4175"/>
    </row>
    <row r="114" spans="1:40" s="102" customFormat="1" ht="15" customHeight="1" x14ac:dyDescent="0.2">
      <c r="A114" s="6234">
        <v>30000081</v>
      </c>
      <c r="B114" s="584" t="s">
        <v>3588</v>
      </c>
      <c r="C114" s="121" t="s">
        <v>5292</v>
      </c>
      <c r="D114" s="3035" t="s">
        <v>5293</v>
      </c>
      <c r="E114" s="114" t="s">
        <v>5294</v>
      </c>
      <c r="F114" s="3035" t="s">
        <v>5295</v>
      </c>
      <c r="G114" s="114" t="s">
        <v>5296</v>
      </c>
      <c r="H114" s="3035" t="s">
        <v>5297</v>
      </c>
      <c r="I114" s="114" t="s">
        <v>5298</v>
      </c>
      <c r="J114" s="3035" t="s">
        <v>5299</v>
      </c>
      <c r="K114" s="114" t="s">
        <v>5300</v>
      </c>
      <c r="L114" s="3035" t="s">
        <v>5301</v>
      </c>
      <c r="M114" s="114" t="s">
        <v>5302</v>
      </c>
      <c r="N114" s="3080" t="s">
        <v>5303</v>
      </c>
      <c r="O114" s="4142" t="s">
        <v>5304</v>
      </c>
      <c r="P114" s="3349" t="s">
        <v>5305</v>
      </c>
      <c r="Q114" s="583" t="s">
        <v>5306</v>
      </c>
      <c r="R114" s="3349" t="s">
        <v>5307</v>
      </c>
      <c r="S114" s="120" t="s">
        <v>5308</v>
      </c>
      <c r="T114" s="4140" t="s">
        <v>5309</v>
      </c>
      <c r="U114" s="121" t="s">
        <v>5310</v>
      </c>
      <c r="V114" s="138" t="s">
        <v>5311</v>
      </c>
      <c r="W114" s="3080" t="s">
        <v>5312</v>
      </c>
      <c r="X114" s="4167" t="s">
        <v>5313</v>
      </c>
      <c r="Y114" s="4168" t="s">
        <v>5314</v>
      </c>
      <c r="Z114" s="4169" t="s">
        <v>5315</v>
      </c>
      <c r="AA114" s="4168" t="s">
        <v>5316</v>
      </c>
      <c r="AB114" s="4170" t="s">
        <v>5317</v>
      </c>
      <c r="AC114" s="4168" t="s">
        <v>5318</v>
      </c>
      <c r="AD114" s="4175"/>
      <c r="AE114" s="4175"/>
      <c r="AF114" s="4175"/>
      <c r="AG114" s="4175"/>
      <c r="AH114" s="4175"/>
      <c r="AI114" s="4175"/>
      <c r="AJ114" s="4175"/>
      <c r="AK114" s="4175"/>
      <c r="AL114" s="4175"/>
      <c r="AM114" s="4175"/>
      <c r="AN114" s="4175"/>
    </row>
    <row r="115" spans="1:40" s="101" customFormat="1" ht="18" customHeight="1" x14ac:dyDescent="0.25">
      <c r="A115" s="103"/>
      <c r="B115" s="562" t="s">
        <v>3589</v>
      </c>
      <c r="C115" s="562"/>
      <c r="D115" s="562"/>
      <c r="E115" s="562"/>
      <c r="F115" s="562"/>
      <c r="G115" s="562"/>
      <c r="H115" s="562"/>
    </row>
    <row r="116" spans="1:40" s="102" customFormat="1" ht="15" customHeight="1" x14ac:dyDescent="0.25">
      <c r="A116" s="6297"/>
      <c r="B116" s="8382" t="s">
        <v>3590</v>
      </c>
      <c r="C116" s="6557" t="s">
        <v>3554</v>
      </c>
      <c r="D116" s="6419"/>
      <c r="E116" s="6419"/>
      <c r="F116" s="6419"/>
      <c r="G116" s="6419"/>
      <c r="H116" s="6419"/>
      <c r="I116" s="6419"/>
      <c r="J116" s="6419"/>
      <c r="K116" s="8353"/>
      <c r="L116" s="8386" t="s">
        <v>3591</v>
      </c>
      <c r="M116" s="6341"/>
      <c r="N116" s="6341"/>
      <c r="O116" s="6341"/>
      <c r="P116" s="6341"/>
      <c r="Q116" s="8387"/>
    </row>
    <row r="117" spans="1:40" s="102" customFormat="1" ht="15" customHeight="1" x14ac:dyDescent="0.25">
      <c r="A117" s="6297"/>
      <c r="B117" s="8383"/>
      <c r="C117" s="8354" t="s">
        <v>3735</v>
      </c>
      <c r="D117" s="8361"/>
      <c r="E117" s="8362" t="s">
        <v>4</v>
      </c>
      <c r="F117" s="8361"/>
      <c r="G117" s="8354" t="s">
        <v>3540</v>
      </c>
      <c r="H117" s="8361"/>
      <c r="I117" s="8357" t="s">
        <v>3384</v>
      </c>
      <c r="J117" s="8354"/>
      <c r="K117" s="8355"/>
      <c r="L117" s="8388"/>
      <c r="M117" s="6675"/>
      <c r="N117" s="6675"/>
      <c r="O117" s="6675"/>
      <c r="P117" s="6675"/>
      <c r="Q117" s="8389"/>
    </row>
    <row r="118" spans="1:40" s="102" customFormat="1" ht="15" customHeight="1" x14ac:dyDescent="0.25">
      <c r="A118" s="6297"/>
      <c r="B118" s="8383"/>
      <c r="C118" s="8368" t="s">
        <v>22</v>
      </c>
      <c r="D118" s="8370" t="s">
        <v>27</v>
      </c>
      <c r="E118" s="8368" t="s">
        <v>22</v>
      </c>
      <c r="F118" s="8370" t="s">
        <v>27</v>
      </c>
      <c r="G118" s="8368" t="s">
        <v>22</v>
      </c>
      <c r="H118" s="8377" t="s">
        <v>27</v>
      </c>
      <c r="I118" s="4127" t="s">
        <v>948</v>
      </c>
      <c r="J118" s="6557" t="s">
        <v>702</v>
      </c>
      <c r="K118" s="8353"/>
      <c r="L118" s="8357" t="s">
        <v>3735</v>
      </c>
      <c r="M118" s="8361"/>
      <c r="N118" s="8354" t="s">
        <v>4</v>
      </c>
      <c r="O118" s="8361"/>
      <c r="P118" s="8362" t="s">
        <v>3540</v>
      </c>
      <c r="Q118" s="8361"/>
    </row>
    <row r="119" spans="1:40" s="102" customFormat="1" ht="20.100000000000001" customHeight="1" x14ac:dyDescent="0.25">
      <c r="A119" s="6297"/>
      <c r="B119" s="8384"/>
      <c r="C119" s="8369"/>
      <c r="D119" s="8371"/>
      <c r="E119" s="8369"/>
      <c r="F119" s="8371"/>
      <c r="G119" s="8369"/>
      <c r="H119" s="8378"/>
      <c r="I119" s="4127" t="s">
        <v>996</v>
      </c>
      <c r="J119" s="4131" t="s">
        <v>950</v>
      </c>
      <c r="K119" s="4209" t="s">
        <v>951</v>
      </c>
      <c r="L119" s="4138" t="s">
        <v>22</v>
      </c>
      <c r="M119" s="4133" t="s">
        <v>27</v>
      </c>
      <c r="N119" s="4132" t="s">
        <v>22</v>
      </c>
      <c r="O119" s="4133" t="s">
        <v>27</v>
      </c>
      <c r="P119" s="4134" t="s">
        <v>22</v>
      </c>
      <c r="Q119" s="4133" t="s">
        <v>27</v>
      </c>
    </row>
    <row r="120" spans="1:40" s="102" customFormat="1" ht="15" customHeight="1" x14ac:dyDescent="0.2">
      <c r="A120" s="6298"/>
      <c r="B120" s="4139" t="s">
        <v>24</v>
      </c>
      <c r="C120" s="4141">
        <f>SUM(C121:C124)</f>
        <v>0</v>
      </c>
      <c r="D120" s="4181">
        <f>SUM(D121:D124)</f>
        <v>0</v>
      </c>
      <c r="E120" s="4180">
        <f>SUM(E121:E124)</f>
        <v>0</v>
      </c>
      <c r="F120" s="4181">
        <f>SUM(F121:F124)</f>
        <v>0</v>
      </c>
      <c r="G120" s="4141">
        <f t="shared" ref="G120:Q120" si="3">SUM(G121:G124)</f>
        <v>0</v>
      </c>
      <c r="H120" s="4182">
        <f t="shared" si="3"/>
        <v>0</v>
      </c>
      <c r="I120" s="4186">
        <f t="shared" si="3"/>
        <v>0</v>
      </c>
      <c r="J120" s="4210">
        <f t="shared" si="3"/>
        <v>0</v>
      </c>
      <c r="K120" s="4185">
        <f t="shared" si="3"/>
        <v>0</v>
      </c>
      <c r="L120" s="4183">
        <f t="shared" si="3"/>
        <v>0</v>
      </c>
      <c r="M120" s="4211">
        <f t="shared" si="3"/>
        <v>0</v>
      </c>
      <c r="N120" s="4210">
        <f t="shared" si="3"/>
        <v>0</v>
      </c>
      <c r="O120" s="4184">
        <f t="shared" si="3"/>
        <v>0</v>
      </c>
      <c r="P120" s="4187">
        <f t="shared" si="3"/>
        <v>0</v>
      </c>
      <c r="Q120" s="4211">
        <f t="shared" si="3"/>
        <v>0</v>
      </c>
    </row>
    <row r="121" spans="1:40" s="102" customFormat="1" ht="15" customHeight="1" x14ac:dyDescent="0.2">
      <c r="A121" s="6234">
        <v>30000082</v>
      </c>
      <c r="B121" s="3508" t="s">
        <v>3592</v>
      </c>
      <c r="C121" s="125" t="s">
        <v>5292</v>
      </c>
      <c r="D121" s="1382" t="s">
        <v>5293</v>
      </c>
      <c r="E121" s="131" t="s">
        <v>5294</v>
      </c>
      <c r="F121" s="1382" t="s">
        <v>5295</v>
      </c>
      <c r="G121" s="125" t="s">
        <v>5296</v>
      </c>
      <c r="H121" s="3086" t="s">
        <v>5297</v>
      </c>
      <c r="I121" s="870" t="s">
        <v>5298</v>
      </c>
      <c r="J121" s="125" t="s">
        <v>5299</v>
      </c>
      <c r="K121" s="3030" t="s">
        <v>5300</v>
      </c>
      <c r="L121" s="4203" t="s">
        <v>5301</v>
      </c>
      <c r="M121" s="4204" t="s">
        <v>5302</v>
      </c>
      <c r="N121" s="4205" t="s">
        <v>5303</v>
      </c>
      <c r="O121" s="4204" t="s">
        <v>5304</v>
      </c>
      <c r="P121" s="4206" t="s">
        <v>5305</v>
      </c>
      <c r="Q121" s="4158" t="s">
        <v>5306</v>
      </c>
    </row>
    <row r="122" spans="1:40" s="102" customFormat="1" ht="15" customHeight="1" x14ac:dyDescent="0.2">
      <c r="A122" s="6234">
        <v>30000083</v>
      </c>
      <c r="B122" s="3508" t="s">
        <v>3593</v>
      </c>
      <c r="C122" s="129" t="s">
        <v>5292</v>
      </c>
      <c r="D122" s="92" t="s">
        <v>5293</v>
      </c>
      <c r="E122" s="90" t="s">
        <v>5294</v>
      </c>
      <c r="F122" s="92" t="s">
        <v>5295</v>
      </c>
      <c r="G122" s="129" t="s">
        <v>5296</v>
      </c>
      <c r="H122" s="94" t="s">
        <v>5297</v>
      </c>
      <c r="I122" s="91" t="s">
        <v>5298</v>
      </c>
      <c r="J122" s="129" t="s">
        <v>5299</v>
      </c>
      <c r="K122" s="1078" t="s">
        <v>5300</v>
      </c>
      <c r="L122" s="4157" t="s">
        <v>5301</v>
      </c>
      <c r="M122" s="4158" t="s">
        <v>5302</v>
      </c>
      <c r="N122" s="4159" t="s">
        <v>5303</v>
      </c>
      <c r="O122" s="4158" t="s">
        <v>5304</v>
      </c>
      <c r="P122" s="4160" t="s">
        <v>5305</v>
      </c>
      <c r="Q122" s="4158" t="s">
        <v>5306</v>
      </c>
    </row>
    <row r="123" spans="1:40" s="102" customFormat="1" ht="15" customHeight="1" x14ac:dyDescent="0.2">
      <c r="A123" s="6234">
        <v>30000084</v>
      </c>
      <c r="B123" s="3508" t="s">
        <v>3594</v>
      </c>
      <c r="C123" s="129" t="s">
        <v>5292</v>
      </c>
      <c r="D123" s="92" t="s">
        <v>5293</v>
      </c>
      <c r="E123" s="90" t="s">
        <v>5294</v>
      </c>
      <c r="F123" s="92" t="s">
        <v>5295</v>
      </c>
      <c r="G123" s="129" t="s">
        <v>5296</v>
      </c>
      <c r="H123" s="94" t="s">
        <v>5297</v>
      </c>
      <c r="I123" s="91" t="s">
        <v>5298</v>
      </c>
      <c r="J123" s="129" t="s">
        <v>5299</v>
      </c>
      <c r="K123" s="1078" t="s">
        <v>5300</v>
      </c>
      <c r="L123" s="4157" t="s">
        <v>5301</v>
      </c>
      <c r="M123" s="4158" t="s">
        <v>5302</v>
      </c>
      <c r="N123" s="4159" t="s">
        <v>5303</v>
      </c>
      <c r="O123" s="4158" t="s">
        <v>5304</v>
      </c>
      <c r="P123" s="4160" t="s">
        <v>5305</v>
      </c>
      <c r="Q123" s="4158" t="s">
        <v>5306</v>
      </c>
    </row>
    <row r="124" spans="1:40" s="102" customFormat="1" ht="15" customHeight="1" x14ac:dyDescent="0.2">
      <c r="A124" s="6234">
        <v>30000085</v>
      </c>
      <c r="B124" s="584" t="s">
        <v>3595</v>
      </c>
      <c r="C124" s="121" t="s">
        <v>5292</v>
      </c>
      <c r="D124" s="3035" t="s">
        <v>5293</v>
      </c>
      <c r="E124" s="114" t="s">
        <v>5294</v>
      </c>
      <c r="F124" s="3035" t="s">
        <v>5295</v>
      </c>
      <c r="G124" s="121" t="s">
        <v>5296</v>
      </c>
      <c r="H124" s="3080" t="s">
        <v>5297</v>
      </c>
      <c r="I124" s="2800" t="s">
        <v>5298</v>
      </c>
      <c r="J124" s="121" t="s">
        <v>5299</v>
      </c>
      <c r="K124" s="770" t="s">
        <v>5300</v>
      </c>
      <c r="L124" s="4167" t="s">
        <v>5301</v>
      </c>
      <c r="M124" s="4168" t="s">
        <v>5302</v>
      </c>
      <c r="N124" s="4169" t="s">
        <v>5303</v>
      </c>
      <c r="O124" s="4168" t="s">
        <v>5304</v>
      </c>
      <c r="P124" s="4170" t="s">
        <v>5305</v>
      </c>
      <c r="Q124" s="4168" t="s">
        <v>5306</v>
      </c>
    </row>
    <row r="125" spans="1:40" s="101" customFormat="1" ht="18" customHeight="1" x14ac:dyDescent="0.25">
      <c r="A125" s="103"/>
      <c r="B125" s="562" t="s">
        <v>3596</v>
      </c>
      <c r="C125" s="562"/>
      <c r="D125" s="562"/>
      <c r="E125" s="562"/>
      <c r="F125" s="562"/>
      <c r="G125" s="562"/>
      <c r="H125" s="562"/>
    </row>
    <row r="126" spans="1:40" s="103" customFormat="1" ht="20.100000000000001" customHeight="1" x14ac:dyDescent="0.25">
      <c r="B126" s="8381" t="s">
        <v>2650</v>
      </c>
      <c r="C126" s="7933" t="s">
        <v>47</v>
      </c>
      <c r="D126" s="8390" t="s">
        <v>3597</v>
      </c>
      <c r="E126" s="6341"/>
      <c r="F126" s="8387"/>
      <c r="G126" s="8392" t="s">
        <v>3598</v>
      </c>
      <c r="H126" s="6611"/>
      <c r="I126" s="8377"/>
      <c r="J126" s="8356" t="s">
        <v>3599</v>
      </c>
      <c r="K126" s="6419"/>
      <c r="L126" s="6419"/>
      <c r="M126" s="6419"/>
      <c r="N126" s="6419"/>
      <c r="O126" s="8352"/>
    </row>
    <row r="127" spans="1:40" s="103" customFormat="1" ht="20.100000000000001" customHeight="1" x14ac:dyDescent="0.25">
      <c r="B127" s="8381"/>
      <c r="C127" s="7108"/>
      <c r="D127" s="8391"/>
      <c r="E127" s="6675"/>
      <c r="F127" s="8389"/>
      <c r="G127" s="7867"/>
      <c r="H127" s="6747"/>
      <c r="I127" s="8378"/>
      <c r="J127" s="8357" t="s">
        <v>3735</v>
      </c>
      <c r="K127" s="8361"/>
      <c r="L127" s="8354" t="s">
        <v>4</v>
      </c>
      <c r="M127" s="8361"/>
      <c r="N127" s="8362" t="s">
        <v>3540</v>
      </c>
      <c r="O127" s="8361"/>
    </row>
    <row r="128" spans="1:40" s="103" customFormat="1" ht="20.100000000000001" customHeight="1" x14ac:dyDescent="0.25">
      <c r="B128" s="8381" t="s">
        <v>3600</v>
      </c>
      <c r="C128" s="6362"/>
      <c r="D128" s="4171" t="s">
        <v>3735</v>
      </c>
      <c r="E128" s="4213" t="s">
        <v>4</v>
      </c>
      <c r="F128" s="4127" t="s">
        <v>3540</v>
      </c>
      <c r="G128" s="4134" t="s">
        <v>26</v>
      </c>
      <c r="H128" s="4132" t="s">
        <v>22</v>
      </c>
      <c r="I128" s="4129" t="s">
        <v>27</v>
      </c>
      <c r="J128" s="4138" t="s">
        <v>22</v>
      </c>
      <c r="K128" s="4130" t="s">
        <v>27</v>
      </c>
      <c r="L128" s="4132" t="s">
        <v>22</v>
      </c>
      <c r="M128" s="4130" t="s">
        <v>27</v>
      </c>
      <c r="N128" s="4132" t="s">
        <v>22</v>
      </c>
      <c r="O128" s="4133" t="s">
        <v>27</v>
      </c>
    </row>
    <row r="129" spans="1:15" s="103" customFormat="1" ht="15" customHeight="1" x14ac:dyDescent="0.25">
      <c r="A129" s="3156"/>
      <c r="B129" s="7933"/>
      <c r="C129" s="4214">
        <f>SUM(C130:C135)</f>
        <v>0</v>
      </c>
      <c r="D129" s="4180">
        <f t="shared" ref="D129:O129" si="4">SUM(D130:D135)</f>
        <v>0</v>
      </c>
      <c r="E129" s="4141">
        <f t="shared" si="4"/>
        <v>0</v>
      </c>
      <c r="F129" s="4215">
        <f t="shared" si="4"/>
        <v>0</v>
      </c>
      <c r="G129" s="4180">
        <f>SUM(G130:G135)</f>
        <v>0</v>
      </c>
      <c r="H129" s="4141">
        <f t="shared" si="4"/>
        <v>0</v>
      </c>
      <c r="I129" s="4216">
        <f t="shared" si="4"/>
        <v>0</v>
      </c>
      <c r="J129" s="4183">
        <f t="shared" si="4"/>
        <v>0</v>
      </c>
      <c r="K129" s="4186">
        <f t="shared" si="4"/>
        <v>0</v>
      </c>
      <c r="L129" s="4210">
        <f t="shared" si="4"/>
        <v>0</v>
      </c>
      <c r="M129" s="4186">
        <f t="shared" si="4"/>
        <v>0</v>
      </c>
      <c r="N129" s="4187">
        <f t="shared" si="4"/>
        <v>0</v>
      </c>
      <c r="O129" s="4186">
        <f t="shared" si="4"/>
        <v>0</v>
      </c>
    </row>
    <row r="130" spans="1:15" s="103" customFormat="1" ht="15" customHeight="1" x14ac:dyDescent="0.25">
      <c r="A130" s="6234">
        <v>32101521</v>
      </c>
      <c r="B130" s="4217" t="s">
        <v>1964</v>
      </c>
      <c r="C130" s="4218" t="s">
        <v>5292</v>
      </c>
      <c r="D130" s="90" t="s">
        <v>5293</v>
      </c>
      <c r="E130" s="129" t="s">
        <v>5294</v>
      </c>
      <c r="F130" s="91" t="s">
        <v>5295</v>
      </c>
      <c r="G130" s="4218" t="s">
        <v>5296</v>
      </c>
      <c r="H130" s="129" t="s">
        <v>5297</v>
      </c>
      <c r="I130" s="1078" t="s">
        <v>5298</v>
      </c>
      <c r="J130" s="4157" t="s">
        <v>5299</v>
      </c>
      <c r="K130" s="4219" t="s">
        <v>5300</v>
      </c>
      <c r="L130" s="4159" t="s">
        <v>5301</v>
      </c>
      <c r="M130" s="4219" t="s">
        <v>5302</v>
      </c>
      <c r="N130" s="4160" t="s">
        <v>5303</v>
      </c>
      <c r="O130" s="4219" t="s">
        <v>5304</v>
      </c>
    </row>
    <row r="131" spans="1:15" s="103" customFormat="1" ht="15" customHeight="1" x14ac:dyDescent="0.25">
      <c r="A131" s="6234">
        <v>32101522</v>
      </c>
      <c r="B131" s="4220" t="s">
        <v>3601</v>
      </c>
      <c r="C131" s="3046" t="s">
        <v>5292</v>
      </c>
      <c r="D131" s="90" t="s">
        <v>5293</v>
      </c>
      <c r="E131" s="129" t="s">
        <v>5294</v>
      </c>
      <c r="F131" s="91" t="s">
        <v>5295</v>
      </c>
      <c r="G131" s="3046" t="s">
        <v>5296</v>
      </c>
      <c r="H131" s="129" t="s">
        <v>5297</v>
      </c>
      <c r="I131" s="1078" t="s">
        <v>5298</v>
      </c>
      <c r="J131" s="4157" t="s">
        <v>5299</v>
      </c>
      <c r="K131" s="4219" t="s">
        <v>5300</v>
      </c>
      <c r="L131" s="4159" t="s">
        <v>5301</v>
      </c>
      <c r="M131" s="4219" t="s">
        <v>5302</v>
      </c>
      <c r="N131" s="4160" t="s">
        <v>5303</v>
      </c>
      <c r="O131" s="4219" t="s">
        <v>5304</v>
      </c>
    </row>
    <row r="132" spans="1:15" s="103" customFormat="1" ht="15" customHeight="1" x14ac:dyDescent="0.25">
      <c r="A132" s="6234">
        <v>32101523</v>
      </c>
      <c r="B132" s="4220" t="s">
        <v>3602</v>
      </c>
      <c r="C132" s="3046" t="s">
        <v>5292</v>
      </c>
      <c r="D132" s="90" t="s">
        <v>5293</v>
      </c>
      <c r="E132" s="129" t="s">
        <v>5294</v>
      </c>
      <c r="F132" s="91" t="s">
        <v>5295</v>
      </c>
      <c r="G132" s="3046" t="s">
        <v>5296</v>
      </c>
      <c r="H132" s="129" t="s">
        <v>5297</v>
      </c>
      <c r="I132" s="1078" t="s">
        <v>5298</v>
      </c>
      <c r="J132" s="4157" t="s">
        <v>5299</v>
      </c>
      <c r="K132" s="4219" t="s">
        <v>5300</v>
      </c>
      <c r="L132" s="4159" t="s">
        <v>5301</v>
      </c>
      <c r="M132" s="4219" t="s">
        <v>5302</v>
      </c>
      <c r="N132" s="4160" t="s">
        <v>5303</v>
      </c>
      <c r="O132" s="4219" t="s">
        <v>5304</v>
      </c>
    </row>
    <row r="133" spans="1:15" s="103" customFormat="1" ht="15" customHeight="1" x14ac:dyDescent="0.25">
      <c r="A133" s="6234">
        <v>32101524</v>
      </c>
      <c r="B133" s="4220" t="s">
        <v>1894</v>
      </c>
      <c r="C133" s="3046" t="s">
        <v>5292</v>
      </c>
      <c r="D133" s="90" t="s">
        <v>5293</v>
      </c>
      <c r="E133" s="129" t="s">
        <v>5294</v>
      </c>
      <c r="F133" s="91" t="s">
        <v>5295</v>
      </c>
      <c r="G133" s="3046" t="s">
        <v>5296</v>
      </c>
      <c r="H133" s="129" t="s">
        <v>5297</v>
      </c>
      <c r="I133" s="1078" t="s">
        <v>5298</v>
      </c>
      <c r="J133" s="4157" t="s">
        <v>5299</v>
      </c>
      <c r="K133" s="4219" t="s">
        <v>5300</v>
      </c>
      <c r="L133" s="4159" t="s">
        <v>5301</v>
      </c>
      <c r="M133" s="4219" t="s">
        <v>5302</v>
      </c>
      <c r="N133" s="4160" t="s">
        <v>5303</v>
      </c>
      <c r="O133" s="4219" t="s">
        <v>5304</v>
      </c>
    </row>
    <row r="134" spans="1:15" s="103" customFormat="1" ht="15" customHeight="1" x14ac:dyDescent="0.25">
      <c r="A134" s="6234">
        <v>32101525</v>
      </c>
      <c r="B134" s="4220" t="s">
        <v>3603</v>
      </c>
      <c r="C134" s="3046" t="s">
        <v>5292</v>
      </c>
      <c r="D134" s="90" t="s">
        <v>5293</v>
      </c>
      <c r="E134" s="129" t="s">
        <v>5294</v>
      </c>
      <c r="F134" s="91" t="s">
        <v>5295</v>
      </c>
      <c r="G134" s="3046" t="s">
        <v>5296</v>
      </c>
      <c r="H134" s="129" t="s">
        <v>5297</v>
      </c>
      <c r="I134" s="1078" t="s">
        <v>5298</v>
      </c>
      <c r="J134" s="4157" t="s">
        <v>5299</v>
      </c>
      <c r="K134" s="4219" t="s">
        <v>5300</v>
      </c>
      <c r="L134" s="4159" t="s">
        <v>5301</v>
      </c>
      <c r="M134" s="4219" t="s">
        <v>5302</v>
      </c>
      <c r="N134" s="4160" t="s">
        <v>5303</v>
      </c>
      <c r="O134" s="4219" t="s">
        <v>5304</v>
      </c>
    </row>
    <row r="135" spans="1:15" s="103" customFormat="1" ht="15" customHeight="1" x14ac:dyDescent="0.25">
      <c r="A135" s="6234">
        <v>32101526</v>
      </c>
      <c r="B135" s="4221" t="s">
        <v>28</v>
      </c>
      <c r="C135" s="150" t="s">
        <v>5292</v>
      </c>
      <c r="D135" s="114" t="s">
        <v>5293</v>
      </c>
      <c r="E135" s="121" t="s">
        <v>5294</v>
      </c>
      <c r="F135" s="2800" t="s">
        <v>5295</v>
      </c>
      <c r="G135" s="150" t="s">
        <v>5296</v>
      </c>
      <c r="H135" s="121" t="s">
        <v>5297</v>
      </c>
      <c r="I135" s="770" t="s">
        <v>5298</v>
      </c>
      <c r="J135" s="4167" t="s">
        <v>5299</v>
      </c>
      <c r="K135" s="4222" t="s">
        <v>5300</v>
      </c>
      <c r="L135" s="4169" t="s">
        <v>5301</v>
      </c>
      <c r="M135" s="4222" t="s">
        <v>5302</v>
      </c>
      <c r="N135" s="4170" t="s">
        <v>5303</v>
      </c>
      <c r="O135" s="4222" t="s">
        <v>5304</v>
      </c>
    </row>
    <row r="136" spans="1:15" s="101" customFormat="1" ht="18" customHeight="1" x14ac:dyDescent="0.2">
      <c r="B136" s="562" t="s">
        <v>3604</v>
      </c>
      <c r="C136" s="562"/>
      <c r="D136" s="562"/>
      <c r="E136" s="562"/>
      <c r="F136" s="562"/>
      <c r="G136" s="562"/>
      <c r="H136" s="562"/>
    </row>
    <row r="137" spans="1:15" s="103" customFormat="1" ht="15" customHeight="1" x14ac:dyDescent="0.25">
      <c r="B137" s="8338" t="s">
        <v>3605</v>
      </c>
      <c r="C137" s="8350" t="s">
        <v>3384</v>
      </c>
      <c r="D137" s="8385"/>
      <c r="E137" s="8351"/>
    </row>
    <row r="138" spans="1:15" s="103" customFormat="1" ht="15" customHeight="1" x14ac:dyDescent="0.25">
      <c r="B138" s="7030"/>
      <c r="C138" s="4223" t="s">
        <v>948</v>
      </c>
      <c r="D138" s="6970" t="s">
        <v>702</v>
      </c>
      <c r="E138" s="6971"/>
    </row>
    <row r="139" spans="1:15" s="103" customFormat="1" ht="20.25" customHeight="1" x14ac:dyDescent="0.25">
      <c r="B139" s="7016"/>
      <c r="C139" s="4101" t="s">
        <v>996</v>
      </c>
      <c r="D139" s="4224" t="s">
        <v>950</v>
      </c>
      <c r="E139" s="4225" t="s">
        <v>951</v>
      </c>
    </row>
    <row r="140" spans="1:15" s="103" customFormat="1" ht="15" customHeight="1" x14ac:dyDescent="0.25">
      <c r="A140" s="6234">
        <v>30000092</v>
      </c>
      <c r="B140" s="4226" t="s">
        <v>997</v>
      </c>
      <c r="C140" s="4227" t="s">
        <v>5292</v>
      </c>
      <c r="D140" s="4228" t="s">
        <v>5293</v>
      </c>
      <c r="E140" s="4229" t="s">
        <v>5294</v>
      </c>
    </row>
    <row r="180" spans="2:3" hidden="1" x14ac:dyDescent="0.3">
      <c r="B180" s="4480">
        <f>SUM(C12:N12,O12:T72,U12:AL12,C77:Q79,C85:V85,C103:N103,O103:T114,U103:AC103,C120:Q120,C129:C135,D129:F129,G129:G135,H129:O129,C140:E140)</f>
        <v>0</v>
      </c>
      <c r="C180" s="4479"/>
    </row>
  </sheetData>
  <mergeCells count="117">
    <mergeCell ref="B137:B139"/>
    <mergeCell ref="C137:E137"/>
    <mergeCell ref="D138:E138"/>
    <mergeCell ref="J118:K118"/>
    <mergeCell ref="L118:M118"/>
    <mergeCell ref="N118:O118"/>
    <mergeCell ref="B116:B119"/>
    <mergeCell ref="C116:K116"/>
    <mergeCell ref="L116:Q117"/>
    <mergeCell ref="C117:D117"/>
    <mergeCell ref="E117:F117"/>
    <mergeCell ref="G117:H117"/>
    <mergeCell ref="I117:K117"/>
    <mergeCell ref="P118:Q118"/>
    <mergeCell ref="B126:B127"/>
    <mergeCell ref="C126:C128"/>
    <mergeCell ref="D126:F127"/>
    <mergeCell ref="G126:I127"/>
    <mergeCell ref="J126:O126"/>
    <mergeCell ref="J127:K127"/>
    <mergeCell ref="C118:C119"/>
    <mergeCell ref="D118:D119"/>
    <mergeCell ref="E118:E119"/>
    <mergeCell ref="F118:F119"/>
    <mergeCell ref="N127:O127"/>
    <mergeCell ref="B128:B129"/>
    <mergeCell ref="X100:AC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X101:Y101"/>
    <mergeCell ref="Z101:AA101"/>
    <mergeCell ref="AB101:AC101"/>
    <mergeCell ref="B100:B102"/>
    <mergeCell ref="C100:H100"/>
    <mergeCell ref="I100:N100"/>
    <mergeCell ref="O100:T100"/>
    <mergeCell ref="U100:W100"/>
    <mergeCell ref="V101:W101"/>
    <mergeCell ref="G83:G84"/>
    <mergeCell ref="H83:H84"/>
    <mergeCell ref="I83:I84"/>
    <mergeCell ref="J83:K83"/>
    <mergeCell ref="L83:L84"/>
    <mergeCell ref="M83:M84"/>
    <mergeCell ref="G118:G119"/>
    <mergeCell ref="H118:H119"/>
    <mergeCell ref="L127:M127"/>
    <mergeCell ref="B81:B84"/>
    <mergeCell ref="C81:K81"/>
    <mergeCell ref="L81:T81"/>
    <mergeCell ref="C83:C84"/>
    <mergeCell ref="D83:D84"/>
    <mergeCell ref="E83:E84"/>
    <mergeCell ref="F83:F84"/>
    <mergeCell ref="U81:V82"/>
    <mergeCell ref="C82:D82"/>
    <mergeCell ref="E82:F82"/>
    <mergeCell ref="G82:H82"/>
    <mergeCell ref="I82:K82"/>
    <mergeCell ref="L82:M82"/>
    <mergeCell ref="N82:O82"/>
    <mergeCell ref="P82:Q82"/>
    <mergeCell ref="R82:T82"/>
    <mergeCell ref="U83:U84"/>
    <mergeCell ref="V83:V84"/>
    <mergeCell ref="N83:N84"/>
    <mergeCell ref="O83:O84"/>
    <mergeCell ref="P83:P84"/>
    <mergeCell ref="Q83:Q84"/>
    <mergeCell ref="R83:R84"/>
    <mergeCell ref="S83:T83"/>
    <mergeCell ref="B74:B76"/>
    <mergeCell ref="C74:H74"/>
    <mergeCell ref="I74:K74"/>
    <mergeCell ref="L74:Q74"/>
    <mergeCell ref="C75:D75"/>
    <mergeCell ref="E75:F75"/>
    <mergeCell ref="G75:H75"/>
    <mergeCell ref="J75:K75"/>
    <mergeCell ref="X10:Y10"/>
    <mergeCell ref="L75:M75"/>
    <mergeCell ref="N75:O75"/>
    <mergeCell ref="P75:Q75"/>
    <mergeCell ref="AG9:AL9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AI10:AJ10"/>
    <mergeCell ref="AK10:AL10"/>
    <mergeCell ref="Z10:AA10"/>
    <mergeCell ref="AB10:AC10"/>
    <mergeCell ref="AD10:AD11"/>
    <mergeCell ref="AE10:AF10"/>
    <mergeCell ref="AG10:AH10"/>
    <mergeCell ref="B6:AF6"/>
    <mergeCell ref="B9:B11"/>
    <mergeCell ref="C9:H9"/>
    <mergeCell ref="I9:N9"/>
    <mergeCell ref="O9:T9"/>
    <mergeCell ref="U9:W9"/>
    <mergeCell ref="X9:AC9"/>
    <mergeCell ref="AD9:AF9"/>
    <mergeCell ref="U10:U11"/>
    <mergeCell ref="V10:W10"/>
  </mergeCells>
  <dataValidations count="1">
    <dataValidation type="whole" operator="greaterThanOrEqual" allowBlank="1" showInputMessage="1" showErrorMessage="1" sqref="C130:O135 C140:E140 C77:Q79 C86:V98 C104:N114 U104:AC114 C121:Q124 U13:AL72 C13:N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Z150"/>
  <sheetViews>
    <sheetView showGridLines="0" workbookViewId="0"/>
  </sheetViews>
  <sheetFormatPr baseColWidth="10" defaultColWidth="11.44140625" defaultRowHeight="14.4" x14ac:dyDescent="0.3"/>
  <cols>
    <col min="1" max="1" width="14.77734375" customWidth="1"/>
    <col min="2" max="2" width="57.44140625" customWidth="1"/>
    <col min="3" max="3" width="11.33203125" customWidth="1"/>
    <col min="4" max="4" width="12.88671875" customWidth="1"/>
    <col min="5" max="5" width="14.33203125" customWidth="1"/>
    <col min="6" max="6" width="14.6640625" customWidth="1"/>
    <col min="7" max="7" width="12.33203125" customWidth="1"/>
    <col min="8" max="8" width="13.33203125" customWidth="1"/>
    <col min="9" max="9" width="12" customWidth="1"/>
    <col min="10" max="10" width="11.6640625" customWidth="1"/>
    <col min="11" max="11" width="12" customWidth="1"/>
    <col min="12" max="12" width="11.6640625" customWidth="1"/>
    <col min="14" max="14" width="12.44140625" customWidth="1"/>
    <col min="16" max="16" width="12.33203125" customWidth="1"/>
    <col min="18" max="18" width="11.33203125" customWidth="1"/>
    <col min="19" max="19" width="12" customWidth="1"/>
    <col min="20" max="20" width="11.6640625" customWidth="1"/>
    <col min="22" max="22" width="12.44140625" customWidth="1"/>
    <col min="24" max="24" width="12.33203125" customWidth="1"/>
    <col min="26" max="26" width="11.33203125" customWidth="1"/>
    <col min="29" max="29" width="12.6640625" customWidth="1"/>
    <col min="74" max="97" width="11.6640625" customWidth="1"/>
  </cols>
  <sheetData>
    <row r="1" spans="1:18" x14ac:dyDescent="0.3">
      <c r="B1" s="774" t="s">
        <v>3879</v>
      </c>
    </row>
    <row r="2" spans="1:18" x14ac:dyDescent="0.3">
      <c r="B2" s="774" t="str">
        <f>CONCATENATE("COMUNA: ",NOMBRE!B2," - ","( ",NOMBRE!C2,NOMBRE!D2,NOMBRE!E2,NOMBRE!F2,NOMBRE!G2," )")</f>
        <v>COMUNA:  - (  )</v>
      </c>
    </row>
    <row r="3" spans="1:18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18" x14ac:dyDescent="0.3">
      <c r="B4" s="774" t="str">
        <f>CONCATENATE("MES: ",NOMBRE!B6," - ","( ",NOMBRE!C6,NOMBRE!D6," )")</f>
        <v>MES:  - (  )</v>
      </c>
    </row>
    <row r="5" spans="1:18" x14ac:dyDescent="0.3">
      <c r="B5" s="774" t="str">
        <f>CONCATENATE("AÑO: ",NOMBRE!B7)</f>
        <v>AÑO: 2024</v>
      </c>
    </row>
    <row r="6" spans="1:18" s="4231" customFormat="1" ht="18" customHeight="1" x14ac:dyDescent="0.3">
      <c r="B6" s="7125" t="s">
        <v>3913</v>
      </c>
      <c r="C6" s="7125"/>
      <c r="D6" s="7125"/>
      <c r="E6" s="7125"/>
      <c r="F6" s="7125"/>
      <c r="G6" s="7125"/>
      <c r="H6" s="7125"/>
      <c r="I6" s="7125"/>
      <c r="J6" s="7125"/>
      <c r="K6" s="7125"/>
      <c r="L6" s="7125"/>
      <c r="M6" s="7125"/>
      <c r="N6" s="7125"/>
      <c r="O6" s="7125"/>
      <c r="P6" s="7125"/>
      <c r="Q6" s="7125"/>
      <c r="R6" s="7125"/>
    </row>
    <row r="7" spans="1:18" s="4231" customFormat="1" ht="18" customHeight="1" x14ac:dyDescent="0.3">
      <c r="B7" s="8393" t="s">
        <v>3606</v>
      </c>
      <c r="C7" s="8393"/>
      <c r="D7" s="8393"/>
      <c r="E7" s="8393"/>
      <c r="F7" s="8393"/>
      <c r="G7" s="8393"/>
      <c r="H7" s="8393"/>
      <c r="I7" s="8393"/>
      <c r="J7" s="8393"/>
      <c r="K7" s="8393"/>
      <c r="L7" s="8393"/>
      <c r="M7" s="8393"/>
      <c r="N7" s="8393"/>
      <c r="O7" s="8393"/>
      <c r="P7" s="8393"/>
      <c r="Q7" s="8393"/>
      <c r="R7" s="8393"/>
    </row>
    <row r="10" spans="1:18" s="101" customFormat="1" ht="18" customHeight="1" x14ac:dyDescent="0.2">
      <c r="B10" s="7" t="s">
        <v>3607</v>
      </c>
    </row>
    <row r="11" spans="1:18" s="101" customFormat="1" ht="18" customHeight="1" x14ac:dyDescent="0.2">
      <c r="B11" s="123" t="s">
        <v>3608</v>
      </c>
      <c r="C11" s="123"/>
      <c r="D11" s="123"/>
      <c r="E11" s="123"/>
      <c r="F11" s="123"/>
    </row>
    <row r="12" spans="1:18" ht="36" customHeight="1" x14ac:dyDescent="0.3">
      <c r="B12" s="8386" t="s">
        <v>3609</v>
      </c>
      <c r="C12" s="6557" t="s">
        <v>3610</v>
      </c>
      <c r="D12" s="6419"/>
      <c r="E12" s="6419"/>
      <c r="F12" s="8352"/>
      <c r="G12" s="8381" t="s">
        <v>3611</v>
      </c>
      <c r="H12" s="8381"/>
      <c r="I12" s="8381"/>
      <c r="J12" s="6557"/>
      <c r="K12" s="6557" t="s">
        <v>3612</v>
      </c>
      <c r="L12" s="6419"/>
      <c r="M12" s="6419"/>
      <c r="N12" s="8352"/>
      <c r="O12" s="6557" t="s">
        <v>3613</v>
      </c>
      <c r="P12" s="6419"/>
      <c r="Q12" s="6419"/>
      <c r="R12" s="8352"/>
    </row>
    <row r="13" spans="1:18" x14ac:dyDescent="0.3">
      <c r="B13" s="8394"/>
      <c r="C13" s="8362" t="s">
        <v>443</v>
      </c>
      <c r="D13" s="8361"/>
      <c r="E13" s="8362" t="s">
        <v>242</v>
      </c>
      <c r="F13" s="8361"/>
      <c r="G13" s="8362" t="s">
        <v>443</v>
      </c>
      <c r="H13" s="8361"/>
      <c r="I13" s="8362" t="s">
        <v>242</v>
      </c>
      <c r="J13" s="8361"/>
      <c r="K13" s="8362" t="s">
        <v>443</v>
      </c>
      <c r="L13" s="8361"/>
      <c r="M13" s="8362" t="s">
        <v>242</v>
      </c>
      <c r="N13" s="8361"/>
      <c r="O13" s="8362" t="s">
        <v>443</v>
      </c>
      <c r="P13" s="8361"/>
      <c r="Q13" s="8362" t="s">
        <v>242</v>
      </c>
      <c r="R13" s="8361"/>
    </row>
    <row r="14" spans="1:18" x14ac:dyDescent="0.3">
      <c r="B14" s="8388"/>
      <c r="C14" s="4134" t="s">
        <v>22</v>
      </c>
      <c r="D14" s="4130" t="s">
        <v>27</v>
      </c>
      <c r="E14" s="4134" t="s">
        <v>22</v>
      </c>
      <c r="F14" s="4130" t="s">
        <v>27</v>
      </c>
      <c r="G14" s="4134" t="s">
        <v>22</v>
      </c>
      <c r="H14" s="4130" t="s">
        <v>27</v>
      </c>
      <c r="I14" s="4134" t="s">
        <v>22</v>
      </c>
      <c r="J14" s="4128" t="s">
        <v>27</v>
      </c>
      <c r="K14" s="4134" t="s">
        <v>22</v>
      </c>
      <c r="L14" s="4133" t="s">
        <v>27</v>
      </c>
      <c r="M14" s="4232" t="s">
        <v>22</v>
      </c>
      <c r="N14" s="4177" t="s">
        <v>27</v>
      </c>
      <c r="O14" s="4134" t="s">
        <v>22</v>
      </c>
      <c r="P14" s="4130" t="s">
        <v>27</v>
      </c>
      <c r="Q14" s="4134" t="s">
        <v>22</v>
      </c>
      <c r="R14" s="4130" t="s">
        <v>27</v>
      </c>
    </row>
    <row r="15" spans="1:18" x14ac:dyDescent="0.3">
      <c r="A15" s="6238"/>
      <c r="B15" s="4233" t="s">
        <v>24</v>
      </c>
      <c r="C15" s="4234">
        <f>SUM(C16:C24)</f>
        <v>0</v>
      </c>
      <c r="D15" s="4235">
        <f>SUM(D16:D24)</f>
        <v>0</v>
      </c>
      <c r="E15" s="4234">
        <f>SUM(E16:E24)</f>
        <v>0</v>
      </c>
      <c r="F15" s="4235">
        <f>SUM(F16:F24)</f>
        <v>0</v>
      </c>
      <c r="G15" s="4234">
        <f>SUM(G16:G24)</f>
        <v>0</v>
      </c>
      <c r="H15" s="4235">
        <f t="shared" ref="H15:R15" si="0">SUM(H16:H24)</f>
        <v>0</v>
      </c>
      <c r="I15" s="4234">
        <f t="shared" si="0"/>
        <v>0</v>
      </c>
      <c r="J15" s="4235">
        <f t="shared" si="0"/>
        <v>0</v>
      </c>
      <c r="K15" s="4234">
        <f t="shared" si="0"/>
        <v>0</v>
      </c>
      <c r="L15" s="4235">
        <f t="shared" si="0"/>
        <v>0</v>
      </c>
      <c r="M15" s="4236">
        <f t="shared" si="0"/>
        <v>0</v>
      </c>
      <c r="N15" s="4237">
        <f t="shared" si="0"/>
        <v>0</v>
      </c>
      <c r="O15" s="4234">
        <f>SUM(O16:O24)</f>
        <v>0</v>
      </c>
      <c r="P15" s="4235">
        <f>SUM(P16:P24)</f>
        <v>0</v>
      </c>
      <c r="Q15" s="4234">
        <f t="shared" si="0"/>
        <v>0</v>
      </c>
      <c r="R15" s="4235">
        <f t="shared" si="0"/>
        <v>0</v>
      </c>
    </row>
    <row r="16" spans="1:18" x14ac:dyDescent="0.3">
      <c r="A16" s="6234">
        <v>30100110</v>
      </c>
      <c r="B16" s="3875" t="s">
        <v>2135</v>
      </c>
      <c r="C16" s="4238" t="s">
        <v>5292</v>
      </c>
      <c r="D16" s="4239" t="s">
        <v>5293</v>
      </c>
      <c r="E16" s="4240" t="s">
        <v>5294</v>
      </c>
      <c r="F16" s="786" t="s">
        <v>5295</v>
      </c>
      <c r="G16" s="840" t="s">
        <v>5296</v>
      </c>
      <c r="H16" s="841" t="s">
        <v>5297</v>
      </c>
      <c r="I16" s="616" t="s">
        <v>5298</v>
      </c>
      <c r="J16" s="791" t="s">
        <v>5299</v>
      </c>
      <c r="K16" s="840" t="s">
        <v>5300</v>
      </c>
      <c r="L16" s="841" t="s">
        <v>5301</v>
      </c>
      <c r="M16" s="4150" t="s">
        <v>5302</v>
      </c>
      <c r="N16" s="3790" t="s">
        <v>5303</v>
      </c>
      <c r="O16" s="840" t="s">
        <v>5304</v>
      </c>
      <c r="P16" s="841" t="s">
        <v>5305</v>
      </c>
      <c r="Q16" s="4165" t="s">
        <v>5306</v>
      </c>
      <c r="R16" s="4163" t="s">
        <v>5307</v>
      </c>
    </row>
    <row r="17" spans="1:18" x14ac:dyDescent="0.3">
      <c r="A17" s="6234">
        <v>30100120</v>
      </c>
      <c r="B17" s="3875" t="s">
        <v>227</v>
      </c>
      <c r="C17" s="3190" t="s">
        <v>5292</v>
      </c>
      <c r="D17" s="786" t="s">
        <v>5293</v>
      </c>
      <c r="E17" s="3308" t="s">
        <v>5294</v>
      </c>
      <c r="F17" s="786" t="s">
        <v>5295</v>
      </c>
      <c r="G17" s="616" t="s">
        <v>5296</v>
      </c>
      <c r="H17" s="626" t="s">
        <v>5297</v>
      </c>
      <c r="I17" s="616" t="s">
        <v>5298</v>
      </c>
      <c r="J17" s="791" t="s">
        <v>5299</v>
      </c>
      <c r="K17" s="616" t="s">
        <v>5300</v>
      </c>
      <c r="L17" s="626" t="s">
        <v>5301</v>
      </c>
      <c r="M17" s="3143" t="s">
        <v>5302</v>
      </c>
      <c r="N17" s="3077" t="s">
        <v>5303</v>
      </c>
      <c r="O17" s="4165" t="s">
        <v>5304</v>
      </c>
      <c r="P17" s="4163" t="s">
        <v>5305</v>
      </c>
      <c r="Q17" s="4165" t="s">
        <v>5306</v>
      </c>
      <c r="R17" s="4163" t="s">
        <v>5307</v>
      </c>
    </row>
    <row r="18" spans="1:18" x14ac:dyDescent="0.3">
      <c r="A18" s="6234">
        <v>30100130</v>
      </c>
      <c r="B18" s="3875" t="s">
        <v>229</v>
      </c>
      <c r="C18" s="840" t="s">
        <v>5292</v>
      </c>
      <c r="D18" s="841" t="s">
        <v>5293</v>
      </c>
      <c r="E18" s="3308" t="s">
        <v>5294</v>
      </c>
      <c r="F18" s="786" t="s">
        <v>5295</v>
      </c>
      <c r="G18" s="840" t="s">
        <v>5296</v>
      </c>
      <c r="H18" s="841" t="s">
        <v>5297</v>
      </c>
      <c r="I18" s="616" t="s">
        <v>5298</v>
      </c>
      <c r="J18" s="791" t="s">
        <v>5299</v>
      </c>
      <c r="K18" s="840" t="s">
        <v>5300</v>
      </c>
      <c r="L18" s="841" t="s">
        <v>5301</v>
      </c>
      <c r="M18" s="3143" t="s">
        <v>5302</v>
      </c>
      <c r="N18" s="626" t="s">
        <v>5303</v>
      </c>
      <c r="O18" s="840" t="s">
        <v>5304</v>
      </c>
      <c r="P18" s="841" t="s">
        <v>5305</v>
      </c>
      <c r="Q18" s="4165" t="s">
        <v>5306</v>
      </c>
      <c r="R18" s="4163" t="s">
        <v>5307</v>
      </c>
    </row>
    <row r="19" spans="1:18" x14ac:dyDescent="0.3">
      <c r="A19" s="6234">
        <v>30100140</v>
      </c>
      <c r="B19" s="3875" t="s">
        <v>240</v>
      </c>
      <c r="C19" s="840" t="s">
        <v>5292</v>
      </c>
      <c r="D19" s="841" t="s">
        <v>5293</v>
      </c>
      <c r="E19" s="3308" t="s">
        <v>5294</v>
      </c>
      <c r="F19" s="786" t="s">
        <v>5295</v>
      </c>
      <c r="G19" s="563" t="s">
        <v>5296</v>
      </c>
      <c r="H19" s="4241" t="s">
        <v>5297</v>
      </c>
      <c r="I19" s="616" t="s">
        <v>5298</v>
      </c>
      <c r="J19" s="791" t="s">
        <v>5299</v>
      </c>
      <c r="K19" s="563" t="s">
        <v>5300</v>
      </c>
      <c r="L19" s="4241" t="s">
        <v>5301</v>
      </c>
      <c r="M19" s="3143" t="s">
        <v>5302</v>
      </c>
      <c r="N19" s="626" t="s">
        <v>5303</v>
      </c>
      <c r="O19" s="564" t="s">
        <v>5304</v>
      </c>
      <c r="P19" s="565" t="s">
        <v>5305</v>
      </c>
      <c r="Q19" s="4160" t="s">
        <v>5306</v>
      </c>
      <c r="R19" s="4158" t="s">
        <v>5307</v>
      </c>
    </row>
    <row r="20" spans="1:18" x14ac:dyDescent="0.3">
      <c r="A20" s="6234">
        <v>32101679</v>
      </c>
      <c r="B20" s="3875" t="s">
        <v>526</v>
      </c>
      <c r="C20" s="3190" t="s">
        <v>5292</v>
      </c>
      <c r="D20" s="786" t="s">
        <v>5293</v>
      </c>
      <c r="E20" s="3308" t="s">
        <v>5294</v>
      </c>
      <c r="F20" s="786" t="s">
        <v>5295</v>
      </c>
      <c r="G20" s="131" t="s">
        <v>5296</v>
      </c>
      <c r="H20" s="1382" t="s">
        <v>5297</v>
      </c>
      <c r="I20" s="616" t="s">
        <v>5298</v>
      </c>
      <c r="J20" s="791" t="s">
        <v>5299</v>
      </c>
      <c r="K20" s="131" t="s">
        <v>5300</v>
      </c>
      <c r="L20" s="1382" t="s">
        <v>5301</v>
      </c>
      <c r="M20" s="3346" t="s">
        <v>5302</v>
      </c>
      <c r="N20" s="626" t="s">
        <v>5303</v>
      </c>
      <c r="O20" s="4165" t="s">
        <v>5304</v>
      </c>
      <c r="P20" s="4163" t="s">
        <v>5305</v>
      </c>
      <c r="Q20" s="4160" t="s">
        <v>5306</v>
      </c>
      <c r="R20" s="4158" t="s">
        <v>5307</v>
      </c>
    </row>
    <row r="21" spans="1:18" x14ac:dyDescent="0.3">
      <c r="A21" s="6234">
        <v>32101680</v>
      </c>
      <c r="B21" s="3875" t="s">
        <v>3614</v>
      </c>
      <c r="C21" s="840" t="s">
        <v>5292</v>
      </c>
      <c r="D21" s="841" t="s">
        <v>5293</v>
      </c>
      <c r="E21" s="3308" t="s">
        <v>5294</v>
      </c>
      <c r="F21" s="786" t="s">
        <v>5295</v>
      </c>
      <c r="G21" s="563" t="s">
        <v>5296</v>
      </c>
      <c r="H21" s="4241" t="s">
        <v>5297</v>
      </c>
      <c r="I21" s="616" t="s">
        <v>5298</v>
      </c>
      <c r="J21" s="791" t="s">
        <v>5299</v>
      </c>
      <c r="K21" s="563" t="s">
        <v>5300</v>
      </c>
      <c r="L21" s="4241" t="s">
        <v>5301</v>
      </c>
      <c r="M21" s="3143" t="s">
        <v>5302</v>
      </c>
      <c r="N21" s="626" t="s">
        <v>5303</v>
      </c>
      <c r="O21" s="564" t="s">
        <v>5304</v>
      </c>
      <c r="P21" s="565" t="s">
        <v>5305</v>
      </c>
      <c r="Q21" s="4160" t="s">
        <v>5306</v>
      </c>
      <c r="R21" s="4158" t="s">
        <v>5307</v>
      </c>
    </row>
    <row r="22" spans="1:18" x14ac:dyDescent="0.3">
      <c r="A22" s="6234">
        <v>32101681</v>
      </c>
      <c r="B22" s="1948" t="s">
        <v>3615</v>
      </c>
      <c r="C22" s="840" t="s">
        <v>5292</v>
      </c>
      <c r="D22" s="841" t="s">
        <v>5293</v>
      </c>
      <c r="E22" s="3308" t="s">
        <v>5294</v>
      </c>
      <c r="F22" s="786" t="s">
        <v>5295</v>
      </c>
      <c r="G22" s="563" t="s">
        <v>5296</v>
      </c>
      <c r="H22" s="4241" t="s">
        <v>5297</v>
      </c>
      <c r="I22" s="616" t="s">
        <v>5298</v>
      </c>
      <c r="J22" s="791" t="s">
        <v>5299</v>
      </c>
      <c r="K22" s="563" t="s">
        <v>5300</v>
      </c>
      <c r="L22" s="4241" t="s">
        <v>5301</v>
      </c>
      <c r="M22" s="3143" t="s">
        <v>5302</v>
      </c>
      <c r="N22" s="3077" t="s">
        <v>5303</v>
      </c>
      <c r="O22" s="564" t="s">
        <v>5304</v>
      </c>
      <c r="P22" s="565" t="s">
        <v>5305</v>
      </c>
      <c r="Q22" s="4160" t="s">
        <v>5306</v>
      </c>
      <c r="R22" s="4158" t="s">
        <v>5307</v>
      </c>
    </row>
    <row r="23" spans="1:18" x14ac:dyDescent="0.3">
      <c r="A23" s="6234">
        <v>32101682</v>
      </c>
      <c r="B23" s="1948" t="s">
        <v>3616</v>
      </c>
      <c r="C23" s="3190" t="s">
        <v>5292</v>
      </c>
      <c r="D23" s="786" t="s">
        <v>5293</v>
      </c>
      <c r="E23" s="3308" t="s">
        <v>5294</v>
      </c>
      <c r="F23" s="786" t="s">
        <v>5295</v>
      </c>
      <c r="G23" s="90" t="s">
        <v>5296</v>
      </c>
      <c r="H23" s="92" t="s">
        <v>5297</v>
      </c>
      <c r="I23" s="90" t="s">
        <v>5298</v>
      </c>
      <c r="J23" s="128" t="s">
        <v>5299</v>
      </c>
      <c r="K23" s="90" t="s">
        <v>5300</v>
      </c>
      <c r="L23" s="92" t="s">
        <v>5301</v>
      </c>
      <c r="M23" s="3346" t="s">
        <v>5302</v>
      </c>
      <c r="N23" s="626" t="s">
        <v>5303</v>
      </c>
      <c r="O23" s="4160" t="s">
        <v>5304</v>
      </c>
      <c r="P23" s="4158" t="s">
        <v>5305</v>
      </c>
      <c r="Q23" s="4160" t="s">
        <v>5306</v>
      </c>
      <c r="R23" s="4158" t="s">
        <v>5307</v>
      </c>
    </row>
    <row r="24" spans="1:18" x14ac:dyDescent="0.3">
      <c r="A24" s="6234">
        <v>32101683</v>
      </c>
      <c r="B24" s="560" t="s">
        <v>3617</v>
      </c>
      <c r="C24" s="120" t="s">
        <v>5292</v>
      </c>
      <c r="D24" s="3349" t="s">
        <v>5293</v>
      </c>
      <c r="E24" s="120" t="s">
        <v>5294</v>
      </c>
      <c r="F24" s="3349" t="s">
        <v>5295</v>
      </c>
      <c r="G24" s="114" t="s">
        <v>5296</v>
      </c>
      <c r="H24" s="3035" t="s">
        <v>5297</v>
      </c>
      <c r="I24" s="114" t="s">
        <v>5298</v>
      </c>
      <c r="J24" s="3244" t="s">
        <v>5299</v>
      </c>
      <c r="K24" s="114" t="s">
        <v>5300</v>
      </c>
      <c r="L24" s="3035" t="s">
        <v>5301</v>
      </c>
      <c r="M24" s="121" t="s">
        <v>5302</v>
      </c>
      <c r="N24" s="2800" t="s">
        <v>5303</v>
      </c>
      <c r="O24" s="4170" t="s">
        <v>5304</v>
      </c>
      <c r="P24" s="4168" t="s">
        <v>5305</v>
      </c>
      <c r="Q24" s="4170" t="s">
        <v>5306</v>
      </c>
      <c r="R24" s="4168" t="s">
        <v>5307</v>
      </c>
    </row>
    <row r="25" spans="1:18" s="17" customFormat="1" ht="18" customHeight="1" x14ac:dyDescent="0.25">
      <c r="A25" s="103"/>
      <c r="B25" s="8011" t="s">
        <v>3618</v>
      </c>
      <c r="C25" s="8011"/>
      <c r="D25" s="8011"/>
      <c r="E25" s="8011"/>
      <c r="F25" s="8011"/>
      <c r="G25" s="8011"/>
      <c r="H25" s="4242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ht="20.25" customHeight="1" x14ac:dyDescent="0.3">
      <c r="A26" s="103"/>
      <c r="B26" s="7933" t="s">
        <v>3609</v>
      </c>
      <c r="C26" s="8381" t="s">
        <v>3619</v>
      </c>
      <c r="D26" s="8381"/>
      <c r="E26" s="8381"/>
      <c r="F26" s="8381"/>
      <c r="G26" s="8381" t="s">
        <v>3620</v>
      </c>
      <c r="H26" s="8381"/>
      <c r="I26" s="8381"/>
      <c r="J26" s="8381"/>
      <c r="K26" s="8381" t="s">
        <v>3621</v>
      </c>
      <c r="L26" s="8381"/>
      <c r="M26" s="8381"/>
      <c r="N26" s="8381"/>
      <c r="O26" s="6557" t="s">
        <v>3622</v>
      </c>
      <c r="P26" s="6419"/>
      <c r="Q26" s="6419"/>
      <c r="R26" s="8352"/>
    </row>
    <row r="27" spans="1:18" x14ac:dyDescent="0.3">
      <c r="A27" s="103"/>
      <c r="B27" s="7108"/>
      <c r="C27" s="8362" t="s">
        <v>443</v>
      </c>
      <c r="D27" s="8361"/>
      <c r="E27" s="8362" t="s">
        <v>242</v>
      </c>
      <c r="F27" s="8361"/>
      <c r="G27" s="8362" t="s">
        <v>443</v>
      </c>
      <c r="H27" s="8361"/>
      <c r="I27" s="8362" t="s">
        <v>242</v>
      </c>
      <c r="J27" s="8361"/>
      <c r="K27" s="8362" t="s">
        <v>443</v>
      </c>
      <c r="L27" s="8361"/>
      <c r="M27" s="8362" t="s">
        <v>242</v>
      </c>
      <c r="N27" s="8361"/>
      <c r="O27" s="8362" t="s">
        <v>443</v>
      </c>
      <c r="P27" s="8361"/>
      <c r="Q27" s="8362" t="s">
        <v>242</v>
      </c>
      <c r="R27" s="8361"/>
    </row>
    <row r="28" spans="1:18" x14ac:dyDescent="0.3">
      <c r="A28" s="103"/>
      <c r="B28" s="6362"/>
      <c r="C28" s="4134" t="s">
        <v>22</v>
      </c>
      <c r="D28" s="4130" t="s">
        <v>27</v>
      </c>
      <c r="E28" s="4134" t="s">
        <v>22</v>
      </c>
      <c r="F28" s="4130" t="s">
        <v>27</v>
      </c>
      <c r="G28" s="4134" t="s">
        <v>22</v>
      </c>
      <c r="H28" s="4130" t="s">
        <v>27</v>
      </c>
      <c r="I28" s="4134" t="s">
        <v>22</v>
      </c>
      <c r="J28" s="4130" t="s">
        <v>27</v>
      </c>
      <c r="K28" s="4134" t="s">
        <v>22</v>
      </c>
      <c r="L28" s="4130" t="s">
        <v>27</v>
      </c>
      <c r="M28" s="4134" t="s">
        <v>22</v>
      </c>
      <c r="N28" s="4130" t="s">
        <v>27</v>
      </c>
      <c r="O28" s="4134" t="s">
        <v>22</v>
      </c>
      <c r="P28" s="4130" t="s">
        <v>27</v>
      </c>
      <c r="Q28" s="4134" t="s">
        <v>22</v>
      </c>
      <c r="R28" s="4130" t="s">
        <v>27</v>
      </c>
    </row>
    <row r="29" spans="1:18" x14ac:dyDescent="0.3">
      <c r="A29" s="6238"/>
      <c r="B29" s="4139" t="s">
        <v>24</v>
      </c>
      <c r="C29" s="4236" t="e">
        <f>SUM(C30+C33+C35+C36+C37)</f>
        <v>#VALUE!</v>
      </c>
      <c r="D29" s="4243" t="e">
        <f>SUM(D30+D33+D35+D36+D37)</f>
        <v>#VALUE!</v>
      </c>
      <c r="E29" s="4236">
        <f>SUM(E30:E37)</f>
        <v>0</v>
      </c>
      <c r="F29" s="4243">
        <f>SUM(F30:F37)</f>
        <v>0</v>
      </c>
      <c r="G29" s="4236" t="e">
        <f>SUM(G30+G33+G35+G36+G37)</f>
        <v>#VALUE!</v>
      </c>
      <c r="H29" s="4236" t="e">
        <f>SUM(H30+H33+H35+H36+H37)</f>
        <v>#VALUE!</v>
      </c>
      <c r="I29" s="4236">
        <f>SUM(I30:I37)</f>
        <v>0</v>
      </c>
      <c r="J29" s="4236">
        <f>SUM(J30:J37)</f>
        <v>0</v>
      </c>
      <c r="K29" s="4236" t="e">
        <f>SUM(K30+K33+K35+K36+K37)</f>
        <v>#VALUE!</v>
      </c>
      <c r="L29" s="4236" t="e">
        <f>SUM(L30+L33+L35+L36+L37)</f>
        <v>#VALUE!</v>
      </c>
      <c r="M29" s="4236">
        <f>SUM(M30:M37)</f>
        <v>0</v>
      </c>
      <c r="N29" s="4236">
        <f>SUM(N30:N37)</f>
        <v>0</v>
      </c>
      <c r="O29" s="4236" t="e">
        <f>SUM(O30+O33+O35+O36+O37)</f>
        <v>#VALUE!</v>
      </c>
      <c r="P29" s="4236" t="e">
        <f>SUM(P30+P33+P35+P36+P37)</f>
        <v>#VALUE!</v>
      </c>
      <c r="Q29" s="4236">
        <f>SUM(Q30:Q37)</f>
        <v>0</v>
      </c>
      <c r="R29" s="4244">
        <f>SUM(R30:R37)</f>
        <v>0</v>
      </c>
    </row>
    <row r="30" spans="1:18" x14ac:dyDescent="0.3">
      <c r="A30" s="6234">
        <v>32101684</v>
      </c>
      <c r="B30" s="3878" t="s">
        <v>227</v>
      </c>
      <c r="C30" s="4245" t="s">
        <v>5292</v>
      </c>
      <c r="D30" s="4246" t="s">
        <v>5293</v>
      </c>
      <c r="E30" s="4245" t="s">
        <v>5294</v>
      </c>
      <c r="F30" s="4246" t="s">
        <v>5295</v>
      </c>
      <c r="G30" s="4144" t="s">
        <v>5296</v>
      </c>
      <c r="H30" s="3790" t="s">
        <v>5297</v>
      </c>
      <c r="I30" s="4144" t="s">
        <v>5298</v>
      </c>
      <c r="J30" s="3790" t="s">
        <v>5299</v>
      </c>
      <c r="K30" s="4144" t="s">
        <v>5300</v>
      </c>
      <c r="L30" s="3790" t="s">
        <v>5301</v>
      </c>
      <c r="M30" s="4144" t="s">
        <v>5302</v>
      </c>
      <c r="N30" s="3790" t="s">
        <v>5303</v>
      </c>
      <c r="O30" s="4155" t="s">
        <v>5304</v>
      </c>
      <c r="P30" s="4153" t="s">
        <v>5305</v>
      </c>
      <c r="Q30" s="4155" t="s">
        <v>5306</v>
      </c>
      <c r="R30" s="4153" t="s">
        <v>5307</v>
      </c>
    </row>
    <row r="31" spans="1:18" x14ac:dyDescent="0.3">
      <c r="A31" s="6234">
        <v>32101685</v>
      </c>
      <c r="B31" s="3875" t="s">
        <v>297</v>
      </c>
      <c r="C31" s="840" t="s">
        <v>5292</v>
      </c>
      <c r="D31" s="841" t="s">
        <v>5293</v>
      </c>
      <c r="E31" s="4247" t="s">
        <v>5294</v>
      </c>
      <c r="F31" s="4248" t="s">
        <v>5295</v>
      </c>
      <c r="G31" s="840" t="s">
        <v>5296</v>
      </c>
      <c r="H31" s="841" t="s">
        <v>5297</v>
      </c>
      <c r="I31" s="616" t="s">
        <v>5298</v>
      </c>
      <c r="J31" s="626" t="s">
        <v>5299</v>
      </c>
      <c r="K31" s="840" t="s">
        <v>5300</v>
      </c>
      <c r="L31" s="841" t="s">
        <v>5301</v>
      </c>
      <c r="M31" s="616" t="s">
        <v>5302</v>
      </c>
      <c r="N31" s="626" t="s">
        <v>5303</v>
      </c>
      <c r="O31" s="840" t="s">
        <v>5304</v>
      </c>
      <c r="P31" s="841" t="s">
        <v>5305</v>
      </c>
      <c r="Q31" s="4165" t="s">
        <v>5306</v>
      </c>
      <c r="R31" s="4163" t="s">
        <v>5307</v>
      </c>
    </row>
    <row r="32" spans="1:18" x14ac:dyDescent="0.3">
      <c r="A32" s="6234">
        <v>32101686</v>
      </c>
      <c r="B32" s="3875" t="s">
        <v>526</v>
      </c>
      <c r="C32" s="840" t="s">
        <v>5292</v>
      </c>
      <c r="D32" s="841" t="s">
        <v>5293</v>
      </c>
      <c r="E32" s="4247" t="s">
        <v>5294</v>
      </c>
      <c r="F32" s="4248" t="s">
        <v>5295</v>
      </c>
      <c r="G32" s="840" t="s">
        <v>5296</v>
      </c>
      <c r="H32" s="841" t="s">
        <v>5297</v>
      </c>
      <c r="I32" s="616" t="s">
        <v>5298</v>
      </c>
      <c r="J32" s="626" t="s">
        <v>5299</v>
      </c>
      <c r="K32" s="840" t="s">
        <v>5300</v>
      </c>
      <c r="L32" s="841" t="s">
        <v>5301</v>
      </c>
      <c r="M32" s="616" t="s">
        <v>5302</v>
      </c>
      <c r="N32" s="626" t="s">
        <v>5303</v>
      </c>
      <c r="O32" s="840" t="s">
        <v>5304</v>
      </c>
      <c r="P32" s="841" t="s">
        <v>5305</v>
      </c>
      <c r="Q32" s="4165" t="s">
        <v>5306</v>
      </c>
      <c r="R32" s="4163" t="s">
        <v>5307</v>
      </c>
    </row>
    <row r="33" spans="1:26" x14ac:dyDescent="0.3">
      <c r="A33" s="6234">
        <v>32101687</v>
      </c>
      <c r="B33" s="3875" t="s">
        <v>239</v>
      </c>
      <c r="C33" s="4247" t="s">
        <v>5292</v>
      </c>
      <c r="D33" s="4248" t="s">
        <v>5293</v>
      </c>
      <c r="E33" s="4247" t="s">
        <v>5294</v>
      </c>
      <c r="F33" s="4248" t="s">
        <v>5295</v>
      </c>
      <c r="G33" s="616" t="s">
        <v>5296</v>
      </c>
      <c r="H33" s="626" t="s">
        <v>5297</v>
      </c>
      <c r="I33" s="616" t="s">
        <v>5298</v>
      </c>
      <c r="J33" s="626" t="s">
        <v>5299</v>
      </c>
      <c r="K33" s="616" t="s">
        <v>5300</v>
      </c>
      <c r="L33" s="626" t="s">
        <v>5301</v>
      </c>
      <c r="M33" s="616" t="s">
        <v>5302</v>
      </c>
      <c r="N33" s="626" t="s">
        <v>5303</v>
      </c>
      <c r="O33" s="4165" t="s">
        <v>5304</v>
      </c>
      <c r="P33" s="4163" t="s">
        <v>5305</v>
      </c>
      <c r="Q33" s="4165" t="s">
        <v>5306</v>
      </c>
      <c r="R33" s="4163" t="s">
        <v>5307</v>
      </c>
    </row>
    <row r="34" spans="1:26" x14ac:dyDescent="0.3">
      <c r="A34" s="6234">
        <v>32101688</v>
      </c>
      <c r="B34" s="3875" t="s">
        <v>225</v>
      </c>
      <c r="C34" s="840" t="s">
        <v>5292</v>
      </c>
      <c r="D34" s="841" t="s">
        <v>5293</v>
      </c>
      <c r="E34" s="4247" t="s">
        <v>5294</v>
      </c>
      <c r="F34" s="4248" t="s">
        <v>5295</v>
      </c>
      <c r="G34" s="840" t="s">
        <v>5296</v>
      </c>
      <c r="H34" s="841" t="s">
        <v>5297</v>
      </c>
      <c r="I34" s="616" t="s">
        <v>5298</v>
      </c>
      <c r="J34" s="626" t="s">
        <v>5299</v>
      </c>
      <c r="K34" s="840" t="s">
        <v>5300</v>
      </c>
      <c r="L34" s="841" t="s">
        <v>5301</v>
      </c>
      <c r="M34" s="616" t="s">
        <v>5302</v>
      </c>
      <c r="N34" s="626" t="s">
        <v>5303</v>
      </c>
      <c r="O34" s="840" t="s">
        <v>5304</v>
      </c>
      <c r="P34" s="841" t="s">
        <v>5305</v>
      </c>
      <c r="Q34" s="4165" t="s">
        <v>5306</v>
      </c>
      <c r="R34" s="4163" t="s">
        <v>5307</v>
      </c>
    </row>
    <row r="35" spans="1:26" x14ac:dyDescent="0.3">
      <c r="A35" s="6234">
        <v>32101689</v>
      </c>
      <c r="B35" s="3875" t="s">
        <v>3623</v>
      </c>
      <c r="C35" s="4247" t="s">
        <v>5292</v>
      </c>
      <c r="D35" s="4248" t="s">
        <v>5293</v>
      </c>
      <c r="E35" s="4247" t="s">
        <v>5294</v>
      </c>
      <c r="F35" s="4248" t="s">
        <v>5295</v>
      </c>
      <c r="G35" s="131" t="s">
        <v>5296</v>
      </c>
      <c r="H35" s="1382" t="s">
        <v>5297</v>
      </c>
      <c r="I35" s="131" t="s">
        <v>5298</v>
      </c>
      <c r="J35" s="1382" t="s">
        <v>5299</v>
      </c>
      <c r="K35" s="131" t="s">
        <v>5300</v>
      </c>
      <c r="L35" s="1382" t="s">
        <v>5301</v>
      </c>
      <c r="M35" s="131" t="s">
        <v>5302</v>
      </c>
      <c r="N35" s="1382" t="s">
        <v>5303</v>
      </c>
      <c r="O35" s="4160" t="s">
        <v>5304</v>
      </c>
      <c r="P35" s="4163" t="s">
        <v>5305</v>
      </c>
      <c r="Q35" s="4165" t="s">
        <v>5306</v>
      </c>
      <c r="R35" s="4158" t="s">
        <v>5307</v>
      </c>
    </row>
    <row r="36" spans="1:26" x14ac:dyDescent="0.3">
      <c r="A36" s="6234">
        <v>32101690</v>
      </c>
      <c r="B36" s="3875" t="s">
        <v>3617</v>
      </c>
      <c r="C36" s="4247" t="s">
        <v>5292</v>
      </c>
      <c r="D36" s="4248" t="s">
        <v>5293</v>
      </c>
      <c r="E36" s="4247" t="s">
        <v>5294</v>
      </c>
      <c r="F36" s="4248" t="s">
        <v>5295</v>
      </c>
      <c r="G36" s="90" t="s">
        <v>5296</v>
      </c>
      <c r="H36" s="92" t="s">
        <v>5297</v>
      </c>
      <c r="I36" s="90" t="s">
        <v>5298</v>
      </c>
      <c r="J36" s="92" t="s">
        <v>5299</v>
      </c>
      <c r="K36" s="90" t="s">
        <v>5300</v>
      </c>
      <c r="L36" s="92" t="s">
        <v>5301</v>
      </c>
      <c r="M36" s="90" t="s">
        <v>5302</v>
      </c>
      <c r="N36" s="92" t="s">
        <v>5303</v>
      </c>
      <c r="O36" s="4160" t="s">
        <v>5304</v>
      </c>
      <c r="P36" s="4163" t="s">
        <v>5305</v>
      </c>
      <c r="Q36" s="4249" t="s">
        <v>5306</v>
      </c>
      <c r="R36" s="4163" t="s">
        <v>5307</v>
      </c>
    </row>
    <row r="37" spans="1:26" x14ac:dyDescent="0.3">
      <c r="A37" s="6234">
        <v>32101691</v>
      </c>
      <c r="B37" s="560" t="s">
        <v>509</v>
      </c>
      <c r="C37" s="4250" t="s">
        <v>5292</v>
      </c>
      <c r="D37" s="4251" t="s">
        <v>5293</v>
      </c>
      <c r="E37" s="4250" t="s">
        <v>5294</v>
      </c>
      <c r="F37" s="4251" t="s">
        <v>5295</v>
      </c>
      <c r="G37" s="114" t="s">
        <v>5296</v>
      </c>
      <c r="H37" s="3035" t="s">
        <v>5297</v>
      </c>
      <c r="I37" s="114" t="s">
        <v>5298</v>
      </c>
      <c r="J37" s="3035" t="s">
        <v>5299</v>
      </c>
      <c r="K37" s="114" t="s">
        <v>5300</v>
      </c>
      <c r="L37" s="3035" t="s">
        <v>5301</v>
      </c>
      <c r="M37" s="114" t="s">
        <v>5302</v>
      </c>
      <c r="N37" s="3035" t="s">
        <v>5303</v>
      </c>
      <c r="O37" s="4170" t="s">
        <v>5304</v>
      </c>
      <c r="P37" s="4252" t="s">
        <v>5305</v>
      </c>
      <c r="Q37" s="4170" t="s">
        <v>5306</v>
      </c>
      <c r="R37" s="4252" t="s">
        <v>5307</v>
      </c>
    </row>
    <row r="38" spans="1:26" s="17" customFormat="1" ht="18" customHeight="1" x14ac:dyDescent="0.25">
      <c r="A38" s="103"/>
      <c r="B38" s="562" t="s">
        <v>3624</v>
      </c>
      <c r="C38" s="163"/>
      <c r="D38" s="163"/>
      <c r="E38" s="163"/>
      <c r="F38" s="163"/>
      <c r="G38" s="101"/>
      <c r="H38" s="101"/>
      <c r="I38" s="101"/>
      <c r="J38" s="101"/>
      <c r="K38" s="4253"/>
      <c r="L38" s="4253"/>
      <c r="M38" s="4253"/>
      <c r="N38" s="4253"/>
      <c r="O38" s="4253"/>
      <c r="P38" s="4253"/>
      <c r="Q38" s="4253"/>
      <c r="R38" s="4253"/>
      <c r="S38" s="4253"/>
      <c r="T38" s="4253"/>
      <c r="U38" s="4253"/>
      <c r="V38" s="4253"/>
      <c r="W38" s="4253"/>
      <c r="X38" s="4253"/>
      <c r="Y38" s="4253"/>
      <c r="Z38" s="4253"/>
    </row>
    <row r="39" spans="1:26" ht="22.5" customHeight="1" x14ac:dyDescent="0.3">
      <c r="A39" s="103"/>
      <c r="B39" s="8395" t="s">
        <v>3625</v>
      </c>
      <c r="C39" s="8381" t="s">
        <v>3626</v>
      </c>
      <c r="D39" s="8381"/>
      <c r="E39" s="8381"/>
      <c r="F39" s="8381"/>
      <c r="G39" s="8381" t="s">
        <v>3627</v>
      </c>
      <c r="H39" s="8381"/>
      <c r="I39" s="8381"/>
      <c r="J39" s="8381"/>
      <c r="K39" s="8381" t="s">
        <v>3628</v>
      </c>
      <c r="L39" s="8381"/>
      <c r="M39" s="8381"/>
      <c r="N39" s="6557"/>
      <c r="O39" s="8381" t="s">
        <v>3629</v>
      </c>
      <c r="P39" s="8381"/>
      <c r="Q39" s="8381"/>
      <c r="R39" s="8381"/>
      <c r="S39" s="8352" t="s">
        <v>3630</v>
      </c>
      <c r="T39" s="8381"/>
      <c r="U39" s="8381"/>
      <c r="V39" s="8381"/>
      <c r="W39" s="8352" t="s">
        <v>3631</v>
      </c>
      <c r="X39" s="8381"/>
      <c r="Y39" s="8381"/>
      <c r="Z39" s="8381"/>
    </row>
    <row r="40" spans="1:26" x14ac:dyDescent="0.3">
      <c r="A40" s="103"/>
      <c r="B40" s="8395"/>
      <c r="C40" s="8362" t="s">
        <v>443</v>
      </c>
      <c r="D40" s="8361"/>
      <c r="E40" s="8362" t="s">
        <v>242</v>
      </c>
      <c r="F40" s="8361"/>
      <c r="G40" s="8362" t="s">
        <v>443</v>
      </c>
      <c r="H40" s="8361"/>
      <c r="I40" s="8362" t="s">
        <v>242</v>
      </c>
      <c r="J40" s="8361"/>
      <c r="K40" s="8362" t="s">
        <v>443</v>
      </c>
      <c r="L40" s="8361"/>
      <c r="M40" s="8362" t="s">
        <v>242</v>
      </c>
      <c r="N40" s="8361"/>
      <c r="O40" s="8362" t="s">
        <v>443</v>
      </c>
      <c r="P40" s="8361"/>
      <c r="Q40" s="8362" t="s">
        <v>242</v>
      </c>
      <c r="R40" s="8361"/>
      <c r="S40" s="8362" t="s">
        <v>443</v>
      </c>
      <c r="T40" s="8361"/>
      <c r="U40" s="8362" t="s">
        <v>242</v>
      </c>
      <c r="V40" s="8361"/>
      <c r="W40" s="8362" t="s">
        <v>443</v>
      </c>
      <c r="X40" s="8361"/>
      <c r="Y40" s="8362" t="s">
        <v>242</v>
      </c>
      <c r="Z40" s="8361"/>
    </row>
    <row r="41" spans="1:26" x14ac:dyDescent="0.3">
      <c r="A41" s="103"/>
      <c r="B41" s="8395"/>
      <c r="C41" s="4139" t="s">
        <v>22</v>
      </c>
      <c r="D41" s="4139" t="s">
        <v>27</v>
      </c>
      <c r="E41" s="4139" t="s">
        <v>22</v>
      </c>
      <c r="F41" s="4139" t="s">
        <v>27</v>
      </c>
      <c r="G41" s="4139" t="s">
        <v>22</v>
      </c>
      <c r="H41" s="4139" t="s">
        <v>27</v>
      </c>
      <c r="I41" s="4139" t="s">
        <v>22</v>
      </c>
      <c r="J41" s="4139" t="s">
        <v>27</v>
      </c>
      <c r="K41" s="4134" t="s">
        <v>22</v>
      </c>
      <c r="L41" s="4130" t="s">
        <v>27</v>
      </c>
      <c r="M41" s="4134" t="s">
        <v>22</v>
      </c>
      <c r="N41" s="4128" t="s">
        <v>27</v>
      </c>
      <c r="O41" s="4134" t="s">
        <v>22</v>
      </c>
      <c r="P41" s="4130" t="s">
        <v>27</v>
      </c>
      <c r="Q41" s="4134" t="s">
        <v>22</v>
      </c>
      <c r="R41" s="4130" t="s">
        <v>27</v>
      </c>
      <c r="S41" s="4132" t="s">
        <v>22</v>
      </c>
      <c r="T41" s="4130" t="s">
        <v>27</v>
      </c>
      <c r="U41" s="4134" t="s">
        <v>22</v>
      </c>
      <c r="V41" s="4130" t="s">
        <v>27</v>
      </c>
      <c r="W41" s="4254" t="s">
        <v>22</v>
      </c>
      <c r="X41" s="4255" t="s">
        <v>27</v>
      </c>
      <c r="Y41" s="4208" t="s">
        <v>22</v>
      </c>
      <c r="Z41" s="4176" t="s">
        <v>27</v>
      </c>
    </row>
    <row r="42" spans="1:26" x14ac:dyDescent="0.3">
      <c r="A42" s="6238"/>
      <c r="B42" s="4256" t="s">
        <v>24</v>
      </c>
      <c r="C42" s="4180">
        <f>SUM(C43:C46)</f>
        <v>0</v>
      </c>
      <c r="D42" s="4215">
        <f>SUM(D43:D46)</f>
        <v>0</v>
      </c>
      <c r="E42" s="4141">
        <f>SUM(E43:E46)</f>
        <v>0</v>
      </c>
      <c r="F42" s="4215">
        <f>SUM(F43:F46)</f>
        <v>0</v>
      </c>
      <c r="G42" s="4141">
        <f>SUM(G43:G46)</f>
        <v>0</v>
      </c>
      <c r="H42" s="4180">
        <f t="shared" ref="H42:N42" si="1">SUM(H43:H46)</f>
        <v>0</v>
      </c>
      <c r="I42" s="4180">
        <f t="shared" si="1"/>
        <v>0</v>
      </c>
      <c r="J42" s="4180">
        <f t="shared" si="1"/>
        <v>0</v>
      </c>
      <c r="K42" s="4180">
        <f t="shared" si="1"/>
        <v>0</v>
      </c>
      <c r="L42" s="4180">
        <f t="shared" si="1"/>
        <v>0</v>
      </c>
      <c r="M42" s="4180">
        <f t="shared" si="1"/>
        <v>0</v>
      </c>
      <c r="N42" s="4257">
        <f t="shared" si="1"/>
        <v>0</v>
      </c>
      <c r="O42" s="4180">
        <f>SUM(O43)</f>
        <v>0</v>
      </c>
      <c r="P42" s="4215">
        <f>SUM(P43)</f>
        <v>0</v>
      </c>
      <c r="Q42" s="4141">
        <f>SUM(Q43)</f>
        <v>0</v>
      </c>
      <c r="R42" s="4181">
        <f>SUM(R43)</f>
        <v>0</v>
      </c>
      <c r="S42" s="4141">
        <f t="shared" ref="S42:Z42" si="2">SUM(S43:S46)</f>
        <v>0</v>
      </c>
      <c r="T42" s="4215">
        <f t="shared" si="2"/>
        <v>0</v>
      </c>
      <c r="U42" s="4180">
        <f t="shared" si="2"/>
        <v>0</v>
      </c>
      <c r="V42" s="4215">
        <f t="shared" si="2"/>
        <v>0</v>
      </c>
      <c r="W42" s="4141">
        <f t="shared" si="2"/>
        <v>0</v>
      </c>
      <c r="X42" s="4215">
        <f t="shared" si="2"/>
        <v>0</v>
      </c>
      <c r="Y42" s="4180">
        <f t="shared" si="2"/>
        <v>0</v>
      </c>
      <c r="Z42" s="4215">
        <f t="shared" si="2"/>
        <v>0</v>
      </c>
    </row>
    <row r="43" spans="1:26" x14ac:dyDescent="0.3">
      <c r="A43" s="6234">
        <v>30100160</v>
      </c>
      <c r="B43" s="4258" t="s">
        <v>3632</v>
      </c>
      <c r="C43" s="4147" t="s">
        <v>5292</v>
      </c>
      <c r="D43" s="4259" t="s">
        <v>5293</v>
      </c>
      <c r="E43" s="4147" t="s">
        <v>5294</v>
      </c>
      <c r="F43" s="4259" t="s">
        <v>5295</v>
      </c>
      <c r="G43" s="4151" t="s">
        <v>5296</v>
      </c>
      <c r="H43" s="3790" t="s">
        <v>5297</v>
      </c>
      <c r="I43" s="4144" t="s">
        <v>5298</v>
      </c>
      <c r="J43" s="3790" t="s">
        <v>5299</v>
      </c>
      <c r="K43" s="4144" t="s">
        <v>5300</v>
      </c>
      <c r="L43" s="3790" t="s">
        <v>5301</v>
      </c>
      <c r="M43" s="4144" t="s">
        <v>5302</v>
      </c>
      <c r="N43" s="4260" t="s">
        <v>5303</v>
      </c>
      <c r="O43" s="4144" t="s">
        <v>5304</v>
      </c>
      <c r="P43" s="3790" t="s">
        <v>5305</v>
      </c>
      <c r="Q43" s="4144" t="s">
        <v>5306</v>
      </c>
      <c r="R43" s="3790" t="s">
        <v>5307</v>
      </c>
      <c r="S43" s="4151" t="s">
        <v>5308</v>
      </c>
      <c r="T43" s="3790" t="s">
        <v>5309</v>
      </c>
      <c r="U43" s="4144" t="s">
        <v>5310</v>
      </c>
      <c r="V43" s="3790" t="s">
        <v>5311</v>
      </c>
      <c r="W43" s="4154" t="s">
        <v>5312</v>
      </c>
      <c r="X43" s="4153" t="s">
        <v>5313</v>
      </c>
      <c r="Y43" s="4155" t="s">
        <v>5314</v>
      </c>
      <c r="Z43" s="4153" t="s">
        <v>5315</v>
      </c>
    </row>
    <row r="44" spans="1:26" x14ac:dyDescent="0.3">
      <c r="A44" s="6234">
        <v>30100180</v>
      </c>
      <c r="B44" s="3508" t="s">
        <v>3633</v>
      </c>
      <c r="C44" s="2101" t="s">
        <v>5292</v>
      </c>
      <c r="D44" s="143" t="s">
        <v>5293</v>
      </c>
      <c r="E44" s="2101" t="s">
        <v>5294</v>
      </c>
      <c r="F44" s="143" t="s">
        <v>5295</v>
      </c>
      <c r="G44" s="3143" t="s">
        <v>5296</v>
      </c>
      <c r="H44" s="626" t="s">
        <v>5297</v>
      </c>
      <c r="I44" s="616" t="s">
        <v>5298</v>
      </c>
      <c r="J44" s="626" t="s">
        <v>5299</v>
      </c>
      <c r="K44" s="616" t="s">
        <v>5300</v>
      </c>
      <c r="L44" s="626" t="s">
        <v>5301</v>
      </c>
      <c r="M44" s="616" t="s">
        <v>5302</v>
      </c>
      <c r="N44" s="791" t="s">
        <v>5303</v>
      </c>
      <c r="O44" s="840" t="s">
        <v>5304</v>
      </c>
      <c r="P44" s="4261" t="s">
        <v>5305</v>
      </c>
      <c r="Q44" s="840" t="s">
        <v>5306</v>
      </c>
      <c r="R44" s="4261" t="s">
        <v>5307</v>
      </c>
      <c r="S44" s="3143" t="s">
        <v>5308</v>
      </c>
      <c r="T44" s="626" t="s">
        <v>5309</v>
      </c>
      <c r="U44" s="616" t="s">
        <v>5310</v>
      </c>
      <c r="V44" s="626" t="s">
        <v>5311</v>
      </c>
      <c r="W44" s="4164" t="s">
        <v>5312</v>
      </c>
      <c r="X44" s="4163" t="s">
        <v>5313</v>
      </c>
      <c r="Y44" s="4165" t="s">
        <v>5314</v>
      </c>
      <c r="Z44" s="4163" t="s">
        <v>5315</v>
      </c>
    </row>
    <row r="45" spans="1:26" x14ac:dyDescent="0.3">
      <c r="A45" s="6234">
        <v>32101717</v>
      </c>
      <c r="B45" s="3508" t="s">
        <v>3634</v>
      </c>
      <c r="C45" s="2101" t="s">
        <v>5292</v>
      </c>
      <c r="D45" s="143" t="s">
        <v>5293</v>
      </c>
      <c r="E45" s="2101" t="s">
        <v>5294</v>
      </c>
      <c r="F45" s="143" t="s">
        <v>5295</v>
      </c>
      <c r="G45" s="3143" t="s">
        <v>5296</v>
      </c>
      <c r="H45" s="626" t="s">
        <v>5297</v>
      </c>
      <c r="I45" s="616" t="s">
        <v>5298</v>
      </c>
      <c r="J45" s="626" t="s">
        <v>5299</v>
      </c>
      <c r="K45" s="616" t="s">
        <v>5300</v>
      </c>
      <c r="L45" s="626" t="s">
        <v>5301</v>
      </c>
      <c r="M45" s="616" t="s">
        <v>5302</v>
      </c>
      <c r="N45" s="791" t="s">
        <v>5303</v>
      </c>
      <c r="O45" s="3318" t="s">
        <v>5304</v>
      </c>
      <c r="P45" s="841" t="s">
        <v>5305</v>
      </c>
      <c r="Q45" s="3316" t="s">
        <v>5306</v>
      </c>
      <c r="R45" s="841" t="s">
        <v>5307</v>
      </c>
      <c r="S45" s="3143" t="s">
        <v>5308</v>
      </c>
      <c r="T45" s="626" t="s">
        <v>5309</v>
      </c>
      <c r="U45" s="616" t="s">
        <v>5310</v>
      </c>
      <c r="V45" s="626" t="s">
        <v>5311</v>
      </c>
      <c r="W45" s="4164" t="s">
        <v>5312</v>
      </c>
      <c r="X45" s="4163" t="s">
        <v>5313</v>
      </c>
      <c r="Y45" s="4165" t="s">
        <v>5314</v>
      </c>
      <c r="Z45" s="4163" t="s">
        <v>5315</v>
      </c>
    </row>
    <row r="46" spans="1:26" x14ac:dyDescent="0.3">
      <c r="A46" s="6234">
        <v>30100190</v>
      </c>
      <c r="B46" s="2913" t="s">
        <v>3635</v>
      </c>
      <c r="C46" s="4262" t="s">
        <v>5292</v>
      </c>
      <c r="D46" s="4263" t="s">
        <v>5293</v>
      </c>
      <c r="E46" s="4262" t="s">
        <v>5294</v>
      </c>
      <c r="F46" s="4263" t="s">
        <v>5295</v>
      </c>
      <c r="G46" s="4174" t="s">
        <v>5296</v>
      </c>
      <c r="H46" s="2924" t="s">
        <v>5297</v>
      </c>
      <c r="I46" s="3857" t="s">
        <v>5298</v>
      </c>
      <c r="J46" s="2924" t="s">
        <v>5299</v>
      </c>
      <c r="K46" s="3857" t="s">
        <v>5300</v>
      </c>
      <c r="L46" s="2924" t="s">
        <v>5301</v>
      </c>
      <c r="M46" s="3857" t="s">
        <v>5302</v>
      </c>
      <c r="N46" s="2845" t="s">
        <v>5303</v>
      </c>
      <c r="O46" s="4264" t="s">
        <v>5304</v>
      </c>
      <c r="P46" s="3795" t="s">
        <v>5305</v>
      </c>
      <c r="Q46" s="582" t="s">
        <v>5306</v>
      </c>
      <c r="R46" s="4265" t="s">
        <v>5307</v>
      </c>
      <c r="S46" s="4174" t="s">
        <v>5308</v>
      </c>
      <c r="T46" s="2924" t="s">
        <v>5309</v>
      </c>
      <c r="U46" s="3857" t="s">
        <v>5310</v>
      </c>
      <c r="V46" s="2924" t="s">
        <v>5311</v>
      </c>
      <c r="W46" s="4169" t="s">
        <v>5312</v>
      </c>
      <c r="X46" s="4168" t="s">
        <v>5313</v>
      </c>
      <c r="Y46" s="4170" t="s">
        <v>5314</v>
      </c>
      <c r="Z46" s="4168" t="s">
        <v>5315</v>
      </c>
    </row>
    <row r="47" spans="1:26" s="17" customFormat="1" ht="18" customHeight="1" x14ac:dyDescent="0.25">
      <c r="A47" s="103"/>
      <c r="B47" s="3008" t="s">
        <v>3636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</row>
    <row r="48" spans="1:26" ht="22.5" customHeight="1" x14ac:dyDescent="0.3">
      <c r="A48" s="103"/>
      <c r="B48" s="8395" t="s">
        <v>3637</v>
      </c>
      <c r="C48" s="6557" t="s">
        <v>3638</v>
      </c>
      <c r="D48" s="6419"/>
      <c r="E48" s="6419"/>
      <c r="F48" s="8352"/>
      <c r="G48" s="6557" t="s">
        <v>3639</v>
      </c>
      <c r="H48" s="6419"/>
      <c r="I48" s="6419"/>
      <c r="J48" s="8352"/>
      <c r="K48" s="6557" t="s">
        <v>3640</v>
      </c>
      <c r="L48" s="6419"/>
      <c r="M48" s="6419"/>
      <c r="N48" s="8352"/>
      <c r="O48" s="8352" t="s">
        <v>3641</v>
      </c>
      <c r="P48" s="8381"/>
      <c r="Q48" s="8381"/>
      <c r="R48" s="8381"/>
    </row>
    <row r="49" spans="1:18" x14ac:dyDescent="0.3">
      <c r="A49" s="103"/>
      <c r="B49" s="8395"/>
      <c r="C49" s="8362" t="s">
        <v>443</v>
      </c>
      <c r="D49" s="8361"/>
      <c r="E49" s="8362" t="s">
        <v>242</v>
      </c>
      <c r="F49" s="8361"/>
      <c r="G49" s="8362" t="s">
        <v>443</v>
      </c>
      <c r="H49" s="8361"/>
      <c r="I49" s="8362" t="s">
        <v>242</v>
      </c>
      <c r="J49" s="8361"/>
      <c r="K49" s="8362" t="s">
        <v>443</v>
      </c>
      <c r="L49" s="8361"/>
      <c r="M49" s="8362" t="s">
        <v>242</v>
      </c>
      <c r="N49" s="8361"/>
      <c r="O49" s="8362" t="s">
        <v>443</v>
      </c>
      <c r="P49" s="8361"/>
      <c r="Q49" s="8362" t="s">
        <v>242</v>
      </c>
      <c r="R49" s="8361"/>
    </row>
    <row r="50" spans="1:18" x14ac:dyDescent="0.3">
      <c r="A50" s="103"/>
      <c r="B50" s="8395"/>
      <c r="C50" s="4208" t="s">
        <v>22</v>
      </c>
      <c r="D50" s="4176" t="s">
        <v>27</v>
      </c>
      <c r="E50" s="4254" t="s">
        <v>22</v>
      </c>
      <c r="F50" s="4176" t="s">
        <v>27</v>
      </c>
      <c r="G50" s="4208" t="s">
        <v>22</v>
      </c>
      <c r="H50" s="4176" t="s">
        <v>27</v>
      </c>
      <c r="I50" s="4254" t="s">
        <v>22</v>
      </c>
      <c r="J50" s="4176" t="s">
        <v>27</v>
      </c>
      <c r="K50" s="4134" t="s">
        <v>22</v>
      </c>
      <c r="L50" s="4130" t="s">
        <v>27</v>
      </c>
      <c r="M50" s="4134" t="s">
        <v>22</v>
      </c>
      <c r="N50" s="4130" t="s">
        <v>27</v>
      </c>
      <c r="O50" s="4254" t="s">
        <v>22</v>
      </c>
      <c r="P50" s="4176" t="s">
        <v>27</v>
      </c>
      <c r="Q50" s="4208" t="s">
        <v>22</v>
      </c>
      <c r="R50" s="4176" t="s">
        <v>27</v>
      </c>
    </row>
    <row r="51" spans="1:18" x14ac:dyDescent="0.3">
      <c r="A51" s="6238"/>
      <c r="B51" s="4256" t="s">
        <v>24</v>
      </c>
      <c r="C51" s="4266">
        <f>SUM(C52:C56)</f>
        <v>0</v>
      </c>
      <c r="D51" s="4267">
        <f>SUM(D52:D56)</f>
        <v>0</v>
      </c>
      <c r="E51" s="4268">
        <f>SUM(E52:E56)</f>
        <v>0</v>
      </c>
      <c r="F51" s="4267">
        <f>SUM(F52:F56)</f>
        <v>0</v>
      </c>
      <c r="G51" s="4266">
        <f>SUM(G52:G56)</f>
        <v>0</v>
      </c>
      <c r="H51" s="4267">
        <f t="shared" ref="H51:R51" si="3">SUM(H52:H56)</f>
        <v>0</v>
      </c>
      <c r="I51" s="4268">
        <f t="shared" si="3"/>
        <v>0</v>
      </c>
      <c r="J51" s="4267">
        <f t="shared" si="3"/>
        <v>0</v>
      </c>
      <c r="K51" s="4269">
        <f t="shared" si="3"/>
        <v>0</v>
      </c>
      <c r="L51" s="4270">
        <f t="shared" si="3"/>
        <v>0</v>
      </c>
      <c r="M51" s="4271">
        <f t="shared" si="3"/>
        <v>0</v>
      </c>
      <c r="N51" s="4272">
        <f t="shared" si="3"/>
        <v>0</v>
      </c>
      <c r="O51" s="4273">
        <f t="shared" si="3"/>
        <v>0</v>
      </c>
      <c r="P51" s="4272">
        <f t="shared" si="3"/>
        <v>0</v>
      </c>
      <c r="Q51" s="4268">
        <f t="shared" si="3"/>
        <v>0</v>
      </c>
      <c r="R51" s="4274">
        <f t="shared" si="3"/>
        <v>0</v>
      </c>
    </row>
    <row r="52" spans="1:18" x14ac:dyDescent="0.3">
      <c r="A52" s="6234">
        <v>32101692</v>
      </c>
      <c r="B52" s="4275" t="s">
        <v>527</v>
      </c>
      <c r="C52" s="4147" t="s">
        <v>5292</v>
      </c>
      <c r="D52" s="4146" t="s">
        <v>5293</v>
      </c>
      <c r="E52" s="4145" t="s">
        <v>5294</v>
      </c>
      <c r="F52" s="4146" t="s">
        <v>5295</v>
      </c>
      <c r="G52" s="4144" t="s">
        <v>5296</v>
      </c>
      <c r="H52" s="4173" t="s">
        <v>5297</v>
      </c>
      <c r="I52" s="4151" t="s">
        <v>5298</v>
      </c>
      <c r="J52" s="4173" t="s">
        <v>5299</v>
      </c>
      <c r="K52" s="4151" t="s">
        <v>5300</v>
      </c>
      <c r="L52" s="4173" t="s">
        <v>5301</v>
      </c>
      <c r="M52" s="4144" t="s">
        <v>5302</v>
      </c>
      <c r="N52" s="4173" t="s">
        <v>5303</v>
      </c>
      <c r="O52" s="4155" t="s">
        <v>5304</v>
      </c>
      <c r="P52" s="4153" t="s">
        <v>5305</v>
      </c>
      <c r="Q52" s="4155" t="s">
        <v>5306</v>
      </c>
      <c r="R52" s="4153" t="s">
        <v>5307</v>
      </c>
    </row>
    <row r="53" spans="1:18" x14ac:dyDescent="0.3">
      <c r="A53" s="6234">
        <v>32101693</v>
      </c>
      <c r="B53" s="3508" t="s">
        <v>3580</v>
      </c>
      <c r="C53" s="3190" t="s">
        <v>5292</v>
      </c>
      <c r="D53" s="786" t="s">
        <v>5293</v>
      </c>
      <c r="E53" s="4161" t="s">
        <v>5294</v>
      </c>
      <c r="F53" s="786" t="s">
        <v>5295</v>
      </c>
      <c r="G53" s="616" t="s">
        <v>5296</v>
      </c>
      <c r="H53" s="626" t="s">
        <v>5297</v>
      </c>
      <c r="I53" s="3143" t="s">
        <v>5298</v>
      </c>
      <c r="J53" s="626" t="s">
        <v>5299</v>
      </c>
      <c r="K53" s="3143" t="s">
        <v>5300</v>
      </c>
      <c r="L53" s="626" t="s">
        <v>5301</v>
      </c>
      <c r="M53" s="616" t="s">
        <v>5302</v>
      </c>
      <c r="N53" s="626" t="s">
        <v>5303</v>
      </c>
      <c r="O53" s="4165" t="s">
        <v>5304</v>
      </c>
      <c r="P53" s="4163" t="s">
        <v>5305</v>
      </c>
      <c r="Q53" s="4165" t="s">
        <v>5306</v>
      </c>
      <c r="R53" s="4163" t="s">
        <v>5307</v>
      </c>
    </row>
    <row r="54" spans="1:18" x14ac:dyDescent="0.3">
      <c r="A54" s="6234">
        <v>32101694</v>
      </c>
      <c r="B54" s="4276" t="s">
        <v>3642</v>
      </c>
      <c r="C54" s="3190" t="s">
        <v>5292</v>
      </c>
      <c r="D54" s="786" t="s">
        <v>5293</v>
      </c>
      <c r="E54" s="4161" t="s">
        <v>5294</v>
      </c>
      <c r="F54" s="786" t="s">
        <v>5295</v>
      </c>
      <c r="G54" s="616" t="s">
        <v>5296</v>
      </c>
      <c r="H54" s="3077" t="s">
        <v>5297</v>
      </c>
      <c r="I54" s="3143" t="s">
        <v>5298</v>
      </c>
      <c r="J54" s="3077" t="s">
        <v>5299</v>
      </c>
      <c r="K54" s="3143" t="s">
        <v>5300</v>
      </c>
      <c r="L54" s="3077" t="s">
        <v>5301</v>
      </c>
      <c r="M54" s="616" t="s">
        <v>5302</v>
      </c>
      <c r="N54" s="3077" t="s">
        <v>5303</v>
      </c>
      <c r="O54" s="4165" t="s">
        <v>5304</v>
      </c>
      <c r="P54" s="4163" t="s">
        <v>5305</v>
      </c>
      <c r="Q54" s="4165" t="s">
        <v>5306</v>
      </c>
      <c r="R54" s="4163" t="s">
        <v>5307</v>
      </c>
    </row>
    <row r="55" spans="1:18" x14ac:dyDescent="0.3">
      <c r="A55" s="6234">
        <v>32101695</v>
      </c>
      <c r="B55" s="4276" t="s">
        <v>3643</v>
      </c>
      <c r="C55" s="3190" t="s">
        <v>5292</v>
      </c>
      <c r="D55" s="786" t="s">
        <v>5293</v>
      </c>
      <c r="E55" s="4161" t="s">
        <v>5294</v>
      </c>
      <c r="F55" s="786" t="s">
        <v>5295</v>
      </c>
      <c r="G55" s="616" t="s">
        <v>5296</v>
      </c>
      <c r="H55" s="3077" t="s">
        <v>5297</v>
      </c>
      <c r="I55" s="3143" t="s">
        <v>5298</v>
      </c>
      <c r="J55" s="3077" t="s">
        <v>5299</v>
      </c>
      <c r="K55" s="3143" t="s">
        <v>5300</v>
      </c>
      <c r="L55" s="3077" t="s">
        <v>5301</v>
      </c>
      <c r="M55" s="616" t="s">
        <v>5302</v>
      </c>
      <c r="N55" s="3077" t="s">
        <v>5303</v>
      </c>
      <c r="O55" s="4165" t="s">
        <v>5304</v>
      </c>
      <c r="P55" s="4163" t="s">
        <v>5305</v>
      </c>
      <c r="Q55" s="4165" t="s">
        <v>5306</v>
      </c>
      <c r="R55" s="4163" t="s">
        <v>5307</v>
      </c>
    </row>
    <row r="56" spans="1:18" x14ac:dyDescent="0.3">
      <c r="A56" s="6234">
        <v>30100200</v>
      </c>
      <c r="B56" s="584" t="s">
        <v>3644</v>
      </c>
      <c r="C56" s="120" t="s">
        <v>5292</v>
      </c>
      <c r="D56" s="3349" t="s">
        <v>5293</v>
      </c>
      <c r="E56" s="583" t="s">
        <v>5294</v>
      </c>
      <c r="F56" s="3349" t="s">
        <v>5295</v>
      </c>
      <c r="G56" s="114" t="s">
        <v>5296</v>
      </c>
      <c r="H56" s="2800" t="s">
        <v>5297</v>
      </c>
      <c r="I56" s="121" t="s">
        <v>5298</v>
      </c>
      <c r="J56" s="2800" t="s">
        <v>5299</v>
      </c>
      <c r="K56" s="121" t="s">
        <v>5300</v>
      </c>
      <c r="L56" s="2800" t="s">
        <v>5301</v>
      </c>
      <c r="M56" s="114" t="s">
        <v>5302</v>
      </c>
      <c r="N56" s="2800" t="s">
        <v>5303</v>
      </c>
      <c r="O56" s="4170" t="s">
        <v>5304</v>
      </c>
      <c r="P56" s="4168" t="s">
        <v>5305</v>
      </c>
      <c r="Q56" s="4170" t="s">
        <v>5306</v>
      </c>
      <c r="R56" s="4168" t="s">
        <v>5307</v>
      </c>
    </row>
    <row r="57" spans="1:18" s="17" customFormat="1" ht="18" customHeight="1" x14ac:dyDescent="0.25">
      <c r="A57" s="103"/>
      <c r="B57" s="122" t="s">
        <v>3645</v>
      </c>
      <c r="C57" s="3864"/>
      <c r="D57" s="3864"/>
      <c r="E57" s="3864"/>
      <c r="F57" s="3864"/>
    </row>
    <row r="58" spans="1:18" s="17" customFormat="1" ht="18" customHeight="1" x14ac:dyDescent="0.25">
      <c r="A58" s="103"/>
      <c r="B58" s="3008" t="s">
        <v>3646</v>
      </c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</row>
    <row r="59" spans="1:18" ht="32.25" customHeight="1" x14ac:dyDescent="0.3">
      <c r="A59" s="103"/>
      <c r="B59" s="8396" t="s">
        <v>3647</v>
      </c>
      <c r="C59" s="8381" t="s">
        <v>3648</v>
      </c>
      <c r="D59" s="8381"/>
      <c r="E59" s="8381"/>
      <c r="F59" s="8381"/>
      <c r="G59" s="8381" t="s">
        <v>3649</v>
      </c>
      <c r="H59" s="8381"/>
      <c r="I59" s="8381"/>
      <c r="J59" s="8381"/>
      <c r="K59" s="8381" t="s">
        <v>3650</v>
      </c>
      <c r="L59" s="8381"/>
      <c r="M59" s="8381"/>
      <c r="N59" s="8381"/>
      <c r="O59" s="8381" t="s">
        <v>3651</v>
      </c>
      <c r="P59" s="8381"/>
      <c r="Q59" s="8381"/>
      <c r="R59" s="8381"/>
    </row>
    <row r="60" spans="1:18" x14ac:dyDescent="0.3">
      <c r="A60" s="103"/>
      <c r="B60" s="8396"/>
      <c r="C60" s="8362" t="s">
        <v>443</v>
      </c>
      <c r="D60" s="8361"/>
      <c r="E60" s="8362" t="s">
        <v>242</v>
      </c>
      <c r="F60" s="8361"/>
      <c r="G60" s="8362" t="s">
        <v>443</v>
      </c>
      <c r="H60" s="8361"/>
      <c r="I60" s="8362" t="s">
        <v>242</v>
      </c>
      <c r="J60" s="8361"/>
      <c r="K60" s="8362" t="s">
        <v>443</v>
      </c>
      <c r="L60" s="8361"/>
      <c r="M60" s="8362" t="s">
        <v>242</v>
      </c>
      <c r="N60" s="8361"/>
      <c r="O60" s="8362" t="s">
        <v>443</v>
      </c>
      <c r="P60" s="8361"/>
      <c r="Q60" s="8362" t="s">
        <v>242</v>
      </c>
      <c r="R60" s="8361"/>
    </row>
    <row r="61" spans="1:18" x14ac:dyDescent="0.3">
      <c r="A61" s="103"/>
      <c r="B61" s="8396"/>
      <c r="C61" s="4134" t="s">
        <v>22</v>
      </c>
      <c r="D61" s="4130" t="s">
        <v>27</v>
      </c>
      <c r="E61" s="4134" t="s">
        <v>22</v>
      </c>
      <c r="F61" s="4130" t="s">
        <v>27</v>
      </c>
      <c r="G61" s="4134" t="s">
        <v>22</v>
      </c>
      <c r="H61" s="4130" t="s">
        <v>27</v>
      </c>
      <c r="I61" s="4134" t="s">
        <v>22</v>
      </c>
      <c r="J61" s="4130" t="s">
        <v>27</v>
      </c>
      <c r="K61" s="4134" t="s">
        <v>22</v>
      </c>
      <c r="L61" s="4130" t="s">
        <v>27</v>
      </c>
      <c r="M61" s="4134" t="s">
        <v>22</v>
      </c>
      <c r="N61" s="4130" t="s">
        <v>27</v>
      </c>
      <c r="O61" s="4134" t="s">
        <v>22</v>
      </c>
      <c r="P61" s="4130" t="s">
        <v>27</v>
      </c>
      <c r="Q61" s="4132" t="s">
        <v>22</v>
      </c>
      <c r="R61" s="4130" t="s">
        <v>27</v>
      </c>
    </row>
    <row r="62" spans="1:18" x14ac:dyDescent="0.3">
      <c r="A62" s="6238"/>
      <c r="B62" s="4256" t="s">
        <v>24</v>
      </c>
      <c r="C62" s="4180">
        <f>SUM(C63:C66)</f>
        <v>0</v>
      </c>
      <c r="D62" s="4180">
        <f t="shared" ref="D62:R62" si="4">SUM(D63:D66)</f>
        <v>0</v>
      </c>
      <c r="E62" s="4180">
        <f t="shared" si="4"/>
        <v>0</v>
      </c>
      <c r="F62" s="4180">
        <f t="shared" si="4"/>
        <v>0</v>
      </c>
      <c r="G62" s="4180">
        <f t="shared" si="4"/>
        <v>0</v>
      </c>
      <c r="H62" s="4180">
        <f t="shared" si="4"/>
        <v>0</v>
      </c>
      <c r="I62" s="4180">
        <f t="shared" si="4"/>
        <v>0</v>
      </c>
      <c r="J62" s="4180">
        <f t="shared" si="4"/>
        <v>0</v>
      </c>
      <c r="K62" s="4180">
        <f t="shared" si="4"/>
        <v>0</v>
      </c>
      <c r="L62" s="4180">
        <f t="shared" si="4"/>
        <v>0</v>
      </c>
      <c r="M62" s="4180">
        <f t="shared" si="4"/>
        <v>0</v>
      </c>
      <c r="N62" s="4180">
        <f t="shared" si="4"/>
        <v>0</v>
      </c>
      <c r="O62" s="4180">
        <f t="shared" si="4"/>
        <v>0</v>
      </c>
      <c r="P62" s="4180">
        <f t="shared" si="4"/>
        <v>0</v>
      </c>
      <c r="Q62" s="4180">
        <f t="shared" si="4"/>
        <v>0</v>
      </c>
      <c r="R62" s="4214">
        <f t="shared" si="4"/>
        <v>0</v>
      </c>
    </row>
    <row r="63" spans="1:18" x14ac:dyDescent="0.3">
      <c r="A63" s="6234">
        <v>32101696</v>
      </c>
      <c r="B63" s="4258" t="s">
        <v>76</v>
      </c>
      <c r="C63" s="4147" t="s">
        <v>5292</v>
      </c>
      <c r="D63" s="4146" t="s">
        <v>5293</v>
      </c>
      <c r="E63" s="4145" t="s">
        <v>5294</v>
      </c>
      <c r="F63" s="4146" t="s">
        <v>5295</v>
      </c>
      <c r="G63" s="106" t="s">
        <v>5296</v>
      </c>
      <c r="H63" s="587" t="s">
        <v>5297</v>
      </c>
      <c r="I63" s="588" t="s">
        <v>5298</v>
      </c>
      <c r="J63" s="587" t="s">
        <v>5299</v>
      </c>
      <c r="K63" s="106" t="s">
        <v>5300</v>
      </c>
      <c r="L63" s="587" t="s">
        <v>5301</v>
      </c>
      <c r="M63" s="588" t="s">
        <v>5302</v>
      </c>
      <c r="N63" s="587" t="s">
        <v>5303</v>
      </c>
      <c r="O63" s="4165" t="s">
        <v>5304</v>
      </c>
      <c r="P63" s="4163" t="s">
        <v>5305</v>
      </c>
      <c r="Q63" s="4165" t="s">
        <v>5306</v>
      </c>
      <c r="R63" s="4163" t="s">
        <v>5307</v>
      </c>
    </row>
    <row r="64" spans="1:18" x14ac:dyDescent="0.3">
      <c r="A64" s="6234">
        <v>32101697</v>
      </c>
      <c r="B64" s="3046" t="s">
        <v>3652</v>
      </c>
      <c r="C64" s="3190" t="s">
        <v>5292</v>
      </c>
      <c r="D64" s="786" t="s">
        <v>5293</v>
      </c>
      <c r="E64" s="4161" t="s">
        <v>5294</v>
      </c>
      <c r="F64" s="786" t="s">
        <v>5295</v>
      </c>
      <c r="G64" s="616" t="s">
        <v>5296</v>
      </c>
      <c r="H64" s="626" t="s">
        <v>5297</v>
      </c>
      <c r="I64" s="3143" t="s">
        <v>5298</v>
      </c>
      <c r="J64" s="626" t="s">
        <v>5299</v>
      </c>
      <c r="K64" s="616" t="s">
        <v>5300</v>
      </c>
      <c r="L64" s="626" t="s">
        <v>5301</v>
      </c>
      <c r="M64" s="3143" t="s">
        <v>5302</v>
      </c>
      <c r="N64" s="626" t="s">
        <v>5303</v>
      </c>
      <c r="O64" s="4165" t="s">
        <v>5304</v>
      </c>
      <c r="P64" s="4163" t="s">
        <v>5305</v>
      </c>
      <c r="Q64" s="4165" t="s">
        <v>5306</v>
      </c>
      <c r="R64" s="4163" t="s">
        <v>5307</v>
      </c>
    </row>
    <row r="65" spans="1:18" x14ac:dyDescent="0.3">
      <c r="A65" s="6234">
        <v>32101698</v>
      </c>
      <c r="B65" s="3046" t="s">
        <v>3653</v>
      </c>
      <c r="C65" s="3190" t="s">
        <v>5292</v>
      </c>
      <c r="D65" s="786" t="s">
        <v>5293</v>
      </c>
      <c r="E65" s="4161" t="s">
        <v>5294</v>
      </c>
      <c r="F65" s="786" t="s">
        <v>5295</v>
      </c>
      <c r="G65" s="616" t="s">
        <v>5296</v>
      </c>
      <c r="H65" s="626" t="s">
        <v>5297</v>
      </c>
      <c r="I65" s="3143" t="s">
        <v>5298</v>
      </c>
      <c r="J65" s="626" t="s">
        <v>5299</v>
      </c>
      <c r="K65" s="616" t="s">
        <v>5300</v>
      </c>
      <c r="L65" s="626" t="s">
        <v>5301</v>
      </c>
      <c r="M65" s="3143" t="s">
        <v>5302</v>
      </c>
      <c r="N65" s="626" t="s">
        <v>5303</v>
      </c>
      <c r="O65" s="4165" t="s">
        <v>5304</v>
      </c>
      <c r="P65" s="4163" t="s">
        <v>5305</v>
      </c>
      <c r="Q65" s="4165" t="s">
        <v>5306</v>
      </c>
      <c r="R65" s="4163" t="s">
        <v>5307</v>
      </c>
    </row>
    <row r="66" spans="1:18" x14ac:dyDescent="0.3">
      <c r="A66" s="6234">
        <v>32101699</v>
      </c>
      <c r="B66" s="150" t="s">
        <v>3654</v>
      </c>
      <c r="C66" s="120" t="s">
        <v>5292</v>
      </c>
      <c r="D66" s="3349" t="s">
        <v>5293</v>
      </c>
      <c r="E66" s="583" t="s">
        <v>5294</v>
      </c>
      <c r="F66" s="3349" t="s">
        <v>5295</v>
      </c>
      <c r="G66" s="114" t="s">
        <v>5296</v>
      </c>
      <c r="H66" s="3035" t="s">
        <v>5297</v>
      </c>
      <c r="I66" s="121" t="s">
        <v>5298</v>
      </c>
      <c r="J66" s="3035" t="s">
        <v>5299</v>
      </c>
      <c r="K66" s="114" t="s">
        <v>5300</v>
      </c>
      <c r="L66" s="3035" t="s">
        <v>5301</v>
      </c>
      <c r="M66" s="121" t="s">
        <v>5302</v>
      </c>
      <c r="N66" s="3035" t="s">
        <v>5303</v>
      </c>
      <c r="O66" s="4277" t="s">
        <v>5304</v>
      </c>
      <c r="P66" s="4252" t="s">
        <v>5305</v>
      </c>
      <c r="Q66" s="4278" t="s">
        <v>5306</v>
      </c>
      <c r="R66" s="4279" t="s">
        <v>5307</v>
      </c>
    </row>
    <row r="67" spans="1:18" s="17" customFormat="1" ht="18" customHeight="1" x14ac:dyDescent="0.25">
      <c r="A67" s="103"/>
      <c r="B67" s="3008" t="s">
        <v>3655</v>
      </c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</row>
    <row r="68" spans="1:18" ht="30.75" customHeight="1" x14ac:dyDescent="0.3">
      <c r="A68" s="103"/>
      <c r="B68" s="8396" t="s">
        <v>3656</v>
      </c>
      <c r="C68" s="8381" t="s">
        <v>3657</v>
      </c>
      <c r="D68" s="8381"/>
      <c r="E68" s="8381"/>
      <c r="F68" s="8381"/>
      <c r="G68" s="8381" t="s">
        <v>3658</v>
      </c>
      <c r="H68" s="8381"/>
      <c r="I68" s="8381"/>
      <c r="J68" s="8381"/>
      <c r="K68" s="8381" t="s">
        <v>3659</v>
      </c>
      <c r="L68" s="8381"/>
      <c r="M68" s="8381"/>
      <c r="N68" s="8381"/>
      <c r="O68" s="8381" t="s">
        <v>3660</v>
      </c>
      <c r="P68" s="8381"/>
      <c r="Q68" s="8381"/>
      <c r="R68" s="8381"/>
    </row>
    <row r="69" spans="1:18" x14ac:dyDescent="0.3">
      <c r="A69" s="103"/>
      <c r="B69" s="8396"/>
      <c r="C69" s="8362" t="s">
        <v>443</v>
      </c>
      <c r="D69" s="8361"/>
      <c r="E69" s="8362" t="s">
        <v>242</v>
      </c>
      <c r="F69" s="8361"/>
      <c r="G69" s="8362" t="s">
        <v>443</v>
      </c>
      <c r="H69" s="8361"/>
      <c r="I69" s="8362" t="s">
        <v>242</v>
      </c>
      <c r="J69" s="8361"/>
      <c r="K69" s="8362" t="s">
        <v>443</v>
      </c>
      <c r="L69" s="8361"/>
      <c r="M69" s="8362" t="s">
        <v>242</v>
      </c>
      <c r="N69" s="8361"/>
      <c r="O69" s="8362" t="s">
        <v>443</v>
      </c>
      <c r="P69" s="8361"/>
      <c r="Q69" s="8362" t="s">
        <v>242</v>
      </c>
      <c r="R69" s="8361"/>
    </row>
    <row r="70" spans="1:18" x14ac:dyDescent="0.3">
      <c r="A70" s="103"/>
      <c r="B70" s="8396"/>
      <c r="C70" s="4134" t="s">
        <v>22</v>
      </c>
      <c r="D70" s="4130" t="s">
        <v>27</v>
      </c>
      <c r="E70" s="4134" t="s">
        <v>22</v>
      </c>
      <c r="F70" s="4130" t="s">
        <v>27</v>
      </c>
      <c r="G70" s="4134" t="s">
        <v>22</v>
      </c>
      <c r="H70" s="4130" t="s">
        <v>27</v>
      </c>
      <c r="I70" s="4134" t="s">
        <v>22</v>
      </c>
      <c r="J70" s="4130" t="s">
        <v>27</v>
      </c>
      <c r="K70" s="4134" t="s">
        <v>22</v>
      </c>
      <c r="L70" s="4130" t="s">
        <v>27</v>
      </c>
      <c r="M70" s="4134" t="s">
        <v>22</v>
      </c>
      <c r="N70" s="4130" t="s">
        <v>27</v>
      </c>
      <c r="O70" s="4134" t="s">
        <v>22</v>
      </c>
      <c r="P70" s="4130" t="s">
        <v>27</v>
      </c>
      <c r="Q70" s="4132" t="s">
        <v>22</v>
      </c>
      <c r="R70" s="4130" t="s">
        <v>27</v>
      </c>
    </row>
    <row r="71" spans="1:18" x14ac:dyDescent="0.3">
      <c r="A71" s="6238"/>
      <c r="B71" s="4256" t="s">
        <v>24</v>
      </c>
      <c r="C71" s="4180">
        <f>SUM(C72:C75)</f>
        <v>0</v>
      </c>
      <c r="D71" s="4181">
        <f>SUM(D72:D75)</f>
        <v>0</v>
      </c>
      <c r="E71" s="4141">
        <f>SUM(E72:E75)</f>
        <v>0</v>
      </c>
      <c r="F71" s="4181">
        <f>SUM(F72:F75)</f>
        <v>0</v>
      </c>
      <c r="G71" s="4180">
        <f t="shared" ref="G71:R71" si="5">SUM(G72:G75)</f>
        <v>0</v>
      </c>
      <c r="H71" s="4215">
        <f t="shared" si="5"/>
        <v>0</v>
      </c>
      <c r="I71" s="4180">
        <f t="shared" si="5"/>
        <v>0</v>
      </c>
      <c r="J71" s="4215">
        <f t="shared" si="5"/>
        <v>0</v>
      </c>
      <c r="K71" s="4180">
        <f t="shared" si="5"/>
        <v>0</v>
      </c>
      <c r="L71" s="4215">
        <f t="shared" si="5"/>
        <v>0</v>
      </c>
      <c r="M71" s="4180">
        <f t="shared" si="5"/>
        <v>0</v>
      </c>
      <c r="N71" s="4215">
        <f t="shared" si="5"/>
        <v>0</v>
      </c>
      <c r="O71" s="4180">
        <f t="shared" si="5"/>
        <v>0</v>
      </c>
      <c r="P71" s="4215">
        <f t="shared" si="5"/>
        <v>0</v>
      </c>
      <c r="Q71" s="4141">
        <f t="shared" si="5"/>
        <v>0</v>
      </c>
      <c r="R71" s="4215">
        <f t="shared" si="5"/>
        <v>0</v>
      </c>
    </row>
    <row r="72" spans="1:18" x14ac:dyDescent="0.3">
      <c r="A72" s="6234">
        <v>32101700</v>
      </c>
      <c r="B72" s="4258" t="s">
        <v>76</v>
      </c>
      <c r="C72" s="4147" t="s">
        <v>5292</v>
      </c>
      <c r="D72" s="4146" t="s">
        <v>5293</v>
      </c>
      <c r="E72" s="4145" t="s">
        <v>5294</v>
      </c>
      <c r="F72" s="4146" t="s">
        <v>5295</v>
      </c>
      <c r="G72" s="106" t="s">
        <v>5296</v>
      </c>
      <c r="H72" s="587" t="s">
        <v>5297</v>
      </c>
      <c r="I72" s="588" t="s">
        <v>5298</v>
      </c>
      <c r="J72" s="587" t="s">
        <v>5299</v>
      </c>
      <c r="K72" s="106" t="s">
        <v>5300</v>
      </c>
      <c r="L72" s="587" t="s">
        <v>5301</v>
      </c>
      <c r="M72" s="588" t="s">
        <v>5302</v>
      </c>
      <c r="N72" s="587" t="s">
        <v>5303</v>
      </c>
      <c r="O72" s="4165" t="s">
        <v>5304</v>
      </c>
      <c r="P72" s="4163" t="s">
        <v>5305</v>
      </c>
      <c r="Q72" s="4165" t="s">
        <v>5306</v>
      </c>
      <c r="R72" s="4163" t="s">
        <v>5307</v>
      </c>
    </row>
    <row r="73" spans="1:18" x14ac:dyDescent="0.3">
      <c r="A73" s="6234">
        <v>32101701</v>
      </c>
      <c r="B73" s="3046" t="s">
        <v>3652</v>
      </c>
      <c r="C73" s="3190" t="s">
        <v>5292</v>
      </c>
      <c r="D73" s="786" t="s">
        <v>5293</v>
      </c>
      <c r="E73" s="4161" t="s">
        <v>5294</v>
      </c>
      <c r="F73" s="786" t="s">
        <v>5295</v>
      </c>
      <c r="G73" s="616" t="s">
        <v>5296</v>
      </c>
      <c r="H73" s="626" t="s">
        <v>5297</v>
      </c>
      <c r="I73" s="3143" t="s">
        <v>5298</v>
      </c>
      <c r="J73" s="626" t="s">
        <v>5299</v>
      </c>
      <c r="K73" s="616" t="s">
        <v>5300</v>
      </c>
      <c r="L73" s="626" t="s">
        <v>5301</v>
      </c>
      <c r="M73" s="3143" t="s">
        <v>5302</v>
      </c>
      <c r="N73" s="626" t="s">
        <v>5303</v>
      </c>
      <c r="O73" s="4165" t="s">
        <v>5304</v>
      </c>
      <c r="P73" s="4163" t="s">
        <v>5305</v>
      </c>
      <c r="Q73" s="4165" t="s">
        <v>5306</v>
      </c>
      <c r="R73" s="4163" t="s">
        <v>5307</v>
      </c>
    </row>
    <row r="74" spans="1:18" x14ac:dyDescent="0.3">
      <c r="A74" s="6234">
        <v>32101702</v>
      </c>
      <c r="B74" s="3046" t="s">
        <v>3653</v>
      </c>
      <c r="C74" s="3190" t="s">
        <v>5292</v>
      </c>
      <c r="D74" s="786" t="s">
        <v>5293</v>
      </c>
      <c r="E74" s="4161" t="s">
        <v>5294</v>
      </c>
      <c r="F74" s="786" t="s">
        <v>5295</v>
      </c>
      <c r="G74" s="616" t="s">
        <v>5296</v>
      </c>
      <c r="H74" s="626" t="s">
        <v>5297</v>
      </c>
      <c r="I74" s="3143" t="s">
        <v>5298</v>
      </c>
      <c r="J74" s="626" t="s">
        <v>5299</v>
      </c>
      <c r="K74" s="616" t="s">
        <v>5300</v>
      </c>
      <c r="L74" s="626" t="s">
        <v>5301</v>
      </c>
      <c r="M74" s="3143" t="s">
        <v>5302</v>
      </c>
      <c r="N74" s="626" t="s">
        <v>5303</v>
      </c>
      <c r="O74" s="4165" t="s">
        <v>5304</v>
      </c>
      <c r="P74" s="4163" t="s">
        <v>5305</v>
      </c>
      <c r="Q74" s="4165" t="s">
        <v>5306</v>
      </c>
      <c r="R74" s="4163" t="s">
        <v>5307</v>
      </c>
    </row>
    <row r="75" spans="1:18" x14ac:dyDescent="0.3">
      <c r="A75" s="6234">
        <v>32101703</v>
      </c>
      <c r="B75" s="150" t="s">
        <v>3654</v>
      </c>
      <c r="C75" s="120" t="s">
        <v>5292</v>
      </c>
      <c r="D75" s="3349" t="s">
        <v>5293</v>
      </c>
      <c r="E75" s="583" t="s">
        <v>5294</v>
      </c>
      <c r="F75" s="3349" t="s">
        <v>5295</v>
      </c>
      <c r="G75" s="114" t="s">
        <v>5296</v>
      </c>
      <c r="H75" s="3035" t="s">
        <v>5297</v>
      </c>
      <c r="I75" s="121" t="s">
        <v>5298</v>
      </c>
      <c r="J75" s="3035" t="s">
        <v>5299</v>
      </c>
      <c r="K75" s="114" t="s">
        <v>5300</v>
      </c>
      <c r="L75" s="3035" t="s">
        <v>5301</v>
      </c>
      <c r="M75" s="121" t="s">
        <v>5302</v>
      </c>
      <c r="N75" s="3035" t="s">
        <v>5303</v>
      </c>
      <c r="O75" s="4277" t="s">
        <v>5304</v>
      </c>
      <c r="P75" s="4252" t="s">
        <v>5305</v>
      </c>
      <c r="Q75" s="4278" t="s">
        <v>5306</v>
      </c>
      <c r="R75" s="4279" t="s">
        <v>5307</v>
      </c>
    </row>
    <row r="76" spans="1:18" s="17" customFormat="1" ht="18" customHeight="1" x14ac:dyDescent="0.25">
      <c r="A76" s="103"/>
      <c r="B76" s="3008" t="s">
        <v>3661</v>
      </c>
      <c r="C76" s="123"/>
      <c r="D76" s="123"/>
      <c r="E76" s="123"/>
      <c r="F76" s="123"/>
      <c r="G76" s="123"/>
      <c r="H76" s="123"/>
      <c r="I76" s="123"/>
      <c r="J76" s="123"/>
    </row>
    <row r="77" spans="1:18" ht="22.5" customHeight="1" x14ac:dyDescent="0.3">
      <c r="A77" s="103"/>
      <c r="B77" s="8397" t="s">
        <v>3656</v>
      </c>
      <c r="C77" s="8381" t="s">
        <v>3662</v>
      </c>
      <c r="D77" s="8381"/>
      <c r="E77" s="8381"/>
      <c r="F77" s="8381"/>
      <c r="G77" s="8381" t="s">
        <v>3663</v>
      </c>
      <c r="H77" s="8381"/>
      <c r="I77" s="8381"/>
      <c r="J77" s="8381"/>
    </row>
    <row r="78" spans="1:18" x14ac:dyDescent="0.3">
      <c r="A78" s="103"/>
      <c r="B78" s="8398"/>
      <c r="C78" s="8362" t="s">
        <v>443</v>
      </c>
      <c r="D78" s="8361"/>
      <c r="E78" s="8362" t="s">
        <v>242</v>
      </c>
      <c r="F78" s="8361"/>
      <c r="G78" s="8362" t="s">
        <v>443</v>
      </c>
      <c r="H78" s="8361"/>
      <c r="I78" s="8362" t="s">
        <v>242</v>
      </c>
      <c r="J78" s="8361"/>
    </row>
    <row r="79" spans="1:18" x14ac:dyDescent="0.3">
      <c r="A79" s="103"/>
      <c r="B79" s="8399"/>
      <c r="C79" s="4134" t="s">
        <v>22</v>
      </c>
      <c r="D79" s="4133" t="s">
        <v>27</v>
      </c>
      <c r="E79" s="4132" t="s">
        <v>22</v>
      </c>
      <c r="F79" s="4130" t="s">
        <v>27</v>
      </c>
      <c r="G79" s="4134" t="s">
        <v>22</v>
      </c>
      <c r="H79" s="4130" t="s">
        <v>27</v>
      </c>
      <c r="I79" s="4134" t="s">
        <v>22</v>
      </c>
      <c r="J79" s="4133" t="s">
        <v>27</v>
      </c>
    </row>
    <row r="80" spans="1:18" x14ac:dyDescent="0.3">
      <c r="A80" s="6238"/>
      <c r="B80" s="4256" t="s">
        <v>24</v>
      </c>
      <c r="C80" s="4271">
        <f>SUM(C81:C82)</f>
        <v>0</v>
      </c>
      <c r="D80" s="4273">
        <f t="shared" ref="D80:J80" si="6">SUM(D81:D82)</f>
        <v>0</v>
      </c>
      <c r="E80" s="4271">
        <f t="shared" si="6"/>
        <v>0</v>
      </c>
      <c r="F80" s="4273">
        <f t="shared" si="6"/>
        <v>0</v>
      </c>
      <c r="G80" s="4280">
        <f t="shared" si="6"/>
        <v>0</v>
      </c>
      <c r="H80" s="4274">
        <f t="shared" si="6"/>
        <v>0</v>
      </c>
      <c r="I80" s="4280">
        <f t="shared" si="6"/>
        <v>0</v>
      </c>
      <c r="J80" s="4274">
        <f t="shared" si="6"/>
        <v>0</v>
      </c>
    </row>
    <row r="81" spans="1:11" x14ac:dyDescent="0.3">
      <c r="A81" s="6234">
        <v>30100250</v>
      </c>
      <c r="B81" s="4258" t="s">
        <v>3664</v>
      </c>
      <c r="C81" s="4144" t="s">
        <v>5292</v>
      </c>
      <c r="D81" s="3790" t="s">
        <v>5293</v>
      </c>
      <c r="E81" s="4151" t="s">
        <v>5294</v>
      </c>
      <c r="F81" s="4173" t="s">
        <v>5295</v>
      </c>
      <c r="G81" s="4155" t="s">
        <v>5296</v>
      </c>
      <c r="H81" s="4153" t="s">
        <v>5297</v>
      </c>
      <c r="I81" s="4155" t="s">
        <v>5298</v>
      </c>
      <c r="J81" s="4153" t="s">
        <v>5299</v>
      </c>
    </row>
    <row r="82" spans="1:11" x14ac:dyDescent="0.3">
      <c r="A82" s="6234">
        <v>32101704</v>
      </c>
      <c r="B82" s="584" t="s">
        <v>3665</v>
      </c>
      <c r="C82" s="3857" t="s">
        <v>5292</v>
      </c>
      <c r="D82" s="2924" t="s">
        <v>5293</v>
      </c>
      <c r="E82" s="4174" t="s">
        <v>5294</v>
      </c>
      <c r="F82" s="2924" t="s">
        <v>5295</v>
      </c>
      <c r="G82" s="4277" t="s">
        <v>5296</v>
      </c>
      <c r="H82" s="4252" t="s">
        <v>5297</v>
      </c>
      <c r="I82" s="4277" t="s">
        <v>5298</v>
      </c>
      <c r="J82" s="4252" t="s">
        <v>5299</v>
      </c>
    </row>
    <row r="83" spans="1:11" s="17" customFormat="1" ht="18" customHeight="1" x14ac:dyDescent="0.25">
      <c r="A83" s="6286"/>
      <c r="B83" s="562" t="s">
        <v>3666</v>
      </c>
    </row>
    <row r="84" spans="1:11" s="17" customFormat="1" ht="18" customHeight="1" x14ac:dyDescent="0.25">
      <c r="A84" s="6286"/>
      <c r="B84" s="123" t="s">
        <v>3667</v>
      </c>
      <c r="C84" s="562"/>
      <c r="D84" s="4281"/>
      <c r="E84" s="4281"/>
      <c r="F84" s="4281"/>
      <c r="G84" s="4281"/>
      <c r="H84" s="101"/>
      <c r="I84" s="505"/>
      <c r="J84" s="505"/>
      <c r="K84" s="505"/>
    </row>
    <row r="85" spans="1:11" x14ac:dyDescent="0.3">
      <c r="A85" s="6286"/>
      <c r="B85" s="8365" t="s">
        <v>3668</v>
      </c>
      <c r="C85" s="8352" t="s">
        <v>24</v>
      </c>
      <c r="D85" s="6419" t="s">
        <v>3669</v>
      </c>
      <c r="E85" s="6419"/>
      <c r="F85" s="6419"/>
      <c r="G85" s="6419"/>
      <c r="H85" s="6419"/>
      <c r="I85" s="8352"/>
      <c r="J85" s="8390" t="s">
        <v>3670</v>
      </c>
      <c r="K85" s="8387"/>
    </row>
    <row r="86" spans="1:11" ht="24" customHeight="1" x14ac:dyDescent="0.3">
      <c r="B86" s="8366"/>
      <c r="C86" s="8352"/>
      <c r="D86" s="8362" t="s">
        <v>443</v>
      </c>
      <c r="E86" s="8361"/>
      <c r="F86" s="8362" t="s">
        <v>242</v>
      </c>
      <c r="G86" s="8361"/>
      <c r="H86" s="6557" t="s">
        <v>3671</v>
      </c>
      <c r="I86" s="8352"/>
      <c r="J86" s="8391"/>
      <c r="K86" s="8389"/>
    </row>
    <row r="87" spans="1:11" ht="30.6" x14ac:dyDescent="0.3">
      <c r="A87" s="6286"/>
      <c r="B87" s="8367"/>
      <c r="C87" s="8387"/>
      <c r="D87" s="4132" t="s">
        <v>22</v>
      </c>
      <c r="E87" s="4130" t="s">
        <v>27</v>
      </c>
      <c r="F87" s="4132" t="s">
        <v>22</v>
      </c>
      <c r="G87" s="4130" t="s">
        <v>27</v>
      </c>
      <c r="H87" s="4126" t="s">
        <v>3672</v>
      </c>
      <c r="I87" s="4126" t="s">
        <v>3673</v>
      </c>
      <c r="J87" s="4126" t="s">
        <v>3674</v>
      </c>
      <c r="K87" s="4212" t="s">
        <v>3675</v>
      </c>
    </row>
    <row r="88" spans="1:11" x14ac:dyDescent="0.3">
      <c r="A88" s="6234">
        <v>32101705</v>
      </c>
      <c r="B88" s="4258" t="s">
        <v>216</v>
      </c>
      <c r="C88" s="4218" t="s">
        <v>5292</v>
      </c>
      <c r="D88" s="588" t="s">
        <v>5293</v>
      </c>
      <c r="E88" s="587" t="s">
        <v>5294</v>
      </c>
      <c r="F88" s="3143" t="s">
        <v>5295</v>
      </c>
      <c r="G88" s="626" t="s">
        <v>5296</v>
      </c>
      <c r="H88" s="4190" t="s">
        <v>5297</v>
      </c>
      <c r="I88" s="4190" t="s">
        <v>5298</v>
      </c>
      <c r="J88" s="4190" t="s">
        <v>5299</v>
      </c>
      <c r="K88" s="3077" t="s">
        <v>5300</v>
      </c>
    </row>
    <row r="89" spans="1:11" x14ac:dyDescent="0.3">
      <c r="A89" s="6234">
        <v>32101706</v>
      </c>
      <c r="B89" s="584" t="s">
        <v>3676</v>
      </c>
      <c r="C89" s="2724" t="s">
        <v>5292</v>
      </c>
      <c r="D89" s="4174" t="s">
        <v>5293</v>
      </c>
      <c r="E89" s="2924" t="s">
        <v>5294</v>
      </c>
      <c r="F89" s="4174" t="s">
        <v>5295</v>
      </c>
      <c r="G89" s="2924" t="s">
        <v>5296</v>
      </c>
      <c r="H89" s="4282" t="s">
        <v>5297</v>
      </c>
      <c r="I89" s="4282" t="s">
        <v>5298</v>
      </c>
      <c r="J89" s="2916" t="s">
        <v>5299</v>
      </c>
      <c r="K89" s="4283" t="s">
        <v>5300</v>
      </c>
    </row>
    <row r="90" spans="1:11" s="17" customFormat="1" ht="18" customHeight="1" x14ac:dyDescent="0.25">
      <c r="A90" s="6286"/>
      <c r="B90" s="4284" t="s">
        <v>3677</v>
      </c>
      <c r="C90" s="3650"/>
      <c r="D90" s="4285"/>
      <c r="E90" s="4285"/>
      <c r="F90" s="4285"/>
      <c r="G90" s="4286"/>
    </row>
    <row r="91" spans="1:11" ht="24.75" customHeight="1" x14ac:dyDescent="0.3">
      <c r="A91" s="6286"/>
      <c r="B91" s="8365" t="s">
        <v>3678</v>
      </c>
      <c r="C91" s="8400" t="s">
        <v>24</v>
      </c>
      <c r="D91" s="6557" t="s">
        <v>3679</v>
      </c>
      <c r="E91" s="8352"/>
      <c r="F91" s="8390" t="s">
        <v>3680</v>
      </c>
      <c r="G91" s="8387"/>
    </row>
    <row r="92" spans="1:11" x14ac:dyDescent="0.3">
      <c r="A92" s="6286"/>
      <c r="B92" s="8366"/>
      <c r="C92" s="8401"/>
      <c r="D92" s="8362" t="s">
        <v>242</v>
      </c>
      <c r="E92" s="8361"/>
      <c r="F92" s="8391"/>
      <c r="G92" s="8389"/>
    </row>
    <row r="93" spans="1:11" ht="20.399999999999999" x14ac:dyDescent="0.3">
      <c r="A93" s="6286"/>
      <c r="B93" s="8367"/>
      <c r="C93" s="8402"/>
      <c r="D93" s="4212" t="s">
        <v>22</v>
      </c>
      <c r="E93" s="4212" t="s">
        <v>27</v>
      </c>
      <c r="F93" s="4207" t="s">
        <v>3674</v>
      </c>
      <c r="G93" s="4126" t="s">
        <v>3675</v>
      </c>
    </row>
    <row r="94" spans="1:11" x14ac:dyDescent="0.3">
      <c r="A94" s="6234">
        <v>32101707</v>
      </c>
      <c r="B94" s="4258" t="s">
        <v>216</v>
      </c>
      <c r="C94" s="4218" t="s">
        <v>5292</v>
      </c>
      <c r="D94" s="588" t="s">
        <v>5293</v>
      </c>
      <c r="E94" s="587" t="s">
        <v>5294</v>
      </c>
      <c r="F94" s="4144" t="s">
        <v>5295</v>
      </c>
      <c r="G94" s="3790" t="s">
        <v>5296</v>
      </c>
    </row>
    <row r="95" spans="1:11" x14ac:dyDescent="0.3">
      <c r="A95" s="6234">
        <v>32101708</v>
      </c>
      <c r="B95" s="584" t="s">
        <v>3676</v>
      </c>
      <c r="C95" s="2724" t="s">
        <v>5292</v>
      </c>
      <c r="D95" s="4174" t="s">
        <v>5293</v>
      </c>
      <c r="E95" s="2924" t="s">
        <v>5294</v>
      </c>
      <c r="F95" s="4174" t="s">
        <v>5295</v>
      </c>
      <c r="G95" s="2924" t="s">
        <v>5296</v>
      </c>
    </row>
    <row r="96" spans="1:11" s="17" customFormat="1" ht="18" customHeight="1" x14ac:dyDescent="0.25">
      <c r="A96" s="6234"/>
      <c r="B96" s="562" t="s">
        <v>3681</v>
      </c>
      <c r="C96" s="562"/>
      <c r="D96" s="4281"/>
      <c r="E96" s="4281"/>
      <c r="F96" s="4281"/>
      <c r="G96" s="4281"/>
      <c r="H96" s="101"/>
      <c r="I96" s="505"/>
      <c r="J96" s="505"/>
    </row>
    <row r="97" spans="1:10" x14ac:dyDescent="0.3">
      <c r="A97" s="6234"/>
      <c r="B97" s="8365" t="s">
        <v>3682</v>
      </c>
      <c r="C97" s="8381" t="s">
        <v>24</v>
      </c>
      <c r="D97" s="6419" t="s">
        <v>3683</v>
      </c>
      <c r="E97" s="6419"/>
      <c r="F97" s="6419"/>
      <c r="G97" s="8352"/>
    </row>
    <row r="98" spans="1:10" x14ac:dyDescent="0.3">
      <c r="A98" s="6234"/>
      <c r="B98" s="8366"/>
      <c r="C98" s="8381"/>
      <c r="D98" s="8362" t="s">
        <v>443</v>
      </c>
      <c r="E98" s="8361"/>
      <c r="F98" s="8362" t="s">
        <v>242</v>
      </c>
      <c r="G98" s="8361"/>
    </row>
    <row r="99" spans="1:10" x14ac:dyDescent="0.3">
      <c r="A99" s="6234"/>
      <c r="B99" s="8367"/>
      <c r="C99" s="8381"/>
      <c r="D99" s="4132" t="s">
        <v>22</v>
      </c>
      <c r="E99" s="4130" t="s">
        <v>27</v>
      </c>
      <c r="F99" s="4132" t="s">
        <v>22</v>
      </c>
      <c r="G99" s="4130" t="s">
        <v>27</v>
      </c>
    </row>
    <row r="100" spans="1:10" x14ac:dyDescent="0.3">
      <c r="A100" s="6234">
        <v>32101709</v>
      </c>
      <c r="B100" s="4287" t="s">
        <v>3684</v>
      </c>
      <c r="C100" s="4288" t="s">
        <v>5292</v>
      </c>
      <c r="D100" s="4174" t="s">
        <v>5293</v>
      </c>
      <c r="E100" s="2924" t="s">
        <v>5294</v>
      </c>
      <c r="F100" s="121" t="s">
        <v>5295</v>
      </c>
      <c r="G100" s="3035" t="s">
        <v>5296</v>
      </c>
    </row>
    <row r="101" spans="1:10" s="17" customFormat="1" ht="18" customHeight="1" x14ac:dyDescent="0.25">
      <c r="A101" s="6286"/>
      <c r="B101" s="562" t="s">
        <v>3685</v>
      </c>
      <c r="C101" s="562"/>
      <c r="D101" s="4281"/>
      <c r="E101" s="4281"/>
      <c r="F101" s="4281"/>
      <c r="G101" s="4281"/>
      <c r="H101" s="101"/>
      <c r="I101" s="505"/>
    </row>
    <row r="102" spans="1:10" x14ac:dyDescent="0.3">
      <c r="A102" s="6286"/>
      <c r="B102" s="8365" t="s">
        <v>3682</v>
      </c>
      <c r="C102" s="7933" t="s">
        <v>24</v>
      </c>
      <c r="D102" s="6419" t="s">
        <v>3686</v>
      </c>
      <c r="E102" s="6419"/>
      <c r="F102" s="6419"/>
      <c r="G102" s="8352"/>
    </row>
    <row r="103" spans="1:10" x14ac:dyDescent="0.3">
      <c r="A103" s="6286"/>
      <c r="B103" s="8366"/>
      <c r="C103" s="7108"/>
      <c r="D103" s="8362" t="s">
        <v>443</v>
      </c>
      <c r="E103" s="8361"/>
      <c r="F103" s="8362" t="s">
        <v>242</v>
      </c>
      <c r="G103" s="8361"/>
    </row>
    <row r="104" spans="1:10" x14ac:dyDescent="0.3">
      <c r="A104" s="6286"/>
      <c r="B104" s="8367"/>
      <c r="C104" s="6362"/>
      <c r="D104" s="4132" t="s">
        <v>22</v>
      </c>
      <c r="E104" s="4130" t="s">
        <v>27</v>
      </c>
      <c r="F104" s="4132" t="s">
        <v>22</v>
      </c>
      <c r="G104" s="4130" t="s">
        <v>27</v>
      </c>
    </row>
    <row r="105" spans="1:10" x14ac:dyDescent="0.3">
      <c r="A105" s="6234">
        <v>32101710</v>
      </c>
      <c r="B105" s="4287" t="s">
        <v>3684</v>
      </c>
      <c r="C105" s="4288" t="s">
        <v>5292</v>
      </c>
      <c r="D105" s="4289" t="s">
        <v>5293</v>
      </c>
      <c r="E105" s="4290" t="s">
        <v>5294</v>
      </c>
      <c r="F105" s="4289" t="s">
        <v>5295</v>
      </c>
      <c r="G105" s="4290" t="s">
        <v>5296</v>
      </c>
    </row>
    <row r="106" spans="1:10" s="17" customFormat="1" ht="18" customHeight="1" x14ac:dyDescent="0.25">
      <c r="A106" s="6286"/>
      <c r="B106" s="3008" t="s">
        <v>3687</v>
      </c>
      <c r="C106" s="4281"/>
      <c r="D106" s="4281"/>
      <c r="E106" s="4281"/>
      <c r="F106" s="4281"/>
      <c r="G106" s="101"/>
      <c r="H106" s="101"/>
      <c r="I106" s="101"/>
      <c r="J106" s="101"/>
    </row>
    <row r="107" spans="1:10" ht="21.75" customHeight="1" x14ac:dyDescent="0.3">
      <c r="A107" s="6286"/>
      <c r="B107" s="8365" t="s">
        <v>3688</v>
      </c>
      <c r="C107" s="8381" t="s">
        <v>3689</v>
      </c>
      <c r="D107" s="8381"/>
      <c r="E107" s="8381"/>
      <c r="F107" s="8381"/>
      <c r="G107" s="8381" t="s">
        <v>3690</v>
      </c>
      <c r="H107" s="8381"/>
      <c r="I107" s="8381"/>
      <c r="J107" s="8381"/>
    </row>
    <row r="108" spans="1:10" x14ac:dyDescent="0.3">
      <c r="A108" s="6286"/>
      <c r="B108" s="8366"/>
      <c r="C108" s="8362" t="s">
        <v>443</v>
      </c>
      <c r="D108" s="8361"/>
      <c r="E108" s="8362" t="s">
        <v>242</v>
      </c>
      <c r="F108" s="8361"/>
      <c r="G108" s="8362" t="s">
        <v>443</v>
      </c>
      <c r="H108" s="8361"/>
      <c r="I108" s="8362" t="s">
        <v>242</v>
      </c>
      <c r="J108" s="8361"/>
    </row>
    <row r="109" spans="1:10" x14ac:dyDescent="0.3">
      <c r="A109" s="6286"/>
      <c r="B109" s="8367"/>
      <c r="C109" s="4139" t="s">
        <v>22</v>
      </c>
      <c r="D109" s="4139" t="s">
        <v>27</v>
      </c>
      <c r="E109" s="4139" t="s">
        <v>22</v>
      </c>
      <c r="F109" s="4139" t="s">
        <v>27</v>
      </c>
      <c r="G109" s="4139" t="s">
        <v>22</v>
      </c>
      <c r="H109" s="4139" t="s">
        <v>27</v>
      </c>
      <c r="I109" s="4139" t="s">
        <v>22</v>
      </c>
      <c r="J109" s="4139" t="s">
        <v>27</v>
      </c>
    </row>
    <row r="110" spans="1:10" x14ac:dyDescent="0.3">
      <c r="A110" s="6299"/>
      <c r="B110" s="4256" t="s">
        <v>24</v>
      </c>
      <c r="C110" s="4244">
        <f>SUM(C111:C115)</f>
        <v>0</v>
      </c>
      <c r="D110" s="4244">
        <f>SUM(D111:D115)</f>
        <v>0</v>
      </c>
      <c r="E110" s="4244">
        <f t="shared" ref="E110:J110" si="7">SUM(E111:E115)</f>
        <v>0</v>
      </c>
      <c r="F110" s="4244">
        <f t="shared" si="7"/>
        <v>0</v>
      </c>
      <c r="G110" s="4244">
        <f t="shared" si="7"/>
        <v>0</v>
      </c>
      <c r="H110" s="4244">
        <f t="shared" si="7"/>
        <v>0</v>
      </c>
      <c r="I110" s="4244">
        <f t="shared" si="7"/>
        <v>0</v>
      </c>
      <c r="J110" s="4244">
        <f t="shared" si="7"/>
        <v>0</v>
      </c>
    </row>
    <row r="111" spans="1:10" x14ac:dyDescent="0.3">
      <c r="A111" s="6234">
        <v>32101711</v>
      </c>
      <c r="B111" s="4258" t="s">
        <v>3691</v>
      </c>
      <c r="C111" s="4190" t="s">
        <v>5292</v>
      </c>
      <c r="D111" s="4190" t="s">
        <v>5293</v>
      </c>
      <c r="E111" s="4190" t="s">
        <v>5294</v>
      </c>
      <c r="F111" s="4190" t="s">
        <v>5295</v>
      </c>
      <c r="G111" s="4291" t="s">
        <v>5296</v>
      </c>
      <c r="H111" s="4291" t="s">
        <v>5297</v>
      </c>
      <c r="I111" s="4291" t="s">
        <v>5298</v>
      </c>
      <c r="J111" s="4291" t="s">
        <v>5299</v>
      </c>
    </row>
    <row r="112" spans="1:10" x14ac:dyDescent="0.3">
      <c r="A112" s="6234">
        <v>32101712</v>
      </c>
      <c r="B112" s="3508" t="s">
        <v>3692</v>
      </c>
      <c r="C112" s="3145" t="s">
        <v>5292</v>
      </c>
      <c r="D112" s="3145" t="s">
        <v>5293</v>
      </c>
      <c r="E112" s="3145" t="s">
        <v>5294</v>
      </c>
      <c r="F112" s="3145" t="s">
        <v>5295</v>
      </c>
      <c r="G112" s="4292" t="s">
        <v>5296</v>
      </c>
      <c r="H112" s="4292" t="s">
        <v>5297</v>
      </c>
      <c r="I112" s="4292" t="s">
        <v>5298</v>
      </c>
      <c r="J112" s="4292" t="s">
        <v>5299</v>
      </c>
    </row>
    <row r="113" spans="1:10" x14ac:dyDescent="0.3">
      <c r="A113" s="6234">
        <v>32101713</v>
      </c>
      <c r="B113" s="3508" t="s">
        <v>3693</v>
      </c>
      <c r="C113" s="3145" t="s">
        <v>5292</v>
      </c>
      <c r="D113" s="3145" t="s">
        <v>5293</v>
      </c>
      <c r="E113" s="3145" t="s">
        <v>5294</v>
      </c>
      <c r="F113" s="3145" t="s">
        <v>5295</v>
      </c>
      <c r="G113" s="4292" t="s">
        <v>5296</v>
      </c>
      <c r="H113" s="4292" t="s">
        <v>5297</v>
      </c>
      <c r="I113" s="4292" t="s">
        <v>5298</v>
      </c>
      <c r="J113" s="4292" t="s">
        <v>5299</v>
      </c>
    </row>
    <row r="114" spans="1:10" x14ac:dyDescent="0.3">
      <c r="A114" s="6234">
        <v>32101714</v>
      </c>
      <c r="B114" s="3508" t="s">
        <v>3694</v>
      </c>
      <c r="C114" s="3145" t="s">
        <v>5292</v>
      </c>
      <c r="D114" s="3145" t="s">
        <v>5293</v>
      </c>
      <c r="E114" s="3145" t="s">
        <v>5294</v>
      </c>
      <c r="F114" s="3145" t="s">
        <v>5295</v>
      </c>
      <c r="G114" s="4292" t="s">
        <v>5296</v>
      </c>
      <c r="H114" s="4292" t="s">
        <v>5297</v>
      </c>
      <c r="I114" s="4292" t="s">
        <v>5298</v>
      </c>
      <c r="J114" s="4292" t="s">
        <v>5299</v>
      </c>
    </row>
    <row r="115" spans="1:10" x14ac:dyDescent="0.3">
      <c r="A115" s="6234">
        <v>32101715</v>
      </c>
      <c r="B115" s="584" t="s">
        <v>28</v>
      </c>
      <c r="C115" s="153" t="s">
        <v>5292</v>
      </c>
      <c r="D115" s="153" t="s">
        <v>5293</v>
      </c>
      <c r="E115" s="153" t="s">
        <v>5294</v>
      </c>
      <c r="F115" s="153" t="s">
        <v>5295</v>
      </c>
      <c r="G115" s="4293" t="s">
        <v>5296</v>
      </c>
      <c r="H115" s="4293" t="s">
        <v>5297</v>
      </c>
      <c r="I115" s="4293" t="s">
        <v>5298</v>
      </c>
      <c r="J115" s="4293" t="s">
        <v>5299</v>
      </c>
    </row>
    <row r="116" spans="1:10" s="17" customFormat="1" ht="18" customHeight="1" x14ac:dyDescent="0.25">
      <c r="A116" s="103"/>
      <c r="B116" s="3008" t="s">
        <v>3695</v>
      </c>
      <c r="C116" s="4281"/>
      <c r="D116" s="4281"/>
      <c r="E116" s="4281"/>
      <c r="F116" s="4281"/>
      <c r="G116" s="101"/>
      <c r="H116" s="101"/>
    </row>
    <row r="117" spans="1:10" x14ac:dyDescent="0.3">
      <c r="A117" s="103"/>
      <c r="B117" s="8365" t="s">
        <v>3696</v>
      </c>
      <c r="C117" s="8364" t="s">
        <v>47</v>
      </c>
      <c r="D117" s="8352" t="s">
        <v>3697</v>
      </c>
      <c r="E117" s="8381"/>
      <c r="F117" s="8381"/>
      <c r="G117" s="8381"/>
      <c r="H117" s="8381"/>
    </row>
    <row r="118" spans="1:10" x14ac:dyDescent="0.3">
      <c r="A118" s="103"/>
      <c r="B118" s="8366"/>
      <c r="C118" s="7097"/>
      <c r="D118" s="8362" t="s">
        <v>443</v>
      </c>
      <c r="E118" s="8361"/>
      <c r="F118" s="8362" t="s">
        <v>242</v>
      </c>
      <c r="G118" s="8361"/>
      <c r="H118" s="7933" t="s">
        <v>3698</v>
      </c>
    </row>
    <row r="119" spans="1:10" x14ac:dyDescent="0.3">
      <c r="A119" s="103"/>
      <c r="B119" s="8367"/>
      <c r="C119" s="6339"/>
      <c r="D119" s="4132" t="s">
        <v>22</v>
      </c>
      <c r="E119" s="4130" t="s">
        <v>27</v>
      </c>
      <c r="F119" s="4132" t="s">
        <v>22</v>
      </c>
      <c r="G119" s="4130" t="s">
        <v>27</v>
      </c>
      <c r="H119" s="6362"/>
    </row>
    <row r="120" spans="1:10" x14ac:dyDescent="0.3">
      <c r="A120" s="6234">
        <v>32101716</v>
      </c>
      <c r="B120" s="4258" t="s">
        <v>3699</v>
      </c>
      <c r="C120" s="4294" t="s">
        <v>5292</v>
      </c>
      <c r="D120" s="4144" t="s">
        <v>5293</v>
      </c>
      <c r="E120" s="3790" t="s">
        <v>5294</v>
      </c>
      <c r="F120" s="4144" t="s">
        <v>5295</v>
      </c>
      <c r="G120" s="3790" t="s">
        <v>5296</v>
      </c>
      <c r="H120" s="4190" t="s">
        <v>5297</v>
      </c>
    </row>
    <row r="121" spans="1:10" x14ac:dyDescent="0.3">
      <c r="A121" s="6234">
        <v>32101718</v>
      </c>
      <c r="B121" s="3508" t="s">
        <v>3700</v>
      </c>
      <c r="C121" s="3154" t="s">
        <v>5292</v>
      </c>
      <c r="D121" s="616" t="s">
        <v>5293</v>
      </c>
      <c r="E121" s="626" t="s">
        <v>5294</v>
      </c>
      <c r="F121" s="616" t="s">
        <v>5295</v>
      </c>
      <c r="G121" s="626" t="s">
        <v>5296</v>
      </c>
      <c r="H121" s="3145" t="s">
        <v>5297</v>
      </c>
    </row>
    <row r="122" spans="1:10" x14ac:dyDescent="0.3">
      <c r="A122" s="6234">
        <v>30100310</v>
      </c>
      <c r="B122" s="584" t="s">
        <v>3701</v>
      </c>
      <c r="C122" s="590" t="s">
        <v>5292</v>
      </c>
      <c r="D122" s="114" t="s">
        <v>5293</v>
      </c>
      <c r="E122" s="3035" t="s">
        <v>5294</v>
      </c>
      <c r="F122" s="114" t="s">
        <v>5295</v>
      </c>
      <c r="G122" s="3035" t="s">
        <v>5296</v>
      </c>
      <c r="H122" s="153" t="s">
        <v>5297</v>
      </c>
    </row>
    <row r="150" spans="2:3" hidden="1" x14ac:dyDescent="0.3">
      <c r="B150" s="4463" t="e">
        <f>SUM(C15:F24,O15:R24,C29:F37,O29:R37,C42:F46,O42:Z46,C51:F56,O51:R56,C62:F66,O62:R66,C71:F75,O71:R75,C80:J80,C88:C89,C94:C95,C100,C110:J110,C120:C122)</f>
        <v>#VALUE!</v>
      </c>
      <c r="C150" s="4437"/>
    </row>
  </sheetData>
  <mergeCells count="129">
    <mergeCell ref="B97:B99"/>
    <mergeCell ref="C97:C99"/>
    <mergeCell ref="D97:G97"/>
    <mergeCell ref="D98:E98"/>
    <mergeCell ref="F98:G98"/>
    <mergeCell ref="G108:H108"/>
    <mergeCell ref="I108:J108"/>
    <mergeCell ref="B117:B119"/>
    <mergeCell ref="C117:C119"/>
    <mergeCell ref="D117:H117"/>
    <mergeCell ref="D118:E118"/>
    <mergeCell ref="F118:G118"/>
    <mergeCell ref="H118:H119"/>
    <mergeCell ref="B102:B104"/>
    <mergeCell ref="C102:C104"/>
    <mergeCell ref="D102:G102"/>
    <mergeCell ref="D103:E103"/>
    <mergeCell ref="F103:G103"/>
    <mergeCell ref="B107:B109"/>
    <mergeCell ref="C107:F107"/>
    <mergeCell ref="G107:J107"/>
    <mergeCell ref="C108:D108"/>
    <mergeCell ref="E108:F108"/>
    <mergeCell ref="G69:H69"/>
    <mergeCell ref="I69:J69"/>
    <mergeCell ref="K69:L69"/>
    <mergeCell ref="M69:N69"/>
    <mergeCell ref="O69:P69"/>
    <mergeCell ref="B91:B93"/>
    <mergeCell ref="C91:C93"/>
    <mergeCell ref="D91:E91"/>
    <mergeCell ref="F91:G92"/>
    <mergeCell ref="D92:E92"/>
    <mergeCell ref="O60:P60"/>
    <mergeCell ref="Q60:R60"/>
    <mergeCell ref="B68:B70"/>
    <mergeCell ref="C68:F68"/>
    <mergeCell ref="G68:J68"/>
    <mergeCell ref="K68:N68"/>
    <mergeCell ref="O68:R68"/>
    <mergeCell ref="C69:D69"/>
    <mergeCell ref="B85:B87"/>
    <mergeCell ref="C85:C87"/>
    <mergeCell ref="D85:I85"/>
    <mergeCell ref="J85:K86"/>
    <mergeCell ref="D86:E86"/>
    <mergeCell ref="F86:G86"/>
    <mergeCell ref="H86:I86"/>
    <mergeCell ref="Q69:R69"/>
    <mergeCell ref="B77:B79"/>
    <mergeCell ref="C77:F77"/>
    <mergeCell ref="G77:J77"/>
    <mergeCell ref="C78:D78"/>
    <mergeCell ref="E78:F78"/>
    <mergeCell ref="G78:H78"/>
    <mergeCell ref="I78:J78"/>
    <mergeCell ref="E69:F69"/>
    <mergeCell ref="B48:B50"/>
    <mergeCell ref="C48:F48"/>
    <mergeCell ref="G48:J48"/>
    <mergeCell ref="K48:N48"/>
    <mergeCell ref="O48:R48"/>
    <mergeCell ref="C49:D49"/>
    <mergeCell ref="Q49:R49"/>
    <mergeCell ref="B59:B61"/>
    <mergeCell ref="C59:F59"/>
    <mergeCell ref="G59:J59"/>
    <mergeCell ref="K59:N59"/>
    <mergeCell ref="O59:R59"/>
    <mergeCell ref="C60:D60"/>
    <mergeCell ref="E60:F60"/>
    <mergeCell ref="G60:H60"/>
    <mergeCell ref="I60:J60"/>
    <mergeCell ref="E49:F49"/>
    <mergeCell ref="G49:H49"/>
    <mergeCell ref="I49:J49"/>
    <mergeCell ref="K49:L49"/>
    <mergeCell ref="M49:N49"/>
    <mergeCell ref="O49:P49"/>
    <mergeCell ref="K60:L60"/>
    <mergeCell ref="M60:N60"/>
    <mergeCell ref="S39:V39"/>
    <mergeCell ref="W39:Z39"/>
    <mergeCell ref="C40:D40"/>
    <mergeCell ref="E40:F40"/>
    <mergeCell ref="G40:H40"/>
    <mergeCell ref="I40:J40"/>
    <mergeCell ref="K40:L40"/>
    <mergeCell ref="M40:N40"/>
    <mergeCell ref="O40:P40"/>
    <mergeCell ref="Q40:R40"/>
    <mergeCell ref="S40:T40"/>
    <mergeCell ref="U40:V40"/>
    <mergeCell ref="W40:X40"/>
    <mergeCell ref="Y40:Z40"/>
    <mergeCell ref="B39:B41"/>
    <mergeCell ref="C39:F39"/>
    <mergeCell ref="G39:J39"/>
    <mergeCell ref="K39:N39"/>
    <mergeCell ref="O39:R39"/>
    <mergeCell ref="E27:F27"/>
    <mergeCell ref="G27:H27"/>
    <mergeCell ref="I27:J27"/>
    <mergeCell ref="K27:L27"/>
    <mergeCell ref="M27:N27"/>
    <mergeCell ref="O27:P27"/>
    <mergeCell ref="B7:R7"/>
    <mergeCell ref="B6:R6"/>
    <mergeCell ref="M13:N13"/>
    <mergeCell ref="O13:P13"/>
    <mergeCell ref="Q13:R13"/>
    <mergeCell ref="B25:G25"/>
    <mergeCell ref="B26:B28"/>
    <mergeCell ref="C26:F26"/>
    <mergeCell ref="G26:J26"/>
    <mergeCell ref="K26:N26"/>
    <mergeCell ref="O26:R26"/>
    <mergeCell ref="C27:D27"/>
    <mergeCell ref="B12:B14"/>
    <mergeCell ref="C12:F12"/>
    <mergeCell ref="G12:J12"/>
    <mergeCell ref="K12:N12"/>
    <mergeCell ref="O12:R12"/>
    <mergeCell ref="C13:D13"/>
    <mergeCell ref="E13:F13"/>
    <mergeCell ref="G13:H13"/>
    <mergeCell ref="I13:J13"/>
    <mergeCell ref="K13:L13"/>
    <mergeCell ref="Q27:R27"/>
  </mergeCells>
  <dataValidations count="2">
    <dataValidation type="whole" allowBlank="1" showInputMessage="1" showErrorMessage="1" errorTitle="Error de ingreso" error="Debe ingresar sólo números." sqref="E16:F24 C30:F37 C43:F46 C52:F57 C63:F66 C72:F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G16:R24 G30:R37 G43:Z46 G52:R56 G63:R66 G72:R75 C81:J82 D88:K89 D94:G95 D100:G100 D105:G105 C111:J115 D120:H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N130"/>
  <sheetViews>
    <sheetView showGridLines="0" workbookViewId="0"/>
  </sheetViews>
  <sheetFormatPr baseColWidth="10" defaultRowHeight="14.4" x14ac:dyDescent="0.3"/>
  <cols>
    <col min="1" max="1" width="15.6640625" customWidth="1"/>
    <col min="2" max="2" width="41.88671875" customWidth="1"/>
    <col min="3" max="3" width="17.44140625" customWidth="1"/>
    <col min="4" max="4" width="14.109375" customWidth="1"/>
    <col min="7" max="12" width="11.109375" customWidth="1"/>
    <col min="13" max="13" width="12.44140625" customWidth="1"/>
    <col min="14" max="14" width="12.33203125" customWidth="1"/>
    <col min="15" max="15" width="12.88671875" customWidth="1"/>
    <col min="16" max="16" width="12.109375" customWidth="1"/>
    <col min="17" max="17" width="12" customWidth="1"/>
    <col min="18" max="18" width="13.6640625" customWidth="1"/>
    <col min="19" max="19" width="12.44140625" customWidth="1"/>
    <col min="20" max="20" width="11.109375" customWidth="1"/>
    <col min="21" max="22" width="12.44140625" customWidth="1"/>
    <col min="23" max="23" width="11" customWidth="1"/>
    <col min="24" max="24" width="10.6640625" customWidth="1"/>
    <col min="26" max="26" width="12.33203125" customWidth="1"/>
    <col min="27" max="27" width="13.109375" customWidth="1"/>
    <col min="28" max="28" width="10.33203125" customWidth="1"/>
    <col min="29" max="29" width="12.109375" customWidth="1"/>
    <col min="30" max="30" width="12.44140625" customWidth="1"/>
    <col min="31" max="31" width="12" customWidth="1"/>
    <col min="32" max="32" width="12.6640625" customWidth="1"/>
    <col min="33" max="33" width="11" customWidth="1"/>
    <col min="34" max="35" width="11.6640625" customWidth="1"/>
    <col min="36" max="36" width="10.44140625" customWidth="1"/>
    <col min="37" max="37" width="11.88671875" customWidth="1"/>
    <col min="39" max="39" width="10.88671875" customWidth="1"/>
    <col min="41" max="41" width="11.6640625" customWidth="1"/>
    <col min="45" max="45" width="13.5546875" customWidth="1"/>
    <col min="46" max="46" width="14.44140625" customWidth="1"/>
    <col min="80" max="80" width="11.44140625" customWidth="1"/>
    <col min="81" max="86" width="11.44140625" style="1723" hidden="1" customWidth="1"/>
    <col min="87" max="87" width="11.44140625" hidden="1" customWidth="1"/>
    <col min="88" max="90" width="11.44140625" style="1725" hidden="1" customWidth="1"/>
    <col min="91" max="92" width="11.44140625" hidden="1" customWidth="1"/>
  </cols>
  <sheetData>
    <row r="1" spans="1:92" x14ac:dyDescent="0.3">
      <c r="B1" s="774" t="s">
        <v>3879</v>
      </c>
      <c r="CC1"/>
      <c r="CD1"/>
      <c r="CE1"/>
      <c r="CF1"/>
      <c r="CG1"/>
      <c r="CH1"/>
      <c r="CJ1"/>
      <c r="CK1"/>
      <c r="CL1"/>
    </row>
    <row r="2" spans="1:92" x14ac:dyDescent="0.3">
      <c r="B2" s="774" t="str">
        <f>CONCATENATE("COMUNA: ",NOMBRE!B2," - ","( ",NOMBRE!C2,NOMBRE!D2,NOMBRE!E2,NOMBRE!F2,NOMBRE!G2," )")</f>
        <v>COMUNA:  - (  )</v>
      </c>
      <c r="CC2"/>
      <c r="CD2"/>
      <c r="CE2"/>
      <c r="CF2"/>
      <c r="CG2"/>
      <c r="CH2"/>
      <c r="CJ2"/>
      <c r="CK2"/>
      <c r="CL2"/>
    </row>
    <row r="3" spans="1:92" x14ac:dyDescent="0.3">
      <c r="B3" s="774" t="str">
        <f>CONCATENATE("ESTABLECIMIENTO/ESTRATEGIA: ",NOMBRE!B3," - ","( ",NOMBRE!C3,NOMBRE!D3,NOMBRE!E3,NOMBRE!F3,NOMBRE!G3,NOMBRE!H3," )")</f>
        <v>ESTABLECIMIENTO/ESTRATEGIA:  - (  )</v>
      </c>
      <c r="CC3"/>
      <c r="CD3"/>
      <c r="CE3"/>
      <c r="CF3"/>
      <c r="CG3"/>
      <c r="CH3"/>
      <c r="CJ3"/>
      <c r="CK3"/>
      <c r="CL3"/>
    </row>
    <row r="4" spans="1:92" x14ac:dyDescent="0.3">
      <c r="B4" s="774" t="str">
        <f>CONCATENATE("MES: ",NOMBRE!B6," - ","( ",NOMBRE!C6,NOMBRE!D6," )")</f>
        <v>MES:  - (  )</v>
      </c>
      <c r="CC4"/>
      <c r="CD4"/>
      <c r="CE4"/>
      <c r="CF4"/>
      <c r="CG4"/>
      <c r="CH4"/>
      <c r="CJ4"/>
      <c r="CK4"/>
      <c r="CL4"/>
    </row>
    <row r="5" spans="1:92" x14ac:dyDescent="0.3">
      <c r="B5" s="774" t="str">
        <f>CONCATENATE("AÑO: ",NOMBRE!B7)</f>
        <v>AÑO: 2024</v>
      </c>
      <c r="CC5"/>
      <c r="CD5"/>
      <c r="CE5"/>
      <c r="CF5"/>
      <c r="CG5"/>
      <c r="CH5"/>
      <c r="CJ5"/>
      <c r="CK5"/>
      <c r="CL5"/>
    </row>
    <row r="6" spans="1:92" ht="18" customHeight="1" x14ac:dyDescent="0.3">
      <c r="B6" s="6396" t="s">
        <v>1226</v>
      </c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6396"/>
      <c r="S6" s="6396"/>
      <c r="T6" s="6396"/>
      <c r="U6" s="6396"/>
      <c r="CC6"/>
      <c r="CD6"/>
      <c r="CE6"/>
      <c r="CF6"/>
      <c r="CG6"/>
      <c r="CH6"/>
      <c r="CJ6"/>
      <c r="CK6"/>
      <c r="CL6"/>
    </row>
    <row r="7" spans="1:92" x14ac:dyDescent="0.3">
      <c r="CC7"/>
      <c r="CD7"/>
      <c r="CE7"/>
      <c r="CF7"/>
      <c r="CG7"/>
      <c r="CH7"/>
      <c r="CJ7"/>
      <c r="CK7"/>
      <c r="CL7"/>
    </row>
    <row r="8" spans="1:92" s="1116" customFormat="1" ht="18" customHeight="1" x14ac:dyDescent="0.2">
      <c r="B8" s="8441" t="s">
        <v>1227</v>
      </c>
      <c r="C8" s="8441"/>
      <c r="D8" s="8441"/>
      <c r="E8" s="8441"/>
      <c r="F8" s="8441"/>
      <c r="G8" s="8441"/>
      <c r="H8" s="8441"/>
      <c r="I8" s="8441"/>
      <c r="J8" s="8441"/>
      <c r="K8" s="8441"/>
      <c r="L8" s="1459"/>
    </row>
    <row r="9" spans="1:92" ht="20.100000000000001" customHeight="1" x14ac:dyDescent="0.3">
      <c r="A9" s="6236"/>
      <c r="B9" s="7962" t="s">
        <v>1228</v>
      </c>
      <c r="C9" s="8403"/>
      <c r="D9" s="7962" t="s">
        <v>24</v>
      </c>
      <c r="E9" s="7962"/>
      <c r="F9" s="8403"/>
      <c r="G9" s="8413" t="s">
        <v>30</v>
      </c>
      <c r="H9" s="8414"/>
      <c r="I9" s="8414"/>
      <c r="J9" s="8414"/>
      <c r="K9" s="8414"/>
      <c r="L9" s="8414"/>
      <c r="M9" s="8414"/>
      <c r="N9" s="8414"/>
      <c r="O9" s="8414"/>
      <c r="P9" s="8414"/>
      <c r="Q9" s="8414"/>
      <c r="R9" s="8414"/>
      <c r="S9" s="8414"/>
      <c r="T9" s="8414"/>
      <c r="U9" s="8414"/>
      <c r="V9" s="8414"/>
      <c r="W9" s="8414"/>
      <c r="X9" s="8414"/>
      <c r="Y9" s="8414"/>
      <c r="Z9" s="8414"/>
      <c r="AA9" s="8414"/>
      <c r="AB9" s="8414"/>
      <c r="AC9" s="8414"/>
      <c r="AD9" s="8414"/>
      <c r="AE9" s="8414"/>
      <c r="AF9" s="8414"/>
      <c r="AG9" s="8414"/>
      <c r="AH9" s="8414"/>
      <c r="AI9" s="8414"/>
      <c r="AJ9" s="8414"/>
      <c r="AK9" s="8414"/>
      <c r="AL9" s="8414"/>
      <c r="AM9" s="8414"/>
      <c r="AN9" s="8414"/>
      <c r="AO9" s="8428" t="s">
        <v>2230</v>
      </c>
      <c r="AP9" s="8435" t="s">
        <v>67</v>
      </c>
      <c r="AQ9" s="8435" t="s">
        <v>2</v>
      </c>
      <c r="AR9" s="8435" t="s">
        <v>3</v>
      </c>
      <c r="AS9" s="8438" t="s">
        <v>3927</v>
      </c>
      <c r="AT9" s="8428" t="s">
        <v>2231</v>
      </c>
      <c r="AU9" s="8438" t="s">
        <v>243</v>
      </c>
      <c r="AV9" s="8428" t="s">
        <v>1122</v>
      </c>
      <c r="AW9" s="8431" t="s">
        <v>2232</v>
      </c>
      <c r="AX9" s="8431" t="s">
        <v>1301</v>
      </c>
      <c r="CC9"/>
      <c r="CD9"/>
      <c r="CE9"/>
      <c r="CF9"/>
      <c r="CG9"/>
      <c r="CH9"/>
      <c r="CJ9"/>
      <c r="CK9"/>
      <c r="CL9"/>
    </row>
    <row r="10" spans="1:92" ht="18" customHeight="1" x14ac:dyDescent="0.3">
      <c r="A10" s="6236"/>
      <c r="B10" s="7629"/>
      <c r="C10" s="7630"/>
      <c r="D10" s="8442"/>
      <c r="E10" s="8442"/>
      <c r="F10" s="8404"/>
      <c r="G10" s="8413" t="s">
        <v>1229</v>
      </c>
      <c r="H10" s="8416"/>
      <c r="I10" s="8414" t="s">
        <v>1230</v>
      </c>
      <c r="J10" s="8416"/>
      <c r="K10" s="8414" t="s">
        <v>1231</v>
      </c>
      <c r="L10" s="8416"/>
      <c r="M10" s="8413" t="s">
        <v>4</v>
      </c>
      <c r="N10" s="8416"/>
      <c r="O10" s="8434" t="s">
        <v>5</v>
      </c>
      <c r="P10" s="8093"/>
      <c r="Q10" s="8434" t="s">
        <v>6</v>
      </c>
      <c r="R10" s="8093"/>
      <c r="S10" s="8434" t="s">
        <v>7</v>
      </c>
      <c r="T10" s="8093"/>
      <c r="U10" s="8434" t="s">
        <v>8</v>
      </c>
      <c r="V10" s="8093"/>
      <c r="W10" s="8434" t="s">
        <v>9</v>
      </c>
      <c r="X10" s="8093"/>
      <c r="Y10" s="8434" t="s">
        <v>10</v>
      </c>
      <c r="Z10" s="8093"/>
      <c r="AA10" s="8434" t="s">
        <v>11</v>
      </c>
      <c r="AB10" s="8093"/>
      <c r="AC10" s="8434" t="s">
        <v>18</v>
      </c>
      <c r="AD10" s="8093"/>
      <c r="AE10" s="8434" t="s">
        <v>19</v>
      </c>
      <c r="AF10" s="8093"/>
      <c r="AG10" s="8434" t="s">
        <v>20</v>
      </c>
      <c r="AH10" s="8093"/>
      <c r="AI10" s="8434" t="s">
        <v>70</v>
      </c>
      <c r="AJ10" s="8093"/>
      <c r="AK10" s="8434" t="s">
        <v>71</v>
      </c>
      <c r="AL10" s="8093"/>
      <c r="AM10" s="8434" t="s">
        <v>72</v>
      </c>
      <c r="AN10" s="8443"/>
      <c r="AO10" s="8429"/>
      <c r="AP10" s="8436"/>
      <c r="AQ10" s="8436"/>
      <c r="AR10" s="8436"/>
      <c r="AS10" s="8439"/>
      <c r="AT10" s="8429"/>
      <c r="AU10" s="8439"/>
      <c r="AV10" s="8429"/>
      <c r="AW10" s="8432"/>
      <c r="AX10" s="8432"/>
      <c r="CC10"/>
      <c r="CD10"/>
      <c r="CE10"/>
      <c r="CF10"/>
      <c r="CG10"/>
      <c r="CH10"/>
      <c r="CJ10"/>
      <c r="CK10"/>
      <c r="CL10"/>
    </row>
    <row r="11" spans="1:92" ht="18" customHeight="1" x14ac:dyDescent="0.3">
      <c r="A11" s="6236"/>
      <c r="B11" s="8442"/>
      <c r="C11" s="8404"/>
      <c r="D11" s="1460" t="s">
        <v>26</v>
      </c>
      <c r="E11" s="1461" t="s">
        <v>22</v>
      </c>
      <c r="F11" s="1462" t="s">
        <v>27</v>
      </c>
      <c r="G11" s="1463" t="s">
        <v>22</v>
      </c>
      <c r="H11" s="1464" t="s">
        <v>27</v>
      </c>
      <c r="I11" s="1465" t="s">
        <v>22</v>
      </c>
      <c r="J11" s="1464" t="s">
        <v>27</v>
      </c>
      <c r="K11" s="1465" t="s">
        <v>22</v>
      </c>
      <c r="L11" s="1464" t="s">
        <v>27</v>
      </c>
      <c r="M11" s="1463" t="s">
        <v>22</v>
      </c>
      <c r="N11" s="1464" t="s">
        <v>27</v>
      </c>
      <c r="O11" s="1463" t="s">
        <v>22</v>
      </c>
      <c r="P11" s="1464" t="s">
        <v>27</v>
      </c>
      <c r="Q11" s="1463" t="s">
        <v>22</v>
      </c>
      <c r="R11" s="1464" t="s">
        <v>27</v>
      </c>
      <c r="S11" s="1463" t="s">
        <v>22</v>
      </c>
      <c r="T11" s="1464" t="s">
        <v>27</v>
      </c>
      <c r="U11" s="1463" t="s">
        <v>22</v>
      </c>
      <c r="V11" s="1464" t="s">
        <v>27</v>
      </c>
      <c r="W11" s="1463" t="s">
        <v>22</v>
      </c>
      <c r="X11" s="1464" t="s">
        <v>27</v>
      </c>
      <c r="Y11" s="1463" t="s">
        <v>22</v>
      </c>
      <c r="Z11" s="1464" t="s">
        <v>27</v>
      </c>
      <c r="AA11" s="1463" t="s">
        <v>22</v>
      </c>
      <c r="AB11" s="1464" t="s">
        <v>27</v>
      </c>
      <c r="AC11" s="1463" t="s">
        <v>22</v>
      </c>
      <c r="AD11" s="1464" t="s">
        <v>27</v>
      </c>
      <c r="AE11" s="1463" t="s">
        <v>22</v>
      </c>
      <c r="AF11" s="1464" t="s">
        <v>27</v>
      </c>
      <c r="AG11" s="1463" t="s">
        <v>22</v>
      </c>
      <c r="AH11" s="1464" t="s">
        <v>27</v>
      </c>
      <c r="AI11" s="1463" t="s">
        <v>22</v>
      </c>
      <c r="AJ11" s="1464" t="s">
        <v>27</v>
      </c>
      <c r="AK11" s="1463" t="s">
        <v>22</v>
      </c>
      <c r="AL11" s="1464" t="s">
        <v>27</v>
      </c>
      <c r="AM11" s="1463" t="s">
        <v>22</v>
      </c>
      <c r="AN11" s="1466" t="s">
        <v>27</v>
      </c>
      <c r="AO11" s="8430"/>
      <c r="AP11" s="8437"/>
      <c r="AQ11" s="8437"/>
      <c r="AR11" s="8437"/>
      <c r="AS11" s="8440"/>
      <c r="AT11" s="8430"/>
      <c r="AU11" s="8440"/>
      <c r="AV11" s="8430"/>
      <c r="AW11" s="8433"/>
      <c r="AX11" s="8433"/>
      <c r="CC11"/>
      <c r="CD11"/>
      <c r="CE11"/>
      <c r="CF11"/>
      <c r="CG11"/>
      <c r="CH11"/>
      <c r="CJ11"/>
      <c r="CK11"/>
      <c r="CL11"/>
    </row>
    <row r="12" spans="1:92" s="170" customFormat="1" ht="15" customHeight="1" x14ac:dyDescent="0.2">
      <c r="A12" s="6240">
        <v>31000000</v>
      </c>
      <c r="B12" s="8423" t="s">
        <v>1232</v>
      </c>
      <c r="C12" s="1467" t="s">
        <v>1233</v>
      </c>
      <c r="D12" s="8699" t="s">
        <v>5292</v>
      </c>
      <c r="E12" s="8700" t="s">
        <v>5293</v>
      </c>
      <c r="F12" s="8701" t="s">
        <v>5294</v>
      </c>
      <c r="G12" s="8702" t="s">
        <v>5295</v>
      </c>
      <c r="H12" s="8703" t="s">
        <v>5296</v>
      </c>
      <c r="I12" s="8704" t="s">
        <v>5297</v>
      </c>
      <c r="J12" s="8703" t="s">
        <v>5298</v>
      </c>
      <c r="K12" s="8704" t="s">
        <v>5299</v>
      </c>
      <c r="L12" s="8703" t="s">
        <v>5300</v>
      </c>
      <c r="M12" s="8704" t="s">
        <v>5301</v>
      </c>
      <c r="N12" s="8703" t="s">
        <v>5302</v>
      </c>
      <c r="O12" s="8704" t="s">
        <v>5303</v>
      </c>
      <c r="P12" s="8703" t="s">
        <v>5304</v>
      </c>
      <c r="Q12" s="8704" t="s">
        <v>5305</v>
      </c>
      <c r="R12" s="8703" t="s">
        <v>5306</v>
      </c>
      <c r="S12" s="8704" t="s">
        <v>5307</v>
      </c>
      <c r="T12" s="8703" t="s">
        <v>5308</v>
      </c>
      <c r="U12" s="8704" t="s">
        <v>5309</v>
      </c>
      <c r="V12" s="8703" t="s">
        <v>5310</v>
      </c>
      <c r="W12" s="8704" t="s">
        <v>5311</v>
      </c>
      <c r="X12" s="8703" t="s">
        <v>5312</v>
      </c>
      <c r="Y12" s="8704" t="s">
        <v>5313</v>
      </c>
      <c r="Z12" s="8703" t="s">
        <v>5314</v>
      </c>
      <c r="AA12" s="8704" t="s">
        <v>5315</v>
      </c>
      <c r="AB12" s="8703" t="s">
        <v>5316</v>
      </c>
      <c r="AC12" s="8704" t="s">
        <v>5317</v>
      </c>
      <c r="AD12" s="8703" t="s">
        <v>5318</v>
      </c>
      <c r="AE12" s="8704" t="s">
        <v>5319</v>
      </c>
      <c r="AF12" s="8703" t="s">
        <v>5320</v>
      </c>
      <c r="AG12" s="8704" t="s">
        <v>5321</v>
      </c>
      <c r="AH12" s="8703" t="s">
        <v>5322</v>
      </c>
      <c r="AI12" s="8704" t="s">
        <v>5323</v>
      </c>
      <c r="AJ12" s="8703" t="s">
        <v>5324</v>
      </c>
      <c r="AK12" s="8704" t="s">
        <v>5325</v>
      </c>
      <c r="AL12" s="8703" t="s">
        <v>5326</v>
      </c>
      <c r="AM12" s="8704" t="s">
        <v>5327</v>
      </c>
      <c r="AN12" s="8705" t="s">
        <v>5328</v>
      </c>
      <c r="AO12" s="8706" t="s">
        <v>5329</v>
      </c>
      <c r="AP12" s="8707" t="s">
        <v>5330</v>
      </c>
      <c r="AQ12" s="8708" t="s">
        <v>5331</v>
      </c>
      <c r="AR12" s="8709" t="s">
        <v>5332</v>
      </c>
      <c r="AS12" s="8710" t="s">
        <v>5333</v>
      </c>
      <c r="AT12" s="8711" t="s">
        <v>5334</v>
      </c>
      <c r="AU12" s="8710" t="s">
        <v>5335</v>
      </c>
      <c r="AV12" s="8711" t="s">
        <v>5336</v>
      </c>
      <c r="AW12" s="8709" t="s">
        <v>5337</v>
      </c>
      <c r="AX12" s="8709" t="s">
        <v>5338</v>
      </c>
      <c r="AY12" s="170" t="str">
        <f>CC12&amp;CD12&amp;CE12&amp;CF12&amp;CG12&amp;CH12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2" s="2465" t="str">
        <f>IF(AND(D12&gt;0,AP12="")," * No olvide digitar la variable Beneficiarios. Digite Cero si no tiene.",IF(AP12&gt;D12,"  * La variable Beneficiarios No puede ser mayor al Total.",""))</f>
        <v xml:space="preserve">  * La variable Beneficiarios No puede ser mayor al Total.</v>
      </c>
      <c r="CD12" s="2465" t="str">
        <f>IF(AND(D12&gt;0,AQ12="")," * No olvide digitar la variable Pueblos originarios. Digite Cero si no tiene.",IF(AQ12&gt;D12,"  * La variable pueblos originarios No puede ser mayor al Total.",""))</f>
        <v xml:space="preserve">  * La variable pueblos originarios No puede ser mayor al Total.</v>
      </c>
      <c r="CE12" s="2465" t="str">
        <f>IF(AND(D12&gt;0,AR12="")," * No olvide digitar la variable Migrantes. Digite Cero si no tiene.",IF(AR12&gt;D12,"  * La variable Migrantes No puede ser mayor al Total.",""))</f>
        <v xml:space="preserve">  * La variable Migrantes No puede ser mayor al Total.</v>
      </c>
      <c r="CF12" s="2465" t="str">
        <f>IF(AND(D12&gt;0,AS12="")," * No olvide digitar la variable Niños, niñas, adolescentes y Jóvenes SENAME. Digite Cero si no tiene.",IF(AS12&gt;D12,"  * La variable Niños, niñas, adolescentes y Jóvenes SENAME No puede ser mayor al Total.",""))</f>
        <v xml:space="preserve">  * La variable Niños, niñas, adolescentes y Jóvenes SENAME No puede ser mayor al Total.</v>
      </c>
      <c r="CG12" s="2465"/>
      <c r="CH12" s="2465"/>
      <c r="CJ12" s="2466">
        <f>IF(AND(D12&gt;0,AP12=""),1,IF(AP12&gt;D12,1,0))</f>
        <v>1</v>
      </c>
      <c r="CK12" s="2466">
        <f>IF(AND(D12&gt;0,AQ12=""),1,IF(AQ12&gt;D12,1,0))</f>
        <v>1</v>
      </c>
      <c r="CL12" s="2466">
        <f>IF(AND(D12&gt;0,AR12=""),1,IF(AR12&gt;D12,1,0))</f>
        <v>1</v>
      </c>
      <c r="CM12" s="2466">
        <f>IF(AND(D12&gt;0,AS12=""),1,IF(AS12&gt;D12,1,0))</f>
        <v>1</v>
      </c>
      <c r="CN12" s="2466"/>
    </row>
    <row r="13" spans="1:92" s="170" customFormat="1" ht="15" customHeight="1" x14ac:dyDescent="0.2">
      <c r="A13" s="6240">
        <v>31000001</v>
      </c>
      <c r="B13" s="8424"/>
      <c r="C13" s="1469" t="s">
        <v>1234</v>
      </c>
      <c r="D13" s="1680" t="s">
        <v>5292</v>
      </c>
      <c r="E13" s="8712" t="s">
        <v>5293</v>
      </c>
      <c r="F13" s="6225" t="s">
        <v>5294</v>
      </c>
      <c r="G13" s="8713" t="s">
        <v>5295</v>
      </c>
      <c r="H13" s="8714" t="s">
        <v>5296</v>
      </c>
      <c r="I13" s="8715" t="s">
        <v>5297</v>
      </c>
      <c r="J13" s="8714" t="s">
        <v>5298</v>
      </c>
      <c r="K13" s="8715" t="s">
        <v>5299</v>
      </c>
      <c r="L13" s="8714" t="s">
        <v>5300</v>
      </c>
      <c r="M13" s="8715" t="s">
        <v>5301</v>
      </c>
      <c r="N13" s="8714" t="s">
        <v>5302</v>
      </c>
      <c r="O13" s="8715" t="s">
        <v>5303</v>
      </c>
      <c r="P13" s="8714" t="s">
        <v>5304</v>
      </c>
      <c r="Q13" s="8715" t="s">
        <v>5305</v>
      </c>
      <c r="R13" s="8714" t="s">
        <v>5306</v>
      </c>
      <c r="S13" s="8715" t="s">
        <v>5307</v>
      </c>
      <c r="T13" s="8714" t="s">
        <v>5308</v>
      </c>
      <c r="U13" s="8715" t="s">
        <v>5309</v>
      </c>
      <c r="V13" s="8714" t="s">
        <v>5310</v>
      </c>
      <c r="W13" s="8715" t="s">
        <v>5311</v>
      </c>
      <c r="X13" s="8714" t="s">
        <v>5312</v>
      </c>
      <c r="Y13" s="8715" t="s">
        <v>5313</v>
      </c>
      <c r="Z13" s="8714" t="s">
        <v>5314</v>
      </c>
      <c r="AA13" s="8715" t="s">
        <v>5315</v>
      </c>
      <c r="AB13" s="8714" t="s">
        <v>5316</v>
      </c>
      <c r="AC13" s="8715" t="s">
        <v>5317</v>
      </c>
      <c r="AD13" s="8714" t="s">
        <v>5318</v>
      </c>
      <c r="AE13" s="8715" t="s">
        <v>5319</v>
      </c>
      <c r="AF13" s="8714" t="s">
        <v>5320</v>
      </c>
      <c r="AG13" s="8715" t="s">
        <v>5321</v>
      </c>
      <c r="AH13" s="8714" t="s">
        <v>5322</v>
      </c>
      <c r="AI13" s="8715" t="s">
        <v>5323</v>
      </c>
      <c r="AJ13" s="8714" t="s">
        <v>5324</v>
      </c>
      <c r="AK13" s="8715" t="s">
        <v>5325</v>
      </c>
      <c r="AL13" s="8714" t="s">
        <v>5326</v>
      </c>
      <c r="AM13" s="8715" t="s">
        <v>5327</v>
      </c>
      <c r="AN13" s="8716" t="s">
        <v>5328</v>
      </c>
      <c r="AO13" s="8717" t="s">
        <v>5329</v>
      </c>
      <c r="AP13" s="8718" t="s">
        <v>5330</v>
      </c>
      <c r="AQ13" s="8719" t="s">
        <v>5331</v>
      </c>
      <c r="AR13" s="8718" t="s">
        <v>5332</v>
      </c>
      <c r="AS13" s="8720" t="s">
        <v>5333</v>
      </c>
      <c r="AT13" s="8721" t="s">
        <v>5334</v>
      </c>
      <c r="AU13" s="8720" t="s">
        <v>5335</v>
      </c>
      <c r="AV13" s="8721" t="s">
        <v>5336</v>
      </c>
      <c r="AW13" s="8718" t="s">
        <v>5337</v>
      </c>
      <c r="AX13" s="8718" t="s">
        <v>5338</v>
      </c>
      <c r="AY13" s="170" t="str">
        <f t="shared" ref="AY13:AY27" si="0">CC13&amp;CD13&amp;CE13&amp;CF13&amp;CG13&amp;CH13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3" s="2465" t="str">
        <f t="shared" ref="CC13:CC27" si="1">IF(AND(D13&gt;0,AP13="")," * No olvide digitar la variable Beneficiarios. Digite Cero si no tiene.",IF(AP13&gt;D13,"  * La variable Beneficiarios No puede ser mayor al Total.",""))</f>
        <v xml:space="preserve">  * La variable Beneficiarios No puede ser mayor al Total.</v>
      </c>
      <c r="CD13" s="2465" t="str">
        <f t="shared" ref="CD13:CD27" si="2">IF(AND(D13&gt;0,AQ13="")," * No olvide digitar la variable Pueblos originarios. Digite Cero si no tiene.",IF(AQ13&gt;D13,"  * La variable pueblos originarios No puede ser mayor al Total.",""))</f>
        <v xml:space="preserve">  * La variable pueblos originarios No puede ser mayor al Total.</v>
      </c>
      <c r="CE13" s="2465" t="str">
        <f t="shared" ref="CE13:CE27" si="3">IF(AND(D13&gt;0,AR13="")," * No olvide digitar la variable Migrantes. Digite Cero si no tiene.",IF(AR13&gt;D13,"  * La variable Migrantes No puede ser mayor al Total.",""))</f>
        <v xml:space="preserve">  * La variable Migrantes No puede ser mayor al Total.</v>
      </c>
      <c r="CF13" s="2465" t="str">
        <f t="shared" ref="CF13:CF27" si="4">IF(AND(D13&gt;0,AS13="")," * No olvide digitar la variable Niños, niñas, adolescentes y Jóvenes SENAME. Digite Cero si no tiene.",IF(AS13&gt;D13,"  * La variable Niños, niñas, adolescentes y Jóvenes SENAME No puede ser mayor al Total.",""))</f>
        <v xml:space="preserve">  * La variable Niños, niñas, adolescentes y Jóvenes SENAME No puede ser mayor al Total.</v>
      </c>
      <c r="CG13" s="2465"/>
      <c r="CH13" s="2465"/>
      <c r="CJ13" s="2466">
        <f t="shared" ref="CJ13:CJ27" si="5">IF(AND(D13&gt;0,AP13=""),1,IF(AP13&gt;D13,1,0))</f>
        <v>1</v>
      </c>
      <c r="CK13" s="2466">
        <f t="shared" ref="CK13:CK27" si="6">IF(AND(D13&gt;0,AQ13=""),1,IF(AQ13&gt;D13,1,0))</f>
        <v>1</v>
      </c>
      <c r="CL13" s="2466">
        <f t="shared" ref="CL13:CL27" si="7">IF(AND(D13&gt;0,AR13=""),1,IF(AR13&gt;D13,1,0))</f>
        <v>1</v>
      </c>
      <c r="CM13" s="2466">
        <f t="shared" ref="CM13:CM27" si="8">IF(AND(D13&gt;0,AS13=""),1,IF(AS13&gt;D13,1,0))</f>
        <v>1</v>
      </c>
      <c r="CN13" s="2466"/>
    </row>
    <row r="14" spans="1:92" s="170" customFormat="1" ht="15" customHeight="1" x14ac:dyDescent="0.2">
      <c r="A14" s="6240">
        <v>31000002</v>
      </c>
      <c r="B14" s="8425"/>
      <c r="C14" s="1470" t="s">
        <v>1235</v>
      </c>
      <c r="D14" s="560" t="s">
        <v>5292</v>
      </c>
      <c r="E14" s="6232" t="s">
        <v>5293</v>
      </c>
      <c r="F14" s="6221" t="s">
        <v>5294</v>
      </c>
      <c r="G14" s="8722" t="s">
        <v>5295</v>
      </c>
      <c r="H14" s="8723" t="s">
        <v>5296</v>
      </c>
      <c r="I14" s="8724" t="s">
        <v>5297</v>
      </c>
      <c r="J14" s="8723" t="s">
        <v>5298</v>
      </c>
      <c r="K14" s="8724" t="s">
        <v>5299</v>
      </c>
      <c r="L14" s="8723" t="s">
        <v>5300</v>
      </c>
      <c r="M14" s="8724" t="s">
        <v>5301</v>
      </c>
      <c r="N14" s="8723" t="s">
        <v>5302</v>
      </c>
      <c r="O14" s="8724" t="s">
        <v>5303</v>
      </c>
      <c r="P14" s="8723" t="s">
        <v>5304</v>
      </c>
      <c r="Q14" s="8724" t="s">
        <v>5305</v>
      </c>
      <c r="R14" s="8723" t="s">
        <v>5306</v>
      </c>
      <c r="S14" s="8724" t="s">
        <v>5307</v>
      </c>
      <c r="T14" s="8723" t="s">
        <v>5308</v>
      </c>
      <c r="U14" s="8724" t="s">
        <v>5309</v>
      </c>
      <c r="V14" s="8723" t="s">
        <v>5310</v>
      </c>
      <c r="W14" s="8724" t="s">
        <v>5311</v>
      </c>
      <c r="X14" s="8723" t="s">
        <v>5312</v>
      </c>
      <c r="Y14" s="8724" t="s">
        <v>5313</v>
      </c>
      <c r="Z14" s="8723" t="s">
        <v>5314</v>
      </c>
      <c r="AA14" s="8724" t="s">
        <v>5315</v>
      </c>
      <c r="AB14" s="8723" t="s">
        <v>5316</v>
      </c>
      <c r="AC14" s="8724" t="s">
        <v>5317</v>
      </c>
      <c r="AD14" s="8723" t="s">
        <v>5318</v>
      </c>
      <c r="AE14" s="8724" t="s">
        <v>5319</v>
      </c>
      <c r="AF14" s="8723" t="s">
        <v>5320</v>
      </c>
      <c r="AG14" s="8724" t="s">
        <v>5321</v>
      </c>
      <c r="AH14" s="8723" t="s">
        <v>5322</v>
      </c>
      <c r="AI14" s="8724" t="s">
        <v>5323</v>
      </c>
      <c r="AJ14" s="8723" t="s">
        <v>5324</v>
      </c>
      <c r="AK14" s="8724" t="s">
        <v>5325</v>
      </c>
      <c r="AL14" s="8723" t="s">
        <v>5326</v>
      </c>
      <c r="AM14" s="8724" t="s">
        <v>5327</v>
      </c>
      <c r="AN14" s="8725" t="s">
        <v>5328</v>
      </c>
      <c r="AO14" s="8726" t="s">
        <v>5329</v>
      </c>
      <c r="AP14" s="8727" t="s">
        <v>5330</v>
      </c>
      <c r="AQ14" s="8728" t="s">
        <v>5331</v>
      </c>
      <c r="AR14" s="8727" t="s">
        <v>5332</v>
      </c>
      <c r="AS14" s="8729" t="s">
        <v>5333</v>
      </c>
      <c r="AT14" s="8730" t="s">
        <v>5334</v>
      </c>
      <c r="AU14" s="8729" t="s">
        <v>5335</v>
      </c>
      <c r="AV14" s="8730" t="s">
        <v>5336</v>
      </c>
      <c r="AW14" s="8727" t="s">
        <v>5337</v>
      </c>
      <c r="AX14" s="8727" t="s">
        <v>5338</v>
      </c>
      <c r="AY14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4" s="2465" t="str">
        <f t="shared" si="1"/>
        <v xml:space="preserve">  * La variable Beneficiarios No puede ser mayor al Total.</v>
      </c>
      <c r="CD14" s="2465" t="str">
        <f t="shared" si="2"/>
        <v xml:space="preserve">  * La variable pueblos originarios No puede ser mayor al Total.</v>
      </c>
      <c r="CE14" s="2465" t="str">
        <f t="shared" si="3"/>
        <v xml:space="preserve">  * La variable Migrantes No puede ser mayor al Total.</v>
      </c>
      <c r="CF14" s="2465" t="str">
        <f t="shared" si="4"/>
        <v xml:space="preserve">  * La variable Niños, niñas, adolescentes y Jóvenes SENAME No puede ser mayor al Total.</v>
      </c>
      <c r="CG14" s="2465"/>
      <c r="CH14" s="2465"/>
      <c r="CJ14" s="2466">
        <f t="shared" si="5"/>
        <v>1</v>
      </c>
      <c r="CK14" s="2466">
        <f t="shared" si="6"/>
        <v>1</v>
      </c>
      <c r="CL14" s="2466">
        <f t="shared" si="7"/>
        <v>1</v>
      </c>
      <c r="CM14" s="2466">
        <f t="shared" si="8"/>
        <v>1</v>
      </c>
      <c r="CN14" s="2466"/>
    </row>
    <row r="15" spans="1:92" s="170" customFormat="1" ht="15" customHeight="1" x14ac:dyDescent="0.2">
      <c r="A15" s="6240">
        <v>31000039</v>
      </c>
      <c r="B15" s="8426" t="s">
        <v>1236</v>
      </c>
      <c r="C15" s="1471" t="s">
        <v>1237</v>
      </c>
      <c r="D15" s="1473" t="s">
        <v>5292</v>
      </c>
      <c r="E15" s="8731" t="s">
        <v>5293</v>
      </c>
      <c r="F15" s="8732" t="s">
        <v>5294</v>
      </c>
      <c r="G15" s="8675" t="s">
        <v>5295</v>
      </c>
      <c r="H15" s="8672" t="s">
        <v>5296</v>
      </c>
      <c r="I15" s="8733" t="s">
        <v>5297</v>
      </c>
      <c r="J15" s="8672" t="s">
        <v>5298</v>
      </c>
      <c r="K15" s="8733" t="s">
        <v>5299</v>
      </c>
      <c r="L15" s="8734" t="s">
        <v>5300</v>
      </c>
      <c r="M15" s="8733" t="s">
        <v>5301</v>
      </c>
      <c r="N15" s="8734" t="s">
        <v>5302</v>
      </c>
      <c r="O15" s="8733" t="s">
        <v>5303</v>
      </c>
      <c r="P15" s="8734" t="s">
        <v>5304</v>
      </c>
      <c r="Q15" s="8733" t="s">
        <v>5305</v>
      </c>
      <c r="R15" s="8734" t="s">
        <v>5306</v>
      </c>
      <c r="S15" s="8733" t="s">
        <v>5307</v>
      </c>
      <c r="T15" s="8734" t="s">
        <v>5308</v>
      </c>
      <c r="U15" s="8733" t="s">
        <v>5309</v>
      </c>
      <c r="V15" s="8734" t="s">
        <v>5310</v>
      </c>
      <c r="W15" s="8733" t="s">
        <v>5311</v>
      </c>
      <c r="X15" s="8734" t="s">
        <v>5312</v>
      </c>
      <c r="Y15" s="8733" t="s">
        <v>5313</v>
      </c>
      <c r="Z15" s="8734" t="s">
        <v>5314</v>
      </c>
      <c r="AA15" s="8733" t="s">
        <v>5315</v>
      </c>
      <c r="AB15" s="8734" t="s">
        <v>5316</v>
      </c>
      <c r="AC15" s="8733" t="s">
        <v>5317</v>
      </c>
      <c r="AD15" s="8734" t="s">
        <v>5318</v>
      </c>
      <c r="AE15" s="8733" t="s">
        <v>5319</v>
      </c>
      <c r="AF15" s="8734" t="s">
        <v>5320</v>
      </c>
      <c r="AG15" s="8733" t="s">
        <v>5321</v>
      </c>
      <c r="AH15" s="8734" t="s">
        <v>5322</v>
      </c>
      <c r="AI15" s="8733" t="s">
        <v>5323</v>
      </c>
      <c r="AJ15" s="8734" t="s">
        <v>5324</v>
      </c>
      <c r="AK15" s="8733" t="s">
        <v>5325</v>
      </c>
      <c r="AL15" s="8734" t="s">
        <v>5326</v>
      </c>
      <c r="AM15" s="8733" t="s">
        <v>5327</v>
      </c>
      <c r="AN15" s="8680" t="s">
        <v>5328</v>
      </c>
      <c r="AO15" s="8735" t="s">
        <v>5329</v>
      </c>
      <c r="AP15" s="8736" t="s">
        <v>5330</v>
      </c>
      <c r="AQ15" s="8734" t="s">
        <v>5331</v>
      </c>
      <c r="AR15" s="8736" t="s">
        <v>5332</v>
      </c>
      <c r="AS15" s="8737" t="s">
        <v>5333</v>
      </c>
      <c r="AT15" s="8738" t="s">
        <v>5334</v>
      </c>
      <c r="AU15" s="8737" t="s">
        <v>5335</v>
      </c>
      <c r="AV15" s="8738" t="s">
        <v>5336</v>
      </c>
      <c r="AW15" s="8736" t="s">
        <v>5337</v>
      </c>
      <c r="AX15" s="8736" t="s">
        <v>5338</v>
      </c>
      <c r="AY15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5" s="2465" t="str">
        <f t="shared" si="1"/>
        <v xml:space="preserve">  * La variable Beneficiarios No puede ser mayor al Total.</v>
      </c>
      <c r="CD15" s="2465" t="str">
        <f t="shared" si="2"/>
        <v xml:space="preserve">  * La variable pueblos originarios No puede ser mayor al Total.</v>
      </c>
      <c r="CE15" s="2465" t="str">
        <f t="shared" si="3"/>
        <v xml:space="preserve">  * La variable Migrantes No puede ser mayor al Total.</v>
      </c>
      <c r="CF15" s="2465" t="str">
        <f t="shared" si="4"/>
        <v xml:space="preserve">  * La variable Niños, niñas, adolescentes y Jóvenes SENAME No puede ser mayor al Total.</v>
      </c>
      <c r="CG15" s="2465"/>
      <c r="CH15" s="2465"/>
      <c r="CJ15" s="2466">
        <f t="shared" si="5"/>
        <v>1</v>
      </c>
      <c r="CK15" s="2466">
        <f t="shared" si="6"/>
        <v>1</v>
      </c>
      <c r="CL15" s="2466">
        <f t="shared" si="7"/>
        <v>1</v>
      </c>
      <c r="CM15" s="2466">
        <f t="shared" si="8"/>
        <v>1</v>
      </c>
      <c r="CN15" s="2466"/>
    </row>
    <row r="16" spans="1:92" s="170" customFormat="1" ht="15" customHeight="1" x14ac:dyDescent="0.2">
      <c r="A16" s="6240">
        <v>31000040</v>
      </c>
      <c r="B16" s="8426"/>
      <c r="C16" s="1472" t="s">
        <v>1238</v>
      </c>
      <c r="D16" s="1473" t="s">
        <v>5292</v>
      </c>
      <c r="E16" s="8731" t="s">
        <v>5293</v>
      </c>
      <c r="F16" s="8739" t="s">
        <v>5294</v>
      </c>
      <c r="G16" s="8675" t="s">
        <v>5295</v>
      </c>
      <c r="H16" s="8672" t="s">
        <v>5296</v>
      </c>
      <c r="I16" s="8733" t="s">
        <v>5297</v>
      </c>
      <c r="J16" s="8672" t="s">
        <v>5298</v>
      </c>
      <c r="K16" s="8733" t="s">
        <v>5299</v>
      </c>
      <c r="L16" s="8734" t="s">
        <v>5300</v>
      </c>
      <c r="M16" s="8733" t="s">
        <v>5301</v>
      </c>
      <c r="N16" s="8734" t="s">
        <v>5302</v>
      </c>
      <c r="O16" s="8733" t="s">
        <v>5303</v>
      </c>
      <c r="P16" s="8734" t="s">
        <v>5304</v>
      </c>
      <c r="Q16" s="8733" t="s">
        <v>5305</v>
      </c>
      <c r="R16" s="8734" t="s">
        <v>5306</v>
      </c>
      <c r="S16" s="8733" t="s">
        <v>5307</v>
      </c>
      <c r="T16" s="8734" t="s">
        <v>5308</v>
      </c>
      <c r="U16" s="8733" t="s">
        <v>5309</v>
      </c>
      <c r="V16" s="8734" t="s">
        <v>5310</v>
      </c>
      <c r="W16" s="8733" t="s">
        <v>5311</v>
      </c>
      <c r="X16" s="8734" t="s">
        <v>5312</v>
      </c>
      <c r="Y16" s="8733" t="s">
        <v>5313</v>
      </c>
      <c r="Z16" s="8734" t="s">
        <v>5314</v>
      </c>
      <c r="AA16" s="8733" t="s">
        <v>5315</v>
      </c>
      <c r="AB16" s="8734" t="s">
        <v>5316</v>
      </c>
      <c r="AC16" s="8733" t="s">
        <v>5317</v>
      </c>
      <c r="AD16" s="8734" t="s">
        <v>5318</v>
      </c>
      <c r="AE16" s="8733" t="s">
        <v>5319</v>
      </c>
      <c r="AF16" s="8734" t="s">
        <v>5320</v>
      </c>
      <c r="AG16" s="8733" t="s">
        <v>5321</v>
      </c>
      <c r="AH16" s="8734" t="s">
        <v>5322</v>
      </c>
      <c r="AI16" s="8733" t="s">
        <v>5323</v>
      </c>
      <c r="AJ16" s="8734" t="s">
        <v>5324</v>
      </c>
      <c r="AK16" s="8733" t="s">
        <v>5325</v>
      </c>
      <c r="AL16" s="8734" t="s">
        <v>5326</v>
      </c>
      <c r="AM16" s="8733" t="s">
        <v>5327</v>
      </c>
      <c r="AN16" s="8680" t="s">
        <v>5328</v>
      </c>
      <c r="AO16" s="8735" t="s">
        <v>5329</v>
      </c>
      <c r="AP16" s="8736" t="s">
        <v>5330</v>
      </c>
      <c r="AQ16" s="8734" t="s">
        <v>5331</v>
      </c>
      <c r="AR16" s="8736" t="s">
        <v>5332</v>
      </c>
      <c r="AS16" s="8737" t="s">
        <v>5333</v>
      </c>
      <c r="AT16" s="8738" t="s">
        <v>5334</v>
      </c>
      <c r="AU16" s="8737" t="s">
        <v>5335</v>
      </c>
      <c r="AV16" s="8738" t="s">
        <v>5336</v>
      </c>
      <c r="AW16" s="8736" t="s">
        <v>5337</v>
      </c>
      <c r="AX16" s="8736" t="s">
        <v>5338</v>
      </c>
      <c r="AY16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6" s="2465" t="str">
        <f t="shared" si="1"/>
        <v xml:space="preserve">  * La variable Beneficiarios No puede ser mayor al Total.</v>
      </c>
      <c r="CD16" s="2465" t="str">
        <f t="shared" si="2"/>
        <v xml:space="preserve">  * La variable pueblos originarios No puede ser mayor al Total.</v>
      </c>
      <c r="CE16" s="2465" t="str">
        <f t="shared" si="3"/>
        <v xml:space="preserve">  * La variable Migrantes No puede ser mayor al Total.</v>
      </c>
      <c r="CF16" s="2465" t="str">
        <f t="shared" si="4"/>
        <v xml:space="preserve">  * La variable Niños, niñas, adolescentes y Jóvenes SENAME No puede ser mayor al Total.</v>
      </c>
      <c r="CG16" s="2465"/>
      <c r="CH16" s="2465"/>
      <c r="CJ16" s="2466">
        <f t="shared" si="5"/>
        <v>1</v>
      </c>
      <c r="CK16" s="2466">
        <f t="shared" si="6"/>
        <v>1</v>
      </c>
      <c r="CL16" s="2466">
        <f t="shared" si="7"/>
        <v>1</v>
      </c>
      <c r="CM16" s="2466">
        <f t="shared" si="8"/>
        <v>1</v>
      </c>
      <c r="CN16" s="2466"/>
    </row>
    <row r="17" spans="1:92" s="170" customFormat="1" ht="15" customHeight="1" x14ac:dyDescent="0.2">
      <c r="A17" s="6240">
        <v>31000007</v>
      </c>
      <c r="B17" s="8426"/>
      <c r="C17" s="1472" t="s">
        <v>1239</v>
      </c>
      <c r="D17" s="1473" t="s">
        <v>5292</v>
      </c>
      <c r="E17" s="8740" t="s">
        <v>5293</v>
      </c>
      <c r="F17" s="8739" t="s">
        <v>5294</v>
      </c>
      <c r="G17" s="8675" t="s">
        <v>5295</v>
      </c>
      <c r="H17" s="8672" t="s">
        <v>5296</v>
      </c>
      <c r="I17" s="8733" t="s">
        <v>5297</v>
      </c>
      <c r="J17" s="8672" t="s">
        <v>5298</v>
      </c>
      <c r="K17" s="8733" t="s">
        <v>5299</v>
      </c>
      <c r="L17" s="8734" t="s">
        <v>5300</v>
      </c>
      <c r="M17" s="8733" t="s">
        <v>5301</v>
      </c>
      <c r="N17" s="8734" t="s">
        <v>5302</v>
      </c>
      <c r="O17" s="8733" t="s">
        <v>5303</v>
      </c>
      <c r="P17" s="8734" t="s">
        <v>5304</v>
      </c>
      <c r="Q17" s="8733" t="s">
        <v>5305</v>
      </c>
      <c r="R17" s="8734" t="s">
        <v>5306</v>
      </c>
      <c r="S17" s="8733" t="s">
        <v>5307</v>
      </c>
      <c r="T17" s="8734" t="s">
        <v>5308</v>
      </c>
      <c r="U17" s="8733" t="s">
        <v>5309</v>
      </c>
      <c r="V17" s="8734" t="s">
        <v>5310</v>
      </c>
      <c r="W17" s="8733" t="s">
        <v>5311</v>
      </c>
      <c r="X17" s="8734" t="s">
        <v>5312</v>
      </c>
      <c r="Y17" s="8733" t="s">
        <v>5313</v>
      </c>
      <c r="Z17" s="8734" t="s">
        <v>5314</v>
      </c>
      <c r="AA17" s="8733" t="s">
        <v>5315</v>
      </c>
      <c r="AB17" s="8734" t="s">
        <v>5316</v>
      </c>
      <c r="AC17" s="8733" t="s">
        <v>5317</v>
      </c>
      <c r="AD17" s="8734" t="s">
        <v>5318</v>
      </c>
      <c r="AE17" s="8733" t="s">
        <v>5319</v>
      </c>
      <c r="AF17" s="8734" t="s">
        <v>5320</v>
      </c>
      <c r="AG17" s="8733" t="s">
        <v>5321</v>
      </c>
      <c r="AH17" s="8734" t="s">
        <v>5322</v>
      </c>
      <c r="AI17" s="8733" t="s">
        <v>5323</v>
      </c>
      <c r="AJ17" s="8734" t="s">
        <v>5324</v>
      </c>
      <c r="AK17" s="8733" t="s">
        <v>5325</v>
      </c>
      <c r="AL17" s="8734" t="s">
        <v>5326</v>
      </c>
      <c r="AM17" s="8733" t="s">
        <v>5327</v>
      </c>
      <c r="AN17" s="8680" t="s">
        <v>5328</v>
      </c>
      <c r="AO17" s="8735" t="s">
        <v>5329</v>
      </c>
      <c r="AP17" s="8736" t="s">
        <v>5330</v>
      </c>
      <c r="AQ17" s="8734" t="s">
        <v>5331</v>
      </c>
      <c r="AR17" s="8736" t="s">
        <v>5332</v>
      </c>
      <c r="AS17" s="8737" t="s">
        <v>5333</v>
      </c>
      <c r="AT17" s="8738" t="s">
        <v>5334</v>
      </c>
      <c r="AU17" s="8737" t="s">
        <v>5335</v>
      </c>
      <c r="AV17" s="8738" t="s">
        <v>5336</v>
      </c>
      <c r="AW17" s="8736" t="s">
        <v>5337</v>
      </c>
      <c r="AX17" s="8736" t="s">
        <v>5338</v>
      </c>
      <c r="AY17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7" s="2465" t="str">
        <f t="shared" si="1"/>
        <v xml:space="preserve">  * La variable Beneficiarios No puede ser mayor al Total.</v>
      </c>
      <c r="CD17" s="2465" t="str">
        <f t="shared" si="2"/>
        <v xml:space="preserve">  * La variable pueblos originarios No puede ser mayor al Total.</v>
      </c>
      <c r="CE17" s="2465" t="str">
        <f t="shared" si="3"/>
        <v xml:space="preserve">  * La variable Migrantes No puede ser mayor al Total.</v>
      </c>
      <c r="CF17" s="2465" t="str">
        <f t="shared" si="4"/>
        <v xml:space="preserve">  * La variable Niños, niñas, adolescentes y Jóvenes SENAME No puede ser mayor al Total.</v>
      </c>
      <c r="CG17" s="2465"/>
      <c r="CH17" s="2465"/>
      <c r="CJ17" s="2466">
        <f t="shared" si="5"/>
        <v>1</v>
      </c>
      <c r="CK17" s="2466">
        <f t="shared" si="6"/>
        <v>1</v>
      </c>
      <c r="CL17" s="2466">
        <f t="shared" si="7"/>
        <v>1</v>
      </c>
      <c r="CM17" s="2466">
        <f t="shared" si="8"/>
        <v>1</v>
      </c>
      <c r="CN17" s="2466"/>
    </row>
    <row r="18" spans="1:92" s="170" customFormat="1" ht="15" customHeight="1" x14ac:dyDescent="0.2">
      <c r="A18" s="6240">
        <v>31000041</v>
      </c>
      <c r="B18" s="8426"/>
      <c r="C18" s="1472" t="s">
        <v>1240</v>
      </c>
      <c r="D18" s="1473" t="s">
        <v>5292</v>
      </c>
      <c r="E18" s="8731" t="s">
        <v>5293</v>
      </c>
      <c r="F18" s="8739" t="s">
        <v>5294</v>
      </c>
      <c r="G18" s="8675" t="s">
        <v>5295</v>
      </c>
      <c r="H18" s="8672" t="s">
        <v>5296</v>
      </c>
      <c r="I18" s="8733" t="s">
        <v>5297</v>
      </c>
      <c r="J18" s="8672" t="s">
        <v>5298</v>
      </c>
      <c r="K18" s="8733" t="s">
        <v>5299</v>
      </c>
      <c r="L18" s="8734" t="s">
        <v>5300</v>
      </c>
      <c r="M18" s="8733" t="s">
        <v>5301</v>
      </c>
      <c r="N18" s="8734" t="s">
        <v>5302</v>
      </c>
      <c r="O18" s="8733" t="s">
        <v>5303</v>
      </c>
      <c r="P18" s="8734" t="s">
        <v>5304</v>
      </c>
      <c r="Q18" s="8733" t="s">
        <v>5305</v>
      </c>
      <c r="R18" s="8734" t="s">
        <v>5306</v>
      </c>
      <c r="S18" s="8733" t="s">
        <v>5307</v>
      </c>
      <c r="T18" s="8734" t="s">
        <v>5308</v>
      </c>
      <c r="U18" s="8733" t="s">
        <v>5309</v>
      </c>
      <c r="V18" s="8734" t="s">
        <v>5310</v>
      </c>
      <c r="W18" s="8733" t="s">
        <v>5311</v>
      </c>
      <c r="X18" s="8734" t="s">
        <v>5312</v>
      </c>
      <c r="Y18" s="8733" t="s">
        <v>5313</v>
      </c>
      <c r="Z18" s="8734" t="s">
        <v>5314</v>
      </c>
      <c r="AA18" s="8733" t="s">
        <v>5315</v>
      </c>
      <c r="AB18" s="8734" t="s">
        <v>5316</v>
      </c>
      <c r="AC18" s="8733" t="s">
        <v>5317</v>
      </c>
      <c r="AD18" s="8734" t="s">
        <v>5318</v>
      </c>
      <c r="AE18" s="8733" t="s">
        <v>5319</v>
      </c>
      <c r="AF18" s="8734" t="s">
        <v>5320</v>
      </c>
      <c r="AG18" s="8733" t="s">
        <v>5321</v>
      </c>
      <c r="AH18" s="8734" t="s">
        <v>5322</v>
      </c>
      <c r="AI18" s="8733" t="s">
        <v>5323</v>
      </c>
      <c r="AJ18" s="8734" t="s">
        <v>5324</v>
      </c>
      <c r="AK18" s="8733" t="s">
        <v>5325</v>
      </c>
      <c r="AL18" s="8734" t="s">
        <v>5326</v>
      </c>
      <c r="AM18" s="8733" t="s">
        <v>5327</v>
      </c>
      <c r="AN18" s="8680" t="s">
        <v>5328</v>
      </c>
      <c r="AO18" s="8735" t="s">
        <v>5329</v>
      </c>
      <c r="AP18" s="8736" t="s">
        <v>5330</v>
      </c>
      <c r="AQ18" s="8734" t="s">
        <v>5331</v>
      </c>
      <c r="AR18" s="8736" t="s">
        <v>5332</v>
      </c>
      <c r="AS18" s="8737" t="s">
        <v>5333</v>
      </c>
      <c r="AT18" s="8738" t="s">
        <v>5334</v>
      </c>
      <c r="AU18" s="8737" t="s">
        <v>5335</v>
      </c>
      <c r="AV18" s="8738" t="s">
        <v>5336</v>
      </c>
      <c r="AW18" s="8736" t="s">
        <v>5337</v>
      </c>
      <c r="AX18" s="8736" t="s">
        <v>5338</v>
      </c>
      <c r="AY18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8" s="2465" t="str">
        <f t="shared" si="1"/>
        <v xml:space="preserve">  * La variable Beneficiarios No puede ser mayor al Total.</v>
      </c>
      <c r="CD18" s="2465" t="str">
        <f t="shared" si="2"/>
        <v xml:space="preserve">  * La variable pueblos originarios No puede ser mayor al Total.</v>
      </c>
      <c r="CE18" s="2465" t="str">
        <f t="shared" si="3"/>
        <v xml:space="preserve">  * La variable Migrantes No puede ser mayor al Total.</v>
      </c>
      <c r="CF18" s="2465" t="str">
        <f t="shared" si="4"/>
        <v xml:space="preserve">  * La variable Niños, niñas, adolescentes y Jóvenes SENAME No puede ser mayor al Total.</v>
      </c>
      <c r="CG18" s="2465"/>
      <c r="CH18" s="2465"/>
      <c r="CJ18" s="2466">
        <f t="shared" si="5"/>
        <v>1</v>
      </c>
      <c r="CK18" s="2466">
        <f t="shared" si="6"/>
        <v>1</v>
      </c>
      <c r="CL18" s="2466">
        <f t="shared" si="7"/>
        <v>1</v>
      </c>
      <c r="CM18" s="2466">
        <f t="shared" si="8"/>
        <v>1</v>
      </c>
      <c r="CN18" s="2466"/>
    </row>
    <row r="19" spans="1:92" s="170" customFormat="1" ht="15" customHeight="1" x14ac:dyDescent="0.2">
      <c r="A19" s="6240">
        <v>31000042</v>
      </c>
      <c r="B19" s="8426"/>
      <c r="C19" s="1472" t="s">
        <v>1241</v>
      </c>
      <c r="D19" s="1473" t="s">
        <v>5292</v>
      </c>
      <c r="E19" s="8731" t="s">
        <v>5293</v>
      </c>
      <c r="F19" s="8739" t="s">
        <v>5294</v>
      </c>
      <c r="G19" s="8675" t="s">
        <v>5295</v>
      </c>
      <c r="H19" s="8672" t="s">
        <v>5296</v>
      </c>
      <c r="I19" s="8733" t="s">
        <v>5297</v>
      </c>
      <c r="J19" s="8672" t="s">
        <v>5298</v>
      </c>
      <c r="K19" s="8733" t="s">
        <v>5299</v>
      </c>
      <c r="L19" s="8734" t="s">
        <v>5300</v>
      </c>
      <c r="M19" s="8733" t="s">
        <v>5301</v>
      </c>
      <c r="N19" s="8734" t="s">
        <v>5302</v>
      </c>
      <c r="O19" s="8733" t="s">
        <v>5303</v>
      </c>
      <c r="P19" s="8734" t="s">
        <v>5304</v>
      </c>
      <c r="Q19" s="8733" t="s">
        <v>5305</v>
      </c>
      <c r="R19" s="8734" t="s">
        <v>5306</v>
      </c>
      <c r="S19" s="8733" t="s">
        <v>5307</v>
      </c>
      <c r="T19" s="8734" t="s">
        <v>5308</v>
      </c>
      <c r="U19" s="8733" t="s">
        <v>5309</v>
      </c>
      <c r="V19" s="8734" t="s">
        <v>5310</v>
      </c>
      <c r="W19" s="8733" t="s">
        <v>5311</v>
      </c>
      <c r="X19" s="8734" t="s">
        <v>5312</v>
      </c>
      <c r="Y19" s="8733" t="s">
        <v>5313</v>
      </c>
      <c r="Z19" s="8734" t="s">
        <v>5314</v>
      </c>
      <c r="AA19" s="8733" t="s">
        <v>5315</v>
      </c>
      <c r="AB19" s="8734" t="s">
        <v>5316</v>
      </c>
      <c r="AC19" s="8733" t="s">
        <v>5317</v>
      </c>
      <c r="AD19" s="8734" t="s">
        <v>5318</v>
      </c>
      <c r="AE19" s="8733" t="s">
        <v>5319</v>
      </c>
      <c r="AF19" s="8734" t="s">
        <v>5320</v>
      </c>
      <c r="AG19" s="8733" t="s">
        <v>5321</v>
      </c>
      <c r="AH19" s="8734" t="s">
        <v>5322</v>
      </c>
      <c r="AI19" s="8733" t="s">
        <v>5323</v>
      </c>
      <c r="AJ19" s="8734" t="s">
        <v>5324</v>
      </c>
      <c r="AK19" s="8733" t="s">
        <v>5325</v>
      </c>
      <c r="AL19" s="8734" t="s">
        <v>5326</v>
      </c>
      <c r="AM19" s="8733" t="s">
        <v>5327</v>
      </c>
      <c r="AN19" s="8680" t="s">
        <v>5328</v>
      </c>
      <c r="AO19" s="8735" t="s">
        <v>5329</v>
      </c>
      <c r="AP19" s="8736" t="s">
        <v>5330</v>
      </c>
      <c r="AQ19" s="8734" t="s">
        <v>5331</v>
      </c>
      <c r="AR19" s="8736" t="s">
        <v>5332</v>
      </c>
      <c r="AS19" s="8737" t="s">
        <v>5333</v>
      </c>
      <c r="AT19" s="8738" t="s">
        <v>5334</v>
      </c>
      <c r="AU19" s="8737" t="s">
        <v>5335</v>
      </c>
      <c r="AV19" s="8738" t="s">
        <v>5336</v>
      </c>
      <c r="AW19" s="8736" t="s">
        <v>5337</v>
      </c>
      <c r="AX19" s="8736" t="s">
        <v>5338</v>
      </c>
      <c r="AY19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9" s="2465" t="str">
        <f t="shared" si="1"/>
        <v xml:space="preserve">  * La variable Beneficiarios No puede ser mayor al Total.</v>
      </c>
      <c r="CD19" s="2465" t="str">
        <f t="shared" si="2"/>
        <v xml:space="preserve">  * La variable pueblos originarios No puede ser mayor al Total.</v>
      </c>
      <c r="CE19" s="2465" t="str">
        <f t="shared" si="3"/>
        <v xml:space="preserve">  * La variable Migrantes No puede ser mayor al Total.</v>
      </c>
      <c r="CF19" s="2465" t="str">
        <f t="shared" si="4"/>
        <v xml:space="preserve">  * La variable Niños, niñas, adolescentes y Jóvenes SENAME No puede ser mayor al Total.</v>
      </c>
      <c r="CG19" s="2465"/>
      <c r="CH19" s="2465"/>
      <c r="CJ19" s="2466">
        <f t="shared" si="5"/>
        <v>1</v>
      </c>
      <c r="CK19" s="2466">
        <f t="shared" si="6"/>
        <v>1</v>
      </c>
      <c r="CL19" s="2466">
        <f t="shared" si="7"/>
        <v>1</v>
      </c>
      <c r="CM19" s="2466">
        <f t="shared" si="8"/>
        <v>1</v>
      </c>
      <c r="CN19" s="2466"/>
    </row>
    <row r="20" spans="1:92" s="170" customFormat="1" ht="20.399999999999999" x14ac:dyDescent="0.2">
      <c r="A20" s="6240">
        <v>31000043</v>
      </c>
      <c r="B20" s="8426"/>
      <c r="C20" s="1472" t="s">
        <v>1242</v>
      </c>
      <c r="D20" s="1473" t="s">
        <v>5292</v>
      </c>
      <c r="E20" s="8731" t="s">
        <v>5293</v>
      </c>
      <c r="F20" s="8739" t="s">
        <v>5294</v>
      </c>
      <c r="G20" s="8675" t="s">
        <v>5295</v>
      </c>
      <c r="H20" s="8672" t="s">
        <v>5296</v>
      </c>
      <c r="I20" s="8733" t="s">
        <v>5297</v>
      </c>
      <c r="J20" s="8672" t="s">
        <v>5298</v>
      </c>
      <c r="K20" s="8733" t="s">
        <v>5299</v>
      </c>
      <c r="L20" s="8734" t="s">
        <v>5300</v>
      </c>
      <c r="M20" s="8733" t="s">
        <v>5301</v>
      </c>
      <c r="N20" s="8734" t="s">
        <v>5302</v>
      </c>
      <c r="O20" s="8733" t="s">
        <v>5303</v>
      </c>
      <c r="P20" s="8734" t="s">
        <v>5304</v>
      </c>
      <c r="Q20" s="8733" t="s">
        <v>5305</v>
      </c>
      <c r="R20" s="8734" t="s">
        <v>5306</v>
      </c>
      <c r="S20" s="8733" t="s">
        <v>5307</v>
      </c>
      <c r="T20" s="8734" t="s">
        <v>5308</v>
      </c>
      <c r="U20" s="8733" t="s">
        <v>5309</v>
      </c>
      <c r="V20" s="8734" t="s">
        <v>5310</v>
      </c>
      <c r="W20" s="8733" t="s">
        <v>5311</v>
      </c>
      <c r="X20" s="8734" t="s">
        <v>5312</v>
      </c>
      <c r="Y20" s="8733" t="s">
        <v>5313</v>
      </c>
      <c r="Z20" s="8734" t="s">
        <v>5314</v>
      </c>
      <c r="AA20" s="8733" t="s">
        <v>5315</v>
      </c>
      <c r="AB20" s="8734" t="s">
        <v>5316</v>
      </c>
      <c r="AC20" s="8733" t="s">
        <v>5317</v>
      </c>
      <c r="AD20" s="8734" t="s">
        <v>5318</v>
      </c>
      <c r="AE20" s="8733" t="s">
        <v>5319</v>
      </c>
      <c r="AF20" s="8734" t="s">
        <v>5320</v>
      </c>
      <c r="AG20" s="8733" t="s">
        <v>5321</v>
      </c>
      <c r="AH20" s="8734" t="s">
        <v>5322</v>
      </c>
      <c r="AI20" s="8733" t="s">
        <v>5323</v>
      </c>
      <c r="AJ20" s="8734" t="s">
        <v>5324</v>
      </c>
      <c r="AK20" s="8733" t="s">
        <v>5325</v>
      </c>
      <c r="AL20" s="8734" t="s">
        <v>5326</v>
      </c>
      <c r="AM20" s="8733" t="s">
        <v>5327</v>
      </c>
      <c r="AN20" s="8680" t="s">
        <v>5328</v>
      </c>
      <c r="AO20" s="8735" t="s">
        <v>5329</v>
      </c>
      <c r="AP20" s="8736" t="s">
        <v>5330</v>
      </c>
      <c r="AQ20" s="8734" t="s">
        <v>5331</v>
      </c>
      <c r="AR20" s="8736" t="s">
        <v>5332</v>
      </c>
      <c r="AS20" s="8737" t="s">
        <v>5333</v>
      </c>
      <c r="AT20" s="8738" t="s">
        <v>5334</v>
      </c>
      <c r="AU20" s="8737" t="s">
        <v>5335</v>
      </c>
      <c r="AV20" s="8738" t="s">
        <v>5336</v>
      </c>
      <c r="AW20" s="8736" t="s">
        <v>5337</v>
      </c>
      <c r="AX20" s="8736" t="s">
        <v>5338</v>
      </c>
      <c r="AY20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0" s="2465" t="str">
        <f t="shared" si="1"/>
        <v xml:space="preserve">  * La variable Beneficiarios No puede ser mayor al Total.</v>
      </c>
      <c r="CD20" s="2465" t="str">
        <f t="shared" si="2"/>
        <v xml:space="preserve">  * La variable pueblos originarios No puede ser mayor al Total.</v>
      </c>
      <c r="CE20" s="2465" t="str">
        <f t="shared" si="3"/>
        <v xml:space="preserve">  * La variable Migrantes No puede ser mayor al Total.</v>
      </c>
      <c r="CF20" s="2465" t="str">
        <f t="shared" si="4"/>
        <v xml:space="preserve">  * La variable Niños, niñas, adolescentes y Jóvenes SENAME No puede ser mayor al Total.</v>
      </c>
      <c r="CG20" s="2465"/>
      <c r="CH20" s="2465"/>
      <c r="CJ20" s="2466">
        <f t="shared" si="5"/>
        <v>1</v>
      </c>
      <c r="CK20" s="2466">
        <f t="shared" si="6"/>
        <v>1</v>
      </c>
      <c r="CL20" s="2466">
        <f t="shared" si="7"/>
        <v>1</v>
      </c>
      <c r="CM20" s="2466">
        <f t="shared" si="8"/>
        <v>1</v>
      </c>
      <c r="CN20" s="2466"/>
    </row>
    <row r="21" spans="1:92" s="170" customFormat="1" ht="15" customHeight="1" x14ac:dyDescent="0.2">
      <c r="A21" s="6240">
        <v>31000044</v>
      </c>
      <c r="B21" s="8426"/>
      <c r="C21" s="1472" t="s">
        <v>1243</v>
      </c>
      <c r="D21" s="1473" t="s">
        <v>5292</v>
      </c>
      <c r="E21" s="8731" t="s">
        <v>5293</v>
      </c>
      <c r="F21" s="8739" t="s">
        <v>5294</v>
      </c>
      <c r="G21" s="8675" t="s">
        <v>5295</v>
      </c>
      <c r="H21" s="8672" t="s">
        <v>5296</v>
      </c>
      <c r="I21" s="8733" t="s">
        <v>5297</v>
      </c>
      <c r="J21" s="8672" t="s">
        <v>5298</v>
      </c>
      <c r="K21" s="8733" t="s">
        <v>5299</v>
      </c>
      <c r="L21" s="8734" t="s">
        <v>5300</v>
      </c>
      <c r="M21" s="8733" t="s">
        <v>5301</v>
      </c>
      <c r="N21" s="8734" t="s">
        <v>5302</v>
      </c>
      <c r="O21" s="8733" t="s">
        <v>5303</v>
      </c>
      <c r="P21" s="8734" t="s">
        <v>5304</v>
      </c>
      <c r="Q21" s="8733" t="s">
        <v>5305</v>
      </c>
      <c r="R21" s="8734" t="s">
        <v>5306</v>
      </c>
      <c r="S21" s="8733" t="s">
        <v>5307</v>
      </c>
      <c r="T21" s="8734" t="s">
        <v>5308</v>
      </c>
      <c r="U21" s="8733" t="s">
        <v>5309</v>
      </c>
      <c r="V21" s="8734" t="s">
        <v>5310</v>
      </c>
      <c r="W21" s="8733" t="s">
        <v>5311</v>
      </c>
      <c r="X21" s="8734" t="s">
        <v>5312</v>
      </c>
      <c r="Y21" s="8733" t="s">
        <v>5313</v>
      </c>
      <c r="Z21" s="8734" t="s">
        <v>5314</v>
      </c>
      <c r="AA21" s="8733" t="s">
        <v>5315</v>
      </c>
      <c r="AB21" s="8734" t="s">
        <v>5316</v>
      </c>
      <c r="AC21" s="8733" t="s">
        <v>5317</v>
      </c>
      <c r="AD21" s="8734" t="s">
        <v>5318</v>
      </c>
      <c r="AE21" s="8733" t="s">
        <v>5319</v>
      </c>
      <c r="AF21" s="8734" t="s">
        <v>5320</v>
      </c>
      <c r="AG21" s="8733" t="s">
        <v>5321</v>
      </c>
      <c r="AH21" s="8734" t="s">
        <v>5322</v>
      </c>
      <c r="AI21" s="8733" t="s">
        <v>5323</v>
      </c>
      <c r="AJ21" s="8734" t="s">
        <v>5324</v>
      </c>
      <c r="AK21" s="8733" t="s">
        <v>5325</v>
      </c>
      <c r="AL21" s="8734" t="s">
        <v>5326</v>
      </c>
      <c r="AM21" s="8733" t="s">
        <v>5327</v>
      </c>
      <c r="AN21" s="8680" t="s">
        <v>5328</v>
      </c>
      <c r="AO21" s="8735" t="s">
        <v>5329</v>
      </c>
      <c r="AP21" s="8736" t="s">
        <v>5330</v>
      </c>
      <c r="AQ21" s="8734" t="s">
        <v>5331</v>
      </c>
      <c r="AR21" s="8736" t="s">
        <v>5332</v>
      </c>
      <c r="AS21" s="8737" t="s">
        <v>5333</v>
      </c>
      <c r="AT21" s="8738" t="s">
        <v>5334</v>
      </c>
      <c r="AU21" s="8737" t="s">
        <v>5335</v>
      </c>
      <c r="AV21" s="8738" t="s">
        <v>5336</v>
      </c>
      <c r="AW21" s="8736" t="s">
        <v>5337</v>
      </c>
      <c r="AX21" s="8736" t="s">
        <v>5338</v>
      </c>
      <c r="AY21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1" s="2465" t="str">
        <f t="shared" si="1"/>
        <v xml:space="preserve">  * La variable Beneficiarios No puede ser mayor al Total.</v>
      </c>
      <c r="CD21" s="2465" t="str">
        <f t="shared" si="2"/>
        <v xml:space="preserve">  * La variable pueblos originarios No puede ser mayor al Total.</v>
      </c>
      <c r="CE21" s="2465" t="str">
        <f t="shared" si="3"/>
        <v xml:space="preserve">  * La variable Migrantes No puede ser mayor al Total.</v>
      </c>
      <c r="CF21" s="2465" t="str">
        <f t="shared" si="4"/>
        <v xml:space="preserve">  * La variable Niños, niñas, adolescentes y Jóvenes SENAME No puede ser mayor al Total.</v>
      </c>
      <c r="CG21" s="2465"/>
      <c r="CH21" s="2465"/>
      <c r="CJ21" s="2466">
        <f t="shared" si="5"/>
        <v>1</v>
      </c>
      <c r="CK21" s="2466">
        <f t="shared" si="6"/>
        <v>1</v>
      </c>
      <c r="CL21" s="2466">
        <f t="shared" si="7"/>
        <v>1</v>
      </c>
      <c r="CM21" s="2466">
        <f t="shared" si="8"/>
        <v>1</v>
      </c>
      <c r="CN21" s="2466"/>
    </row>
    <row r="22" spans="1:92" s="170" customFormat="1" ht="15" customHeight="1" x14ac:dyDescent="0.2">
      <c r="A22" s="6240">
        <v>31000005</v>
      </c>
      <c r="B22" s="8426"/>
      <c r="C22" s="1472" t="s">
        <v>1244</v>
      </c>
      <c r="D22" s="1473" t="s">
        <v>5292</v>
      </c>
      <c r="E22" s="8731" t="s">
        <v>5293</v>
      </c>
      <c r="F22" s="8739" t="s">
        <v>5294</v>
      </c>
      <c r="G22" s="8675" t="s">
        <v>5295</v>
      </c>
      <c r="H22" s="8672" t="s">
        <v>5296</v>
      </c>
      <c r="I22" s="8733" t="s">
        <v>5297</v>
      </c>
      <c r="J22" s="8672" t="s">
        <v>5298</v>
      </c>
      <c r="K22" s="8733" t="s">
        <v>5299</v>
      </c>
      <c r="L22" s="8734" t="s">
        <v>5300</v>
      </c>
      <c r="M22" s="8733" t="s">
        <v>5301</v>
      </c>
      <c r="N22" s="8734" t="s">
        <v>5302</v>
      </c>
      <c r="O22" s="8733" t="s">
        <v>5303</v>
      </c>
      <c r="P22" s="8734" t="s">
        <v>5304</v>
      </c>
      <c r="Q22" s="8733" t="s">
        <v>5305</v>
      </c>
      <c r="R22" s="8734" t="s">
        <v>5306</v>
      </c>
      <c r="S22" s="8733" t="s">
        <v>5307</v>
      </c>
      <c r="T22" s="8734" t="s">
        <v>5308</v>
      </c>
      <c r="U22" s="8733" t="s">
        <v>5309</v>
      </c>
      <c r="V22" s="8734" t="s">
        <v>5310</v>
      </c>
      <c r="W22" s="8733" t="s">
        <v>5311</v>
      </c>
      <c r="X22" s="8734" t="s">
        <v>5312</v>
      </c>
      <c r="Y22" s="8733" t="s">
        <v>5313</v>
      </c>
      <c r="Z22" s="8734" t="s">
        <v>5314</v>
      </c>
      <c r="AA22" s="8733" t="s">
        <v>5315</v>
      </c>
      <c r="AB22" s="8734" t="s">
        <v>5316</v>
      </c>
      <c r="AC22" s="8733" t="s">
        <v>5317</v>
      </c>
      <c r="AD22" s="8734" t="s">
        <v>5318</v>
      </c>
      <c r="AE22" s="8733" t="s">
        <v>5319</v>
      </c>
      <c r="AF22" s="8734" t="s">
        <v>5320</v>
      </c>
      <c r="AG22" s="8733" t="s">
        <v>5321</v>
      </c>
      <c r="AH22" s="8734" t="s">
        <v>5322</v>
      </c>
      <c r="AI22" s="8733" t="s">
        <v>5323</v>
      </c>
      <c r="AJ22" s="8734" t="s">
        <v>5324</v>
      </c>
      <c r="AK22" s="8733" t="s">
        <v>5325</v>
      </c>
      <c r="AL22" s="8734" t="s">
        <v>5326</v>
      </c>
      <c r="AM22" s="8733" t="s">
        <v>5327</v>
      </c>
      <c r="AN22" s="8680" t="s">
        <v>5328</v>
      </c>
      <c r="AO22" s="8735" t="s">
        <v>5329</v>
      </c>
      <c r="AP22" s="8736" t="s">
        <v>5330</v>
      </c>
      <c r="AQ22" s="8734" t="s">
        <v>5331</v>
      </c>
      <c r="AR22" s="8736" t="s">
        <v>5332</v>
      </c>
      <c r="AS22" s="8737" t="s">
        <v>5333</v>
      </c>
      <c r="AT22" s="8738" t="s">
        <v>5334</v>
      </c>
      <c r="AU22" s="8737" t="s">
        <v>5335</v>
      </c>
      <c r="AV22" s="8738" t="s">
        <v>5336</v>
      </c>
      <c r="AW22" s="8736" t="s">
        <v>5337</v>
      </c>
      <c r="AX22" s="8736" t="s">
        <v>5338</v>
      </c>
      <c r="AY22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2" s="2465" t="str">
        <f t="shared" si="1"/>
        <v xml:space="preserve">  * La variable Beneficiarios No puede ser mayor al Total.</v>
      </c>
      <c r="CD22" s="2465" t="str">
        <f t="shared" si="2"/>
        <v xml:space="preserve">  * La variable pueblos originarios No puede ser mayor al Total.</v>
      </c>
      <c r="CE22" s="2465" t="str">
        <f t="shared" si="3"/>
        <v xml:space="preserve">  * La variable Migrantes No puede ser mayor al Total.</v>
      </c>
      <c r="CF22" s="2465" t="str">
        <f t="shared" si="4"/>
        <v xml:space="preserve">  * La variable Niños, niñas, adolescentes y Jóvenes SENAME No puede ser mayor al Total.</v>
      </c>
      <c r="CG22" s="2465"/>
      <c r="CH22" s="2465"/>
      <c r="CJ22" s="2466">
        <f t="shared" si="5"/>
        <v>1</v>
      </c>
      <c r="CK22" s="2466">
        <f t="shared" si="6"/>
        <v>1</v>
      </c>
      <c r="CL22" s="2466">
        <f t="shared" si="7"/>
        <v>1</v>
      </c>
      <c r="CM22" s="2466">
        <f t="shared" si="8"/>
        <v>1</v>
      </c>
      <c r="CN22" s="2466"/>
    </row>
    <row r="23" spans="1:92" s="170" customFormat="1" ht="15" customHeight="1" x14ac:dyDescent="0.2">
      <c r="A23" s="6240">
        <v>31000045</v>
      </c>
      <c r="B23" s="8426"/>
      <c r="C23" s="1472" t="s">
        <v>1245</v>
      </c>
      <c r="D23" s="1473" t="s">
        <v>5292</v>
      </c>
      <c r="E23" s="8741" t="s">
        <v>5293</v>
      </c>
      <c r="F23" s="8742" t="s">
        <v>5294</v>
      </c>
      <c r="G23" s="8743" t="s">
        <v>5295</v>
      </c>
      <c r="H23" s="8744" t="s">
        <v>5296</v>
      </c>
      <c r="I23" s="8745" t="s">
        <v>5297</v>
      </c>
      <c r="J23" s="8744" t="s">
        <v>5298</v>
      </c>
      <c r="K23" s="8745" t="s">
        <v>5299</v>
      </c>
      <c r="L23" s="8746" t="s">
        <v>5300</v>
      </c>
      <c r="M23" s="8745" t="s">
        <v>5301</v>
      </c>
      <c r="N23" s="8746" t="s">
        <v>5302</v>
      </c>
      <c r="O23" s="8745" t="s">
        <v>5303</v>
      </c>
      <c r="P23" s="8746" t="s">
        <v>5304</v>
      </c>
      <c r="Q23" s="8745" t="s">
        <v>5305</v>
      </c>
      <c r="R23" s="8746" t="s">
        <v>5306</v>
      </c>
      <c r="S23" s="8745" t="s">
        <v>5307</v>
      </c>
      <c r="T23" s="8746" t="s">
        <v>5308</v>
      </c>
      <c r="U23" s="8745" t="s">
        <v>5309</v>
      </c>
      <c r="V23" s="8746" t="s">
        <v>5310</v>
      </c>
      <c r="W23" s="8745" t="s">
        <v>5311</v>
      </c>
      <c r="X23" s="8746" t="s">
        <v>5312</v>
      </c>
      <c r="Y23" s="8745" t="s">
        <v>5313</v>
      </c>
      <c r="Z23" s="8746" t="s">
        <v>5314</v>
      </c>
      <c r="AA23" s="8745" t="s">
        <v>5315</v>
      </c>
      <c r="AB23" s="8746" t="s">
        <v>5316</v>
      </c>
      <c r="AC23" s="8745" t="s">
        <v>5317</v>
      </c>
      <c r="AD23" s="8746" t="s">
        <v>5318</v>
      </c>
      <c r="AE23" s="8745" t="s">
        <v>5319</v>
      </c>
      <c r="AF23" s="8746" t="s">
        <v>5320</v>
      </c>
      <c r="AG23" s="8745" t="s">
        <v>5321</v>
      </c>
      <c r="AH23" s="8746" t="s">
        <v>5322</v>
      </c>
      <c r="AI23" s="8745" t="s">
        <v>5323</v>
      </c>
      <c r="AJ23" s="8746" t="s">
        <v>5324</v>
      </c>
      <c r="AK23" s="8745" t="s">
        <v>5325</v>
      </c>
      <c r="AL23" s="8746" t="s">
        <v>5326</v>
      </c>
      <c r="AM23" s="8745" t="s">
        <v>5327</v>
      </c>
      <c r="AN23" s="8747" t="s">
        <v>5328</v>
      </c>
      <c r="AO23" s="8748" t="s">
        <v>5329</v>
      </c>
      <c r="AP23" s="8749" t="s">
        <v>5330</v>
      </c>
      <c r="AQ23" s="8746" t="s">
        <v>5331</v>
      </c>
      <c r="AR23" s="8749" t="s">
        <v>5332</v>
      </c>
      <c r="AS23" s="8750" t="s">
        <v>5333</v>
      </c>
      <c r="AT23" s="8751" t="s">
        <v>5334</v>
      </c>
      <c r="AU23" s="8750" t="s">
        <v>5335</v>
      </c>
      <c r="AV23" s="8751" t="s">
        <v>5336</v>
      </c>
      <c r="AW23" s="8749" t="s">
        <v>5337</v>
      </c>
      <c r="AX23" s="8749" t="s">
        <v>5338</v>
      </c>
      <c r="AY23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3" s="2465" t="str">
        <f t="shared" si="1"/>
        <v xml:space="preserve">  * La variable Beneficiarios No puede ser mayor al Total.</v>
      </c>
      <c r="CD23" s="2465" t="str">
        <f t="shared" si="2"/>
        <v xml:space="preserve">  * La variable pueblos originarios No puede ser mayor al Total.</v>
      </c>
      <c r="CE23" s="2465" t="str">
        <f t="shared" si="3"/>
        <v xml:space="preserve">  * La variable Migrantes No puede ser mayor al Total.</v>
      </c>
      <c r="CF23" s="2465" t="str">
        <f t="shared" si="4"/>
        <v xml:space="preserve">  * La variable Niños, niñas, adolescentes y Jóvenes SENAME No puede ser mayor al Total.</v>
      </c>
      <c r="CG23" s="2465"/>
      <c r="CH23" s="2465"/>
      <c r="CJ23" s="2466">
        <f t="shared" si="5"/>
        <v>1</v>
      </c>
      <c r="CK23" s="2466">
        <f t="shared" si="6"/>
        <v>1</v>
      </c>
      <c r="CL23" s="2466">
        <f t="shared" si="7"/>
        <v>1</v>
      </c>
      <c r="CM23" s="2466">
        <f t="shared" si="8"/>
        <v>1</v>
      </c>
      <c r="CN23" s="2466"/>
    </row>
    <row r="24" spans="1:92" s="170" customFormat="1" ht="15" customHeight="1" x14ac:dyDescent="0.2">
      <c r="A24" s="6240">
        <v>31000046</v>
      </c>
      <c r="B24" s="8426"/>
      <c r="C24" s="1473" t="s">
        <v>1246</v>
      </c>
      <c r="D24" s="1473" t="s">
        <v>5292</v>
      </c>
      <c r="E24" s="8741" t="s">
        <v>5293</v>
      </c>
      <c r="F24" s="8742" t="s">
        <v>5294</v>
      </c>
      <c r="G24" s="8743" t="s">
        <v>5295</v>
      </c>
      <c r="H24" s="8744" t="s">
        <v>5296</v>
      </c>
      <c r="I24" s="8745" t="s">
        <v>5297</v>
      </c>
      <c r="J24" s="8744" t="s">
        <v>5298</v>
      </c>
      <c r="K24" s="8745" t="s">
        <v>5299</v>
      </c>
      <c r="L24" s="8746" t="s">
        <v>5300</v>
      </c>
      <c r="M24" s="8745" t="s">
        <v>5301</v>
      </c>
      <c r="N24" s="8746" t="s">
        <v>5302</v>
      </c>
      <c r="O24" s="8745" t="s">
        <v>5303</v>
      </c>
      <c r="P24" s="8746" t="s">
        <v>5304</v>
      </c>
      <c r="Q24" s="8745" t="s">
        <v>5305</v>
      </c>
      <c r="R24" s="8746" t="s">
        <v>5306</v>
      </c>
      <c r="S24" s="8745" t="s">
        <v>5307</v>
      </c>
      <c r="T24" s="8746" t="s">
        <v>5308</v>
      </c>
      <c r="U24" s="8745" t="s">
        <v>5309</v>
      </c>
      <c r="V24" s="8746" t="s">
        <v>5310</v>
      </c>
      <c r="W24" s="8745" t="s">
        <v>5311</v>
      </c>
      <c r="X24" s="8746" t="s">
        <v>5312</v>
      </c>
      <c r="Y24" s="8745" t="s">
        <v>5313</v>
      </c>
      <c r="Z24" s="8746" t="s">
        <v>5314</v>
      </c>
      <c r="AA24" s="8745" t="s">
        <v>5315</v>
      </c>
      <c r="AB24" s="8746" t="s">
        <v>5316</v>
      </c>
      <c r="AC24" s="8745" t="s">
        <v>5317</v>
      </c>
      <c r="AD24" s="8746" t="s">
        <v>5318</v>
      </c>
      <c r="AE24" s="8745" t="s">
        <v>5319</v>
      </c>
      <c r="AF24" s="8746" t="s">
        <v>5320</v>
      </c>
      <c r="AG24" s="8745" t="s">
        <v>5321</v>
      </c>
      <c r="AH24" s="8746" t="s">
        <v>5322</v>
      </c>
      <c r="AI24" s="8745" t="s">
        <v>5323</v>
      </c>
      <c r="AJ24" s="8746" t="s">
        <v>5324</v>
      </c>
      <c r="AK24" s="8745" t="s">
        <v>5325</v>
      </c>
      <c r="AL24" s="8746" t="s">
        <v>5326</v>
      </c>
      <c r="AM24" s="8745" t="s">
        <v>5327</v>
      </c>
      <c r="AN24" s="8747" t="s">
        <v>5328</v>
      </c>
      <c r="AO24" s="8748" t="s">
        <v>5329</v>
      </c>
      <c r="AP24" s="8749" t="s">
        <v>5330</v>
      </c>
      <c r="AQ24" s="8746" t="s">
        <v>5331</v>
      </c>
      <c r="AR24" s="8749" t="s">
        <v>5332</v>
      </c>
      <c r="AS24" s="8750" t="s">
        <v>5333</v>
      </c>
      <c r="AT24" s="8751" t="s">
        <v>5334</v>
      </c>
      <c r="AU24" s="8750" t="s">
        <v>5335</v>
      </c>
      <c r="AV24" s="8751" t="s">
        <v>5336</v>
      </c>
      <c r="AW24" s="8749" t="s">
        <v>5337</v>
      </c>
      <c r="AX24" s="8749" t="s">
        <v>5338</v>
      </c>
      <c r="AY24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4" s="2465" t="str">
        <f t="shared" si="1"/>
        <v xml:space="preserve">  * La variable Beneficiarios No puede ser mayor al Total.</v>
      </c>
      <c r="CD24" s="2465" t="str">
        <f t="shared" si="2"/>
        <v xml:space="preserve">  * La variable pueblos originarios No puede ser mayor al Total.</v>
      </c>
      <c r="CE24" s="2465" t="str">
        <f t="shared" si="3"/>
        <v xml:space="preserve">  * La variable Migrantes No puede ser mayor al Total.</v>
      </c>
      <c r="CF24" s="2465" t="str">
        <f t="shared" si="4"/>
        <v xml:space="preserve">  * La variable Niños, niñas, adolescentes y Jóvenes SENAME No puede ser mayor al Total.</v>
      </c>
      <c r="CG24" s="2465"/>
      <c r="CH24" s="2465"/>
      <c r="CJ24" s="2466">
        <f t="shared" si="5"/>
        <v>1</v>
      </c>
      <c r="CK24" s="2466">
        <f t="shared" si="6"/>
        <v>1</v>
      </c>
      <c r="CL24" s="2466">
        <f t="shared" si="7"/>
        <v>1</v>
      </c>
      <c r="CM24" s="2466">
        <f t="shared" si="8"/>
        <v>1</v>
      </c>
      <c r="CN24" s="2466"/>
    </row>
    <row r="25" spans="1:92" s="170" customFormat="1" ht="15" customHeight="1" x14ac:dyDescent="0.2">
      <c r="A25" s="6240">
        <v>31000004</v>
      </c>
      <c r="B25" s="8426"/>
      <c r="C25" s="1469" t="s">
        <v>1247</v>
      </c>
      <c r="D25" s="1473" t="s">
        <v>5292</v>
      </c>
      <c r="E25" s="8741" t="s">
        <v>5293</v>
      </c>
      <c r="F25" s="8742" t="s">
        <v>5294</v>
      </c>
      <c r="G25" s="8743" t="s">
        <v>5295</v>
      </c>
      <c r="H25" s="8744" t="s">
        <v>5296</v>
      </c>
      <c r="I25" s="8745" t="s">
        <v>5297</v>
      </c>
      <c r="J25" s="8744" t="s">
        <v>5298</v>
      </c>
      <c r="K25" s="8745" t="s">
        <v>5299</v>
      </c>
      <c r="L25" s="8746" t="s">
        <v>5300</v>
      </c>
      <c r="M25" s="8745" t="s">
        <v>5301</v>
      </c>
      <c r="N25" s="8746" t="s">
        <v>5302</v>
      </c>
      <c r="O25" s="8745" t="s">
        <v>5303</v>
      </c>
      <c r="P25" s="8746" t="s">
        <v>5304</v>
      </c>
      <c r="Q25" s="8745" t="s">
        <v>5305</v>
      </c>
      <c r="R25" s="8746" t="s">
        <v>5306</v>
      </c>
      <c r="S25" s="8745" t="s">
        <v>5307</v>
      </c>
      <c r="T25" s="8746" t="s">
        <v>5308</v>
      </c>
      <c r="U25" s="8745" t="s">
        <v>5309</v>
      </c>
      <c r="V25" s="8746" t="s">
        <v>5310</v>
      </c>
      <c r="W25" s="8745" t="s">
        <v>5311</v>
      </c>
      <c r="X25" s="8746" t="s">
        <v>5312</v>
      </c>
      <c r="Y25" s="8745" t="s">
        <v>5313</v>
      </c>
      <c r="Z25" s="8746" t="s">
        <v>5314</v>
      </c>
      <c r="AA25" s="8745" t="s">
        <v>5315</v>
      </c>
      <c r="AB25" s="8746" t="s">
        <v>5316</v>
      </c>
      <c r="AC25" s="8745" t="s">
        <v>5317</v>
      </c>
      <c r="AD25" s="8746" t="s">
        <v>5318</v>
      </c>
      <c r="AE25" s="8745" t="s">
        <v>5319</v>
      </c>
      <c r="AF25" s="8746" t="s">
        <v>5320</v>
      </c>
      <c r="AG25" s="8745" t="s">
        <v>5321</v>
      </c>
      <c r="AH25" s="8746" t="s">
        <v>5322</v>
      </c>
      <c r="AI25" s="8745" t="s">
        <v>5323</v>
      </c>
      <c r="AJ25" s="8746" t="s">
        <v>5324</v>
      </c>
      <c r="AK25" s="8745" t="s">
        <v>5325</v>
      </c>
      <c r="AL25" s="8746" t="s">
        <v>5326</v>
      </c>
      <c r="AM25" s="8745" t="s">
        <v>5327</v>
      </c>
      <c r="AN25" s="8747" t="s">
        <v>5328</v>
      </c>
      <c r="AO25" s="8748" t="s">
        <v>5329</v>
      </c>
      <c r="AP25" s="8749" t="s">
        <v>5330</v>
      </c>
      <c r="AQ25" s="8746" t="s">
        <v>5331</v>
      </c>
      <c r="AR25" s="8749" t="s">
        <v>5332</v>
      </c>
      <c r="AS25" s="8750" t="s">
        <v>5333</v>
      </c>
      <c r="AT25" s="8751" t="s">
        <v>5334</v>
      </c>
      <c r="AU25" s="8750" t="s">
        <v>5335</v>
      </c>
      <c r="AV25" s="8751" t="s">
        <v>5336</v>
      </c>
      <c r="AW25" s="8749" t="s">
        <v>5337</v>
      </c>
      <c r="AX25" s="8749" t="s">
        <v>5338</v>
      </c>
      <c r="AY25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5" s="2465" t="str">
        <f t="shared" si="1"/>
        <v xml:space="preserve">  * La variable Beneficiarios No puede ser mayor al Total.</v>
      </c>
      <c r="CD25" s="2465" t="str">
        <f t="shared" si="2"/>
        <v xml:space="preserve">  * La variable pueblos originarios No puede ser mayor al Total.</v>
      </c>
      <c r="CE25" s="2465" t="str">
        <f t="shared" si="3"/>
        <v xml:space="preserve">  * La variable Migrantes No puede ser mayor al Total.</v>
      </c>
      <c r="CF25" s="2465" t="str">
        <f t="shared" si="4"/>
        <v xml:space="preserve">  * La variable Niños, niñas, adolescentes y Jóvenes SENAME No puede ser mayor al Total.</v>
      </c>
      <c r="CG25" s="2465"/>
      <c r="CH25" s="2465"/>
      <c r="CJ25" s="2466">
        <f t="shared" si="5"/>
        <v>1</v>
      </c>
      <c r="CK25" s="2466">
        <f t="shared" si="6"/>
        <v>1</v>
      </c>
      <c r="CL25" s="2466">
        <f t="shared" si="7"/>
        <v>1</v>
      </c>
      <c r="CM25" s="2466">
        <f t="shared" si="8"/>
        <v>1</v>
      </c>
      <c r="CN25" s="2466"/>
    </row>
    <row r="26" spans="1:92" s="170" customFormat="1" ht="15" customHeight="1" x14ac:dyDescent="0.2">
      <c r="A26" s="6240">
        <v>31000003</v>
      </c>
      <c r="B26" s="8426"/>
      <c r="C26" s="1474" t="s">
        <v>1248</v>
      </c>
      <c r="D26" s="1473" t="s">
        <v>5292</v>
      </c>
      <c r="E26" s="8741" t="s">
        <v>5293</v>
      </c>
      <c r="F26" s="8742" t="s">
        <v>5294</v>
      </c>
      <c r="G26" s="8743" t="s">
        <v>5295</v>
      </c>
      <c r="H26" s="8744" t="s">
        <v>5296</v>
      </c>
      <c r="I26" s="8745" t="s">
        <v>5297</v>
      </c>
      <c r="J26" s="8744" t="s">
        <v>5298</v>
      </c>
      <c r="K26" s="8745" t="s">
        <v>5299</v>
      </c>
      <c r="L26" s="8746" t="s">
        <v>5300</v>
      </c>
      <c r="M26" s="8745" t="s">
        <v>5301</v>
      </c>
      <c r="N26" s="8746" t="s">
        <v>5302</v>
      </c>
      <c r="O26" s="8745" t="s">
        <v>5303</v>
      </c>
      <c r="P26" s="8746" t="s">
        <v>5304</v>
      </c>
      <c r="Q26" s="8745" t="s">
        <v>5305</v>
      </c>
      <c r="R26" s="8746" t="s">
        <v>5306</v>
      </c>
      <c r="S26" s="8745" t="s">
        <v>5307</v>
      </c>
      <c r="T26" s="8746" t="s">
        <v>5308</v>
      </c>
      <c r="U26" s="8745" t="s">
        <v>5309</v>
      </c>
      <c r="V26" s="8746" t="s">
        <v>5310</v>
      </c>
      <c r="W26" s="8745" t="s">
        <v>5311</v>
      </c>
      <c r="X26" s="8746" t="s">
        <v>5312</v>
      </c>
      <c r="Y26" s="8745" t="s">
        <v>5313</v>
      </c>
      <c r="Z26" s="8746" t="s">
        <v>5314</v>
      </c>
      <c r="AA26" s="8745" t="s">
        <v>5315</v>
      </c>
      <c r="AB26" s="8746" t="s">
        <v>5316</v>
      </c>
      <c r="AC26" s="8745" t="s">
        <v>5317</v>
      </c>
      <c r="AD26" s="8746" t="s">
        <v>5318</v>
      </c>
      <c r="AE26" s="8745" t="s">
        <v>5319</v>
      </c>
      <c r="AF26" s="8746" t="s">
        <v>5320</v>
      </c>
      <c r="AG26" s="8745" t="s">
        <v>5321</v>
      </c>
      <c r="AH26" s="8746" t="s">
        <v>5322</v>
      </c>
      <c r="AI26" s="8745" t="s">
        <v>5323</v>
      </c>
      <c r="AJ26" s="8746" t="s">
        <v>5324</v>
      </c>
      <c r="AK26" s="8745" t="s">
        <v>5325</v>
      </c>
      <c r="AL26" s="8746" t="s">
        <v>5326</v>
      </c>
      <c r="AM26" s="8745" t="s">
        <v>5327</v>
      </c>
      <c r="AN26" s="8747" t="s">
        <v>5328</v>
      </c>
      <c r="AO26" s="8748" t="s">
        <v>5329</v>
      </c>
      <c r="AP26" s="8749" t="s">
        <v>5330</v>
      </c>
      <c r="AQ26" s="8746" t="s">
        <v>5331</v>
      </c>
      <c r="AR26" s="8749" t="s">
        <v>5332</v>
      </c>
      <c r="AS26" s="8750" t="s">
        <v>5333</v>
      </c>
      <c r="AT26" s="8751" t="s">
        <v>5334</v>
      </c>
      <c r="AU26" s="8750" t="s">
        <v>5335</v>
      </c>
      <c r="AV26" s="8751" t="s">
        <v>5336</v>
      </c>
      <c r="AW26" s="8749" t="s">
        <v>5337</v>
      </c>
      <c r="AX26" s="8749" t="s">
        <v>5338</v>
      </c>
      <c r="AY26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6" s="2465" t="str">
        <f t="shared" si="1"/>
        <v xml:space="preserve">  * La variable Beneficiarios No puede ser mayor al Total.</v>
      </c>
      <c r="CD26" s="2465" t="str">
        <f t="shared" si="2"/>
        <v xml:space="preserve">  * La variable pueblos originarios No puede ser mayor al Total.</v>
      </c>
      <c r="CE26" s="2465" t="str">
        <f t="shared" si="3"/>
        <v xml:space="preserve">  * La variable Migrantes No puede ser mayor al Total.</v>
      </c>
      <c r="CF26" s="2465" t="str">
        <f t="shared" si="4"/>
        <v xml:space="preserve">  * La variable Niños, niñas, adolescentes y Jóvenes SENAME No puede ser mayor al Total.</v>
      </c>
      <c r="CG26" s="2465"/>
      <c r="CH26" s="2465"/>
      <c r="CJ26" s="2466">
        <f t="shared" si="5"/>
        <v>1</v>
      </c>
      <c r="CK26" s="2466">
        <f t="shared" si="6"/>
        <v>1</v>
      </c>
      <c r="CL26" s="2466">
        <f t="shared" si="7"/>
        <v>1</v>
      </c>
      <c r="CM26" s="2466">
        <f t="shared" si="8"/>
        <v>1</v>
      </c>
      <c r="CN26" s="2466"/>
    </row>
    <row r="27" spans="1:92" s="170" customFormat="1" ht="15" customHeight="1" x14ac:dyDescent="0.2">
      <c r="A27" s="6240">
        <v>31000008</v>
      </c>
      <c r="B27" s="8427"/>
      <c r="C27" s="1469" t="s">
        <v>44</v>
      </c>
      <c r="D27" s="8752" t="s">
        <v>5292</v>
      </c>
      <c r="E27" s="8741" t="s">
        <v>5293</v>
      </c>
      <c r="F27" s="8753" t="s">
        <v>5294</v>
      </c>
      <c r="G27" s="8743" t="s">
        <v>5295</v>
      </c>
      <c r="H27" s="8744" t="s">
        <v>5296</v>
      </c>
      <c r="I27" s="8745" t="s">
        <v>5297</v>
      </c>
      <c r="J27" s="8744" t="s">
        <v>5298</v>
      </c>
      <c r="K27" s="8745" t="s">
        <v>5299</v>
      </c>
      <c r="L27" s="8746" t="s">
        <v>5300</v>
      </c>
      <c r="M27" s="8745" t="s">
        <v>5301</v>
      </c>
      <c r="N27" s="8746" t="s">
        <v>5302</v>
      </c>
      <c r="O27" s="8745" t="s">
        <v>5303</v>
      </c>
      <c r="P27" s="8746" t="s">
        <v>5304</v>
      </c>
      <c r="Q27" s="8745" t="s">
        <v>5305</v>
      </c>
      <c r="R27" s="8746" t="s">
        <v>5306</v>
      </c>
      <c r="S27" s="8745" t="s">
        <v>5307</v>
      </c>
      <c r="T27" s="8746" t="s">
        <v>5308</v>
      </c>
      <c r="U27" s="8745" t="s">
        <v>5309</v>
      </c>
      <c r="V27" s="8746" t="s">
        <v>5310</v>
      </c>
      <c r="W27" s="8745" t="s">
        <v>5311</v>
      </c>
      <c r="X27" s="8746" t="s">
        <v>5312</v>
      </c>
      <c r="Y27" s="8745" t="s">
        <v>5313</v>
      </c>
      <c r="Z27" s="8746" t="s">
        <v>5314</v>
      </c>
      <c r="AA27" s="8745" t="s">
        <v>5315</v>
      </c>
      <c r="AB27" s="8746" t="s">
        <v>5316</v>
      </c>
      <c r="AC27" s="8745" t="s">
        <v>5317</v>
      </c>
      <c r="AD27" s="8746" t="s">
        <v>5318</v>
      </c>
      <c r="AE27" s="8745" t="s">
        <v>5319</v>
      </c>
      <c r="AF27" s="8746" t="s">
        <v>5320</v>
      </c>
      <c r="AG27" s="8745" t="s">
        <v>5321</v>
      </c>
      <c r="AH27" s="8746" t="s">
        <v>5322</v>
      </c>
      <c r="AI27" s="8745" t="s">
        <v>5323</v>
      </c>
      <c r="AJ27" s="8746" t="s">
        <v>5324</v>
      </c>
      <c r="AK27" s="8745" t="s">
        <v>5325</v>
      </c>
      <c r="AL27" s="8746" t="s">
        <v>5326</v>
      </c>
      <c r="AM27" s="8745" t="s">
        <v>5327</v>
      </c>
      <c r="AN27" s="8664" t="s">
        <v>5328</v>
      </c>
      <c r="AO27" s="8748" t="s">
        <v>5329</v>
      </c>
      <c r="AP27" s="8749" t="s">
        <v>5330</v>
      </c>
      <c r="AQ27" s="8746" t="s">
        <v>5331</v>
      </c>
      <c r="AR27" s="8749" t="s">
        <v>5332</v>
      </c>
      <c r="AS27" s="8750" t="s">
        <v>5333</v>
      </c>
      <c r="AT27" s="8751" t="s">
        <v>5334</v>
      </c>
      <c r="AU27" s="8750" t="s">
        <v>5335</v>
      </c>
      <c r="AV27" s="8751" t="s">
        <v>5336</v>
      </c>
      <c r="AW27" s="8749" t="s">
        <v>5337</v>
      </c>
      <c r="AX27" s="8749" t="s">
        <v>5338</v>
      </c>
      <c r="AY27" s="170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7" s="2465" t="str">
        <f t="shared" si="1"/>
        <v xml:space="preserve">  * La variable Beneficiarios No puede ser mayor al Total.</v>
      </c>
      <c r="CD27" s="2465" t="str">
        <f t="shared" si="2"/>
        <v xml:space="preserve">  * La variable pueblos originarios No puede ser mayor al Total.</v>
      </c>
      <c r="CE27" s="2465" t="str">
        <f t="shared" si="3"/>
        <v xml:space="preserve">  * La variable Migrantes No puede ser mayor al Total.</v>
      </c>
      <c r="CF27" s="2465" t="str">
        <f t="shared" si="4"/>
        <v xml:space="preserve">  * La variable Niños, niñas, adolescentes y Jóvenes SENAME No puede ser mayor al Total.</v>
      </c>
      <c r="CG27" s="2465"/>
      <c r="CH27" s="2465"/>
      <c r="CJ27" s="2466">
        <f t="shared" si="5"/>
        <v>1</v>
      </c>
      <c r="CK27" s="2466">
        <f t="shared" si="6"/>
        <v>1</v>
      </c>
      <c r="CL27" s="2466">
        <f t="shared" si="7"/>
        <v>1</v>
      </c>
      <c r="CM27" s="2466">
        <f t="shared" si="8"/>
        <v>1</v>
      </c>
      <c r="CN27" s="2466"/>
    </row>
    <row r="28" spans="1:92" s="170" customFormat="1" ht="15" customHeight="1" x14ac:dyDescent="0.2">
      <c r="A28" s="6300"/>
      <c r="B28" s="8413" t="s">
        <v>24</v>
      </c>
      <c r="C28" s="8416"/>
      <c r="D28" s="2490">
        <f t="shared" ref="D13:D28" si="9">+E28+F28</f>
        <v>0</v>
      </c>
      <c r="E28" s="1399">
        <f>+G28+I28+K28+M28+O28+Q28+S28+U28+W28+Y28+AA28+AC28+AE28+AG28+AI28+AK28+AM28</f>
        <v>0</v>
      </c>
      <c r="F28" s="1402">
        <f>+H28+J28+L28+N28+P28+R28+T28+V28+X28+Z28+AB28+AD28+AF28+AH28+AJ28+AL28+AN28</f>
        <v>0</v>
      </c>
      <c r="G28" s="1399">
        <f>SUM(G12:G27)</f>
        <v>0</v>
      </c>
      <c r="H28" s="1401">
        <f>SUM(H12:H27)</f>
        <v>0</v>
      </c>
      <c r="I28" s="1399">
        <f t="shared" ref="I28:AX28" si="10">SUM(I12:I27)</f>
        <v>0</v>
      </c>
      <c r="J28" s="1401">
        <f t="shared" si="10"/>
        <v>0</v>
      </c>
      <c r="K28" s="1399">
        <f t="shared" si="10"/>
        <v>0</v>
      </c>
      <c r="L28" s="1401">
        <f t="shared" si="10"/>
        <v>0</v>
      </c>
      <c r="M28" s="1399">
        <f t="shared" si="10"/>
        <v>0</v>
      </c>
      <c r="N28" s="1401">
        <f t="shared" si="10"/>
        <v>0</v>
      </c>
      <c r="O28" s="1399">
        <f t="shared" si="10"/>
        <v>0</v>
      </c>
      <c r="P28" s="1401">
        <f t="shared" si="10"/>
        <v>0</v>
      </c>
      <c r="Q28" s="1399">
        <f t="shared" si="10"/>
        <v>0</v>
      </c>
      <c r="R28" s="1401">
        <f t="shared" si="10"/>
        <v>0</v>
      </c>
      <c r="S28" s="1399">
        <f t="shared" si="10"/>
        <v>0</v>
      </c>
      <c r="T28" s="1401">
        <f t="shared" si="10"/>
        <v>0</v>
      </c>
      <c r="U28" s="1399">
        <f t="shared" si="10"/>
        <v>0</v>
      </c>
      <c r="V28" s="1401">
        <f t="shared" si="10"/>
        <v>0</v>
      </c>
      <c r="W28" s="1399">
        <f t="shared" si="10"/>
        <v>0</v>
      </c>
      <c r="X28" s="1401">
        <f t="shared" si="10"/>
        <v>0</v>
      </c>
      <c r="Y28" s="1399">
        <f t="shared" si="10"/>
        <v>0</v>
      </c>
      <c r="Z28" s="1401">
        <f t="shared" si="10"/>
        <v>0</v>
      </c>
      <c r="AA28" s="1399">
        <f t="shared" si="10"/>
        <v>0</v>
      </c>
      <c r="AB28" s="1401">
        <f t="shared" si="10"/>
        <v>0</v>
      </c>
      <c r="AC28" s="1399">
        <f t="shared" si="10"/>
        <v>0</v>
      </c>
      <c r="AD28" s="1401">
        <f t="shared" si="10"/>
        <v>0</v>
      </c>
      <c r="AE28" s="1399">
        <f t="shared" si="10"/>
        <v>0</v>
      </c>
      <c r="AF28" s="1401">
        <f t="shared" si="10"/>
        <v>0</v>
      </c>
      <c r="AG28" s="1399">
        <f t="shared" si="10"/>
        <v>0</v>
      </c>
      <c r="AH28" s="1401">
        <f t="shared" si="10"/>
        <v>0</v>
      </c>
      <c r="AI28" s="1399">
        <f t="shared" si="10"/>
        <v>0</v>
      </c>
      <c r="AJ28" s="1401">
        <f t="shared" si="10"/>
        <v>0</v>
      </c>
      <c r="AK28" s="1399">
        <f t="shared" si="10"/>
        <v>0</v>
      </c>
      <c r="AL28" s="1401">
        <f t="shared" si="10"/>
        <v>0</v>
      </c>
      <c r="AM28" s="1399">
        <f>SUM(AM12:AM27)</f>
        <v>0</v>
      </c>
      <c r="AN28" s="1081">
        <f t="shared" si="10"/>
        <v>0</v>
      </c>
      <c r="AO28" s="2491">
        <f t="shared" si="10"/>
        <v>0</v>
      </c>
      <c r="AP28" s="1385">
        <f t="shared" si="10"/>
        <v>0</v>
      </c>
      <c r="AQ28" s="1402">
        <f t="shared" si="10"/>
        <v>0</v>
      </c>
      <c r="AR28" s="1385">
        <f t="shared" si="10"/>
        <v>0</v>
      </c>
      <c r="AS28" s="1397">
        <f t="shared" si="10"/>
        <v>0</v>
      </c>
      <c r="AT28" s="2491">
        <f t="shared" si="10"/>
        <v>0</v>
      </c>
      <c r="AU28" s="1397">
        <f t="shared" si="10"/>
        <v>0</v>
      </c>
      <c r="AV28" s="2491">
        <f t="shared" si="10"/>
        <v>0</v>
      </c>
      <c r="AW28" s="1385">
        <f>SUM(AW12:AW27)</f>
        <v>0</v>
      </c>
      <c r="AX28" s="1385">
        <f t="shared" si="10"/>
        <v>0</v>
      </c>
    </row>
    <row r="29" spans="1:92" s="1116" customFormat="1" ht="18" customHeight="1" x14ac:dyDescent="0.3">
      <c r="A29" s="628"/>
      <c r="B29" s="8086" t="s">
        <v>1249</v>
      </c>
      <c r="C29" s="8086"/>
      <c r="D29" s="8086"/>
      <c r="E29" s="8086"/>
      <c r="F29" s="8086"/>
      <c r="G29" s="8086"/>
      <c r="H29" s="8086"/>
      <c r="I29" s="8086"/>
      <c r="J29" s="8086"/>
      <c r="K29" s="8086"/>
      <c r="L29" s="8086"/>
      <c r="M29" s="8086"/>
    </row>
    <row r="30" spans="1:92" s="170" customFormat="1" ht="15" customHeight="1" x14ac:dyDescent="0.3">
      <c r="A30" s="628"/>
      <c r="B30" s="7640" t="s">
        <v>1250</v>
      </c>
      <c r="C30" s="7640" t="s">
        <v>24</v>
      </c>
      <c r="D30" s="8417" t="s">
        <v>1233</v>
      </c>
      <c r="E30" s="8419" t="s">
        <v>1234</v>
      </c>
      <c r="F30" s="8421" t="s">
        <v>1235</v>
      </c>
      <c r="G30" s="8413" t="s">
        <v>1251</v>
      </c>
      <c r="H30" s="8414"/>
      <c r="I30" s="8414"/>
      <c r="J30" s="8414"/>
      <c r="K30" s="8414"/>
      <c r="L30" s="8414"/>
      <c r="M30" s="8414"/>
      <c r="N30" s="8414"/>
      <c r="O30" s="8414"/>
      <c r="P30" s="8414"/>
      <c r="Q30" s="8414"/>
      <c r="R30" s="8414"/>
      <c r="S30" s="8414"/>
      <c r="T30" s="8414"/>
      <c r="U30" s="8414"/>
      <c r="V30" s="8414"/>
      <c r="W30" s="8414"/>
      <c r="X30" s="8414"/>
      <c r="Y30" s="8414"/>
      <c r="Z30" s="8414"/>
      <c r="AA30" s="8414"/>
      <c r="AB30" s="8414"/>
      <c r="AC30" s="8414"/>
      <c r="AD30" s="8414"/>
      <c r="AE30" s="8414"/>
      <c r="AF30" s="8414"/>
      <c r="AG30" s="8416"/>
    </row>
    <row r="31" spans="1:92" ht="40.799999999999997" x14ac:dyDescent="0.3">
      <c r="A31" s="628"/>
      <c r="B31" s="8409"/>
      <c r="C31" s="8409"/>
      <c r="D31" s="8418"/>
      <c r="E31" s="8420"/>
      <c r="F31" s="8422"/>
      <c r="G31" s="2492" t="s">
        <v>1237</v>
      </c>
      <c r="H31" s="2493" t="s">
        <v>1252</v>
      </c>
      <c r="I31" s="2493" t="s">
        <v>1253</v>
      </c>
      <c r="J31" s="2493" t="s">
        <v>1254</v>
      </c>
      <c r="K31" s="2494" t="s">
        <v>1239</v>
      </c>
      <c r="L31" s="2493" t="s">
        <v>1255</v>
      </c>
      <c r="M31" s="2460" t="s">
        <v>1256</v>
      </c>
      <c r="N31" s="2493" t="s">
        <v>1257</v>
      </c>
      <c r="O31" s="2493" t="s">
        <v>1241</v>
      </c>
      <c r="P31" s="2493" t="s">
        <v>1242</v>
      </c>
      <c r="Q31" s="2495" t="s">
        <v>1258</v>
      </c>
      <c r="R31" s="2496" t="s">
        <v>1243</v>
      </c>
      <c r="S31" s="2493" t="s">
        <v>1244</v>
      </c>
      <c r="T31" s="2460" t="s">
        <v>1259</v>
      </c>
      <c r="U31" s="2495" t="s">
        <v>1246</v>
      </c>
      <c r="V31" s="1465" t="s">
        <v>1260</v>
      </c>
      <c r="W31" s="2495" t="s">
        <v>1261</v>
      </c>
      <c r="X31" s="2495" t="s">
        <v>1247</v>
      </c>
      <c r="Y31" s="2460" t="s">
        <v>1248</v>
      </c>
      <c r="Z31" s="2495" t="s">
        <v>1262</v>
      </c>
      <c r="AA31" s="1465" t="s">
        <v>1263</v>
      </c>
      <c r="AB31" s="2495" t="s">
        <v>1264</v>
      </c>
      <c r="AC31" s="2493" t="s">
        <v>1265</v>
      </c>
      <c r="AD31" s="2495" t="s">
        <v>1266</v>
      </c>
      <c r="AE31" s="2495" t="s">
        <v>1267</v>
      </c>
      <c r="AF31" s="2495" t="s">
        <v>1268</v>
      </c>
      <c r="AG31" s="1464" t="s">
        <v>1269</v>
      </c>
      <c r="CC31"/>
      <c r="CD31"/>
      <c r="CE31"/>
      <c r="CF31"/>
      <c r="CG31"/>
      <c r="CH31"/>
      <c r="CJ31"/>
      <c r="CK31"/>
      <c r="CL31"/>
    </row>
    <row r="32" spans="1:92" s="170" customFormat="1" ht="15" customHeight="1" x14ac:dyDescent="0.2">
      <c r="A32" s="6240">
        <v>31000012</v>
      </c>
      <c r="B32" s="1471" t="s">
        <v>60</v>
      </c>
      <c r="C32" s="1383" t="s">
        <v>5292</v>
      </c>
      <c r="D32" s="125" t="s">
        <v>5293</v>
      </c>
      <c r="E32" s="125" t="s">
        <v>5294</v>
      </c>
      <c r="F32" s="1382" t="s">
        <v>5295</v>
      </c>
      <c r="G32" s="586" t="s">
        <v>5296</v>
      </c>
      <c r="H32" s="1069" t="s">
        <v>5297</v>
      </c>
      <c r="I32" s="1069" t="s">
        <v>5298</v>
      </c>
      <c r="J32" s="1069" t="s">
        <v>5299</v>
      </c>
      <c r="K32" s="839" t="s">
        <v>5300</v>
      </c>
      <c r="L32" s="320" t="s">
        <v>5301</v>
      </c>
      <c r="M32" s="320" t="s">
        <v>5302</v>
      </c>
      <c r="N32" s="320" t="s">
        <v>5303</v>
      </c>
      <c r="O32" s="320" t="s">
        <v>5304</v>
      </c>
      <c r="P32" s="320" t="s">
        <v>5305</v>
      </c>
      <c r="Q32" s="320" t="s">
        <v>5306</v>
      </c>
      <c r="R32" s="320" t="s">
        <v>5307</v>
      </c>
      <c r="S32" s="320" t="s">
        <v>5308</v>
      </c>
      <c r="T32" s="320" t="s">
        <v>5309</v>
      </c>
      <c r="U32" s="1079" t="s">
        <v>5310</v>
      </c>
      <c r="V32" s="320" t="s">
        <v>5311</v>
      </c>
      <c r="W32" s="320" t="s">
        <v>5312</v>
      </c>
      <c r="X32" s="320" t="s">
        <v>5313</v>
      </c>
      <c r="Y32" s="320" t="s">
        <v>5314</v>
      </c>
      <c r="Z32" s="320" t="s">
        <v>5315</v>
      </c>
      <c r="AA32" s="320" t="s">
        <v>5316</v>
      </c>
      <c r="AB32" s="320" t="s">
        <v>5317</v>
      </c>
      <c r="AC32" s="320" t="s">
        <v>5318</v>
      </c>
      <c r="AD32" s="320" t="s">
        <v>5319</v>
      </c>
      <c r="AE32" s="320" t="s">
        <v>5320</v>
      </c>
      <c r="AF32" s="320" t="s">
        <v>5321</v>
      </c>
      <c r="AG32" s="1389" t="s">
        <v>5322</v>
      </c>
      <c r="CC32" s="2465"/>
      <c r="CD32" s="2465"/>
      <c r="CE32" s="2465"/>
      <c r="CF32" s="2465"/>
      <c r="CG32" s="2465"/>
      <c r="CH32" s="2465"/>
      <c r="CJ32" s="2466"/>
      <c r="CK32" s="2466"/>
      <c r="CL32" s="2466"/>
    </row>
    <row r="33" spans="1:90" s="170" customFormat="1" ht="15" customHeight="1" x14ac:dyDescent="0.2">
      <c r="A33" s="6240">
        <v>31000013</v>
      </c>
      <c r="B33" s="1472" t="s">
        <v>301</v>
      </c>
      <c r="C33" s="1058" t="s">
        <v>5292</v>
      </c>
      <c r="D33" s="129" t="s">
        <v>5293</v>
      </c>
      <c r="E33" s="129" t="s">
        <v>5294</v>
      </c>
      <c r="F33" s="92" t="s">
        <v>5295</v>
      </c>
      <c r="G33" s="90" t="s">
        <v>5296</v>
      </c>
      <c r="H33" s="127" t="s">
        <v>5297</v>
      </c>
      <c r="I33" s="127" t="s">
        <v>5298</v>
      </c>
      <c r="J33" s="127" t="s">
        <v>5299</v>
      </c>
      <c r="K33" s="128" t="s">
        <v>5300</v>
      </c>
      <c r="L33" s="1073" t="s">
        <v>5301</v>
      </c>
      <c r="M33" s="1073" t="s">
        <v>5302</v>
      </c>
      <c r="N33" s="1073" t="s">
        <v>5303</v>
      </c>
      <c r="O33" s="1073" t="s">
        <v>5304</v>
      </c>
      <c r="P33" s="1073" t="s">
        <v>5305</v>
      </c>
      <c r="Q33" s="1073" t="s">
        <v>5306</v>
      </c>
      <c r="R33" s="1073" t="s">
        <v>5307</v>
      </c>
      <c r="S33" s="1073" t="s">
        <v>5308</v>
      </c>
      <c r="T33" s="1073" t="s">
        <v>5309</v>
      </c>
      <c r="U33" s="1059" t="s">
        <v>5310</v>
      </c>
      <c r="V33" s="1073" t="s">
        <v>5311</v>
      </c>
      <c r="W33" s="1073" t="s">
        <v>5312</v>
      </c>
      <c r="X33" s="1073" t="s">
        <v>5313</v>
      </c>
      <c r="Y33" s="1073" t="s">
        <v>5314</v>
      </c>
      <c r="Z33" s="1073" t="s">
        <v>5315</v>
      </c>
      <c r="AA33" s="1073" t="s">
        <v>5316</v>
      </c>
      <c r="AB33" s="1073" t="s">
        <v>5317</v>
      </c>
      <c r="AC33" s="1073" t="s">
        <v>5318</v>
      </c>
      <c r="AD33" s="1073" t="s">
        <v>5319</v>
      </c>
      <c r="AE33" s="1073" t="s">
        <v>5320</v>
      </c>
      <c r="AF33" s="1073" t="s">
        <v>5321</v>
      </c>
      <c r="AG33" s="83" t="s">
        <v>5322</v>
      </c>
      <c r="CC33" s="2465"/>
      <c r="CD33" s="2465"/>
      <c r="CE33" s="2465"/>
      <c r="CF33" s="2465"/>
      <c r="CG33" s="2465"/>
      <c r="CH33" s="2465"/>
      <c r="CJ33" s="2466"/>
      <c r="CK33" s="2466"/>
      <c r="CL33" s="2466"/>
    </row>
    <row r="34" spans="1:90" s="170" customFormat="1" ht="15" customHeight="1" x14ac:dyDescent="0.2">
      <c r="A34" s="6240">
        <v>31000014</v>
      </c>
      <c r="B34" s="1472" t="s">
        <v>1270</v>
      </c>
      <c r="C34" s="1058" t="s">
        <v>5292</v>
      </c>
      <c r="D34" s="129" t="s">
        <v>5293</v>
      </c>
      <c r="E34" s="129" t="s">
        <v>5294</v>
      </c>
      <c r="F34" s="92" t="s">
        <v>5295</v>
      </c>
      <c r="G34" s="90" t="s">
        <v>5296</v>
      </c>
      <c r="H34" s="127" t="s">
        <v>5297</v>
      </c>
      <c r="I34" s="127" t="s">
        <v>5298</v>
      </c>
      <c r="J34" s="127" t="s">
        <v>5299</v>
      </c>
      <c r="K34" s="128" t="s">
        <v>5300</v>
      </c>
      <c r="L34" s="1073" t="s">
        <v>5301</v>
      </c>
      <c r="M34" s="1073" t="s">
        <v>5302</v>
      </c>
      <c r="N34" s="1073" t="s">
        <v>5303</v>
      </c>
      <c r="O34" s="1073" t="s">
        <v>5304</v>
      </c>
      <c r="P34" s="1073" t="s">
        <v>5305</v>
      </c>
      <c r="Q34" s="1073" t="s">
        <v>5306</v>
      </c>
      <c r="R34" s="1073" t="s">
        <v>5307</v>
      </c>
      <c r="S34" s="1073" t="s">
        <v>5308</v>
      </c>
      <c r="T34" s="1073" t="s">
        <v>5309</v>
      </c>
      <c r="U34" s="1059" t="s">
        <v>5310</v>
      </c>
      <c r="V34" s="1073" t="s">
        <v>5311</v>
      </c>
      <c r="W34" s="1073" t="s">
        <v>5312</v>
      </c>
      <c r="X34" s="1073" t="s">
        <v>5313</v>
      </c>
      <c r="Y34" s="1073" t="s">
        <v>5314</v>
      </c>
      <c r="Z34" s="1073" t="s">
        <v>5315</v>
      </c>
      <c r="AA34" s="1073" t="s">
        <v>5316</v>
      </c>
      <c r="AB34" s="1073" t="s">
        <v>5317</v>
      </c>
      <c r="AC34" s="1073" t="s">
        <v>5318</v>
      </c>
      <c r="AD34" s="1073" t="s">
        <v>5319</v>
      </c>
      <c r="AE34" s="1073" t="s">
        <v>5320</v>
      </c>
      <c r="AF34" s="1073" t="s">
        <v>5321</v>
      </c>
      <c r="AG34" s="83" t="s">
        <v>5322</v>
      </c>
      <c r="CC34" s="2465"/>
      <c r="CD34" s="2465"/>
      <c r="CE34" s="2465"/>
      <c r="CF34" s="2465"/>
      <c r="CG34" s="2465"/>
      <c r="CH34" s="2465"/>
      <c r="CJ34" s="2466"/>
      <c r="CK34" s="2466"/>
      <c r="CL34" s="2466"/>
    </row>
    <row r="35" spans="1:90" s="170" customFormat="1" ht="15" customHeight="1" x14ac:dyDescent="0.2">
      <c r="A35" s="6240">
        <v>31000015</v>
      </c>
      <c r="B35" s="1472" t="s">
        <v>1271</v>
      </c>
      <c r="C35" s="1058" t="s">
        <v>5292</v>
      </c>
      <c r="D35" s="129" t="s">
        <v>5293</v>
      </c>
      <c r="E35" s="129" t="s">
        <v>5294</v>
      </c>
      <c r="F35" s="92" t="s">
        <v>5295</v>
      </c>
      <c r="G35" s="90" t="s">
        <v>5296</v>
      </c>
      <c r="H35" s="127" t="s">
        <v>5297</v>
      </c>
      <c r="I35" s="127" t="s">
        <v>5298</v>
      </c>
      <c r="J35" s="127" t="s">
        <v>5299</v>
      </c>
      <c r="K35" s="128" t="s">
        <v>5300</v>
      </c>
      <c r="L35" s="1073" t="s">
        <v>5301</v>
      </c>
      <c r="M35" s="1073" t="s">
        <v>5302</v>
      </c>
      <c r="N35" s="1073" t="s">
        <v>5303</v>
      </c>
      <c r="O35" s="1073" t="s">
        <v>5304</v>
      </c>
      <c r="P35" s="1073" t="s">
        <v>5305</v>
      </c>
      <c r="Q35" s="1073" t="s">
        <v>5306</v>
      </c>
      <c r="R35" s="1073" t="s">
        <v>5307</v>
      </c>
      <c r="S35" s="1073" t="s">
        <v>5308</v>
      </c>
      <c r="T35" s="1073" t="s">
        <v>5309</v>
      </c>
      <c r="U35" s="1059" t="s">
        <v>5310</v>
      </c>
      <c r="V35" s="1073" t="s">
        <v>5311</v>
      </c>
      <c r="W35" s="1073" t="s">
        <v>5312</v>
      </c>
      <c r="X35" s="1073" t="s">
        <v>5313</v>
      </c>
      <c r="Y35" s="1073" t="s">
        <v>5314</v>
      </c>
      <c r="Z35" s="1073" t="s">
        <v>5315</v>
      </c>
      <c r="AA35" s="1073" t="s">
        <v>5316</v>
      </c>
      <c r="AB35" s="1073" t="s">
        <v>5317</v>
      </c>
      <c r="AC35" s="1073" t="s">
        <v>5318</v>
      </c>
      <c r="AD35" s="1073" t="s">
        <v>5319</v>
      </c>
      <c r="AE35" s="1073" t="s">
        <v>5320</v>
      </c>
      <c r="AF35" s="1073" t="s">
        <v>5321</v>
      </c>
      <c r="AG35" s="83" t="s">
        <v>5322</v>
      </c>
      <c r="CC35" s="2465"/>
      <c r="CD35" s="2465"/>
      <c r="CE35" s="2465"/>
      <c r="CF35" s="2465"/>
      <c r="CG35" s="2465"/>
      <c r="CH35" s="2465"/>
      <c r="CJ35" s="2466"/>
      <c r="CK35" s="2466"/>
      <c r="CL35" s="2466"/>
    </row>
    <row r="36" spans="1:90" s="170" customFormat="1" ht="15" customHeight="1" x14ac:dyDescent="0.2">
      <c r="A36" s="6240">
        <v>31000016</v>
      </c>
      <c r="B36" s="1472" t="s">
        <v>457</v>
      </c>
      <c r="C36" s="1058" t="s">
        <v>5292</v>
      </c>
      <c r="D36" s="129" t="s">
        <v>5293</v>
      </c>
      <c r="E36" s="129" t="s">
        <v>5294</v>
      </c>
      <c r="F36" s="92" t="s">
        <v>5295</v>
      </c>
      <c r="G36" s="90" t="s">
        <v>5296</v>
      </c>
      <c r="H36" s="127" t="s">
        <v>5297</v>
      </c>
      <c r="I36" s="127" t="s">
        <v>5298</v>
      </c>
      <c r="J36" s="127" t="s">
        <v>5299</v>
      </c>
      <c r="K36" s="128" t="s">
        <v>5300</v>
      </c>
      <c r="L36" s="1073" t="s">
        <v>5301</v>
      </c>
      <c r="M36" s="1073" t="s">
        <v>5302</v>
      </c>
      <c r="N36" s="1073" t="s">
        <v>5303</v>
      </c>
      <c r="O36" s="1073" t="s">
        <v>5304</v>
      </c>
      <c r="P36" s="1073" t="s">
        <v>5305</v>
      </c>
      <c r="Q36" s="1073" t="s">
        <v>5306</v>
      </c>
      <c r="R36" s="1073" t="s">
        <v>5307</v>
      </c>
      <c r="S36" s="1073" t="s">
        <v>5308</v>
      </c>
      <c r="T36" s="1073" t="s">
        <v>5309</v>
      </c>
      <c r="U36" s="1059" t="s">
        <v>5310</v>
      </c>
      <c r="V36" s="1073" t="s">
        <v>5311</v>
      </c>
      <c r="W36" s="1073" t="s">
        <v>5312</v>
      </c>
      <c r="X36" s="1073" t="s">
        <v>5313</v>
      </c>
      <c r="Y36" s="1073" t="s">
        <v>5314</v>
      </c>
      <c r="Z36" s="1073" t="s">
        <v>5315</v>
      </c>
      <c r="AA36" s="1073" t="s">
        <v>5316</v>
      </c>
      <c r="AB36" s="1073" t="s">
        <v>5317</v>
      </c>
      <c r="AC36" s="1073" t="s">
        <v>5318</v>
      </c>
      <c r="AD36" s="1073" t="s">
        <v>5319</v>
      </c>
      <c r="AE36" s="1073" t="s">
        <v>5320</v>
      </c>
      <c r="AF36" s="1073" t="s">
        <v>5321</v>
      </c>
      <c r="AG36" s="83" t="s">
        <v>5322</v>
      </c>
      <c r="CC36" s="2465"/>
      <c r="CD36" s="2465"/>
      <c r="CE36" s="2465"/>
      <c r="CF36" s="2465"/>
      <c r="CG36" s="2465"/>
      <c r="CH36" s="2465"/>
      <c r="CJ36" s="2466"/>
      <c r="CK36" s="2466"/>
      <c r="CL36" s="2466"/>
    </row>
    <row r="37" spans="1:90" s="170" customFormat="1" ht="15" customHeight="1" x14ac:dyDescent="0.2">
      <c r="A37" s="6240">
        <v>31000017</v>
      </c>
      <c r="B37" s="1472" t="s">
        <v>1272</v>
      </c>
      <c r="C37" s="1058" t="s">
        <v>5292</v>
      </c>
      <c r="D37" s="129" t="s">
        <v>5293</v>
      </c>
      <c r="E37" s="129" t="s">
        <v>5294</v>
      </c>
      <c r="F37" s="92" t="s">
        <v>5295</v>
      </c>
      <c r="G37" s="90" t="s">
        <v>5296</v>
      </c>
      <c r="H37" s="127" t="s">
        <v>5297</v>
      </c>
      <c r="I37" s="127" t="s">
        <v>5298</v>
      </c>
      <c r="J37" s="127" t="s">
        <v>5299</v>
      </c>
      <c r="K37" s="128" t="s">
        <v>5300</v>
      </c>
      <c r="L37" s="1073" t="s">
        <v>5301</v>
      </c>
      <c r="M37" s="1073" t="s">
        <v>5302</v>
      </c>
      <c r="N37" s="1073" t="s">
        <v>5303</v>
      </c>
      <c r="O37" s="1073" t="s">
        <v>5304</v>
      </c>
      <c r="P37" s="1073" t="s">
        <v>5305</v>
      </c>
      <c r="Q37" s="1073" t="s">
        <v>5306</v>
      </c>
      <c r="R37" s="1073" t="s">
        <v>5307</v>
      </c>
      <c r="S37" s="1073" t="s">
        <v>5308</v>
      </c>
      <c r="T37" s="1073" t="s">
        <v>5309</v>
      </c>
      <c r="U37" s="1059" t="s">
        <v>5310</v>
      </c>
      <c r="V37" s="1073" t="s">
        <v>5311</v>
      </c>
      <c r="W37" s="1073" t="s">
        <v>5312</v>
      </c>
      <c r="X37" s="1073" t="s">
        <v>5313</v>
      </c>
      <c r="Y37" s="1073" t="s">
        <v>5314</v>
      </c>
      <c r="Z37" s="1073" t="s">
        <v>5315</v>
      </c>
      <c r="AA37" s="1073" t="s">
        <v>5316</v>
      </c>
      <c r="AB37" s="1073" t="s">
        <v>5317</v>
      </c>
      <c r="AC37" s="1073" t="s">
        <v>5318</v>
      </c>
      <c r="AD37" s="1073" t="s">
        <v>5319</v>
      </c>
      <c r="AE37" s="1073" t="s">
        <v>5320</v>
      </c>
      <c r="AF37" s="1073" t="s">
        <v>5321</v>
      </c>
      <c r="AG37" s="83" t="s">
        <v>5322</v>
      </c>
      <c r="CC37" s="2465"/>
      <c r="CD37" s="2465"/>
      <c r="CE37" s="2465"/>
      <c r="CF37" s="2465"/>
      <c r="CG37" s="2465"/>
      <c r="CH37" s="2465"/>
      <c r="CJ37" s="2466"/>
      <c r="CK37" s="2466"/>
      <c r="CL37" s="2466"/>
    </row>
    <row r="38" spans="1:90" s="170" customFormat="1" ht="15" customHeight="1" x14ac:dyDescent="0.2">
      <c r="A38" s="6240">
        <v>31000018</v>
      </c>
      <c r="B38" s="1472" t="s">
        <v>456</v>
      </c>
      <c r="C38" s="1058" t="s">
        <v>5292</v>
      </c>
      <c r="D38" s="129" t="s">
        <v>5293</v>
      </c>
      <c r="E38" s="129" t="s">
        <v>5294</v>
      </c>
      <c r="F38" s="92" t="s">
        <v>5295</v>
      </c>
      <c r="G38" s="90" t="s">
        <v>5296</v>
      </c>
      <c r="H38" s="127" t="s">
        <v>5297</v>
      </c>
      <c r="I38" s="127" t="s">
        <v>5298</v>
      </c>
      <c r="J38" s="127" t="s">
        <v>5299</v>
      </c>
      <c r="K38" s="128" t="s">
        <v>5300</v>
      </c>
      <c r="L38" s="1073" t="s">
        <v>5301</v>
      </c>
      <c r="M38" s="1073" t="s">
        <v>5302</v>
      </c>
      <c r="N38" s="1073" t="s">
        <v>5303</v>
      </c>
      <c r="O38" s="1073" t="s">
        <v>5304</v>
      </c>
      <c r="P38" s="1073" t="s">
        <v>5305</v>
      </c>
      <c r="Q38" s="1073" t="s">
        <v>5306</v>
      </c>
      <c r="R38" s="1073" t="s">
        <v>5307</v>
      </c>
      <c r="S38" s="1073" t="s">
        <v>5308</v>
      </c>
      <c r="T38" s="1073" t="s">
        <v>5309</v>
      </c>
      <c r="U38" s="1059" t="s">
        <v>5310</v>
      </c>
      <c r="V38" s="1073" t="s">
        <v>5311</v>
      </c>
      <c r="W38" s="1073" t="s">
        <v>5312</v>
      </c>
      <c r="X38" s="1073" t="s">
        <v>5313</v>
      </c>
      <c r="Y38" s="1073" t="s">
        <v>5314</v>
      </c>
      <c r="Z38" s="1073" t="s">
        <v>5315</v>
      </c>
      <c r="AA38" s="1073" t="s">
        <v>5316</v>
      </c>
      <c r="AB38" s="1073" t="s">
        <v>5317</v>
      </c>
      <c r="AC38" s="1073" t="s">
        <v>5318</v>
      </c>
      <c r="AD38" s="1073" t="s">
        <v>5319</v>
      </c>
      <c r="AE38" s="1073" t="s">
        <v>5320</v>
      </c>
      <c r="AF38" s="1073" t="s">
        <v>5321</v>
      </c>
      <c r="AG38" s="83" t="s">
        <v>5322</v>
      </c>
      <c r="CC38" s="2465"/>
      <c r="CD38" s="2465"/>
      <c r="CE38" s="2465"/>
      <c r="CF38" s="2465"/>
      <c r="CG38" s="2465"/>
      <c r="CH38" s="2465"/>
      <c r="CJ38" s="2466"/>
      <c r="CK38" s="2466"/>
      <c r="CL38" s="2466"/>
    </row>
    <row r="39" spans="1:90" s="170" customFormat="1" ht="15" customHeight="1" x14ac:dyDescent="0.2">
      <c r="A39" s="6240">
        <v>31000019</v>
      </c>
      <c r="B39" s="1472" t="s">
        <v>1273</v>
      </c>
      <c r="C39" s="1058" t="s">
        <v>5292</v>
      </c>
      <c r="D39" s="129" t="s">
        <v>5293</v>
      </c>
      <c r="E39" s="129" t="s">
        <v>5294</v>
      </c>
      <c r="F39" s="92" t="s">
        <v>5295</v>
      </c>
      <c r="G39" s="90" t="s">
        <v>5296</v>
      </c>
      <c r="H39" s="127" t="s">
        <v>5297</v>
      </c>
      <c r="I39" s="127" t="s">
        <v>5298</v>
      </c>
      <c r="J39" s="127" t="s">
        <v>5299</v>
      </c>
      <c r="K39" s="128" t="s">
        <v>5300</v>
      </c>
      <c r="L39" s="1073" t="s">
        <v>5301</v>
      </c>
      <c r="M39" s="1073" t="s">
        <v>5302</v>
      </c>
      <c r="N39" s="1073" t="s">
        <v>5303</v>
      </c>
      <c r="O39" s="1073" t="s">
        <v>5304</v>
      </c>
      <c r="P39" s="1073" t="s">
        <v>5305</v>
      </c>
      <c r="Q39" s="1073" t="s">
        <v>5306</v>
      </c>
      <c r="R39" s="1073" t="s">
        <v>5307</v>
      </c>
      <c r="S39" s="1073" t="s">
        <v>5308</v>
      </c>
      <c r="T39" s="1073" t="s">
        <v>5309</v>
      </c>
      <c r="U39" s="1059" t="s">
        <v>5310</v>
      </c>
      <c r="V39" s="1073" t="s">
        <v>5311</v>
      </c>
      <c r="W39" s="1073" t="s">
        <v>5312</v>
      </c>
      <c r="X39" s="1073" t="s">
        <v>5313</v>
      </c>
      <c r="Y39" s="1073" t="s">
        <v>5314</v>
      </c>
      <c r="Z39" s="1073" t="s">
        <v>5315</v>
      </c>
      <c r="AA39" s="1073" t="s">
        <v>5316</v>
      </c>
      <c r="AB39" s="1073" t="s">
        <v>5317</v>
      </c>
      <c r="AC39" s="1073" t="s">
        <v>5318</v>
      </c>
      <c r="AD39" s="1073" t="s">
        <v>5319</v>
      </c>
      <c r="AE39" s="1073" t="s">
        <v>5320</v>
      </c>
      <c r="AF39" s="1073" t="s">
        <v>5321</v>
      </c>
      <c r="AG39" s="83" t="s">
        <v>5322</v>
      </c>
      <c r="CC39" s="2465"/>
      <c r="CD39" s="2465"/>
      <c r="CE39" s="2465"/>
      <c r="CF39" s="2465"/>
      <c r="CG39" s="2465"/>
      <c r="CH39" s="2465"/>
      <c r="CJ39" s="2466"/>
      <c r="CK39" s="2466"/>
      <c r="CL39" s="2466"/>
    </row>
    <row r="40" spans="1:90" s="170" customFormat="1" ht="15" customHeight="1" x14ac:dyDescent="0.2">
      <c r="A40" s="6240">
        <v>31000020</v>
      </c>
      <c r="B40" s="1472" t="s">
        <v>1274</v>
      </c>
      <c r="C40" s="1058" t="s">
        <v>5292</v>
      </c>
      <c r="D40" s="129" t="s">
        <v>5293</v>
      </c>
      <c r="E40" s="129" t="s">
        <v>5294</v>
      </c>
      <c r="F40" s="92" t="s">
        <v>5295</v>
      </c>
      <c r="G40" s="90" t="s">
        <v>5296</v>
      </c>
      <c r="H40" s="127" t="s">
        <v>5297</v>
      </c>
      <c r="I40" s="127" t="s">
        <v>5298</v>
      </c>
      <c r="J40" s="127" t="s">
        <v>5299</v>
      </c>
      <c r="K40" s="128" t="s">
        <v>5300</v>
      </c>
      <c r="L40" s="1073" t="s">
        <v>5301</v>
      </c>
      <c r="M40" s="1073" t="s">
        <v>5302</v>
      </c>
      <c r="N40" s="1073" t="s">
        <v>5303</v>
      </c>
      <c r="O40" s="1073" t="s">
        <v>5304</v>
      </c>
      <c r="P40" s="1073" t="s">
        <v>5305</v>
      </c>
      <c r="Q40" s="1073" t="s">
        <v>5306</v>
      </c>
      <c r="R40" s="1073" t="s">
        <v>5307</v>
      </c>
      <c r="S40" s="1073" t="s">
        <v>5308</v>
      </c>
      <c r="T40" s="1073" t="s">
        <v>5309</v>
      </c>
      <c r="U40" s="1059" t="s">
        <v>5310</v>
      </c>
      <c r="V40" s="1073" t="s">
        <v>5311</v>
      </c>
      <c r="W40" s="1073" t="s">
        <v>5312</v>
      </c>
      <c r="X40" s="1073" t="s">
        <v>5313</v>
      </c>
      <c r="Y40" s="1073" t="s">
        <v>5314</v>
      </c>
      <c r="Z40" s="1073" t="s">
        <v>5315</v>
      </c>
      <c r="AA40" s="1073" t="s">
        <v>5316</v>
      </c>
      <c r="AB40" s="1073" t="s">
        <v>5317</v>
      </c>
      <c r="AC40" s="1073" t="s">
        <v>5318</v>
      </c>
      <c r="AD40" s="1073" t="s">
        <v>5319</v>
      </c>
      <c r="AE40" s="1073" t="s">
        <v>5320</v>
      </c>
      <c r="AF40" s="1073" t="s">
        <v>5321</v>
      </c>
      <c r="AG40" s="83" t="s">
        <v>5322</v>
      </c>
      <c r="CC40" s="2465"/>
      <c r="CD40" s="2465"/>
      <c r="CE40" s="2465"/>
      <c r="CF40" s="2465"/>
      <c r="CG40" s="2465"/>
      <c r="CH40" s="2465"/>
      <c r="CJ40" s="2466"/>
      <c r="CK40" s="2466"/>
      <c r="CL40" s="2466"/>
    </row>
    <row r="41" spans="1:90" s="170" customFormat="1" ht="15" customHeight="1" x14ac:dyDescent="0.2">
      <c r="A41" s="6240">
        <v>31000021</v>
      </c>
      <c r="B41" s="1472" t="s">
        <v>247</v>
      </c>
      <c r="C41" s="1058" t="s">
        <v>5292</v>
      </c>
      <c r="D41" s="129" t="s">
        <v>5293</v>
      </c>
      <c r="E41" s="129" t="s">
        <v>5294</v>
      </c>
      <c r="F41" s="92" t="s">
        <v>5295</v>
      </c>
      <c r="G41" s="90" t="s">
        <v>5296</v>
      </c>
      <c r="H41" s="127" t="s">
        <v>5297</v>
      </c>
      <c r="I41" s="127" t="s">
        <v>5298</v>
      </c>
      <c r="J41" s="127" t="s">
        <v>5299</v>
      </c>
      <c r="K41" s="128" t="s">
        <v>5300</v>
      </c>
      <c r="L41" s="1073" t="s">
        <v>5301</v>
      </c>
      <c r="M41" s="1073" t="s">
        <v>5302</v>
      </c>
      <c r="N41" s="1073" t="s">
        <v>5303</v>
      </c>
      <c r="O41" s="1073" t="s">
        <v>5304</v>
      </c>
      <c r="P41" s="1073" t="s">
        <v>5305</v>
      </c>
      <c r="Q41" s="1073" t="s">
        <v>5306</v>
      </c>
      <c r="R41" s="1073" t="s">
        <v>5307</v>
      </c>
      <c r="S41" s="1073" t="s">
        <v>5308</v>
      </c>
      <c r="T41" s="1073" t="s">
        <v>5309</v>
      </c>
      <c r="U41" s="1059" t="s">
        <v>5310</v>
      </c>
      <c r="V41" s="1073" t="s">
        <v>5311</v>
      </c>
      <c r="W41" s="1073" t="s">
        <v>5312</v>
      </c>
      <c r="X41" s="1073" t="s">
        <v>5313</v>
      </c>
      <c r="Y41" s="1073" t="s">
        <v>5314</v>
      </c>
      <c r="Z41" s="1073" t="s">
        <v>5315</v>
      </c>
      <c r="AA41" s="1073" t="s">
        <v>5316</v>
      </c>
      <c r="AB41" s="1073" t="s">
        <v>5317</v>
      </c>
      <c r="AC41" s="1073" t="s">
        <v>5318</v>
      </c>
      <c r="AD41" s="1073" t="s">
        <v>5319</v>
      </c>
      <c r="AE41" s="1073" t="s">
        <v>5320</v>
      </c>
      <c r="AF41" s="1073" t="s">
        <v>5321</v>
      </c>
      <c r="AG41" s="83" t="s">
        <v>5322</v>
      </c>
      <c r="CC41" s="2465"/>
      <c r="CD41" s="2465"/>
      <c r="CE41" s="2465"/>
      <c r="CF41" s="2465"/>
      <c r="CG41" s="2465"/>
      <c r="CH41" s="2465"/>
      <c r="CJ41" s="2466"/>
      <c r="CK41" s="2466"/>
      <c r="CL41" s="2466"/>
    </row>
    <row r="42" spans="1:90" s="170" customFormat="1" ht="15" customHeight="1" x14ac:dyDescent="0.2">
      <c r="A42" s="6240">
        <v>31000022</v>
      </c>
      <c r="B42" s="1472" t="s">
        <v>1275</v>
      </c>
      <c r="C42" s="1058" t="s">
        <v>5292</v>
      </c>
      <c r="D42" s="129" t="s">
        <v>5293</v>
      </c>
      <c r="E42" s="129" t="s">
        <v>5294</v>
      </c>
      <c r="F42" s="92" t="s">
        <v>5295</v>
      </c>
      <c r="G42" s="90" t="s">
        <v>5296</v>
      </c>
      <c r="H42" s="127" t="s">
        <v>5297</v>
      </c>
      <c r="I42" s="127" t="s">
        <v>5298</v>
      </c>
      <c r="J42" s="127" t="s">
        <v>5299</v>
      </c>
      <c r="K42" s="128" t="s">
        <v>5300</v>
      </c>
      <c r="L42" s="1073" t="s">
        <v>5301</v>
      </c>
      <c r="M42" s="1073" t="s">
        <v>5302</v>
      </c>
      <c r="N42" s="1073" t="s">
        <v>5303</v>
      </c>
      <c r="O42" s="1073" t="s">
        <v>5304</v>
      </c>
      <c r="P42" s="1073" t="s">
        <v>5305</v>
      </c>
      <c r="Q42" s="1073" t="s">
        <v>5306</v>
      </c>
      <c r="R42" s="1073" t="s">
        <v>5307</v>
      </c>
      <c r="S42" s="1073" t="s">
        <v>5308</v>
      </c>
      <c r="T42" s="1073" t="s">
        <v>5309</v>
      </c>
      <c r="U42" s="1059" t="s">
        <v>5310</v>
      </c>
      <c r="V42" s="1073" t="s">
        <v>5311</v>
      </c>
      <c r="W42" s="1073" t="s">
        <v>5312</v>
      </c>
      <c r="X42" s="1073" t="s">
        <v>5313</v>
      </c>
      <c r="Y42" s="1073" t="s">
        <v>5314</v>
      </c>
      <c r="Z42" s="1073" t="s">
        <v>5315</v>
      </c>
      <c r="AA42" s="1073" t="s">
        <v>5316</v>
      </c>
      <c r="AB42" s="1073" t="s">
        <v>5317</v>
      </c>
      <c r="AC42" s="1073" t="s">
        <v>5318</v>
      </c>
      <c r="AD42" s="1073" t="s">
        <v>5319</v>
      </c>
      <c r="AE42" s="1073" t="s">
        <v>5320</v>
      </c>
      <c r="AF42" s="1073" t="s">
        <v>5321</v>
      </c>
      <c r="AG42" s="83" t="s">
        <v>5322</v>
      </c>
      <c r="CC42" s="2465"/>
      <c r="CD42" s="2465"/>
      <c r="CE42" s="2465"/>
      <c r="CF42" s="2465"/>
      <c r="CG42" s="2465"/>
      <c r="CH42" s="2465"/>
      <c r="CJ42" s="2466"/>
      <c r="CK42" s="2466"/>
      <c r="CL42" s="2466"/>
    </row>
    <row r="43" spans="1:90" s="170" customFormat="1" ht="15" customHeight="1" x14ac:dyDescent="0.2">
      <c r="A43" s="6240">
        <v>31000023</v>
      </c>
      <c r="B43" s="1472" t="s">
        <v>62</v>
      </c>
      <c r="C43" s="1058" t="s">
        <v>5292</v>
      </c>
      <c r="D43" s="129" t="s">
        <v>5293</v>
      </c>
      <c r="E43" s="129" t="s">
        <v>5294</v>
      </c>
      <c r="F43" s="92" t="s">
        <v>5295</v>
      </c>
      <c r="G43" s="90" t="s">
        <v>5296</v>
      </c>
      <c r="H43" s="127" t="s">
        <v>5297</v>
      </c>
      <c r="I43" s="127" t="s">
        <v>5298</v>
      </c>
      <c r="J43" s="127" t="s">
        <v>5299</v>
      </c>
      <c r="K43" s="128" t="s">
        <v>5300</v>
      </c>
      <c r="L43" s="1073" t="s">
        <v>5301</v>
      </c>
      <c r="M43" s="1073" t="s">
        <v>5302</v>
      </c>
      <c r="N43" s="1073" t="s">
        <v>5303</v>
      </c>
      <c r="O43" s="1073" t="s">
        <v>5304</v>
      </c>
      <c r="P43" s="1073" t="s">
        <v>5305</v>
      </c>
      <c r="Q43" s="1073" t="s">
        <v>5306</v>
      </c>
      <c r="R43" s="1073" t="s">
        <v>5307</v>
      </c>
      <c r="S43" s="1073" t="s">
        <v>5308</v>
      </c>
      <c r="T43" s="1073" t="s">
        <v>5309</v>
      </c>
      <c r="U43" s="1059" t="s">
        <v>5310</v>
      </c>
      <c r="V43" s="1073" t="s">
        <v>5311</v>
      </c>
      <c r="W43" s="1073" t="s">
        <v>5312</v>
      </c>
      <c r="X43" s="1073" t="s">
        <v>5313</v>
      </c>
      <c r="Y43" s="1073" t="s">
        <v>5314</v>
      </c>
      <c r="Z43" s="1073" t="s">
        <v>5315</v>
      </c>
      <c r="AA43" s="1073" t="s">
        <v>5316</v>
      </c>
      <c r="AB43" s="1073" t="s">
        <v>5317</v>
      </c>
      <c r="AC43" s="1073" t="s">
        <v>5318</v>
      </c>
      <c r="AD43" s="1073" t="s">
        <v>5319</v>
      </c>
      <c r="AE43" s="1073" t="s">
        <v>5320</v>
      </c>
      <c r="AF43" s="1073" t="s">
        <v>5321</v>
      </c>
      <c r="AG43" s="83" t="s">
        <v>5322</v>
      </c>
      <c r="CC43" s="2465"/>
      <c r="CD43" s="2465"/>
      <c r="CE43" s="2465"/>
      <c r="CF43" s="2465"/>
      <c r="CG43" s="2465"/>
      <c r="CH43" s="2465"/>
      <c r="CJ43" s="2466"/>
      <c r="CK43" s="2466"/>
      <c r="CL43" s="2466"/>
    </row>
    <row r="44" spans="1:90" s="170" customFormat="1" ht="15" customHeight="1" x14ac:dyDescent="0.2">
      <c r="A44" s="6240">
        <v>31000024</v>
      </c>
      <c r="B44" s="1475" t="s">
        <v>79</v>
      </c>
      <c r="C44" s="142" t="s">
        <v>5292</v>
      </c>
      <c r="D44" s="129" t="s">
        <v>5293</v>
      </c>
      <c r="E44" s="129" t="s">
        <v>5294</v>
      </c>
      <c r="F44" s="92" t="s">
        <v>5295</v>
      </c>
      <c r="G44" s="90" t="s">
        <v>5296</v>
      </c>
      <c r="H44" s="127" t="s">
        <v>5297</v>
      </c>
      <c r="I44" s="127" t="s">
        <v>5298</v>
      </c>
      <c r="J44" s="127" t="s">
        <v>5299</v>
      </c>
      <c r="K44" s="128" t="s">
        <v>5300</v>
      </c>
      <c r="L44" s="1073" t="s">
        <v>5301</v>
      </c>
      <c r="M44" s="1073" t="s">
        <v>5302</v>
      </c>
      <c r="N44" s="1073" t="s">
        <v>5303</v>
      </c>
      <c r="O44" s="1073" t="s">
        <v>5304</v>
      </c>
      <c r="P44" s="1073" t="s">
        <v>5305</v>
      </c>
      <c r="Q44" s="1073" t="s">
        <v>5306</v>
      </c>
      <c r="R44" s="1073" t="s">
        <v>5307</v>
      </c>
      <c r="S44" s="1073" t="s">
        <v>5308</v>
      </c>
      <c r="T44" s="1073" t="s">
        <v>5309</v>
      </c>
      <c r="U44" s="1059" t="s">
        <v>5310</v>
      </c>
      <c r="V44" s="1073" t="s">
        <v>5311</v>
      </c>
      <c r="W44" s="1073" t="s">
        <v>5312</v>
      </c>
      <c r="X44" s="1073" t="s">
        <v>5313</v>
      </c>
      <c r="Y44" s="1073" t="s">
        <v>5314</v>
      </c>
      <c r="Z44" s="1073" t="s">
        <v>5315</v>
      </c>
      <c r="AA44" s="1073" t="s">
        <v>5316</v>
      </c>
      <c r="AB44" s="1073" t="s">
        <v>5317</v>
      </c>
      <c r="AC44" s="1073" t="s">
        <v>5318</v>
      </c>
      <c r="AD44" s="1073" t="s">
        <v>5319</v>
      </c>
      <c r="AE44" s="1073" t="s">
        <v>5320</v>
      </c>
      <c r="AF44" s="1073" t="s">
        <v>5321</v>
      </c>
      <c r="AG44" s="83" t="s">
        <v>5322</v>
      </c>
      <c r="CC44" s="2465"/>
      <c r="CD44" s="2465"/>
      <c r="CE44" s="2465"/>
      <c r="CF44" s="2465"/>
      <c r="CG44" s="2465"/>
      <c r="CH44" s="2465"/>
      <c r="CJ44" s="2466"/>
      <c r="CK44" s="2466"/>
      <c r="CL44" s="2466"/>
    </row>
    <row r="45" spans="1:90" s="170" customFormat="1" ht="15" customHeight="1" x14ac:dyDescent="0.2">
      <c r="A45" s="6240">
        <v>31000025</v>
      </c>
      <c r="B45" s="1476" t="s">
        <v>1276</v>
      </c>
      <c r="C45" s="773" t="s">
        <v>5292</v>
      </c>
      <c r="D45" s="121" t="s">
        <v>5293</v>
      </c>
      <c r="E45" s="121" t="s">
        <v>5294</v>
      </c>
      <c r="F45" s="116" t="s">
        <v>5295</v>
      </c>
      <c r="G45" s="114" t="s">
        <v>5296</v>
      </c>
      <c r="H45" s="115" t="s">
        <v>5297</v>
      </c>
      <c r="I45" s="115" t="s">
        <v>5298</v>
      </c>
      <c r="J45" s="115" t="s">
        <v>5299</v>
      </c>
      <c r="K45" s="137" t="s">
        <v>5300</v>
      </c>
      <c r="L45" s="115" t="s">
        <v>5301</v>
      </c>
      <c r="M45" s="115" t="s">
        <v>5302</v>
      </c>
      <c r="N45" s="115" t="s">
        <v>5303</v>
      </c>
      <c r="O45" s="115" t="s">
        <v>5304</v>
      </c>
      <c r="P45" s="115" t="s">
        <v>5305</v>
      </c>
      <c r="Q45" s="115" t="s">
        <v>5306</v>
      </c>
      <c r="R45" s="115" t="s">
        <v>5307</v>
      </c>
      <c r="S45" s="115" t="s">
        <v>5308</v>
      </c>
      <c r="T45" s="115" t="s">
        <v>5309</v>
      </c>
      <c r="U45" s="121" t="s">
        <v>5310</v>
      </c>
      <c r="V45" s="115" t="s">
        <v>5311</v>
      </c>
      <c r="W45" s="115" t="s">
        <v>5312</v>
      </c>
      <c r="X45" s="115" t="s">
        <v>5313</v>
      </c>
      <c r="Y45" s="115" t="s">
        <v>5314</v>
      </c>
      <c r="Z45" s="115" t="s">
        <v>5315</v>
      </c>
      <c r="AA45" s="115" t="s">
        <v>5316</v>
      </c>
      <c r="AB45" s="115" t="s">
        <v>5317</v>
      </c>
      <c r="AC45" s="115" t="s">
        <v>5318</v>
      </c>
      <c r="AD45" s="115" t="s">
        <v>5319</v>
      </c>
      <c r="AE45" s="115" t="s">
        <v>5320</v>
      </c>
      <c r="AF45" s="115" t="s">
        <v>5321</v>
      </c>
      <c r="AG45" s="117" t="s">
        <v>5322</v>
      </c>
      <c r="CC45" s="2465"/>
      <c r="CD45" s="2465"/>
      <c r="CE45" s="2465"/>
      <c r="CF45" s="2465"/>
      <c r="CG45" s="2465"/>
      <c r="CH45" s="2465"/>
      <c r="CJ45" s="2466"/>
      <c r="CK45" s="2466"/>
      <c r="CL45" s="2466"/>
    </row>
    <row r="46" spans="1:90" s="170" customFormat="1" ht="15" customHeight="1" x14ac:dyDescent="0.3">
      <c r="A46" s="6235"/>
      <c r="B46" s="1405" t="s">
        <v>24</v>
      </c>
      <c r="C46" s="2499">
        <f>SUM(C32:C45)</f>
        <v>0</v>
      </c>
      <c r="D46" s="1401">
        <f>SUM(D32:D45)</f>
        <v>0</v>
      </c>
      <c r="E46" s="1401">
        <f t="shared" ref="E46:AF46" si="11">SUM(E32:E45)</f>
        <v>0</v>
      </c>
      <c r="F46" s="1477">
        <f t="shared" si="11"/>
        <v>0</v>
      </c>
      <c r="G46" s="1399">
        <f t="shared" si="11"/>
        <v>0</v>
      </c>
      <c r="H46" s="1401">
        <f t="shared" si="11"/>
        <v>0</v>
      </c>
      <c r="I46" s="1401">
        <f t="shared" si="11"/>
        <v>0</v>
      </c>
      <c r="J46" s="1401">
        <f>SUM(J32:J45)</f>
        <v>0</v>
      </c>
      <c r="K46" s="1400">
        <f t="shared" si="11"/>
        <v>0</v>
      </c>
      <c r="L46" s="1400">
        <f t="shared" si="11"/>
        <v>0</v>
      </c>
      <c r="M46" s="1400">
        <f t="shared" si="11"/>
        <v>0</v>
      </c>
      <c r="N46" s="1400">
        <f t="shared" si="11"/>
        <v>0</v>
      </c>
      <c r="O46" s="1400">
        <f t="shared" si="11"/>
        <v>0</v>
      </c>
      <c r="P46" s="1400">
        <f t="shared" si="11"/>
        <v>0</v>
      </c>
      <c r="Q46" s="1400">
        <f t="shared" si="11"/>
        <v>0</v>
      </c>
      <c r="R46" s="1400">
        <f t="shared" si="11"/>
        <v>0</v>
      </c>
      <c r="S46" s="1400">
        <f t="shared" si="11"/>
        <v>0</v>
      </c>
      <c r="T46" s="1400">
        <f t="shared" si="11"/>
        <v>0</v>
      </c>
      <c r="U46" s="1400">
        <f t="shared" si="11"/>
        <v>0</v>
      </c>
      <c r="V46" s="1400">
        <f t="shared" si="11"/>
        <v>0</v>
      </c>
      <c r="W46" s="1400">
        <f t="shared" si="11"/>
        <v>0</v>
      </c>
      <c r="X46" s="1400">
        <f t="shared" si="11"/>
        <v>0</v>
      </c>
      <c r="Y46" s="1400">
        <f t="shared" si="11"/>
        <v>0</v>
      </c>
      <c r="Z46" s="1400">
        <f t="shared" si="11"/>
        <v>0</v>
      </c>
      <c r="AA46" s="1400">
        <f t="shared" si="11"/>
        <v>0</v>
      </c>
      <c r="AB46" s="1400">
        <f t="shared" si="11"/>
        <v>0</v>
      </c>
      <c r="AC46" s="1400">
        <f t="shared" si="11"/>
        <v>0</v>
      </c>
      <c r="AD46" s="1400">
        <f t="shared" si="11"/>
        <v>0</v>
      </c>
      <c r="AE46" s="1400">
        <f t="shared" si="11"/>
        <v>0</v>
      </c>
      <c r="AF46" s="1400">
        <f t="shared" si="11"/>
        <v>0</v>
      </c>
      <c r="AG46" s="1402">
        <f>SUM(AG32:AG45)</f>
        <v>0</v>
      </c>
    </row>
    <row r="47" spans="1:90" s="1116" customFormat="1" ht="18" customHeight="1" x14ac:dyDescent="0.3">
      <c r="A47" s="628"/>
      <c r="B47" s="8086" t="s">
        <v>1277</v>
      </c>
      <c r="C47" s="8086"/>
      <c r="D47" s="8086"/>
      <c r="E47" s="8086"/>
      <c r="F47" s="8086"/>
      <c r="G47" s="8086"/>
      <c r="H47" s="8086"/>
      <c r="I47" s="8086"/>
      <c r="J47" s="8086"/>
      <c r="K47" s="8086"/>
      <c r="L47" s="8086"/>
      <c r="M47" s="8086"/>
      <c r="N47" s="8086"/>
    </row>
    <row r="48" spans="1:90" s="170" customFormat="1" ht="15" customHeight="1" x14ac:dyDescent="0.2">
      <c r="A48" s="6301"/>
      <c r="B48" s="8403" t="s">
        <v>1278</v>
      </c>
      <c r="C48" s="7640" t="s">
        <v>24</v>
      </c>
      <c r="D48" s="8417" t="s">
        <v>1233</v>
      </c>
      <c r="E48" s="8419" t="s">
        <v>1234</v>
      </c>
      <c r="F48" s="8421" t="s">
        <v>1235</v>
      </c>
      <c r="G48" s="8413" t="s">
        <v>1251</v>
      </c>
      <c r="H48" s="8414"/>
      <c r="I48" s="8414"/>
      <c r="J48" s="8414"/>
      <c r="K48" s="8414"/>
      <c r="L48" s="8414"/>
      <c r="M48" s="8414"/>
      <c r="N48" s="8414"/>
      <c r="O48" s="8414"/>
      <c r="P48" s="8414"/>
      <c r="Q48" s="8414"/>
      <c r="R48" s="8414"/>
      <c r="S48" s="8414"/>
      <c r="T48" s="8414"/>
      <c r="U48" s="8414"/>
      <c r="V48" s="8414"/>
      <c r="W48" s="8414"/>
      <c r="X48" s="8414"/>
      <c r="Y48" s="8414"/>
      <c r="Z48" s="8414"/>
      <c r="AA48" s="8414"/>
      <c r="AB48" s="8414"/>
      <c r="AC48" s="8414"/>
      <c r="AD48" s="8414"/>
      <c r="AE48" s="8414"/>
      <c r="AF48" s="8414"/>
      <c r="AG48" s="8416"/>
    </row>
    <row r="49" spans="1:90" s="170" customFormat="1" ht="42" customHeight="1" x14ac:dyDescent="0.2">
      <c r="A49" s="6301"/>
      <c r="B49" s="8404"/>
      <c r="C49" s="8409"/>
      <c r="D49" s="8418"/>
      <c r="E49" s="8420"/>
      <c r="F49" s="8422"/>
      <c r="G49" s="2492" t="s">
        <v>1237</v>
      </c>
      <c r="H49" s="2493" t="s">
        <v>1252</v>
      </c>
      <c r="I49" s="2493" t="s">
        <v>1253</v>
      </c>
      <c r="J49" s="2493" t="s">
        <v>1254</v>
      </c>
      <c r="K49" s="2494" t="s">
        <v>1239</v>
      </c>
      <c r="L49" s="2493" t="s">
        <v>1255</v>
      </c>
      <c r="M49" s="2460" t="s">
        <v>1256</v>
      </c>
      <c r="N49" s="2493" t="s">
        <v>1279</v>
      </c>
      <c r="O49" s="2493" t="s">
        <v>1241</v>
      </c>
      <c r="P49" s="2493" t="s">
        <v>1242</v>
      </c>
      <c r="Q49" s="2495" t="s">
        <v>1258</v>
      </c>
      <c r="R49" s="2496" t="s">
        <v>1243</v>
      </c>
      <c r="S49" s="2493" t="s">
        <v>1244</v>
      </c>
      <c r="T49" s="2460" t="s">
        <v>1259</v>
      </c>
      <c r="U49" s="2495" t="s">
        <v>1246</v>
      </c>
      <c r="V49" s="1465" t="s">
        <v>1260</v>
      </c>
      <c r="W49" s="2495" t="s">
        <v>1261</v>
      </c>
      <c r="X49" s="2495" t="s">
        <v>1247</v>
      </c>
      <c r="Y49" s="2460" t="s">
        <v>1248</v>
      </c>
      <c r="Z49" s="2495" t="s">
        <v>1262</v>
      </c>
      <c r="AA49" s="1465" t="s">
        <v>1263</v>
      </c>
      <c r="AB49" s="2495" t="s">
        <v>1264</v>
      </c>
      <c r="AC49" s="2493" t="s">
        <v>1265</v>
      </c>
      <c r="AD49" s="2495" t="s">
        <v>1266</v>
      </c>
      <c r="AE49" s="2495" t="s">
        <v>1267</v>
      </c>
      <c r="AF49" s="2495" t="s">
        <v>1268</v>
      </c>
      <c r="AG49" s="2500" t="s">
        <v>1269</v>
      </c>
    </row>
    <row r="50" spans="1:90" s="170" customFormat="1" ht="15" customHeight="1" x14ac:dyDescent="0.2">
      <c r="A50" s="6240">
        <v>31000035</v>
      </c>
      <c r="B50" s="1478" t="s">
        <v>1280</v>
      </c>
      <c r="C50" s="1403" t="s">
        <v>5292</v>
      </c>
      <c r="D50" s="1072" t="s">
        <v>5293</v>
      </c>
      <c r="E50" s="320" t="s">
        <v>5294</v>
      </c>
      <c r="F50" s="83" t="s">
        <v>5295</v>
      </c>
      <c r="G50" s="1479" t="s">
        <v>5296</v>
      </c>
      <c r="H50" s="1480" t="s">
        <v>5297</v>
      </c>
      <c r="I50" s="1480" t="s">
        <v>5298</v>
      </c>
      <c r="J50" s="1480" t="s">
        <v>5299</v>
      </c>
      <c r="K50" s="1481" t="s">
        <v>5300</v>
      </c>
      <c r="L50" s="1482" t="s">
        <v>5301</v>
      </c>
      <c r="M50" s="1482" t="s">
        <v>5302</v>
      </c>
      <c r="N50" s="1482" t="s">
        <v>5303</v>
      </c>
      <c r="O50" s="1483" t="s">
        <v>5304</v>
      </c>
      <c r="P50" s="1480" t="s">
        <v>5305</v>
      </c>
      <c r="Q50" s="1480" t="s">
        <v>5306</v>
      </c>
      <c r="R50" s="1480" t="s">
        <v>5307</v>
      </c>
      <c r="S50" s="1480" t="s">
        <v>5308</v>
      </c>
      <c r="T50" s="1480" t="s">
        <v>5309</v>
      </c>
      <c r="U50" s="1480" t="s">
        <v>5310</v>
      </c>
      <c r="V50" s="1480" t="s">
        <v>5311</v>
      </c>
      <c r="W50" s="1480" t="s">
        <v>5312</v>
      </c>
      <c r="X50" s="1480" t="s">
        <v>5313</v>
      </c>
      <c r="Y50" s="1480" t="s">
        <v>5314</v>
      </c>
      <c r="Z50" s="1480" t="s">
        <v>5315</v>
      </c>
      <c r="AA50" s="1481" t="s">
        <v>5316</v>
      </c>
      <c r="AB50" s="1481" t="s">
        <v>5317</v>
      </c>
      <c r="AC50" s="1481" t="s">
        <v>5318</v>
      </c>
      <c r="AD50" s="1481" t="s">
        <v>5319</v>
      </c>
      <c r="AE50" s="1482" t="s">
        <v>5320</v>
      </c>
      <c r="AF50" s="1484" t="s">
        <v>5321</v>
      </c>
      <c r="AG50" s="1485" t="s">
        <v>5322</v>
      </c>
      <c r="CC50" s="2465"/>
      <c r="CD50" s="2465"/>
      <c r="CE50" s="2465"/>
      <c r="CF50" s="2465"/>
      <c r="CG50" s="2465"/>
      <c r="CH50" s="2465"/>
      <c r="CJ50" s="2466"/>
      <c r="CK50" s="2466"/>
      <c r="CL50" s="2466"/>
    </row>
    <row r="51" spans="1:90" s="170" customFormat="1" ht="15" customHeight="1" x14ac:dyDescent="0.2">
      <c r="A51" s="6240">
        <v>31000036</v>
      </c>
      <c r="B51" s="1086" t="s">
        <v>1281</v>
      </c>
      <c r="C51" s="1087" t="s">
        <v>5292</v>
      </c>
      <c r="D51" s="1072" t="s">
        <v>5293</v>
      </c>
      <c r="E51" s="1073" t="s">
        <v>5294</v>
      </c>
      <c r="F51" s="83" t="s">
        <v>5295</v>
      </c>
      <c r="G51" s="90" t="s">
        <v>5296</v>
      </c>
      <c r="H51" s="127" t="s">
        <v>5297</v>
      </c>
      <c r="I51" s="127" t="s">
        <v>5298</v>
      </c>
      <c r="J51" s="127" t="s">
        <v>5299</v>
      </c>
      <c r="K51" s="128" t="s">
        <v>5300</v>
      </c>
      <c r="L51" s="127" t="s">
        <v>5301</v>
      </c>
      <c r="M51" s="127" t="s">
        <v>5302</v>
      </c>
      <c r="N51" s="127" t="s">
        <v>5303</v>
      </c>
      <c r="O51" s="129" t="s">
        <v>5304</v>
      </c>
      <c r="P51" s="127" t="s">
        <v>5305</v>
      </c>
      <c r="Q51" s="127" t="s">
        <v>5306</v>
      </c>
      <c r="R51" s="127" t="s">
        <v>5307</v>
      </c>
      <c r="S51" s="127" t="s">
        <v>5308</v>
      </c>
      <c r="T51" s="127" t="s">
        <v>5309</v>
      </c>
      <c r="U51" s="127" t="s">
        <v>5310</v>
      </c>
      <c r="V51" s="127" t="s">
        <v>5311</v>
      </c>
      <c r="W51" s="127" t="s">
        <v>5312</v>
      </c>
      <c r="X51" s="127" t="s">
        <v>5313</v>
      </c>
      <c r="Y51" s="127" t="s">
        <v>5314</v>
      </c>
      <c r="Z51" s="127" t="s">
        <v>5315</v>
      </c>
      <c r="AA51" s="128" t="s">
        <v>5316</v>
      </c>
      <c r="AB51" s="128" t="s">
        <v>5317</v>
      </c>
      <c r="AC51" s="128" t="s">
        <v>5318</v>
      </c>
      <c r="AD51" s="128" t="s">
        <v>5319</v>
      </c>
      <c r="AE51" s="127" t="s">
        <v>5320</v>
      </c>
      <c r="AF51" s="129" t="s">
        <v>5321</v>
      </c>
      <c r="AG51" s="92" t="s">
        <v>5322</v>
      </c>
      <c r="CC51" s="2465"/>
      <c r="CD51" s="2465"/>
      <c r="CE51" s="2465"/>
      <c r="CF51" s="2465"/>
      <c r="CG51" s="2465"/>
      <c r="CH51" s="2465"/>
      <c r="CJ51" s="2466"/>
      <c r="CK51" s="2466"/>
      <c r="CL51" s="2466"/>
    </row>
    <row r="52" spans="1:90" s="170" customFormat="1" ht="15" customHeight="1" x14ac:dyDescent="0.2">
      <c r="A52" s="6240">
        <v>31000037</v>
      </c>
      <c r="B52" s="1086" t="s">
        <v>1282</v>
      </c>
      <c r="C52" s="1087" t="s">
        <v>5292</v>
      </c>
      <c r="D52" s="1072" t="s">
        <v>5293</v>
      </c>
      <c r="E52" s="1073" t="s">
        <v>5294</v>
      </c>
      <c r="F52" s="83" t="s">
        <v>5295</v>
      </c>
      <c r="G52" s="1072" t="s">
        <v>5296</v>
      </c>
      <c r="H52" s="1073" t="s">
        <v>5297</v>
      </c>
      <c r="I52" s="1073" t="s">
        <v>5298</v>
      </c>
      <c r="J52" s="1073" t="s">
        <v>5299</v>
      </c>
      <c r="K52" s="1080" t="s">
        <v>5300</v>
      </c>
      <c r="L52" s="1073" t="s">
        <v>5301</v>
      </c>
      <c r="M52" s="1073" t="s">
        <v>5302</v>
      </c>
      <c r="N52" s="1073" t="s">
        <v>5303</v>
      </c>
      <c r="O52" s="1059" t="s">
        <v>5304</v>
      </c>
      <c r="P52" s="1073" t="s">
        <v>5305</v>
      </c>
      <c r="Q52" s="1073" t="s">
        <v>5306</v>
      </c>
      <c r="R52" s="1073" t="s">
        <v>5307</v>
      </c>
      <c r="S52" s="1073" t="s">
        <v>5308</v>
      </c>
      <c r="T52" s="1073" t="s">
        <v>5309</v>
      </c>
      <c r="U52" s="1073" t="s">
        <v>5310</v>
      </c>
      <c r="V52" s="1073" t="s">
        <v>5311</v>
      </c>
      <c r="W52" s="1073" t="s">
        <v>5312</v>
      </c>
      <c r="X52" s="1073" t="s">
        <v>5313</v>
      </c>
      <c r="Y52" s="1073" t="s">
        <v>5314</v>
      </c>
      <c r="Z52" s="1073" t="s">
        <v>5315</v>
      </c>
      <c r="AA52" s="1080" t="s">
        <v>5316</v>
      </c>
      <c r="AB52" s="1080" t="s">
        <v>5317</v>
      </c>
      <c r="AC52" s="1080" t="s">
        <v>5318</v>
      </c>
      <c r="AD52" s="1080" t="s">
        <v>5319</v>
      </c>
      <c r="AE52" s="1073" t="s">
        <v>5320</v>
      </c>
      <c r="AF52" s="1059" t="s">
        <v>5321</v>
      </c>
      <c r="AG52" s="1060" t="s">
        <v>5322</v>
      </c>
      <c r="CC52" s="2465"/>
      <c r="CD52" s="2465"/>
      <c r="CE52" s="2465"/>
      <c r="CF52" s="2465"/>
      <c r="CG52" s="2465"/>
      <c r="CH52" s="2465"/>
      <c r="CJ52" s="2466"/>
      <c r="CK52" s="2466"/>
      <c r="CL52" s="2466"/>
    </row>
    <row r="53" spans="1:90" s="170" customFormat="1" ht="15" customHeight="1" x14ac:dyDescent="0.2">
      <c r="A53" s="6240">
        <v>31000038</v>
      </c>
      <c r="B53" s="1086" t="s">
        <v>1283</v>
      </c>
      <c r="C53" s="1087" t="s">
        <v>5292</v>
      </c>
      <c r="D53" s="1072" t="s">
        <v>5293</v>
      </c>
      <c r="E53" s="1073" t="s">
        <v>5294</v>
      </c>
      <c r="F53" s="83" t="s">
        <v>5295</v>
      </c>
      <c r="G53" s="1072" t="s">
        <v>5296</v>
      </c>
      <c r="H53" s="1073" t="s">
        <v>5297</v>
      </c>
      <c r="I53" s="1073" t="s">
        <v>5298</v>
      </c>
      <c r="J53" s="1073" t="s">
        <v>5299</v>
      </c>
      <c r="K53" s="1080" t="s">
        <v>5300</v>
      </c>
      <c r="L53" s="1073" t="s">
        <v>5301</v>
      </c>
      <c r="M53" s="1073" t="s">
        <v>5302</v>
      </c>
      <c r="N53" s="1073" t="s">
        <v>5303</v>
      </c>
      <c r="O53" s="1059" t="s">
        <v>5304</v>
      </c>
      <c r="P53" s="1073" t="s">
        <v>5305</v>
      </c>
      <c r="Q53" s="1073" t="s">
        <v>5306</v>
      </c>
      <c r="R53" s="1073" t="s">
        <v>5307</v>
      </c>
      <c r="S53" s="1073" t="s">
        <v>5308</v>
      </c>
      <c r="T53" s="1073" t="s">
        <v>5309</v>
      </c>
      <c r="U53" s="1073" t="s">
        <v>5310</v>
      </c>
      <c r="V53" s="1073" t="s">
        <v>5311</v>
      </c>
      <c r="W53" s="1073" t="s">
        <v>5312</v>
      </c>
      <c r="X53" s="1073" t="s">
        <v>5313</v>
      </c>
      <c r="Y53" s="1073" t="s">
        <v>5314</v>
      </c>
      <c r="Z53" s="1073" t="s">
        <v>5315</v>
      </c>
      <c r="AA53" s="1080" t="s">
        <v>5316</v>
      </c>
      <c r="AB53" s="1080" t="s">
        <v>5317</v>
      </c>
      <c r="AC53" s="1080" t="s">
        <v>5318</v>
      </c>
      <c r="AD53" s="1080" t="s">
        <v>5319</v>
      </c>
      <c r="AE53" s="1073" t="s">
        <v>5320</v>
      </c>
      <c r="AF53" s="1059" t="s">
        <v>5321</v>
      </c>
      <c r="AG53" s="1060" t="s">
        <v>5322</v>
      </c>
      <c r="CC53" s="2465"/>
      <c r="CD53" s="2465"/>
      <c r="CE53" s="2465"/>
      <c r="CF53" s="2465"/>
      <c r="CG53" s="2465"/>
      <c r="CH53" s="2465"/>
      <c r="CJ53" s="2466"/>
      <c r="CK53" s="2466"/>
      <c r="CL53" s="2466"/>
    </row>
    <row r="54" spans="1:90" s="170" customFormat="1" ht="15" customHeight="1" x14ac:dyDescent="0.2">
      <c r="A54" s="6240">
        <v>31000026</v>
      </c>
      <c r="B54" s="1472" t="s">
        <v>1284</v>
      </c>
      <c r="C54" s="1087" t="s">
        <v>5292</v>
      </c>
      <c r="D54" s="1072" t="s">
        <v>5293</v>
      </c>
      <c r="E54" s="1073" t="s">
        <v>5294</v>
      </c>
      <c r="F54" s="83" t="s">
        <v>5295</v>
      </c>
      <c r="G54" s="586" t="s">
        <v>5296</v>
      </c>
      <c r="H54" s="1069" t="s">
        <v>5297</v>
      </c>
      <c r="I54" s="1069" t="s">
        <v>5298</v>
      </c>
      <c r="J54" s="1069" t="s">
        <v>5299</v>
      </c>
      <c r="K54" s="839" t="s">
        <v>5300</v>
      </c>
      <c r="L54" s="1069" t="s">
        <v>5301</v>
      </c>
      <c r="M54" s="1069" t="s">
        <v>5302</v>
      </c>
      <c r="N54" s="1069" t="s">
        <v>5303</v>
      </c>
      <c r="O54" s="588" t="s">
        <v>5304</v>
      </c>
      <c r="P54" s="1069" t="s">
        <v>5305</v>
      </c>
      <c r="Q54" s="1069" t="s">
        <v>5306</v>
      </c>
      <c r="R54" s="1069" t="s">
        <v>5307</v>
      </c>
      <c r="S54" s="1069" t="s">
        <v>5308</v>
      </c>
      <c r="T54" s="1069" t="s">
        <v>5309</v>
      </c>
      <c r="U54" s="1069" t="s">
        <v>5310</v>
      </c>
      <c r="V54" s="1069" t="s">
        <v>5311</v>
      </c>
      <c r="W54" s="1069" t="s">
        <v>5312</v>
      </c>
      <c r="X54" s="1069" t="s">
        <v>5313</v>
      </c>
      <c r="Y54" s="1069" t="s">
        <v>5314</v>
      </c>
      <c r="Z54" s="1069" t="s">
        <v>5315</v>
      </c>
      <c r="AA54" s="839" t="s">
        <v>5316</v>
      </c>
      <c r="AB54" s="839" t="s">
        <v>5317</v>
      </c>
      <c r="AC54" s="839" t="s">
        <v>5318</v>
      </c>
      <c r="AD54" s="839" t="s">
        <v>5319</v>
      </c>
      <c r="AE54" s="1069" t="s">
        <v>5320</v>
      </c>
      <c r="AF54" s="588" t="s">
        <v>5321</v>
      </c>
      <c r="AG54" s="587" t="s">
        <v>5322</v>
      </c>
      <c r="CC54" s="2465"/>
      <c r="CD54" s="2465"/>
      <c r="CE54" s="2465"/>
      <c r="CF54" s="2465"/>
      <c r="CG54" s="2465"/>
      <c r="CH54" s="2465"/>
      <c r="CJ54" s="2466"/>
      <c r="CK54" s="2466"/>
      <c r="CL54" s="2466"/>
    </row>
    <row r="55" spans="1:90" s="170" customFormat="1" ht="15" customHeight="1" x14ac:dyDescent="0.2">
      <c r="A55" s="6240">
        <v>31000047</v>
      </c>
      <c r="B55" s="1472" t="s">
        <v>1285</v>
      </c>
      <c r="C55" s="1087" t="s">
        <v>5292</v>
      </c>
      <c r="D55" s="1072" t="s">
        <v>5293</v>
      </c>
      <c r="E55" s="1073" t="s">
        <v>5294</v>
      </c>
      <c r="F55" s="83" t="s">
        <v>5295</v>
      </c>
      <c r="G55" s="586" t="s">
        <v>5296</v>
      </c>
      <c r="H55" s="1069" t="s">
        <v>5297</v>
      </c>
      <c r="I55" s="1069" t="s">
        <v>5298</v>
      </c>
      <c r="J55" s="1069" t="s">
        <v>5299</v>
      </c>
      <c r="K55" s="839" t="s">
        <v>5300</v>
      </c>
      <c r="L55" s="1069" t="s">
        <v>5301</v>
      </c>
      <c r="M55" s="1073" t="s">
        <v>5302</v>
      </c>
      <c r="N55" s="1073" t="s">
        <v>5303</v>
      </c>
      <c r="O55" s="588" t="s">
        <v>5304</v>
      </c>
      <c r="P55" s="1069" t="s">
        <v>5305</v>
      </c>
      <c r="Q55" s="1069" t="s">
        <v>5306</v>
      </c>
      <c r="R55" s="1069" t="s">
        <v>5307</v>
      </c>
      <c r="S55" s="1069" t="s">
        <v>5308</v>
      </c>
      <c r="T55" s="1069" t="s">
        <v>5309</v>
      </c>
      <c r="U55" s="1069" t="s">
        <v>5310</v>
      </c>
      <c r="V55" s="1069" t="s">
        <v>5311</v>
      </c>
      <c r="W55" s="1069" t="s">
        <v>5312</v>
      </c>
      <c r="X55" s="1069" t="s">
        <v>5313</v>
      </c>
      <c r="Y55" s="1069" t="s">
        <v>5314</v>
      </c>
      <c r="Z55" s="1069" t="s">
        <v>5315</v>
      </c>
      <c r="AA55" s="839" t="s">
        <v>5316</v>
      </c>
      <c r="AB55" s="839" t="s">
        <v>5317</v>
      </c>
      <c r="AC55" s="839" t="s">
        <v>5318</v>
      </c>
      <c r="AD55" s="839" t="s">
        <v>5319</v>
      </c>
      <c r="AE55" s="1069" t="s">
        <v>5320</v>
      </c>
      <c r="AF55" s="1059" t="s">
        <v>5321</v>
      </c>
      <c r="AG55" s="1060" t="s">
        <v>5322</v>
      </c>
      <c r="CC55" s="2465"/>
      <c r="CD55" s="2465"/>
      <c r="CE55" s="2465"/>
      <c r="CF55" s="2465"/>
      <c r="CG55" s="2465"/>
      <c r="CH55" s="2465"/>
      <c r="CJ55" s="2466"/>
      <c r="CK55" s="2466"/>
      <c r="CL55" s="2466"/>
    </row>
    <row r="56" spans="1:90" s="170" customFormat="1" ht="15" customHeight="1" x14ac:dyDescent="0.2">
      <c r="A56" s="6240">
        <v>31000027</v>
      </c>
      <c r="B56" s="1472" t="s">
        <v>1286</v>
      </c>
      <c r="C56" s="1087" t="s">
        <v>5292</v>
      </c>
      <c r="D56" s="1072" t="s">
        <v>5293</v>
      </c>
      <c r="E56" s="1073" t="s">
        <v>5294</v>
      </c>
      <c r="F56" s="83" t="s">
        <v>5295</v>
      </c>
      <c r="G56" s="1072" t="s">
        <v>5296</v>
      </c>
      <c r="H56" s="1073" t="s">
        <v>5297</v>
      </c>
      <c r="I56" s="1073" t="s">
        <v>5298</v>
      </c>
      <c r="J56" s="1073" t="s">
        <v>5299</v>
      </c>
      <c r="K56" s="1080" t="s">
        <v>5300</v>
      </c>
      <c r="L56" s="1073" t="s">
        <v>5301</v>
      </c>
      <c r="M56" s="1073" t="s">
        <v>5302</v>
      </c>
      <c r="N56" s="1073" t="s">
        <v>5303</v>
      </c>
      <c r="O56" s="1059" t="s">
        <v>5304</v>
      </c>
      <c r="P56" s="1073" t="s">
        <v>5305</v>
      </c>
      <c r="Q56" s="1073" t="s">
        <v>5306</v>
      </c>
      <c r="R56" s="1073" t="s">
        <v>5307</v>
      </c>
      <c r="S56" s="1073" t="s">
        <v>5308</v>
      </c>
      <c r="T56" s="1073" t="s">
        <v>5309</v>
      </c>
      <c r="U56" s="1073" t="s">
        <v>5310</v>
      </c>
      <c r="V56" s="1073" t="s">
        <v>5311</v>
      </c>
      <c r="W56" s="1073" t="s">
        <v>5312</v>
      </c>
      <c r="X56" s="1073" t="s">
        <v>5313</v>
      </c>
      <c r="Y56" s="1073" t="s">
        <v>5314</v>
      </c>
      <c r="Z56" s="1073" t="s">
        <v>5315</v>
      </c>
      <c r="AA56" s="1080" t="s">
        <v>5316</v>
      </c>
      <c r="AB56" s="1080" t="s">
        <v>5317</v>
      </c>
      <c r="AC56" s="1080" t="s">
        <v>5318</v>
      </c>
      <c r="AD56" s="1080" t="s">
        <v>5319</v>
      </c>
      <c r="AE56" s="1073" t="s">
        <v>5320</v>
      </c>
      <c r="AF56" s="1059" t="s">
        <v>5321</v>
      </c>
      <c r="AG56" s="1060" t="s">
        <v>5322</v>
      </c>
      <c r="CC56" s="2465"/>
      <c r="CD56" s="2465"/>
      <c r="CE56" s="2465"/>
      <c r="CF56" s="2465"/>
      <c r="CG56" s="2465"/>
      <c r="CH56" s="2465"/>
      <c r="CJ56" s="2466"/>
      <c r="CK56" s="2466"/>
      <c r="CL56" s="2466"/>
    </row>
    <row r="57" spans="1:90" s="170" customFormat="1" ht="15" customHeight="1" x14ac:dyDescent="0.2">
      <c r="A57" s="6240">
        <v>31000028</v>
      </c>
      <c r="B57" s="1472" t="s">
        <v>1287</v>
      </c>
      <c r="C57" s="1087" t="s">
        <v>5292</v>
      </c>
      <c r="D57" s="1072" t="s">
        <v>5293</v>
      </c>
      <c r="E57" s="1073" t="s">
        <v>5294</v>
      </c>
      <c r="F57" s="83" t="s">
        <v>5295</v>
      </c>
      <c r="G57" s="1072" t="s">
        <v>5296</v>
      </c>
      <c r="H57" s="1073" t="s">
        <v>5297</v>
      </c>
      <c r="I57" s="1073" t="s">
        <v>5298</v>
      </c>
      <c r="J57" s="1073" t="s">
        <v>5299</v>
      </c>
      <c r="K57" s="1080" t="s">
        <v>5300</v>
      </c>
      <c r="L57" s="1073" t="s">
        <v>5301</v>
      </c>
      <c r="M57" s="1073" t="s">
        <v>5302</v>
      </c>
      <c r="N57" s="1073" t="s">
        <v>5303</v>
      </c>
      <c r="O57" s="1059" t="s">
        <v>5304</v>
      </c>
      <c r="P57" s="1073" t="s">
        <v>5305</v>
      </c>
      <c r="Q57" s="1073" t="s">
        <v>5306</v>
      </c>
      <c r="R57" s="1073" t="s">
        <v>5307</v>
      </c>
      <c r="S57" s="1073" t="s">
        <v>5308</v>
      </c>
      <c r="T57" s="1073" t="s">
        <v>5309</v>
      </c>
      <c r="U57" s="1073" t="s">
        <v>5310</v>
      </c>
      <c r="V57" s="1073" t="s">
        <v>5311</v>
      </c>
      <c r="W57" s="1073" t="s">
        <v>5312</v>
      </c>
      <c r="X57" s="1073" t="s">
        <v>5313</v>
      </c>
      <c r="Y57" s="1073" t="s">
        <v>5314</v>
      </c>
      <c r="Z57" s="1073" t="s">
        <v>5315</v>
      </c>
      <c r="AA57" s="1080" t="s">
        <v>5316</v>
      </c>
      <c r="AB57" s="1080" t="s">
        <v>5317</v>
      </c>
      <c r="AC57" s="1080" t="s">
        <v>5318</v>
      </c>
      <c r="AD57" s="1080" t="s">
        <v>5319</v>
      </c>
      <c r="AE57" s="1073" t="s">
        <v>5320</v>
      </c>
      <c r="AF57" s="1059" t="s">
        <v>5321</v>
      </c>
      <c r="AG57" s="1060" t="s">
        <v>5322</v>
      </c>
      <c r="CC57" s="2465"/>
      <c r="CD57" s="2465"/>
      <c r="CE57" s="2465"/>
      <c r="CF57" s="2465"/>
      <c r="CG57" s="2465"/>
      <c r="CH57" s="2465"/>
      <c r="CJ57" s="2466"/>
      <c r="CK57" s="2466"/>
      <c r="CL57" s="2466"/>
    </row>
    <row r="58" spans="1:90" s="170" customFormat="1" ht="15" customHeight="1" x14ac:dyDescent="0.2">
      <c r="A58" s="6240">
        <v>31000048</v>
      </c>
      <c r="B58" s="1472" t="s">
        <v>1288</v>
      </c>
      <c r="C58" s="1087" t="s">
        <v>5292</v>
      </c>
      <c r="D58" s="1072" t="s">
        <v>5293</v>
      </c>
      <c r="E58" s="1073" t="s">
        <v>5294</v>
      </c>
      <c r="F58" s="83" t="s">
        <v>5295</v>
      </c>
      <c r="G58" s="90" t="s">
        <v>5296</v>
      </c>
      <c r="H58" s="127" t="s">
        <v>5297</v>
      </c>
      <c r="I58" s="127" t="s">
        <v>5298</v>
      </c>
      <c r="J58" s="127" t="s">
        <v>5299</v>
      </c>
      <c r="K58" s="127" t="s">
        <v>5300</v>
      </c>
      <c r="L58" s="129" t="s">
        <v>5301</v>
      </c>
      <c r="M58" s="129" t="s">
        <v>5302</v>
      </c>
      <c r="N58" s="129" t="s">
        <v>5303</v>
      </c>
      <c r="O58" s="129" t="s">
        <v>5304</v>
      </c>
      <c r="P58" s="127" t="s">
        <v>5305</v>
      </c>
      <c r="Q58" s="129" t="s">
        <v>5306</v>
      </c>
      <c r="R58" s="127" t="s">
        <v>5307</v>
      </c>
      <c r="S58" s="129" t="s">
        <v>5308</v>
      </c>
      <c r="T58" s="127" t="s">
        <v>5309</v>
      </c>
      <c r="U58" s="129" t="s">
        <v>5310</v>
      </c>
      <c r="V58" s="127" t="s">
        <v>5311</v>
      </c>
      <c r="W58" s="129" t="s">
        <v>5312</v>
      </c>
      <c r="X58" s="127" t="s">
        <v>5313</v>
      </c>
      <c r="Y58" s="129" t="s">
        <v>5314</v>
      </c>
      <c r="Z58" s="127" t="s">
        <v>5315</v>
      </c>
      <c r="AA58" s="129" t="s">
        <v>5316</v>
      </c>
      <c r="AB58" s="127" t="s">
        <v>5317</v>
      </c>
      <c r="AC58" s="129" t="s">
        <v>5318</v>
      </c>
      <c r="AD58" s="127" t="s">
        <v>5319</v>
      </c>
      <c r="AE58" s="127" t="s">
        <v>5320</v>
      </c>
      <c r="AF58" s="129" t="s">
        <v>5321</v>
      </c>
      <c r="AG58" s="92" t="s">
        <v>5322</v>
      </c>
      <c r="CC58" s="2465"/>
      <c r="CD58" s="2465"/>
      <c r="CE58" s="2465"/>
      <c r="CF58" s="2465"/>
      <c r="CG58" s="2465"/>
      <c r="CH58" s="2465"/>
      <c r="CJ58" s="2466"/>
      <c r="CK58" s="2466"/>
      <c r="CL58" s="2466"/>
    </row>
    <row r="59" spans="1:90" s="170" customFormat="1" ht="15" customHeight="1" x14ac:dyDescent="0.2">
      <c r="A59" s="6240">
        <v>31000049</v>
      </c>
      <c r="B59" s="1086" t="s">
        <v>1289</v>
      </c>
      <c r="C59" s="1486" t="s">
        <v>5292</v>
      </c>
      <c r="D59" s="586" t="s">
        <v>5293</v>
      </c>
      <c r="E59" s="1069" t="s">
        <v>5294</v>
      </c>
      <c r="F59" s="105" t="s">
        <v>5295</v>
      </c>
      <c r="G59" s="90" t="s">
        <v>5296</v>
      </c>
      <c r="H59" s="127" t="s">
        <v>5297</v>
      </c>
      <c r="I59" s="127" t="s">
        <v>5298</v>
      </c>
      <c r="J59" s="127" t="s">
        <v>5299</v>
      </c>
      <c r="K59" s="1073" t="s">
        <v>5300</v>
      </c>
      <c r="L59" s="1059" t="s">
        <v>5301</v>
      </c>
      <c r="M59" s="129" t="s">
        <v>5302</v>
      </c>
      <c r="N59" s="1059" t="s">
        <v>5303</v>
      </c>
      <c r="O59" s="129" t="s">
        <v>5304</v>
      </c>
      <c r="P59" s="1073" t="s">
        <v>5305</v>
      </c>
      <c r="Q59" s="129" t="s">
        <v>5306</v>
      </c>
      <c r="R59" s="1073" t="s">
        <v>5307</v>
      </c>
      <c r="S59" s="129" t="s">
        <v>5308</v>
      </c>
      <c r="T59" s="1073" t="s">
        <v>5309</v>
      </c>
      <c r="U59" s="129" t="s">
        <v>5310</v>
      </c>
      <c r="V59" s="127" t="s">
        <v>5311</v>
      </c>
      <c r="W59" s="129" t="s">
        <v>5312</v>
      </c>
      <c r="X59" s="1073" t="s">
        <v>5313</v>
      </c>
      <c r="Y59" s="129" t="s">
        <v>5314</v>
      </c>
      <c r="Z59" s="1073" t="s">
        <v>5315</v>
      </c>
      <c r="AA59" s="129" t="s">
        <v>5316</v>
      </c>
      <c r="AB59" s="127" t="s">
        <v>5317</v>
      </c>
      <c r="AC59" s="129" t="s">
        <v>5318</v>
      </c>
      <c r="AD59" s="1073" t="s">
        <v>5319</v>
      </c>
      <c r="AE59" s="1073" t="s">
        <v>5320</v>
      </c>
      <c r="AF59" s="1059" t="s">
        <v>5321</v>
      </c>
      <c r="AG59" s="1060" t="s">
        <v>5322</v>
      </c>
      <c r="CC59" s="2465"/>
      <c r="CD59" s="2465"/>
      <c r="CE59" s="2465"/>
      <c r="CF59" s="2465"/>
      <c r="CG59" s="2465"/>
      <c r="CH59" s="2465"/>
      <c r="CJ59" s="2466"/>
      <c r="CK59" s="2466"/>
      <c r="CL59" s="2466"/>
    </row>
    <row r="60" spans="1:90" s="170" customFormat="1" ht="15" customHeight="1" x14ac:dyDescent="0.2">
      <c r="A60" s="6240">
        <v>31000029</v>
      </c>
      <c r="B60" s="1472" t="s">
        <v>1290</v>
      </c>
      <c r="C60" s="1087" t="s">
        <v>5292</v>
      </c>
      <c r="D60" s="90" t="s">
        <v>5293</v>
      </c>
      <c r="E60" s="127" t="s">
        <v>5294</v>
      </c>
      <c r="F60" s="91" t="s">
        <v>5295</v>
      </c>
      <c r="G60" s="1072" t="s">
        <v>5296</v>
      </c>
      <c r="H60" s="1073" t="s">
        <v>5297</v>
      </c>
      <c r="I60" s="1073" t="s">
        <v>5298</v>
      </c>
      <c r="J60" s="1073" t="s">
        <v>5299</v>
      </c>
      <c r="K60" s="1080" t="s">
        <v>5300</v>
      </c>
      <c r="L60" s="1073" t="s">
        <v>5301</v>
      </c>
      <c r="M60" s="1073" t="s">
        <v>5302</v>
      </c>
      <c r="N60" s="1073" t="s">
        <v>5303</v>
      </c>
      <c r="O60" s="1059" t="s">
        <v>5304</v>
      </c>
      <c r="P60" s="1073" t="s">
        <v>5305</v>
      </c>
      <c r="Q60" s="1073" t="s">
        <v>5306</v>
      </c>
      <c r="R60" s="1073" t="s">
        <v>5307</v>
      </c>
      <c r="S60" s="1073" t="s">
        <v>5308</v>
      </c>
      <c r="T60" s="1073" t="s">
        <v>5309</v>
      </c>
      <c r="U60" s="1073" t="s">
        <v>5310</v>
      </c>
      <c r="V60" s="1073" t="s">
        <v>5311</v>
      </c>
      <c r="W60" s="1059" t="s">
        <v>5312</v>
      </c>
      <c r="X60" s="1073" t="s">
        <v>5313</v>
      </c>
      <c r="Y60" s="1073" t="s">
        <v>5314</v>
      </c>
      <c r="Z60" s="1073" t="s">
        <v>5315</v>
      </c>
      <c r="AA60" s="1080" t="s">
        <v>5316</v>
      </c>
      <c r="AB60" s="1073" t="s">
        <v>5317</v>
      </c>
      <c r="AC60" s="126" t="s">
        <v>5318</v>
      </c>
      <c r="AD60" s="1080" t="s">
        <v>5319</v>
      </c>
      <c r="AE60" s="1073" t="s">
        <v>5320</v>
      </c>
      <c r="AF60" s="1059" t="s">
        <v>5321</v>
      </c>
      <c r="AG60" s="1060" t="s">
        <v>5322</v>
      </c>
      <c r="CC60" s="2465"/>
      <c r="CD60" s="2465"/>
      <c r="CE60" s="2465"/>
      <c r="CF60" s="2465"/>
      <c r="CG60" s="2465"/>
      <c r="CH60" s="2465"/>
      <c r="CJ60" s="2466"/>
      <c r="CK60" s="2466"/>
      <c r="CL60" s="2466"/>
    </row>
    <row r="61" spans="1:90" s="170" customFormat="1" ht="15" customHeight="1" x14ac:dyDescent="0.2">
      <c r="A61" s="6240">
        <v>31000050</v>
      </c>
      <c r="B61" s="1472" t="s">
        <v>1291</v>
      </c>
      <c r="C61" s="1087" t="s">
        <v>5292</v>
      </c>
      <c r="D61" s="1072" t="s">
        <v>5293</v>
      </c>
      <c r="E61" s="1073" t="s">
        <v>5294</v>
      </c>
      <c r="F61" s="83" t="s">
        <v>5295</v>
      </c>
      <c r="G61" s="1072" t="s">
        <v>5296</v>
      </c>
      <c r="H61" s="1073" t="s">
        <v>5297</v>
      </c>
      <c r="I61" s="1073" t="s">
        <v>5298</v>
      </c>
      <c r="J61" s="1073" t="s">
        <v>5299</v>
      </c>
      <c r="K61" s="1080" t="s">
        <v>5300</v>
      </c>
      <c r="L61" s="1073" t="s">
        <v>5301</v>
      </c>
      <c r="M61" s="1073" t="s">
        <v>5302</v>
      </c>
      <c r="N61" s="1073" t="s">
        <v>5303</v>
      </c>
      <c r="O61" s="1059" t="s">
        <v>5304</v>
      </c>
      <c r="P61" s="1073" t="s">
        <v>5305</v>
      </c>
      <c r="Q61" s="1073" t="s">
        <v>5306</v>
      </c>
      <c r="R61" s="1073" t="s">
        <v>5307</v>
      </c>
      <c r="S61" s="1073" t="s">
        <v>5308</v>
      </c>
      <c r="T61" s="1073" t="s">
        <v>5309</v>
      </c>
      <c r="U61" s="1073" t="s">
        <v>5310</v>
      </c>
      <c r="V61" s="1073" t="s">
        <v>5311</v>
      </c>
      <c r="W61" s="1073" t="s">
        <v>5312</v>
      </c>
      <c r="X61" s="1073" t="s">
        <v>5313</v>
      </c>
      <c r="Y61" s="1073" t="s">
        <v>5314</v>
      </c>
      <c r="Z61" s="1073" t="s">
        <v>5315</v>
      </c>
      <c r="AA61" s="1080" t="s">
        <v>5316</v>
      </c>
      <c r="AB61" s="1080" t="s">
        <v>5317</v>
      </c>
      <c r="AC61" s="1080" t="s">
        <v>5318</v>
      </c>
      <c r="AD61" s="1080" t="s">
        <v>5319</v>
      </c>
      <c r="AE61" s="1073" t="s">
        <v>5320</v>
      </c>
      <c r="AF61" s="1059" t="s">
        <v>5321</v>
      </c>
      <c r="AG61" s="1060" t="s">
        <v>5322</v>
      </c>
      <c r="CC61" s="2465"/>
      <c r="CD61" s="2465"/>
      <c r="CE61" s="2465"/>
      <c r="CF61" s="2465"/>
      <c r="CG61" s="2465"/>
      <c r="CH61" s="2465"/>
      <c r="CJ61" s="2466"/>
      <c r="CK61" s="2466"/>
      <c r="CL61" s="2466"/>
    </row>
    <row r="62" spans="1:90" s="170" customFormat="1" ht="15" customHeight="1" x14ac:dyDescent="0.2">
      <c r="A62" s="6240">
        <v>31000031</v>
      </c>
      <c r="B62" s="1472" t="s">
        <v>1292</v>
      </c>
      <c r="C62" s="1087" t="s">
        <v>5292</v>
      </c>
      <c r="D62" s="1072" t="s">
        <v>5293</v>
      </c>
      <c r="E62" s="1073" t="s">
        <v>5294</v>
      </c>
      <c r="F62" s="83" t="s">
        <v>5295</v>
      </c>
      <c r="G62" s="1072" t="s">
        <v>5296</v>
      </c>
      <c r="H62" s="1073" t="s">
        <v>5297</v>
      </c>
      <c r="I62" s="1073" t="s">
        <v>5298</v>
      </c>
      <c r="J62" s="1073" t="s">
        <v>5299</v>
      </c>
      <c r="K62" s="1080" t="s">
        <v>5300</v>
      </c>
      <c r="L62" s="1073" t="s">
        <v>5301</v>
      </c>
      <c r="M62" s="1073" t="s">
        <v>5302</v>
      </c>
      <c r="N62" s="1073" t="s">
        <v>5303</v>
      </c>
      <c r="O62" s="1059" t="s">
        <v>5304</v>
      </c>
      <c r="P62" s="1073" t="s">
        <v>5305</v>
      </c>
      <c r="Q62" s="1073" t="s">
        <v>5306</v>
      </c>
      <c r="R62" s="1073" t="s">
        <v>5307</v>
      </c>
      <c r="S62" s="1073" t="s">
        <v>5308</v>
      </c>
      <c r="T62" s="1073" t="s">
        <v>5309</v>
      </c>
      <c r="U62" s="1073" t="s">
        <v>5310</v>
      </c>
      <c r="V62" s="1073" t="s">
        <v>5311</v>
      </c>
      <c r="W62" s="1073" t="s">
        <v>5312</v>
      </c>
      <c r="X62" s="1073" t="s">
        <v>5313</v>
      </c>
      <c r="Y62" s="1073" t="s">
        <v>5314</v>
      </c>
      <c r="Z62" s="1073" t="s">
        <v>5315</v>
      </c>
      <c r="AA62" s="1080" t="s">
        <v>5316</v>
      </c>
      <c r="AB62" s="1080" t="s">
        <v>5317</v>
      </c>
      <c r="AC62" s="1080" t="s">
        <v>5318</v>
      </c>
      <c r="AD62" s="1080" t="s">
        <v>5319</v>
      </c>
      <c r="AE62" s="1073" t="s">
        <v>5320</v>
      </c>
      <c r="AF62" s="1059" t="s">
        <v>5321</v>
      </c>
      <c r="AG62" s="1060" t="s">
        <v>5322</v>
      </c>
      <c r="CC62" s="2465"/>
      <c r="CD62" s="2465"/>
      <c r="CE62" s="2465"/>
      <c r="CF62" s="2465"/>
      <c r="CG62" s="2465"/>
      <c r="CH62" s="2465"/>
      <c r="CJ62" s="2466"/>
      <c r="CK62" s="2466"/>
      <c r="CL62" s="2466"/>
    </row>
    <row r="63" spans="1:90" s="170" customFormat="1" ht="15" customHeight="1" x14ac:dyDescent="0.2">
      <c r="A63" s="6240">
        <v>31000032</v>
      </c>
      <c r="B63" s="1472" t="s">
        <v>1293</v>
      </c>
      <c r="C63" s="1087" t="s">
        <v>5292</v>
      </c>
      <c r="D63" s="1072" t="s">
        <v>5293</v>
      </c>
      <c r="E63" s="1073" t="s">
        <v>5294</v>
      </c>
      <c r="F63" s="83" t="s">
        <v>5295</v>
      </c>
      <c r="G63" s="1072" t="s">
        <v>5296</v>
      </c>
      <c r="H63" s="1073" t="s">
        <v>5297</v>
      </c>
      <c r="I63" s="1073" t="s">
        <v>5298</v>
      </c>
      <c r="J63" s="1073" t="s">
        <v>5299</v>
      </c>
      <c r="K63" s="1080" t="s">
        <v>5300</v>
      </c>
      <c r="L63" s="1073" t="s">
        <v>5301</v>
      </c>
      <c r="M63" s="1073" t="s">
        <v>5302</v>
      </c>
      <c r="N63" s="1073" t="s">
        <v>5303</v>
      </c>
      <c r="O63" s="1059" t="s">
        <v>5304</v>
      </c>
      <c r="P63" s="1073" t="s">
        <v>5305</v>
      </c>
      <c r="Q63" s="1073" t="s">
        <v>5306</v>
      </c>
      <c r="R63" s="1073" t="s">
        <v>5307</v>
      </c>
      <c r="S63" s="1073" t="s">
        <v>5308</v>
      </c>
      <c r="T63" s="1073" t="s">
        <v>5309</v>
      </c>
      <c r="U63" s="1073" t="s">
        <v>5310</v>
      </c>
      <c r="V63" s="1073" t="s">
        <v>5311</v>
      </c>
      <c r="W63" s="1073" t="s">
        <v>5312</v>
      </c>
      <c r="X63" s="1073" t="s">
        <v>5313</v>
      </c>
      <c r="Y63" s="1073" t="s">
        <v>5314</v>
      </c>
      <c r="Z63" s="1073" t="s">
        <v>5315</v>
      </c>
      <c r="AA63" s="1080" t="s">
        <v>5316</v>
      </c>
      <c r="AB63" s="1080" t="s">
        <v>5317</v>
      </c>
      <c r="AC63" s="1080" t="s">
        <v>5318</v>
      </c>
      <c r="AD63" s="1080" t="s">
        <v>5319</v>
      </c>
      <c r="AE63" s="1073" t="s">
        <v>5320</v>
      </c>
      <c r="AF63" s="1059" t="s">
        <v>5321</v>
      </c>
      <c r="AG63" s="1060" t="s">
        <v>5322</v>
      </c>
      <c r="CC63" s="2465"/>
      <c r="CD63" s="2465"/>
      <c r="CE63" s="2465"/>
      <c r="CF63" s="2465"/>
      <c r="CG63" s="2465"/>
      <c r="CH63" s="2465"/>
      <c r="CJ63" s="2466"/>
      <c r="CK63" s="2466"/>
      <c r="CL63" s="2466"/>
    </row>
    <row r="64" spans="1:90" s="170" customFormat="1" ht="11.4" x14ac:dyDescent="0.2">
      <c r="A64" s="6240">
        <v>31000033</v>
      </c>
      <c r="B64" s="1086" t="s">
        <v>1294</v>
      </c>
      <c r="C64" s="1087" t="s">
        <v>5292</v>
      </c>
      <c r="D64" s="1072" t="s">
        <v>5293</v>
      </c>
      <c r="E64" s="1073" t="s">
        <v>5294</v>
      </c>
      <c r="F64" s="83" t="s">
        <v>5295</v>
      </c>
      <c r="G64" s="1072" t="s">
        <v>5296</v>
      </c>
      <c r="H64" s="1073" t="s">
        <v>5297</v>
      </c>
      <c r="I64" s="1073" t="s">
        <v>5298</v>
      </c>
      <c r="J64" s="1073" t="s">
        <v>5299</v>
      </c>
      <c r="K64" s="1080" t="s">
        <v>5300</v>
      </c>
      <c r="L64" s="1073" t="s">
        <v>5301</v>
      </c>
      <c r="M64" s="1073" t="s">
        <v>5302</v>
      </c>
      <c r="N64" s="1073" t="s">
        <v>5303</v>
      </c>
      <c r="O64" s="1059" t="s">
        <v>5304</v>
      </c>
      <c r="P64" s="1073" t="s">
        <v>5305</v>
      </c>
      <c r="Q64" s="1073" t="s">
        <v>5306</v>
      </c>
      <c r="R64" s="1073" t="s">
        <v>5307</v>
      </c>
      <c r="S64" s="1073" t="s">
        <v>5308</v>
      </c>
      <c r="T64" s="1073" t="s">
        <v>5309</v>
      </c>
      <c r="U64" s="1073" t="s">
        <v>5310</v>
      </c>
      <c r="V64" s="1073" t="s">
        <v>5311</v>
      </c>
      <c r="W64" s="1073" t="s">
        <v>5312</v>
      </c>
      <c r="X64" s="1073" t="s">
        <v>5313</v>
      </c>
      <c r="Y64" s="1073" t="s">
        <v>5314</v>
      </c>
      <c r="Z64" s="1073" t="s">
        <v>5315</v>
      </c>
      <c r="AA64" s="1080" t="s">
        <v>5316</v>
      </c>
      <c r="AB64" s="1080" t="s">
        <v>5317</v>
      </c>
      <c r="AC64" s="1080" t="s">
        <v>5318</v>
      </c>
      <c r="AD64" s="1080" t="s">
        <v>5319</v>
      </c>
      <c r="AE64" s="1073" t="s">
        <v>5320</v>
      </c>
      <c r="AF64" s="1059" t="s">
        <v>5321</v>
      </c>
      <c r="AG64" s="1060" t="s">
        <v>5322</v>
      </c>
      <c r="CC64" s="2465"/>
      <c r="CD64" s="2465"/>
      <c r="CE64" s="2465"/>
      <c r="CF64" s="2465"/>
      <c r="CG64" s="2465"/>
      <c r="CH64" s="2465"/>
      <c r="CJ64" s="2466"/>
      <c r="CK64" s="2466"/>
      <c r="CL64" s="2466"/>
    </row>
    <row r="65" spans="1:92" s="170" customFormat="1" ht="15" customHeight="1" x14ac:dyDescent="0.2">
      <c r="A65" s="6240">
        <v>31000034</v>
      </c>
      <c r="B65" s="1487" t="s">
        <v>1295</v>
      </c>
      <c r="C65" s="1404" t="s">
        <v>5292</v>
      </c>
      <c r="D65" s="1398" t="s">
        <v>5293</v>
      </c>
      <c r="E65" s="1390" t="s">
        <v>5294</v>
      </c>
      <c r="F65" s="621" t="s">
        <v>5295</v>
      </c>
      <c r="G65" s="114" t="s">
        <v>5296</v>
      </c>
      <c r="H65" s="115" t="s">
        <v>5297</v>
      </c>
      <c r="I65" s="115" t="s">
        <v>5298</v>
      </c>
      <c r="J65" s="115" t="s">
        <v>5299</v>
      </c>
      <c r="K65" s="137" t="s">
        <v>5300</v>
      </c>
      <c r="L65" s="115" t="s">
        <v>5301</v>
      </c>
      <c r="M65" s="115" t="s">
        <v>5302</v>
      </c>
      <c r="N65" s="115" t="s">
        <v>5303</v>
      </c>
      <c r="O65" s="121" t="s">
        <v>5304</v>
      </c>
      <c r="P65" s="115" t="s">
        <v>5305</v>
      </c>
      <c r="Q65" s="115" t="s">
        <v>5306</v>
      </c>
      <c r="R65" s="115" t="s">
        <v>5307</v>
      </c>
      <c r="S65" s="115" t="s">
        <v>5308</v>
      </c>
      <c r="T65" s="115" t="s">
        <v>5309</v>
      </c>
      <c r="U65" s="115" t="s">
        <v>5310</v>
      </c>
      <c r="V65" s="115" t="s">
        <v>5311</v>
      </c>
      <c r="W65" s="115" t="s">
        <v>5312</v>
      </c>
      <c r="X65" s="115" t="s">
        <v>5313</v>
      </c>
      <c r="Y65" s="115" t="s">
        <v>5314</v>
      </c>
      <c r="Z65" s="115" t="s">
        <v>5315</v>
      </c>
      <c r="AA65" s="137" t="s">
        <v>5316</v>
      </c>
      <c r="AB65" s="137" t="s">
        <v>5317</v>
      </c>
      <c r="AC65" s="137" t="s">
        <v>5318</v>
      </c>
      <c r="AD65" s="137" t="s">
        <v>5319</v>
      </c>
      <c r="AE65" s="115" t="s">
        <v>5320</v>
      </c>
      <c r="AF65" s="121" t="s">
        <v>5321</v>
      </c>
      <c r="AG65" s="116" t="s">
        <v>5322</v>
      </c>
      <c r="CC65" s="2465"/>
      <c r="CD65" s="2465"/>
      <c r="CE65" s="2465"/>
      <c r="CF65" s="2465"/>
      <c r="CG65" s="2465"/>
      <c r="CH65" s="2465"/>
      <c r="CJ65" s="2466"/>
      <c r="CK65" s="2466"/>
      <c r="CL65" s="2466"/>
    </row>
    <row r="66" spans="1:92" s="170" customFormat="1" ht="15" customHeight="1" x14ac:dyDescent="0.3">
      <c r="A66" s="6235"/>
      <c r="B66" s="1405" t="s">
        <v>24</v>
      </c>
      <c r="C66" s="1488">
        <f>SUM(C50:C65)</f>
        <v>0</v>
      </c>
      <c r="D66" s="1399">
        <f>SUM(D50:D65)</f>
        <v>0</v>
      </c>
      <c r="E66" s="1400">
        <f>SUM(E50:E65)</f>
        <v>0</v>
      </c>
      <c r="F66" s="1402">
        <f t="shared" ref="F66:AF66" si="12">SUM(F50:F65)</f>
        <v>0</v>
      </c>
      <c r="G66" s="1399">
        <f t="shared" si="12"/>
        <v>0</v>
      </c>
      <c r="H66" s="1400">
        <f t="shared" si="12"/>
        <v>0</v>
      </c>
      <c r="I66" s="1400">
        <f t="shared" si="12"/>
        <v>0</v>
      </c>
      <c r="J66" s="1400">
        <f t="shared" si="12"/>
        <v>0</v>
      </c>
      <c r="K66" s="1081">
        <f t="shared" si="12"/>
        <v>0</v>
      </c>
      <c r="L66" s="1400">
        <f t="shared" si="12"/>
        <v>0</v>
      </c>
      <c r="M66" s="1400">
        <f t="shared" si="12"/>
        <v>0</v>
      </c>
      <c r="N66" s="1400">
        <f t="shared" si="12"/>
        <v>0</v>
      </c>
      <c r="O66" s="1401">
        <f t="shared" si="12"/>
        <v>0</v>
      </c>
      <c r="P66" s="1400">
        <f t="shared" si="12"/>
        <v>0</v>
      </c>
      <c r="Q66" s="1400">
        <f t="shared" si="12"/>
        <v>0</v>
      </c>
      <c r="R66" s="1400">
        <f t="shared" si="12"/>
        <v>0</v>
      </c>
      <c r="S66" s="1400">
        <f t="shared" si="12"/>
        <v>0</v>
      </c>
      <c r="T66" s="1400">
        <f t="shared" si="12"/>
        <v>0</v>
      </c>
      <c r="U66" s="1400">
        <f t="shared" si="12"/>
        <v>0</v>
      </c>
      <c r="V66" s="1400">
        <f t="shared" si="12"/>
        <v>0</v>
      </c>
      <c r="W66" s="1400">
        <f t="shared" si="12"/>
        <v>0</v>
      </c>
      <c r="X66" s="1400">
        <f t="shared" si="12"/>
        <v>0</v>
      </c>
      <c r="Y66" s="1400">
        <f t="shared" si="12"/>
        <v>0</v>
      </c>
      <c r="Z66" s="1400">
        <f t="shared" si="12"/>
        <v>0</v>
      </c>
      <c r="AA66" s="1081">
        <f t="shared" si="12"/>
        <v>0</v>
      </c>
      <c r="AB66" s="1081">
        <f t="shared" si="12"/>
        <v>0</v>
      </c>
      <c r="AC66" s="1081">
        <f t="shared" si="12"/>
        <v>0</v>
      </c>
      <c r="AD66" s="1081">
        <f>SUM(AD50:AD65)</f>
        <v>0</v>
      </c>
      <c r="AE66" s="1400">
        <f t="shared" si="12"/>
        <v>0</v>
      </c>
      <c r="AF66" s="1401">
        <f t="shared" si="12"/>
        <v>0</v>
      </c>
      <c r="AG66" s="1477">
        <f>SUM(AG50:AG65)</f>
        <v>0</v>
      </c>
      <c r="CC66" s="2465"/>
      <c r="CD66" s="2465"/>
      <c r="CE66" s="2465"/>
      <c r="CF66" s="2465"/>
      <c r="CG66" s="2465"/>
      <c r="CH66" s="2465"/>
      <c r="CJ66" s="2466"/>
      <c r="CK66" s="2466"/>
      <c r="CL66" s="2466"/>
    </row>
    <row r="67" spans="1:92" s="1116" customFormat="1" ht="18" customHeight="1" x14ac:dyDescent="0.3">
      <c r="A67" s="628"/>
      <c r="B67" s="8086" t="s">
        <v>1296</v>
      </c>
      <c r="C67" s="8086"/>
      <c r="D67" s="8086"/>
      <c r="E67" s="8086"/>
      <c r="F67" s="8086"/>
      <c r="G67" s="8086"/>
      <c r="H67" s="8086"/>
      <c r="I67" s="8086"/>
      <c r="J67" s="8086"/>
      <c r="K67" s="8086"/>
      <c r="L67" s="8086"/>
      <c r="M67" s="8086"/>
      <c r="N67" s="8086"/>
    </row>
    <row r="68" spans="1:92" s="170" customFormat="1" ht="18.899999999999999" customHeight="1" x14ac:dyDescent="0.3">
      <c r="A68" s="6275"/>
      <c r="B68" s="8403" t="s">
        <v>1297</v>
      </c>
      <c r="C68" s="8410" t="s">
        <v>1298</v>
      </c>
      <c r="D68" s="7962" t="s">
        <v>1299</v>
      </c>
      <c r="E68" s="7962"/>
      <c r="F68" s="8403"/>
      <c r="G68" s="8413" t="s">
        <v>30</v>
      </c>
      <c r="H68" s="8414"/>
      <c r="I68" s="8414"/>
      <c r="J68" s="8414"/>
      <c r="K68" s="8414"/>
      <c r="L68" s="8414"/>
      <c r="M68" s="8414"/>
      <c r="N68" s="8415"/>
      <c r="O68" s="8403" t="s">
        <v>1122</v>
      </c>
      <c r="P68" s="8403" t="s">
        <v>1300</v>
      </c>
      <c r="Q68" s="7640" t="s">
        <v>1301</v>
      </c>
      <c r="R68" s="7640" t="s">
        <v>67</v>
      </c>
      <c r="S68" s="8403" t="s">
        <v>2</v>
      </c>
      <c r="T68" s="7640" t="s">
        <v>3</v>
      </c>
      <c r="U68" s="7640" t="s">
        <v>49</v>
      </c>
    </row>
    <row r="69" spans="1:92" s="170" customFormat="1" ht="15" customHeight="1" x14ac:dyDescent="0.3">
      <c r="A69" s="6275"/>
      <c r="B69" s="7630"/>
      <c r="C69" s="8411"/>
      <c r="D69" s="7629"/>
      <c r="E69" s="7629"/>
      <c r="F69" s="7630"/>
      <c r="G69" s="8413" t="s">
        <v>3762</v>
      </c>
      <c r="H69" s="8416"/>
      <c r="I69" s="8413" t="s">
        <v>1302</v>
      </c>
      <c r="J69" s="8416"/>
      <c r="K69" s="8413" t="s">
        <v>1303</v>
      </c>
      <c r="L69" s="8416"/>
      <c r="M69" s="8413" t="s">
        <v>946</v>
      </c>
      <c r="N69" s="8415"/>
      <c r="O69" s="7630"/>
      <c r="P69" s="7630"/>
      <c r="Q69" s="8408"/>
      <c r="R69" s="8408"/>
      <c r="S69" s="7630"/>
      <c r="T69" s="8408"/>
      <c r="U69" s="8408"/>
    </row>
    <row r="70" spans="1:92" s="170" customFormat="1" ht="21.75" customHeight="1" x14ac:dyDescent="0.3">
      <c r="A70" s="6275"/>
      <c r="B70" s="8404"/>
      <c r="C70" s="8412"/>
      <c r="D70" s="2461" t="s">
        <v>26</v>
      </c>
      <c r="E70" s="1463" t="s">
        <v>22</v>
      </c>
      <c r="F70" s="1464" t="s">
        <v>27</v>
      </c>
      <c r="G70" s="1463" t="s">
        <v>22</v>
      </c>
      <c r="H70" s="1464" t="s">
        <v>27</v>
      </c>
      <c r="I70" s="1463" t="s">
        <v>22</v>
      </c>
      <c r="J70" s="1464" t="s">
        <v>27</v>
      </c>
      <c r="K70" s="1463" t="s">
        <v>22</v>
      </c>
      <c r="L70" s="1464" t="s">
        <v>27</v>
      </c>
      <c r="M70" s="1463" t="s">
        <v>22</v>
      </c>
      <c r="N70" s="2501" t="s">
        <v>27</v>
      </c>
      <c r="O70" s="8404"/>
      <c r="P70" s="8404"/>
      <c r="Q70" s="8409"/>
      <c r="R70" s="8409"/>
      <c r="S70" s="8404"/>
      <c r="T70" s="8409"/>
      <c r="U70" s="8409"/>
    </row>
    <row r="71" spans="1:92" s="170" customFormat="1" ht="15" customHeight="1" x14ac:dyDescent="0.2">
      <c r="A71" s="6240">
        <v>31000051</v>
      </c>
      <c r="B71" s="1489" t="s">
        <v>1252</v>
      </c>
      <c r="C71" s="8754" t="s">
        <v>5292</v>
      </c>
      <c r="D71" s="8755" t="s">
        <v>5293</v>
      </c>
      <c r="E71" s="8677" t="s">
        <v>5294</v>
      </c>
      <c r="F71" s="8755" t="s">
        <v>5295</v>
      </c>
      <c r="G71" s="8675" t="s">
        <v>5296</v>
      </c>
      <c r="H71" s="8672" t="s">
        <v>5297</v>
      </c>
      <c r="I71" s="8733" t="s">
        <v>5298</v>
      </c>
      <c r="J71" s="8672" t="s">
        <v>5299</v>
      </c>
      <c r="K71" s="8733" t="s">
        <v>5300</v>
      </c>
      <c r="L71" s="8672" t="s">
        <v>5301</v>
      </c>
      <c r="M71" s="8733" t="s">
        <v>5302</v>
      </c>
      <c r="N71" s="8679" t="s">
        <v>5303</v>
      </c>
      <c r="O71" s="8756" t="s">
        <v>5304</v>
      </c>
      <c r="P71" s="8756" t="s">
        <v>5305</v>
      </c>
      <c r="Q71" s="8757" t="s">
        <v>5306</v>
      </c>
      <c r="R71" s="8757" t="s">
        <v>5307</v>
      </c>
      <c r="S71" s="8757" t="s">
        <v>5308</v>
      </c>
      <c r="T71" s="8757" t="s">
        <v>5309</v>
      </c>
      <c r="U71" s="8757" t="s">
        <v>5310</v>
      </c>
      <c r="V71" s="170" t="str">
        <f>CC71&amp;CD71&amp;CE71&amp;CF71&amp;CG71&amp;CH71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1" s="2465" t="str">
        <f>IF(AND(D71&gt;0,R71=""),"  * No olvide digitar la variable Beneficiarios. Digite Cero si no tiene.",IF(R71&gt;D71," * La variable beneficiarios No puede ser mayor al Total.",""))</f>
        <v xml:space="preserve"> * La variable beneficiarios No puede ser mayor al Total.</v>
      </c>
      <c r="CD71" s="2465" t="str">
        <f>IF(AND(D71&gt;0,S71=""),"  * No olvide digitar la variable Pueblos originarios. Digite Cero si no tiene.",IF(S71&gt;D71," * La variable Pueblos originarios No puede ser mayor al Total.",""))</f>
        <v xml:space="preserve"> * La variable Pueblos originarios No puede ser mayor al Total.</v>
      </c>
      <c r="CE71" s="2465" t="str">
        <f>IF(AND(D71&gt;0,T71=""),"  * No olvide digitar la variable Migrantes. Digite Cero si no tiene.",IF(T71&gt;D71," * La variable Migrantes No puede ser mayor al Total.",""))</f>
        <v xml:space="preserve"> * La variable Migrantes No puede ser mayor al Total.</v>
      </c>
      <c r="CF71" s="2465" t="str">
        <f>IF(AND(D71&gt;0,U71=""),"  * No olvide digitar la variable Niños, Niñas, Adolescentes y Jóvenes SENAME. Digite Cero si no tiene.",IF(U71&gt;D71," * La variable Niños, Niñas, Adolescentes y Jóvenes SENAME No puede ser mayor al Total.",""))</f>
        <v xml:space="preserve"> * La variable Niños, Niñas, Adolescentes y Jóvenes SENAME No puede ser mayor al Total.</v>
      </c>
      <c r="CG71" s="2465"/>
      <c r="CH71" s="2465"/>
      <c r="CJ71" s="2466">
        <f>IF(AND(D71&gt;0,R71=""),1,IF(R71&gt;D71,1,0))</f>
        <v>1</v>
      </c>
      <c r="CK71" s="2466">
        <f>IF(AND(D71&gt;0,S71=""),1,IF(S71&gt;D71,1,0))</f>
        <v>1</v>
      </c>
      <c r="CL71" s="2466">
        <f>IF(AND(D71&gt;0,T71=""),1,IF(T71&gt;D71,1,0))</f>
        <v>1</v>
      </c>
      <c r="CM71" s="2466">
        <f>IF(AND(D71&gt;0,U71=""),1,IF(U71&gt;D71,1,0))</f>
        <v>1</v>
      </c>
      <c r="CN71" s="2466"/>
    </row>
    <row r="72" spans="1:92" s="170" customFormat="1" ht="15" customHeight="1" x14ac:dyDescent="0.2">
      <c r="A72" s="6240">
        <v>31000052</v>
      </c>
      <c r="B72" s="1490" t="s">
        <v>1254</v>
      </c>
      <c r="C72" s="8758" t="s">
        <v>5292</v>
      </c>
      <c r="D72" s="8755" t="s">
        <v>5293</v>
      </c>
      <c r="E72" s="8677" t="s">
        <v>5294</v>
      </c>
      <c r="F72" s="8755" t="s">
        <v>5295</v>
      </c>
      <c r="G72" s="8675" t="s">
        <v>5296</v>
      </c>
      <c r="H72" s="8672" t="s">
        <v>5297</v>
      </c>
      <c r="I72" s="8733" t="s">
        <v>5298</v>
      </c>
      <c r="J72" s="8672" t="s">
        <v>5299</v>
      </c>
      <c r="K72" s="8733" t="s">
        <v>5300</v>
      </c>
      <c r="L72" s="8672" t="s">
        <v>5301</v>
      </c>
      <c r="M72" s="8733" t="s">
        <v>5302</v>
      </c>
      <c r="N72" s="8679" t="s">
        <v>5303</v>
      </c>
      <c r="O72" s="8746" t="s">
        <v>5304</v>
      </c>
      <c r="P72" s="8746" t="s">
        <v>5305</v>
      </c>
      <c r="Q72" s="8749" t="s">
        <v>5306</v>
      </c>
      <c r="R72" s="8749" t="s">
        <v>5307</v>
      </c>
      <c r="S72" s="8749" t="s">
        <v>5308</v>
      </c>
      <c r="T72" s="8749" t="s">
        <v>5309</v>
      </c>
      <c r="U72" s="8749" t="s">
        <v>5310</v>
      </c>
      <c r="V72" s="170" t="str">
        <f t="shared" ref="V72:V84" si="13">CC72&amp;CD72&amp;CE72&amp;CF72&amp;CG72&amp;CH72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2" s="2465" t="str">
        <f t="shared" ref="CC72:CC84" si="14">IF(AND(D72&gt;0,R72=""),"  * No olvide digitar la variable Beneficiarios. Digite Cero si no tiene.",IF(R72&gt;D72," * La variable beneficiarios No puede ser mayor al Total.",""))</f>
        <v xml:space="preserve"> * La variable beneficiarios No puede ser mayor al Total.</v>
      </c>
      <c r="CD72" s="2465" t="str">
        <f t="shared" ref="CD72:CD84" si="15">IF(AND(D72&gt;0,S72=""),"  * No olvide digitar la variable Pueblos originarios. Digite Cero si no tiene.",IF(S72&gt;D72," * La variable Pueblos originarios No puede ser mayor al Total.",""))</f>
        <v xml:space="preserve"> * La variable Pueblos originarios No puede ser mayor al Total.</v>
      </c>
      <c r="CE72" s="2465" t="str">
        <f t="shared" ref="CE72:CE84" si="16">IF(AND(D72&gt;0,T72=""),"  * No olvide digitar la variable Migrantes. Digite Cero si no tiene.",IF(T72&gt;D72," * La variable Migrantes No puede ser mayor al Total.",""))</f>
        <v xml:space="preserve"> * La variable Migrantes No puede ser mayor al Total.</v>
      </c>
      <c r="CF72" s="2465" t="str">
        <f t="shared" ref="CF72:CF84" si="17">IF(AND(D72&gt;0,U72=""),"  * No olvide digitar la variable Niños, Niñas, Adolescentes y Jóvenes SENAME. Digite Cero si no tiene.",IF(U72&gt;D72," * La variable Niños, Niñas, Adolescentes y Jóvenes SENAME No puede ser mayor al Total.",""))</f>
        <v xml:space="preserve"> * La variable Niños, Niñas, Adolescentes y Jóvenes SENAME No puede ser mayor al Total.</v>
      </c>
      <c r="CG72" s="2465"/>
      <c r="CH72" s="2465"/>
      <c r="CJ72" s="2466">
        <f t="shared" ref="CJ72:CJ84" si="18">IF(AND(D72&gt;0,R72=""),1,IF(R72&gt;D72,1,0))</f>
        <v>1</v>
      </c>
      <c r="CK72" s="2466">
        <f t="shared" ref="CK72:CK84" si="19">IF(AND(D72&gt;0,S72=""),1,IF(S72&gt;D72,1,0))</f>
        <v>1</v>
      </c>
      <c r="CL72" s="2466">
        <f t="shared" ref="CL72:CL84" si="20">IF(AND(D72&gt;0,T72=""),1,IF(T72&gt;D72,1,0))</f>
        <v>1</v>
      </c>
      <c r="CM72" s="2466">
        <f t="shared" ref="CM72:CM84" si="21">IF(AND(D72&gt;0,U72=""),1,IF(U72&gt;D72,1,0))</f>
        <v>1</v>
      </c>
      <c r="CN72" s="2466"/>
    </row>
    <row r="73" spans="1:92" s="170" customFormat="1" ht="15" customHeight="1" x14ac:dyDescent="0.2">
      <c r="A73" s="6240">
        <v>31000054</v>
      </c>
      <c r="B73" s="1490" t="s">
        <v>1304</v>
      </c>
      <c r="C73" s="8758" t="s">
        <v>5292</v>
      </c>
      <c r="D73" s="8755" t="s">
        <v>5293</v>
      </c>
      <c r="E73" s="8677" t="s">
        <v>5294</v>
      </c>
      <c r="F73" s="8755" t="s">
        <v>5295</v>
      </c>
      <c r="G73" s="8675" t="s">
        <v>5296</v>
      </c>
      <c r="H73" s="8672" t="s">
        <v>5297</v>
      </c>
      <c r="I73" s="8733" t="s">
        <v>5298</v>
      </c>
      <c r="J73" s="8672" t="s">
        <v>5299</v>
      </c>
      <c r="K73" s="8733" t="s">
        <v>5300</v>
      </c>
      <c r="L73" s="8672" t="s">
        <v>5301</v>
      </c>
      <c r="M73" s="8733" t="s">
        <v>5302</v>
      </c>
      <c r="N73" s="8679" t="s">
        <v>5303</v>
      </c>
      <c r="O73" s="8746" t="s">
        <v>5304</v>
      </c>
      <c r="P73" s="8746" t="s">
        <v>5305</v>
      </c>
      <c r="Q73" s="8749" t="s">
        <v>5306</v>
      </c>
      <c r="R73" s="8749" t="s">
        <v>5307</v>
      </c>
      <c r="S73" s="8749" t="s">
        <v>5308</v>
      </c>
      <c r="T73" s="8749" t="s">
        <v>5309</v>
      </c>
      <c r="U73" s="8749" t="s">
        <v>5310</v>
      </c>
      <c r="V73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3" s="2465" t="str">
        <f t="shared" si="14"/>
        <v xml:space="preserve"> * La variable beneficiarios No puede ser mayor al Total.</v>
      </c>
      <c r="CD73" s="2465" t="str">
        <f t="shared" si="15"/>
        <v xml:space="preserve"> * La variable Pueblos originarios No puede ser mayor al Total.</v>
      </c>
      <c r="CE73" s="2465" t="str">
        <f t="shared" si="16"/>
        <v xml:space="preserve"> * La variable Migrantes No puede ser mayor al Total.</v>
      </c>
      <c r="CF73" s="2465" t="str">
        <f t="shared" si="17"/>
        <v xml:space="preserve"> * La variable Niños, Niñas, Adolescentes y Jóvenes SENAME No puede ser mayor al Total.</v>
      </c>
      <c r="CG73" s="2465"/>
      <c r="CH73" s="2465"/>
      <c r="CJ73" s="2466">
        <f t="shared" si="18"/>
        <v>1</v>
      </c>
      <c r="CK73" s="2466">
        <f t="shared" si="19"/>
        <v>1</v>
      </c>
      <c r="CL73" s="2466">
        <f t="shared" si="20"/>
        <v>1</v>
      </c>
      <c r="CM73" s="2466">
        <f t="shared" si="21"/>
        <v>1</v>
      </c>
      <c r="CN73" s="2466"/>
    </row>
    <row r="74" spans="1:92" s="170" customFormat="1" ht="15" customHeight="1" x14ac:dyDescent="0.2">
      <c r="A74" s="6240">
        <v>31000055</v>
      </c>
      <c r="B74" s="1490" t="s">
        <v>1305</v>
      </c>
      <c r="C74" s="8758" t="s">
        <v>5292</v>
      </c>
      <c r="D74" s="8755" t="s">
        <v>5293</v>
      </c>
      <c r="E74" s="8677" t="s">
        <v>5294</v>
      </c>
      <c r="F74" s="8755" t="s">
        <v>5295</v>
      </c>
      <c r="G74" s="8675" t="s">
        <v>5296</v>
      </c>
      <c r="H74" s="8672" t="s">
        <v>5297</v>
      </c>
      <c r="I74" s="8733" t="s">
        <v>5298</v>
      </c>
      <c r="J74" s="8672" t="s">
        <v>5299</v>
      </c>
      <c r="K74" s="8733" t="s">
        <v>5300</v>
      </c>
      <c r="L74" s="8672" t="s">
        <v>5301</v>
      </c>
      <c r="M74" s="8733" t="s">
        <v>5302</v>
      </c>
      <c r="N74" s="8679" t="s">
        <v>5303</v>
      </c>
      <c r="O74" s="8746" t="s">
        <v>5304</v>
      </c>
      <c r="P74" s="8746" t="s">
        <v>5305</v>
      </c>
      <c r="Q74" s="8749" t="s">
        <v>5306</v>
      </c>
      <c r="R74" s="8749" t="s">
        <v>5307</v>
      </c>
      <c r="S74" s="8749" t="s">
        <v>5308</v>
      </c>
      <c r="T74" s="8749" t="s">
        <v>5309</v>
      </c>
      <c r="U74" s="8749" t="s">
        <v>5310</v>
      </c>
      <c r="V74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4" s="2465" t="str">
        <f t="shared" si="14"/>
        <v xml:space="preserve"> * La variable beneficiarios No puede ser mayor al Total.</v>
      </c>
      <c r="CD74" s="2465" t="str">
        <f t="shared" si="15"/>
        <v xml:space="preserve"> * La variable Pueblos originarios No puede ser mayor al Total.</v>
      </c>
      <c r="CE74" s="2465" t="str">
        <f t="shared" si="16"/>
        <v xml:space="preserve"> * La variable Migrantes No puede ser mayor al Total.</v>
      </c>
      <c r="CF74" s="2465" t="str">
        <f t="shared" si="17"/>
        <v xml:space="preserve"> * La variable Niños, Niñas, Adolescentes y Jóvenes SENAME No puede ser mayor al Total.</v>
      </c>
      <c r="CG74" s="2465"/>
      <c r="CH74" s="2465"/>
      <c r="CJ74" s="2466">
        <f t="shared" si="18"/>
        <v>1</v>
      </c>
      <c r="CK74" s="2466">
        <f t="shared" si="19"/>
        <v>1</v>
      </c>
      <c r="CL74" s="2466">
        <f t="shared" si="20"/>
        <v>1</v>
      </c>
      <c r="CM74" s="2466">
        <f t="shared" si="21"/>
        <v>1</v>
      </c>
      <c r="CN74" s="2466"/>
    </row>
    <row r="75" spans="1:92" s="170" customFormat="1" ht="15" customHeight="1" x14ac:dyDescent="0.2">
      <c r="A75" s="6240">
        <v>31000056</v>
      </c>
      <c r="B75" s="1490" t="s">
        <v>1260</v>
      </c>
      <c r="C75" s="8758" t="s">
        <v>5292</v>
      </c>
      <c r="D75" s="8755" t="s">
        <v>5293</v>
      </c>
      <c r="E75" s="8677" t="s">
        <v>5294</v>
      </c>
      <c r="F75" s="8755" t="s">
        <v>5295</v>
      </c>
      <c r="G75" s="8675" t="s">
        <v>5296</v>
      </c>
      <c r="H75" s="8672" t="s">
        <v>5297</v>
      </c>
      <c r="I75" s="8733" t="s">
        <v>5298</v>
      </c>
      <c r="J75" s="8672" t="s">
        <v>5299</v>
      </c>
      <c r="K75" s="8733" t="s">
        <v>5300</v>
      </c>
      <c r="L75" s="8672" t="s">
        <v>5301</v>
      </c>
      <c r="M75" s="8733" t="s">
        <v>5302</v>
      </c>
      <c r="N75" s="8679" t="s">
        <v>5303</v>
      </c>
      <c r="O75" s="8746" t="s">
        <v>5304</v>
      </c>
      <c r="P75" s="8746" t="s">
        <v>5305</v>
      </c>
      <c r="Q75" s="8749" t="s">
        <v>5306</v>
      </c>
      <c r="R75" s="8749" t="s">
        <v>5307</v>
      </c>
      <c r="S75" s="8749" t="s">
        <v>5308</v>
      </c>
      <c r="T75" s="8749" t="s">
        <v>5309</v>
      </c>
      <c r="U75" s="8749" t="s">
        <v>5310</v>
      </c>
      <c r="V75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5" s="2465" t="str">
        <f t="shared" si="14"/>
        <v xml:space="preserve"> * La variable beneficiarios No puede ser mayor al Total.</v>
      </c>
      <c r="CD75" s="2465" t="str">
        <f t="shared" si="15"/>
        <v xml:space="preserve"> * La variable Pueblos originarios No puede ser mayor al Total.</v>
      </c>
      <c r="CE75" s="2465" t="str">
        <f t="shared" si="16"/>
        <v xml:space="preserve"> * La variable Migrantes No puede ser mayor al Total.</v>
      </c>
      <c r="CF75" s="2465" t="str">
        <f t="shared" si="17"/>
        <v xml:space="preserve"> * La variable Niños, Niñas, Adolescentes y Jóvenes SENAME No puede ser mayor al Total.</v>
      </c>
      <c r="CG75" s="2465"/>
      <c r="CH75" s="2465"/>
      <c r="CJ75" s="2466">
        <f t="shared" si="18"/>
        <v>1</v>
      </c>
      <c r="CK75" s="2466">
        <f t="shared" si="19"/>
        <v>1</v>
      </c>
      <c r="CL75" s="2466">
        <f t="shared" si="20"/>
        <v>1</v>
      </c>
      <c r="CM75" s="2466">
        <f t="shared" si="21"/>
        <v>1</v>
      </c>
      <c r="CN75" s="2466"/>
    </row>
    <row r="76" spans="1:92" s="170" customFormat="1" ht="15" customHeight="1" x14ac:dyDescent="0.2">
      <c r="A76" s="6240">
        <v>31000057</v>
      </c>
      <c r="B76" s="1490" t="s">
        <v>1306</v>
      </c>
      <c r="C76" s="8758" t="s">
        <v>5292</v>
      </c>
      <c r="D76" s="8759" t="s">
        <v>5293</v>
      </c>
      <c r="E76" s="8677" t="s">
        <v>5294</v>
      </c>
      <c r="F76" s="8755" t="s">
        <v>5295</v>
      </c>
      <c r="G76" s="8675" t="s">
        <v>5296</v>
      </c>
      <c r="H76" s="8672" t="s">
        <v>5297</v>
      </c>
      <c r="I76" s="8733" t="s">
        <v>5298</v>
      </c>
      <c r="J76" s="8672" t="s">
        <v>5299</v>
      </c>
      <c r="K76" s="8733" t="s">
        <v>5300</v>
      </c>
      <c r="L76" s="8672" t="s">
        <v>5301</v>
      </c>
      <c r="M76" s="8733" t="s">
        <v>5302</v>
      </c>
      <c r="N76" s="8679" t="s">
        <v>5303</v>
      </c>
      <c r="O76" s="8746" t="s">
        <v>5304</v>
      </c>
      <c r="P76" s="8746" t="s">
        <v>5305</v>
      </c>
      <c r="Q76" s="8749" t="s">
        <v>5306</v>
      </c>
      <c r="R76" s="8749" t="s">
        <v>5307</v>
      </c>
      <c r="S76" s="8749" t="s">
        <v>5308</v>
      </c>
      <c r="T76" s="8749" t="s">
        <v>5309</v>
      </c>
      <c r="U76" s="8749" t="s">
        <v>5310</v>
      </c>
      <c r="V76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6" s="2465" t="str">
        <f t="shared" si="14"/>
        <v xml:space="preserve"> * La variable beneficiarios No puede ser mayor al Total.</v>
      </c>
      <c r="CD76" s="2465" t="str">
        <f t="shared" si="15"/>
        <v xml:space="preserve"> * La variable Pueblos originarios No puede ser mayor al Total.</v>
      </c>
      <c r="CE76" s="2465" t="str">
        <f t="shared" si="16"/>
        <v xml:space="preserve"> * La variable Migrantes No puede ser mayor al Total.</v>
      </c>
      <c r="CF76" s="2465" t="str">
        <f t="shared" si="17"/>
        <v xml:space="preserve"> * La variable Niños, Niñas, Adolescentes y Jóvenes SENAME No puede ser mayor al Total.</v>
      </c>
      <c r="CG76" s="2465"/>
      <c r="CH76" s="2465"/>
      <c r="CJ76" s="2466">
        <f t="shared" si="18"/>
        <v>1</v>
      </c>
      <c r="CK76" s="2466">
        <f t="shared" si="19"/>
        <v>1</v>
      </c>
      <c r="CL76" s="2466">
        <f t="shared" si="20"/>
        <v>1</v>
      </c>
      <c r="CM76" s="2466">
        <f t="shared" si="21"/>
        <v>1</v>
      </c>
      <c r="CN76" s="2466"/>
    </row>
    <row r="77" spans="1:92" s="170" customFormat="1" ht="15" customHeight="1" x14ac:dyDescent="0.2">
      <c r="A77" s="6240">
        <v>31000058</v>
      </c>
      <c r="B77" s="1491" t="s">
        <v>1262</v>
      </c>
      <c r="C77" s="8758" t="s">
        <v>5292</v>
      </c>
      <c r="D77" s="8755" t="s">
        <v>5293</v>
      </c>
      <c r="E77" s="8677" t="s">
        <v>5294</v>
      </c>
      <c r="F77" s="8755" t="s">
        <v>5295</v>
      </c>
      <c r="G77" s="8675" t="s">
        <v>5296</v>
      </c>
      <c r="H77" s="8672" t="s">
        <v>5297</v>
      </c>
      <c r="I77" s="8733" t="s">
        <v>5298</v>
      </c>
      <c r="J77" s="8672" t="s">
        <v>5299</v>
      </c>
      <c r="K77" s="8733" t="s">
        <v>5300</v>
      </c>
      <c r="L77" s="8672" t="s">
        <v>5301</v>
      </c>
      <c r="M77" s="8733" t="s">
        <v>5302</v>
      </c>
      <c r="N77" s="8679" t="s">
        <v>5303</v>
      </c>
      <c r="O77" s="8746" t="s">
        <v>5304</v>
      </c>
      <c r="P77" s="8746" t="s">
        <v>5305</v>
      </c>
      <c r="Q77" s="8749" t="s">
        <v>5306</v>
      </c>
      <c r="R77" s="8749" t="s">
        <v>5307</v>
      </c>
      <c r="S77" s="8749" t="s">
        <v>5308</v>
      </c>
      <c r="T77" s="8749" t="s">
        <v>5309</v>
      </c>
      <c r="U77" s="8749" t="s">
        <v>5310</v>
      </c>
      <c r="V77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7" s="2465" t="str">
        <f t="shared" si="14"/>
        <v xml:space="preserve"> * La variable beneficiarios No puede ser mayor al Total.</v>
      </c>
      <c r="CD77" s="2465" t="str">
        <f t="shared" si="15"/>
        <v xml:space="preserve"> * La variable Pueblos originarios No puede ser mayor al Total.</v>
      </c>
      <c r="CE77" s="2465" t="str">
        <f t="shared" si="16"/>
        <v xml:space="preserve"> * La variable Migrantes No puede ser mayor al Total.</v>
      </c>
      <c r="CF77" s="2465" t="str">
        <f t="shared" si="17"/>
        <v xml:space="preserve"> * La variable Niños, Niñas, Adolescentes y Jóvenes SENAME No puede ser mayor al Total.</v>
      </c>
      <c r="CG77" s="2465"/>
      <c r="CH77" s="2465"/>
      <c r="CJ77" s="2466">
        <f t="shared" si="18"/>
        <v>1</v>
      </c>
      <c r="CK77" s="2466">
        <f t="shared" si="19"/>
        <v>1</v>
      </c>
      <c r="CL77" s="2466">
        <f t="shared" si="20"/>
        <v>1</v>
      </c>
      <c r="CM77" s="2466">
        <f t="shared" si="21"/>
        <v>1</v>
      </c>
      <c r="CN77" s="2466"/>
    </row>
    <row r="78" spans="1:92" s="170" customFormat="1" ht="15" customHeight="1" x14ac:dyDescent="0.2">
      <c r="A78" s="6240">
        <v>31000059</v>
      </c>
      <c r="B78" s="1491" t="s">
        <v>1307</v>
      </c>
      <c r="C78" s="8758" t="s">
        <v>5292</v>
      </c>
      <c r="D78" s="8755" t="s">
        <v>5293</v>
      </c>
      <c r="E78" s="8677" t="s">
        <v>5294</v>
      </c>
      <c r="F78" s="8755" t="s">
        <v>5295</v>
      </c>
      <c r="G78" s="8675" t="s">
        <v>5296</v>
      </c>
      <c r="H78" s="8672" t="s">
        <v>5297</v>
      </c>
      <c r="I78" s="8733" t="s">
        <v>5298</v>
      </c>
      <c r="J78" s="8672" t="s">
        <v>5299</v>
      </c>
      <c r="K78" s="8733" t="s">
        <v>5300</v>
      </c>
      <c r="L78" s="8672" t="s">
        <v>5301</v>
      </c>
      <c r="M78" s="8733" t="s">
        <v>5302</v>
      </c>
      <c r="N78" s="8679" t="s">
        <v>5303</v>
      </c>
      <c r="O78" s="8746" t="s">
        <v>5304</v>
      </c>
      <c r="P78" s="8746" t="s">
        <v>5305</v>
      </c>
      <c r="Q78" s="8749" t="s">
        <v>5306</v>
      </c>
      <c r="R78" s="8749" t="s">
        <v>5307</v>
      </c>
      <c r="S78" s="8749" t="s">
        <v>5308</v>
      </c>
      <c r="T78" s="8749" t="s">
        <v>5309</v>
      </c>
      <c r="U78" s="8749" t="s">
        <v>5310</v>
      </c>
      <c r="V78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8" s="2465" t="str">
        <f t="shared" si="14"/>
        <v xml:space="preserve"> * La variable beneficiarios No puede ser mayor al Total.</v>
      </c>
      <c r="CD78" s="2465" t="str">
        <f t="shared" si="15"/>
        <v xml:space="preserve"> * La variable Pueblos originarios No puede ser mayor al Total.</v>
      </c>
      <c r="CE78" s="2465" t="str">
        <f t="shared" si="16"/>
        <v xml:space="preserve"> * La variable Migrantes No puede ser mayor al Total.</v>
      </c>
      <c r="CF78" s="2465" t="str">
        <f t="shared" si="17"/>
        <v xml:space="preserve"> * La variable Niños, Niñas, Adolescentes y Jóvenes SENAME No puede ser mayor al Total.</v>
      </c>
      <c r="CG78" s="2465"/>
      <c r="CH78" s="2465"/>
      <c r="CJ78" s="2466">
        <f t="shared" si="18"/>
        <v>1</v>
      </c>
      <c r="CK78" s="2466">
        <f t="shared" si="19"/>
        <v>1</v>
      </c>
      <c r="CL78" s="2466">
        <f t="shared" si="20"/>
        <v>1</v>
      </c>
      <c r="CM78" s="2466">
        <f t="shared" si="21"/>
        <v>1</v>
      </c>
      <c r="CN78" s="2466"/>
    </row>
    <row r="79" spans="1:92" s="170" customFormat="1" ht="15" customHeight="1" x14ac:dyDescent="0.2">
      <c r="A79" s="6240">
        <v>31000060</v>
      </c>
      <c r="B79" s="1491" t="s">
        <v>1308</v>
      </c>
      <c r="C79" s="8758" t="s">
        <v>5292</v>
      </c>
      <c r="D79" s="8759" t="s">
        <v>5293</v>
      </c>
      <c r="E79" s="8677" t="s">
        <v>5294</v>
      </c>
      <c r="F79" s="8755" t="s">
        <v>5295</v>
      </c>
      <c r="G79" s="8675" t="s">
        <v>5296</v>
      </c>
      <c r="H79" s="8672" t="s">
        <v>5297</v>
      </c>
      <c r="I79" s="8733" t="s">
        <v>5298</v>
      </c>
      <c r="J79" s="8672" t="s">
        <v>5299</v>
      </c>
      <c r="K79" s="8733" t="s">
        <v>5300</v>
      </c>
      <c r="L79" s="8672" t="s">
        <v>5301</v>
      </c>
      <c r="M79" s="8733" t="s">
        <v>5302</v>
      </c>
      <c r="N79" s="8679" t="s">
        <v>5303</v>
      </c>
      <c r="O79" s="8746" t="s">
        <v>5304</v>
      </c>
      <c r="P79" s="8746" t="s">
        <v>5305</v>
      </c>
      <c r="Q79" s="8749" t="s">
        <v>5306</v>
      </c>
      <c r="R79" s="8749" t="s">
        <v>5307</v>
      </c>
      <c r="S79" s="8749" t="s">
        <v>5308</v>
      </c>
      <c r="T79" s="8749" t="s">
        <v>5309</v>
      </c>
      <c r="U79" s="8749" t="s">
        <v>5310</v>
      </c>
      <c r="V79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9" s="2465" t="str">
        <f t="shared" si="14"/>
        <v xml:space="preserve"> * La variable beneficiarios No puede ser mayor al Total.</v>
      </c>
      <c r="CD79" s="2465" t="str">
        <f t="shared" si="15"/>
        <v xml:space="preserve"> * La variable Pueblos originarios No puede ser mayor al Total.</v>
      </c>
      <c r="CE79" s="2465" t="str">
        <f t="shared" si="16"/>
        <v xml:space="preserve"> * La variable Migrantes No puede ser mayor al Total.</v>
      </c>
      <c r="CF79" s="2465" t="str">
        <f t="shared" si="17"/>
        <v xml:space="preserve"> * La variable Niños, Niñas, Adolescentes y Jóvenes SENAME No puede ser mayor al Total.</v>
      </c>
      <c r="CG79" s="2465"/>
      <c r="CH79" s="2465"/>
      <c r="CJ79" s="2466">
        <f t="shared" si="18"/>
        <v>1</v>
      </c>
      <c r="CK79" s="2466">
        <f t="shared" si="19"/>
        <v>1</v>
      </c>
      <c r="CL79" s="2466">
        <f t="shared" si="20"/>
        <v>1</v>
      </c>
      <c r="CM79" s="2466">
        <f t="shared" si="21"/>
        <v>1</v>
      </c>
      <c r="CN79" s="2466"/>
    </row>
    <row r="80" spans="1:92" s="170" customFormat="1" ht="15" customHeight="1" x14ac:dyDescent="0.2">
      <c r="A80" s="6240">
        <v>31000064</v>
      </c>
      <c r="B80" s="1490" t="s">
        <v>1255</v>
      </c>
      <c r="C80" s="8758" t="s">
        <v>5292</v>
      </c>
      <c r="D80" s="8755" t="s">
        <v>5293</v>
      </c>
      <c r="E80" s="8677" t="s">
        <v>5294</v>
      </c>
      <c r="F80" s="8755" t="s">
        <v>5295</v>
      </c>
      <c r="G80" s="8675" t="s">
        <v>5296</v>
      </c>
      <c r="H80" s="8672" t="s">
        <v>5297</v>
      </c>
      <c r="I80" s="8733" t="s">
        <v>5298</v>
      </c>
      <c r="J80" s="8672" t="s">
        <v>5299</v>
      </c>
      <c r="K80" s="8733" t="s">
        <v>5300</v>
      </c>
      <c r="L80" s="8672" t="s">
        <v>5301</v>
      </c>
      <c r="M80" s="8733" t="s">
        <v>5302</v>
      </c>
      <c r="N80" s="8679" t="s">
        <v>5303</v>
      </c>
      <c r="O80" s="8746" t="s">
        <v>5304</v>
      </c>
      <c r="P80" s="8746" t="s">
        <v>5305</v>
      </c>
      <c r="Q80" s="8749" t="s">
        <v>5306</v>
      </c>
      <c r="R80" s="8749" t="s">
        <v>5307</v>
      </c>
      <c r="S80" s="8749" t="s">
        <v>5308</v>
      </c>
      <c r="T80" s="8749" t="s">
        <v>5309</v>
      </c>
      <c r="U80" s="8749" t="s">
        <v>5310</v>
      </c>
      <c r="V80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0" s="2465" t="str">
        <f t="shared" si="14"/>
        <v xml:space="preserve"> * La variable beneficiarios No puede ser mayor al Total.</v>
      </c>
      <c r="CD80" s="2465" t="str">
        <f t="shared" si="15"/>
        <v xml:space="preserve"> * La variable Pueblos originarios No puede ser mayor al Total.</v>
      </c>
      <c r="CE80" s="2465" t="str">
        <f t="shared" si="16"/>
        <v xml:space="preserve"> * La variable Migrantes No puede ser mayor al Total.</v>
      </c>
      <c r="CF80" s="2465" t="str">
        <f t="shared" si="17"/>
        <v xml:space="preserve"> * La variable Niños, Niñas, Adolescentes y Jóvenes SENAME No puede ser mayor al Total.</v>
      </c>
      <c r="CG80" s="2465"/>
      <c r="CH80" s="2465"/>
      <c r="CJ80" s="2466">
        <f t="shared" si="18"/>
        <v>1</v>
      </c>
      <c r="CK80" s="2466">
        <f t="shared" si="19"/>
        <v>1</v>
      </c>
      <c r="CL80" s="2466">
        <f t="shared" si="20"/>
        <v>1</v>
      </c>
      <c r="CM80" s="2466">
        <f t="shared" si="21"/>
        <v>1</v>
      </c>
      <c r="CN80" s="2466"/>
    </row>
    <row r="81" spans="1:92" s="170" customFormat="1" ht="15" customHeight="1" x14ac:dyDescent="0.2">
      <c r="A81" s="6240">
        <v>31000065</v>
      </c>
      <c r="B81" s="1490" t="s">
        <v>1266</v>
      </c>
      <c r="C81" s="8758" t="s">
        <v>5292</v>
      </c>
      <c r="D81" s="8755" t="s">
        <v>5293</v>
      </c>
      <c r="E81" s="8677" t="s">
        <v>5294</v>
      </c>
      <c r="F81" s="8755" t="s">
        <v>5295</v>
      </c>
      <c r="G81" s="8675" t="s">
        <v>5296</v>
      </c>
      <c r="H81" s="8672" t="s">
        <v>5297</v>
      </c>
      <c r="I81" s="8733" t="s">
        <v>5298</v>
      </c>
      <c r="J81" s="8672" t="s">
        <v>5299</v>
      </c>
      <c r="K81" s="8733" t="s">
        <v>5300</v>
      </c>
      <c r="L81" s="8672" t="s">
        <v>5301</v>
      </c>
      <c r="M81" s="8733" t="s">
        <v>5302</v>
      </c>
      <c r="N81" s="8679" t="s">
        <v>5303</v>
      </c>
      <c r="O81" s="8746" t="s">
        <v>5304</v>
      </c>
      <c r="P81" s="8746" t="s">
        <v>5305</v>
      </c>
      <c r="Q81" s="8749" t="s">
        <v>5306</v>
      </c>
      <c r="R81" s="8749" t="s">
        <v>5307</v>
      </c>
      <c r="S81" s="8749" t="s">
        <v>5308</v>
      </c>
      <c r="T81" s="8749" t="s">
        <v>5309</v>
      </c>
      <c r="U81" s="8749" t="s">
        <v>5310</v>
      </c>
      <c r="V81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1" s="2465" t="str">
        <f t="shared" si="14"/>
        <v xml:space="preserve"> * La variable beneficiarios No puede ser mayor al Total.</v>
      </c>
      <c r="CD81" s="2465" t="str">
        <f t="shared" si="15"/>
        <v xml:space="preserve"> * La variable Pueblos originarios No puede ser mayor al Total.</v>
      </c>
      <c r="CE81" s="2465" t="str">
        <f t="shared" si="16"/>
        <v xml:space="preserve"> * La variable Migrantes No puede ser mayor al Total.</v>
      </c>
      <c r="CF81" s="2465" t="str">
        <f t="shared" si="17"/>
        <v xml:space="preserve"> * La variable Niños, Niñas, Adolescentes y Jóvenes SENAME No puede ser mayor al Total.</v>
      </c>
      <c r="CG81" s="2465"/>
      <c r="CH81" s="2465"/>
      <c r="CJ81" s="2466">
        <f t="shared" si="18"/>
        <v>1</v>
      </c>
      <c r="CK81" s="2466">
        <f t="shared" si="19"/>
        <v>1</v>
      </c>
      <c r="CL81" s="2466">
        <f t="shared" si="20"/>
        <v>1</v>
      </c>
      <c r="CM81" s="2466">
        <f t="shared" si="21"/>
        <v>1</v>
      </c>
      <c r="CN81" s="2466"/>
    </row>
    <row r="82" spans="1:92" s="170" customFormat="1" ht="15" customHeight="1" x14ac:dyDescent="0.2">
      <c r="A82" s="6240">
        <v>31000061</v>
      </c>
      <c r="B82" s="1491" t="s">
        <v>1265</v>
      </c>
      <c r="C82" s="8758" t="s">
        <v>5292</v>
      </c>
      <c r="D82" s="6225" t="s">
        <v>5293</v>
      </c>
      <c r="E82" s="8677" t="s">
        <v>5294</v>
      </c>
      <c r="F82" s="8755" t="s">
        <v>5295</v>
      </c>
      <c r="G82" s="8675" t="s">
        <v>5296</v>
      </c>
      <c r="H82" s="8672" t="s">
        <v>5297</v>
      </c>
      <c r="I82" s="8733" t="s">
        <v>5298</v>
      </c>
      <c r="J82" s="8672" t="s">
        <v>5299</v>
      </c>
      <c r="K82" s="8733" t="s">
        <v>5300</v>
      </c>
      <c r="L82" s="8672" t="s">
        <v>5301</v>
      </c>
      <c r="M82" s="8733" t="s">
        <v>5302</v>
      </c>
      <c r="N82" s="8679" t="s">
        <v>5303</v>
      </c>
      <c r="O82" s="8746" t="s">
        <v>5304</v>
      </c>
      <c r="P82" s="8746" t="s">
        <v>5305</v>
      </c>
      <c r="Q82" s="8749" t="s">
        <v>5306</v>
      </c>
      <c r="R82" s="8749" t="s">
        <v>5307</v>
      </c>
      <c r="S82" s="8749" t="s">
        <v>5308</v>
      </c>
      <c r="T82" s="8749" t="s">
        <v>5309</v>
      </c>
      <c r="U82" s="8749" t="s">
        <v>5310</v>
      </c>
      <c r="V82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2" s="2465" t="str">
        <f t="shared" si="14"/>
        <v xml:space="preserve"> * La variable beneficiarios No puede ser mayor al Total.</v>
      </c>
      <c r="CD82" s="2465" t="str">
        <f t="shared" si="15"/>
        <v xml:space="preserve"> * La variable Pueblos originarios No puede ser mayor al Total.</v>
      </c>
      <c r="CE82" s="2465" t="str">
        <f t="shared" si="16"/>
        <v xml:space="preserve"> * La variable Migrantes No puede ser mayor al Total.</v>
      </c>
      <c r="CF82" s="2465" t="str">
        <f t="shared" si="17"/>
        <v xml:space="preserve"> * La variable Niños, Niñas, Adolescentes y Jóvenes SENAME No puede ser mayor al Total.</v>
      </c>
      <c r="CG82" s="2465"/>
      <c r="CH82" s="2465"/>
      <c r="CJ82" s="2466">
        <f t="shared" si="18"/>
        <v>1</v>
      </c>
      <c r="CK82" s="2466">
        <f t="shared" si="19"/>
        <v>1</v>
      </c>
      <c r="CL82" s="2466">
        <f t="shared" si="20"/>
        <v>1</v>
      </c>
      <c r="CM82" s="2466">
        <f t="shared" si="21"/>
        <v>1</v>
      </c>
      <c r="CN82" s="2466"/>
    </row>
    <row r="83" spans="1:92" s="170" customFormat="1" ht="15" customHeight="1" x14ac:dyDescent="0.2">
      <c r="A83" s="6240">
        <v>31000062</v>
      </c>
      <c r="B83" s="1491" t="s">
        <v>1267</v>
      </c>
      <c r="C83" s="8758" t="s">
        <v>5292</v>
      </c>
      <c r="D83" s="8759" t="s">
        <v>5293</v>
      </c>
      <c r="E83" s="8677" t="s">
        <v>5294</v>
      </c>
      <c r="F83" s="8755" t="s">
        <v>5295</v>
      </c>
      <c r="G83" s="8743" t="s">
        <v>5296</v>
      </c>
      <c r="H83" s="8744" t="s">
        <v>5297</v>
      </c>
      <c r="I83" s="8745" t="s">
        <v>5298</v>
      </c>
      <c r="J83" s="8744" t="s">
        <v>5299</v>
      </c>
      <c r="K83" s="8745" t="s">
        <v>5300</v>
      </c>
      <c r="L83" s="8744" t="s">
        <v>5301</v>
      </c>
      <c r="M83" s="8733" t="s">
        <v>5302</v>
      </c>
      <c r="N83" s="8679" t="s">
        <v>5303</v>
      </c>
      <c r="O83" s="8734" t="s">
        <v>5304</v>
      </c>
      <c r="P83" s="8734" t="s">
        <v>5305</v>
      </c>
      <c r="Q83" s="8736" t="s">
        <v>5306</v>
      </c>
      <c r="R83" s="8736" t="s">
        <v>5307</v>
      </c>
      <c r="S83" s="8736" t="s">
        <v>5308</v>
      </c>
      <c r="T83" s="8736" t="s">
        <v>5309</v>
      </c>
      <c r="U83" s="8736" t="s">
        <v>5310</v>
      </c>
      <c r="V83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3" s="2465" t="str">
        <f t="shared" si="14"/>
        <v xml:space="preserve"> * La variable beneficiarios No puede ser mayor al Total.</v>
      </c>
      <c r="CD83" s="2465" t="str">
        <f t="shared" si="15"/>
        <v xml:space="preserve"> * La variable Pueblos originarios No puede ser mayor al Total.</v>
      </c>
      <c r="CE83" s="2465" t="str">
        <f t="shared" si="16"/>
        <v xml:space="preserve"> * La variable Migrantes No puede ser mayor al Total.</v>
      </c>
      <c r="CF83" s="2465" t="str">
        <f t="shared" si="17"/>
        <v xml:space="preserve"> * La variable Niños, Niñas, Adolescentes y Jóvenes SENAME No puede ser mayor al Total.</v>
      </c>
      <c r="CG83" s="2465"/>
      <c r="CH83" s="2465"/>
      <c r="CJ83" s="2466">
        <f t="shared" si="18"/>
        <v>1</v>
      </c>
      <c r="CK83" s="2466">
        <f t="shared" si="19"/>
        <v>1</v>
      </c>
      <c r="CL83" s="2466">
        <f t="shared" si="20"/>
        <v>1</v>
      </c>
      <c r="CM83" s="2466">
        <f t="shared" si="21"/>
        <v>1</v>
      </c>
      <c r="CN83" s="2466"/>
    </row>
    <row r="84" spans="1:92" s="170" customFormat="1" ht="15" customHeight="1" x14ac:dyDescent="0.2">
      <c r="A84" s="6240">
        <v>31000063</v>
      </c>
      <c r="B84" s="1492" t="s">
        <v>44</v>
      </c>
      <c r="C84" s="8758" t="s">
        <v>5292</v>
      </c>
      <c r="D84" s="8759" t="s">
        <v>5293</v>
      </c>
      <c r="E84" s="8677" t="s">
        <v>5294</v>
      </c>
      <c r="F84" s="8755" t="s">
        <v>5295</v>
      </c>
      <c r="G84" s="8675" t="s">
        <v>5296</v>
      </c>
      <c r="H84" s="8672" t="s">
        <v>5297</v>
      </c>
      <c r="I84" s="8733" t="s">
        <v>5298</v>
      </c>
      <c r="J84" s="8672" t="s">
        <v>5299</v>
      </c>
      <c r="K84" s="8733" t="s">
        <v>5300</v>
      </c>
      <c r="L84" s="8672" t="s">
        <v>5301</v>
      </c>
      <c r="M84" s="8745" t="s">
        <v>5302</v>
      </c>
      <c r="N84" s="8760" t="s">
        <v>5303</v>
      </c>
      <c r="O84" s="8734" t="s">
        <v>5304</v>
      </c>
      <c r="P84" s="8734" t="s">
        <v>5305</v>
      </c>
      <c r="Q84" s="8736" t="s">
        <v>5306</v>
      </c>
      <c r="R84" s="8736" t="s">
        <v>5307</v>
      </c>
      <c r="S84" s="8736" t="s">
        <v>5308</v>
      </c>
      <c r="T84" s="8736" t="s">
        <v>5309</v>
      </c>
      <c r="U84" s="8736" t="s">
        <v>5310</v>
      </c>
      <c r="V84" s="170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4" s="2465" t="str">
        <f t="shared" si="14"/>
        <v xml:space="preserve"> * La variable beneficiarios No puede ser mayor al Total.</v>
      </c>
      <c r="CD84" s="2465" t="str">
        <f t="shared" si="15"/>
        <v xml:space="preserve"> * La variable Pueblos originarios No puede ser mayor al Total.</v>
      </c>
      <c r="CE84" s="2465" t="str">
        <f t="shared" si="16"/>
        <v xml:space="preserve"> * La variable Migrantes No puede ser mayor al Total.</v>
      </c>
      <c r="CF84" s="2465" t="str">
        <f t="shared" si="17"/>
        <v xml:space="preserve"> * La variable Niños, Niñas, Adolescentes y Jóvenes SENAME No puede ser mayor al Total.</v>
      </c>
      <c r="CG84" s="2465"/>
      <c r="CH84" s="2465"/>
      <c r="CJ84" s="2466">
        <f t="shared" si="18"/>
        <v>1</v>
      </c>
      <c r="CK84" s="2466">
        <f t="shared" si="19"/>
        <v>1</v>
      </c>
      <c r="CL84" s="2466">
        <f t="shared" si="20"/>
        <v>1</v>
      </c>
      <c r="CM84" s="2466">
        <f t="shared" si="21"/>
        <v>1</v>
      </c>
      <c r="CN84" s="2466"/>
    </row>
    <row r="85" spans="1:92" s="170" customFormat="1" ht="15" customHeight="1" x14ac:dyDescent="0.3">
      <c r="A85" s="6235"/>
      <c r="B85" s="2462" t="s">
        <v>24</v>
      </c>
      <c r="C85" s="2502">
        <f>SUM(C71:C84)</f>
        <v>0</v>
      </c>
      <c r="D85" s="1402">
        <f>SUM(E85:F85)</f>
        <v>0</v>
      </c>
      <c r="E85" s="1399">
        <f t="shared" ref="E85:T85" si="22">SUM(E71:E84)</f>
        <v>0</v>
      </c>
      <c r="F85" s="1401">
        <f t="shared" si="22"/>
        <v>0</v>
      </c>
      <c r="G85" s="1399">
        <f>SUM(G71:G84)</f>
        <v>0</v>
      </c>
      <c r="H85" s="1477">
        <f t="shared" si="22"/>
        <v>0</v>
      </c>
      <c r="I85" s="1401">
        <f t="shared" si="22"/>
        <v>0</v>
      </c>
      <c r="J85" s="1477">
        <f t="shared" si="22"/>
        <v>0</v>
      </c>
      <c r="K85" s="1401">
        <f t="shared" si="22"/>
        <v>0</v>
      </c>
      <c r="L85" s="1477">
        <f t="shared" si="22"/>
        <v>0</v>
      </c>
      <c r="M85" s="1401">
        <f t="shared" si="22"/>
        <v>0</v>
      </c>
      <c r="N85" s="2503">
        <f t="shared" si="22"/>
        <v>0</v>
      </c>
      <c r="O85" s="1402">
        <f t="shared" si="22"/>
        <v>0</v>
      </c>
      <c r="P85" s="1385">
        <f t="shared" si="22"/>
        <v>0</v>
      </c>
      <c r="Q85" s="1385">
        <f t="shared" si="22"/>
        <v>0</v>
      </c>
      <c r="R85" s="1385">
        <f t="shared" si="22"/>
        <v>0</v>
      </c>
      <c r="S85" s="1385">
        <f t="shared" si="22"/>
        <v>0</v>
      </c>
      <c r="T85" s="1385">
        <f t="shared" si="22"/>
        <v>0</v>
      </c>
      <c r="U85" s="1385">
        <f>SUM(U71:U84)</f>
        <v>0</v>
      </c>
    </row>
    <row r="86" spans="1:92" s="1116" customFormat="1" ht="18" customHeight="1" x14ac:dyDescent="0.25">
      <c r="A86" s="6302"/>
      <c r="B86" s="8086" t="s">
        <v>1309</v>
      </c>
      <c r="C86" s="8086"/>
      <c r="D86" s="8086"/>
      <c r="E86" s="8086"/>
      <c r="F86" s="8086"/>
      <c r="G86" s="8086"/>
    </row>
    <row r="87" spans="1:92" s="170" customFormat="1" ht="15" customHeight="1" x14ac:dyDescent="0.25">
      <c r="A87" s="6303"/>
      <c r="B87" s="8403" t="s">
        <v>1310</v>
      </c>
      <c r="C87" s="8405" t="s">
        <v>47</v>
      </c>
      <c r="D87" s="8407" t="s">
        <v>12</v>
      </c>
      <c r="E87" s="6678"/>
      <c r="F87" s="6678"/>
      <c r="G87" s="6678"/>
      <c r="H87" s="6678"/>
      <c r="I87" s="6678"/>
      <c r="J87" s="6678"/>
      <c r="K87" s="6678"/>
      <c r="L87" s="6678"/>
      <c r="M87" s="6678"/>
      <c r="N87" s="6678"/>
      <c r="O87" s="6678"/>
      <c r="P87" s="6678"/>
      <c r="Q87" s="6678"/>
      <c r="R87" s="6678"/>
      <c r="S87" s="6678"/>
      <c r="T87" s="6682"/>
      <c r="CC87" s="2465"/>
      <c r="CD87" s="2465"/>
      <c r="CE87" s="2465"/>
      <c r="CF87" s="2465"/>
      <c r="CG87" s="2465"/>
      <c r="CH87" s="2465"/>
      <c r="CJ87" s="2466"/>
      <c r="CK87" s="2466"/>
      <c r="CL87" s="2466"/>
    </row>
    <row r="88" spans="1:92" s="170" customFormat="1" ht="20.399999999999999" x14ac:dyDescent="0.25">
      <c r="A88" s="6303"/>
      <c r="B88" s="8404"/>
      <c r="C88" s="8406"/>
      <c r="D88" s="1380" t="s">
        <v>36</v>
      </c>
      <c r="E88" s="1388" t="s">
        <v>37</v>
      </c>
      <c r="F88" s="1388" t="s">
        <v>38</v>
      </c>
      <c r="G88" s="1388" t="s">
        <v>4</v>
      </c>
      <c r="H88" s="1388" t="s">
        <v>5</v>
      </c>
      <c r="I88" s="1388" t="s">
        <v>6</v>
      </c>
      <c r="J88" s="1388" t="s">
        <v>7</v>
      </c>
      <c r="K88" s="1388" t="s">
        <v>8</v>
      </c>
      <c r="L88" s="1388" t="s">
        <v>9</v>
      </c>
      <c r="M88" s="1388" t="s">
        <v>10</v>
      </c>
      <c r="N88" s="1388" t="s">
        <v>11</v>
      </c>
      <c r="O88" s="1388" t="s">
        <v>18</v>
      </c>
      <c r="P88" s="1388" t="s">
        <v>19</v>
      </c>
      <c r="Q88" s="1388" t="s">
        <v>20</v>
      </c>
      <c r="R88" s="1388" t="s">
        <v>70</v>
      </c>
      <c r="S88" s="1388" t="s">
        <v>71</v>
      </c>
      <c r="T88" s="1381" t="s">
        <v>32</v>
      </c>
      <c r="CC88" s="2465"/>
      <c r="CD88" s="2465"/>
      <c r="CE88" s="2465"/>
      <c r="CF88" s="2465"/>
      <c r="CG88" s="2465"/>
      <c r="CH88" s="2465"/>
      <c r="CJ88" s="2466"/>
      <c r="CK88" s="2466"/>
      <c r="CL88" s="2466"/>
    </row>
    <row r="89" spans="1:92" s="170" customFormat="1" ht="15" customHeight="1" x14ac:dyDescent="0.2">
      <c r="A89" s="6240">
        <v>32101527</v>
      </c>
      <c r="B89" s="1469" t="s">
        <v>1122</v>
      </c>
      <c r="C89" s="1058" t="s">
        <v>5292</v>
      </c>
      <c r="D89" s="1493" t="s">
        <v>5293</v>
      </c>
      <c r="E89" s="1494" t="s">
        <v>5294</v>
      </c>
      <c r="F89" s="1494" t="s">
        <v>5295</v>
      </c>
      <c r="G89" s="1494" t="s">
        <v>5296</v>
      </c>
      <c r="H89" s="1494" t="s">
        <v>5297</v>
      </c>
      <c r="I89" s="1494" t="s">
        <v>5298</v>
      </c>
      <c r="J89" s="1494" t="s">
        <v>5299</v>
      </c>
      <c r="K89" s="1494" t="s">
        <v>5300</v>
      </c>
      <c r="L89" s="1494" t="s">
        <v>5301</v>
      </c>
      <c r="M89" s="1494" t="s">
        <v>5302</v>
      </c>
      <c r="N89" s="1494" t="s">
        <v>5303</v>
      </c>
      <c r="O89" s="1494" t="s">
        <v>5304</v>
      </c>
      <c r="P89" s="1494" t="s">
        <v>5305</v>
      </c>
      <c r="Q89" s="1494" t="s">
        <v>5306</v>
      </c>
      <c r="R89" s="1494" t="s">
        <v>5307</v>
      </c>
      <c r="S89" s="1494" t="s">
        <v>5308</v>
      </c>
      <c r="T89" s="852" t="s">
        <v>5309</v>
      </c>
      <c r="CC89" s="2465"/>
      <c r="CD89" s="2465"/>
      <c r="CE89" s="2465"/>
      <c r="CF89" s="2465"/>
      <c r="CG89" s="2465"/>
      <c r="CH89" s="2465"/>
      <c r="CJ89" s="2466"/>
      <c r="CK89" s="2466"/>
      <c r="CL89" s="2466"/>
    </row>
    <row r="90" spans="1:92" s="170" customFormat="1" ht="15" customHeight="1" x14ac:dyDescent="0.2">
      <c r="A90" s="6240">
        <v>32101528</v>
      </c>
      <c r="B90" s="1469" t="s">
        <v>1311</v>
      </c>
      <c r="C90" s="1058" t="s">
        <v>5292</v>
      </c>
      <c r="D90" s="1493" t="s">
        <v>5293</v>
      </c>
      <c r="E90" s="1494" t="s">
        <v>5294</v>
      </c>
      <c r="F90" s="1494" t="s">
        <v>5295</v>
      </c>
      <c r="G90" s="1494" t="s">
        <v>5296</v>
      </c>
      <c r="H90" s="1494" t="s">
        <v>5297</v>
      </c>
      <c r="I90" s="1494" t="s">
        <v>5298</v>
      </c>
      <c r="J90" s="1494" t="s">
        <v>5299</v>
      </c>
      <c r="K90" s="1494" t="s">
        <v>5300</v>
      </c>
      <c r="L90" s="1494" t="s">
        <v>5301</v>
      </c>
      <c r="M90" s="1494" t="s">
        <v>5302</v>
      </c>
      <c r="N90" s="1494" t="s">
        <v>5303</v>
      </c>
      <c r="O90" s="1494" t="s">
        <v>5304</v>
      </c>
      <c r="P90" s="1494" t="s">
        <v>5305</v>
      </c>
      <c r="Q90" s="1494" t="s">
        <v>5306</v>
      </c>
      <c r="R90" s="1494" t="s">
        <v>5307</v>
      </c>
      <c r="S90" s="1494" t="s">
        <v>5308</v>
      </c>
      <c r="T90" s="852" t="s">
        <v>5309</v>
      </c>
      <c r="CC90" s="2465"/>
      <c r="CD90" s="2465"/>
      <c r="CE90" s="2465"/>
      <c r="CF90" s="2465"/>
      <c r="CG90" s="2465"/>
      <c r="CH90" s="2465"/>
      <c r="CJ90" s="2466"/>
      <c r="CK90" s="2466"/>
      <c r="CL90" s="2466"/>
    </row>
    <row r="91" spans="1:92" s="170" customFormat="1" ht="15" customHeight="1" x14ac:dyDescent="0.2">
      <c r="A91" s="6240">
        <v>32101529</v>
      </c>
      <c r="B91" s="1476" t="s">
        <v>1301</v>
      </c>
      <c r="C91" s="1488" t="s">
        <v>5292</v>
      </c>
      <c r="D91" s="1495" t="s">
        <v>5293</v>
      </c>
      <c r="E91" s="1496" t="s">
        <v>5294</v>
      </c>
      <c r="F91" s="1496" t="s">
        <v>5295</v>
      </c>
      <c r="G91" s="1496" t="s">
        <v>5296</v>
      </c>
      <c r="H91" s="1496" t="s">
        <v>5297</v>
      </c>
      <c r="I91" s="1496" t="s">
        <v>5298</v>
      </c>
      <c r="J91" s="1496" t="s">
        <v>5299</v>
      </c>
      <c r="K91" s="1496" t="s">
        <v>5300</v>
      </c>
      <c r="L91" s="1496" t="s">
        <v>5301</v>
      </c>
      <c r="M91" s="1496" t="s">
        <v>5302</v>
      </c>
      <c r="N91" s="1496" t="s">
        <v>5303</v>
      </c>
      <c r="O91" s="1496" t="s">
        <v>5304</v>
      </c>
      <c r="P91" s="1496" t="s">
        <v>5305</v>
      </c>
      <c r="Q91" s="1496" t="s">
        <v>5306</v>
      </c>
      <c r="R91" s="1496" t="s">
        <v>5307</v>
      </c>
      <c r="S91" s="1496" t="s">
        <v>5308</v>
      </c>
      <c r="T91" s="1396" t="s">
        <v>5309</v>
      </c>
      <c r="CC91" s="2465"/>
      <c r="CD91" s="2465"/>
      <c r="CE91" s="2465"/>
      <c r="CF91" s="2465"/>
      <c r="CG91" s="2465"/>
      <c r="CH91" s="2465"/>
      <c r="CJ91" s="2466"/>
      <c r="CK91" s="2466"/>
      <c r="CL91" s="2466"/>
    </row>
    <row r="92" spans="1:92" x14ac:dyDescent="0.3">
      <c r="CC92"/>
      <c r="CD92"/>
      <c r="CE92"/>
      <c r="CF92"/>
      <c r="CG92"/>
      <c r="CH92"/>
      <c r="CJ92"/>
      <c r="CK92"/>
      <c r="CL92"/>
    </row>
    <row r="93" spans="1:92" x14ac:dyDescent="0.3">
      <c r="CC93"/>
      <c r="CD93"/>
      <c r="CE93"/>
      <c r="CF93"/>
      <c r="CG93"/>
      <c r="CH93"/>
      <c r="CJ93"/>
      <c r="CK93"/>
      <c r="CL93"/>
    </row>
    <row r="94" spans="1:92" x14ac:dyDescent="0.3">
      <c r="CC94"/>
      <c r="CD94"/>
      <c r="CE94"/>
      <c r="CF94"/>
      <c r="CG94"/>
      <c r="CH94"/>
      <c r="CJ94"/>
      <c r="CK94"/>
      <c r="CL94"/>
    </row>
    <row r="95" spans="1:92" x14ac:dyDescent="0.3">
      <c r="CC95"/>
      <c r="CD95"/>
      <c r="CE95"/>
      <c r="CF95"/>
      <c r="CG95"/>
      <c r="CH95"/>
      <c r="CJ95"/>
      <c r="CK95"/>
      <c r="CL95"/>
    </row>
    <row r="96" spans="1:92" x14ac:dyDescent="0.3">
      <c r="CC96"/>
      <c r="CD96"/>
      <c r="CE96"/>
      <c r="CF96"/>
      <c r="CG96"/>
      <c r="CH96"/>
      <c r="CJ96"/>
      <c r="CK96"/>
      <c r="CL96"/>
    </row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30" spans="2:3" hidden="1" x14ac:dyDescent="0.3">
      <c r="B130" s="4428">
        <f>SUM(D12:D28,C32:C46,C50:C66,D71:D85,C89:C91)</f>
        <v>0</v>
      </c>
      <c r="C130" s="4427">
        <f>SUM(CJ12:CN91)</f>
        <v>120</v>
      </c>
    </row>
  </sheetData>
  <mergeCells count="69">
    <mergeCell ref="AU9:AU11"/>
    <mergeCell ref="B6:U6"/>
    <mergeCell ref="B8:K8"/>
    <mergeCell ref="B9:C11"/>
    <mergeCell ref="D9:F10"/>
    <mergeCell ref="G9:AN9"/>
    <mergeCell ref="AO9:AO11"/>
    <mergeCell ref="U10:V10"/>
    <mergeCell ref="W10:X10"/>
    <mergeCell ref="Y10:Z10"/>
    <mergeCell ref="AA10:AB10"/>
    <mergeCell ref="AM10:AN10"/>
    <mergeCell ref="AE10:AF10"/>
    <mergeCell ref="AG10:AH10"/>
    <mergeCell ref="AI10:AJ10"/>
    <mergeCell ref="AK10:AL10"/>
    <mergeCell ref="AV9:AV11"/>
    <mergeCell ref="AW9:AW11"/>
    <mergeCell ref="AX9:AX11"/>
    <mergeCell ref="G10:H10"/>
    <mergeCell ref="I10:J10"/>
    <mergeCell ref="K10:L10"/>
    <mergeCell ref="M10:N10"/>
    <mergeCell ref="O10:P10"/>
    <mergeCell ref="Q10:R10"/>
    <mergeCell ref="S10:T10"/>
    <mergeCell ref="AP9:AP11"/>
    <mergeCell ref="AQ9:AQ11"/>
    <mergeCell ref="AR9:AR11"/>
    <mergeCell ref="AS9:AS11"/>
    <mergeCell ref="AT9:AT11"/>
    <mergeCell ref="AC10:AD10"/>
    <mergeCell ref="B12:B14"/>
    <mergeCell ref="B15:B27"/>
    <mergeCell ref="B28:C28"/>
    <mergeCell ref="B29:M29"/>
    <mergeCell ref="B30:B31"/>
    <mergeCell ref="C30:C31"/>
    <mergeCell ref="D30:D31"/>
    <mergeCell ref="E30:E31"/>
    <mergeCell ref="F30:F31"/>
    <mergeCell ref="G30:AG30"/>
    <mergeCell ref="B47:N47"/>
    <mergeCell ref="B48:B49"/>
    <mergeCell ref="C48:C49"/>
    <mergeCell ref="D48:D49"/>
    <mergeCell ref="E48:E49"/>
    <mergeCell ref="F48:F49"/>
    <mergeCell ref="G48:AG48"/>
    <mergeCell ref="U68:U70"/>
    <mergeCell ref="B67:N67"/>
    <mergeCell ref="B68:B70"/>
    <mergeCell ref="C68:C70"/>
    <mergeCell ref="D68:F69"/>
    <mergeCell ref="G68:N68"/>
    <mergeCell ref="O68:O70"/>
    <mergeCell ref="G69:H69"/>
    <mergeCell ref="I69:J69"/>
    <mergeCell ref="K69:L69"/>
    <mergeCell ref="M69:N69"/>
    <mergeCell ref="B86:G86"/>
    <mergeCell ref="B87:B88"/>
    <mergeCell ref="C87:C88"/>
    <mergeCell ref="D87:T87"/>
    <mergeCell ref="P68:P70"/>
    <mergeCell ref="Q68:Q70"/>
    <mergeCell ref="R68:R70"/>
    <mergeCell ref="S68:S70"/>
    <mergeCell ref="T68:T70"/>
  </mergeCells>
  <dataValidations count="3">
    <dataValidation type="whole" operator="greaterThanOrEqual" allowBlank="1" showInputMessage="1" showErrorMessage="1" error="Valor no Permitido" sqref="G12:AX27 D32:AG45 D50:AG65 G71:U84 C71:C84 D89:T91" xr:uid="{00000000-0002-0000-1800-000000000000}">
      <formula1>0</formula1>
    </dataValidation>
    <dataValidation allowBlank="1" showInputMessage="1" showErrorMessage="1" error="Valor no Permitido" sqref="B6:U6 B8 B9:F28 G28:AX28 G9:AN11 B87:C91 D87:T88 B29 B30:C46 D46:AG46 D30:AG31 D66:AG66 D48:AG49 C48:C66 B47:B48 C68:C70 G85:U85 G68:U70 D68:F85 C85 B50:B68 B71:B86 AP9:AX11 AO9 A86:A91 A67:A70 A29:A31 A47:A49" xr:uid="{00000000-0002-0000-1800-000001000000}"/>
    <dataValidation operator="greaterThanOrEqual" allowBlank="1" showInputMessage="1" showErrorMessage="1" error="Valor no Permitido" sqref="A12:A28 A32:A45 A50:A65 A71:A84" xr:uid="{21EFD56A-7BFF-457D-839E-BB6661F8915D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40"/>
  <sheetViews>
    <sheetView showGridLines="0" zoomScaleNormal="100" workbookViewId="0"/>
  </sheetViews>
  <sheetFormatPr baseColWidth="10" defaultRowHeight="14.4" x14ac:dyDescent="0.3"/>
  <cols>
    <col min="1" max="1" width="15.44140625" customWidth="1"/>
    <col min="2" max="2" width="67.33203125" customWidth="1"/>
    <col min="3" max="3" width="25.44140625" customWidth="1"/>
    <col min="4" max="4" width="16" customWidth="1"/>
    <col min="5" max="5" width="14.5546875" customWidth="1"/>
    <col min="6" max="6" width="14.44140625" bestFit="1" customWidth="1"/>
    <col min="7" max="7" width="12.6640625" customWidth="1"/>
    <col min="8" max="8" width="12.109375" customWidth="1"/>
    <col min="11" max="11" width="12.88671875" customWidth="1"/>
    <col min="14" max="14" width="12.88671875" customWidth="1"/>
    <col min="15" max="15" width="12.6640625" customWidth="1"/>
    <col min="17" max="17" width="12.33203125" customWidth="1"/>
    <col min="18" max="18" width="14.6640625" customWidth="1"/>
    <col min="19" max="19" width="14" customWidth="1"/>
    <col min="20" max="20" width="14.5546875" customWidth="1"/>
    <col min="21" max="21" width="13.109375" customWidth="1"/>
    <col min="22" max="22" width="12.88671875" customWidth="1"/>
    <col min="23" max="27" width="12.5546875" customWidth="1"/>
    <col min="40" max="40" width="13.6640625" customWidth="1"/>
    <col min="41" max="41" width="15.109375" customWidth="1"/>
    <col min="44" max="44" width="12" customWidth="1"/>
    <col min="47" max="47" width="15" customWidth="1"/>
    <col min="81" max="95" width="11.44140625" hidden="1" customWidth="1"/>
    <col min="96" max="97" width="11.5546875" hidden="1" customWidth="1"/>
    <col min="98" max="98" width="0" hidden="1" customWidth="1"/>
  </cols>
  <sheetData>
    <row r="1" spans="1:95" x14ac:dyDescent="0.3">
      <c r="B1" s="774" t="s">
        <v>3879</v>
      </c>
    </row>
    <row r="2" spans="1:95" x14ac:dyDescent="0.3">
      <c r="B2" s="774" t="str">
        <f>CONCATENATE("COMUNA: ",NOMBRE!B2," - ","( ",NOMBRE!C2,NOMBRE!D2,NOMBRE!E2,NOMBRE!F2,NOMBRE!G2," )")</f>
        <v>COMUNA:  - (  )</v>
      </c>
    </row>
    <row r="3" spans="1:95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95" x14ac:dyDescent="0.3">
      <c r="B4" s="774" t="str">
        <f>CONCATENATE("MES: ",NOMBRE!B6," - ","( ",NOMBRE!C6,NOMBRE!D6," )")</f>
        <v>MES:  - (  )</v>
      </c>
    </row>
    <row r="5" spans="1:95" x14ac:dyDescent="0.3">
      <c r="B5" s="774" t="str">
        <f>CONCATENATE("AÑO: ",NOMBRE!B7)</f>
        <v>AÑO: 2024</v>
      </c>
    </row>
    <row r="6" spans="1:95" ht="18" customHeight="1" x14ac:dyDescent="0.3">
      <c r="B6" s="6835" t="s">
        <v>1312</v>
      </c>
      <c r="C6" s="6835"/>
      <c r="D6" s="6835"/>
      <c r="E6" s="6835"/>
      <c r="F6" s="6835"/>
      <c r="G6" s="6835"/>
      <c r="H6" s="6835"/>
      <c r="I6" s="6835"/>
      <c r="J6" s="6835"/>
      <c r="K6" s="6835"/>
      <c r="L6" s="6835"/>
      <c r="M6" s="6835"/>
      <c r="N6" s="6835"/>
      <c r="O6" s="6835"/>
      <c r="P6" s="6835"/>
      <c r="Q6" s="6835"/>
      <c r="R6" s="6835"/>
      <c r="S6" s="6835"/>
      <c r="T6" s="6835"/>
    </row>
    <row r="8" spans="1:95" s="1116" customFormat="1" ht="18" customHeight="1" x14ac:dyDescent="0.2">
      <c r="B8" s="8554" t="s">
        <v>1313</v>
      </c>
      <c r="C8" s="8522"/>
      <c r="D8" s="8522"/>
    </row>
    <row r="9" spans="1:95" s="170" customFormat="1" ht="15" customHeight="1" x14ac:dyDescent="0.2">
      <c r="B9" s="8113" t="s">
        <v>61</v>
      </c>
      <c r="C9" s="8536" t="s">
        <v>24</v>
      </c>
      <c r="D9" s="8555" t="s">
        <v>12</v>
      </c>
      <c r="E9" s="8556"/>
      <c r="F9" s="8556"/>
      <c r="G9" s="8556"/>
      <c r="H9" s="8556"/>
      <c r="I9" s="8556"/>
      <c r="J9" s="8556"/>
      <c r="K9" s="8556"/>
      <c r="L9" s="8556"/>
      <c r="M9" s="8556"/>
      <c r="N9" s="8556"/>
      <c r="O9" s="8556"/>
      <c r="P9" s="8556"/>
      <c r="Q9" s="8556"/>
      <c r="R9" s="8556"/>
      <c r="S9" s="8556"/>
      <c r="T9" s="8557"/>
      <c r="U9" s="8558" t="s">
        <v>1314</v>
      </c>
      <c r="V9" s="8559"/>
      <c r="W9" s="7820" t="s">
        <v>49</v>
      </c>
      <c r="X9" s="7820" t="s">
        <v>45</v>
      </c>
      <c r="Y9" s="7671" t="s">
        <v>2</v>
      </c>
      <c r="Z9" s="7671" t="s">
        <v>3</v>
      </c>
      <c r="AA9" s="7671" t="s">
        <v>1315</v>
      </c>
    </row>
    <row r="10" spans="1:95" s="170" customFormat="1" ht="27" customHeight="1" x14ac:dyDescent="0.2">
      <c r="B10" s="8113"/>
      <c r="C10" s="8538"/>
      <c r="D10" s="1266" t="s">
        <v>36</v>
      </c>
      <c r="E10" s="1408" t="s">
        <v>37</v>
      </c>
      <c r="F10" s="1268" t="s">
        <v>1316</v>
      </c>
      <c r="G10" s="1408" t="s">
        <v>4</v>
      </c>
      <c r="H10" s="1166" t="s">
        <v>5</v>
      </c>
      <c r="I10" s="1166" t="s">
        <v>6</v>
      </c>
      <c r="J10" s="1166" t="s">
        <v>7</v>
      </c>
      <c r="K10" s="1166" t="s">
        <v>8</v>
      </c>
      <c r="L10" s="1166" t="s">
        <v>9</v>
      </c>
      <c r="M10" s="1166" t="s">
        <v>10</v>
      </c>
      <c r="N10" s="1166" t="s">
        <v>11</v>
      </c>
      <c r="O10" s="1166" t="s">
        <v>18</v>
      </c>
      <c r="P10" s="1166" t="s">
        <v>19</v>
      </c>
      <c r="Q10" s="1166" t="s">
        <v>20</v>
      </c>
      <c r="R10" s="1166" t="s">
        <v>70</v>
      </c>
      <c r="S10" s="1166" t="s">
        <v>71</v>
      </c>
      <c r="T10" s="1342" t="s">
        <v>32</v>
      </c>
      <c r="U10" s="1538" t="s">
        <v>22</v>
      </c>
      <c r="V10" s="2504" t="s">
        <v>27</v>
      </c>
      <c r="W10" s="7821"/>
      <c r="X10" s="7821"/>
      <c r="Y10" s="8498"/>
      <c r="Z10" s="8498"/>
      <c r="AA10" s="8498"/>
    </row>
    <row r="11" spans="1:95" s="170" customFormat="1" ht="15" customHeight="1" x14ac:dyDescent="0.2">
      <c r="A11" s="6234">
        <v>32100100</v>
      </c>
      <c r="B11" s="1497" t="s">
        <v>74</v>
      </c>
      <c r="C11" s="1457" t="s">
        <v>5292</v>
      </c>
      <c r="D11" s="1095" t="s">
        <v>5293</v>
      </c>
      <c r="E11" s="1426" t="s">
        <v>5294</v>
      </c>
      <c r="F11" s="1247" t="s">
        <v>5295</v>
      </c>
      <c r="G11" s="1422" t="s">
        <v>5296</v>
      </c>
      <c r="H11" s="1422" t="s">
        <v>5297</v>
      </c>
      <c r="I11" s="1422" t="s">
        <v>5298</v>
      </c>
      <c r="J11" s="1422" t="s">
        <v>5299</v>
      </c>
      <c r="K11" s="1422" t="s">
        <v>5300</v>
      </c>
      <c r="L11" s="1422" t="s">
        <v>5301</v>
      </c>
      <c r="M11" s="1422" t="s">
        <v>5302</v>
      </c>
      <c r="N11" s="1422" t="s">
        <v>5303</v>
      </c>
      <c r="O11" s="1422" t="s">
        <v>5304</v>
      </c>
      <c r="P11" s="1422" t="s">
        <v>5305</v>
      </c>
      <c r="Q11" s="1422" t="s">
        <v>5306</v>
      </c>
      <c r="R11" s="1422" t="s">
        <v>5307</v>
      </c>
      <c r="S11" s="1422" t="s">
        <v>5308</v>
      </c>
      <c r="T11" s="1249" t="s">
        <v>5309</v>
      </c>
      <c r="U11" s="1498" t="s">
        <v>5310</v>
      </c>
      <c r="V11" s="1499" t="s">
        <v>5311</v>
      </c>
      <c r="W11" s="1246" t="s">
        <v>5312</v>
      </c>
      <c r="X11" s="1246" t="s">
        <v>5313</v>
      </c>
      <c r="Y11" s="1246" t="s">
        <v>5314</v>
      </c>
      <c r="Z11" s="1246" t="s">
        <v>5315</v>
      </c>
      <c r="AA11" s="1246" t="s">
        <v>5316</v>
      </c>
      <c r="AB11" s="170" t="e">
        <f>CD11&amp;CE11&amp;CF11&amp;CG11&amp;CH11&amp;CI11&amp;CJ11</f>
        <v>#VALUE!</v>
      </c>
      <c r="CD11" s="2465" t="e">
        <f>IF((U11+V11)&lt;&gt;C11," * El desglose por sexo No pueder distinto al Total.","")</f>
        <v>#VALUE!</v>
      </c>
      <c r="CE11" s="2465" t="str">
        <f>IF(AND(C11&gt;0,W11="")," * No olvide digitar Niños, niñas, adolescentes y Jóvenes SENAME. Digite cero si no tiene.",IF(W11&gt;C11," * La variable Niños, Niñas, adolescentes y jóvenes SENAME no puede ser mayor al Total.",""))</f>
        <v xml:space="preserve"> * La variable Niños, Niñas, adolescentes y jóvenes SENAME no puede ser mayor al Total.</v>
      </c>
      <c r="CF11" s="2465" t="str">
        <f>IF(AND(C11&gt;0,X11="")," * No olvide digitar Niños, niñas, adolescentes y Jóvenes Mejor niñez. Digite cero si no tiene.",IF(X11&gt;C11," * La variable Niños, Niñas, adolescentes y jóvenes Mejor Niñez no puede ser mayor al Total.",""))</f>
        <v xml:space="preserve"> * La variable Niños, Niñas, adolescentes y jóvenes Mejor Niñez no puede ser mayor al Total.</v>
      </c>
      <c r="CG11" s="2465" t="str">
        <f>IF(AND(C11&gt;0,Y11="")," * No olvide digitar Pueblos originarios. Digite cero si no tiene.",IF(Y11&gt;C11," * La variable pueblos originarios no puede ser mayor al Total.",""))</f>
        <v xml:space="preserve"> * La variable pueblos originarios no puede ser mayor al Total.</v>
      </c>
      <c r="CH11" s="2465" t="str">
        <f>IF(AND(C11&gt;0,Z11="")," * No olvide digitar Migrantes. Digite cero si no tiene.",IF(Z11&gt;C11," * La variable Migrantes no puede ser mayor al Total.",""))</f>
        <v xml:space="preserve"> * La variable Migrantes no puede ser mayor al Total.</v>
      </c>
      <c r="CI11" s="2465" t="str">
        <f>IF(AND(C11&gt;0,AA11="")," * No olvide digitar Espacios amigables/adolescentes. Digite cero si no tiene.",IF(AA11&gt;C11," * La variable Espacios amigables/adolescentes no puede ser mayor al Total.",""))</f>
        <v xml:space="preserve"> * La variable Espacios amigables/adolescentes no puede ser mayor al Total.</v>
      </c>
      <c r="CJ11" s="2465"/>
      <c r="CL11" s="2466" t="e">
        <f>IF((U11+V11)&lt;&gt;C11,1,0)</f>
        <v>#VALUE!</v>
      </c>
      <c r="CM11" s="2466">
        <f>IF(AND(C11&gt;0,W11=""),1,IF(W11&gt;C11,1,0))</f>
        <v>1</v>
      </c>
      <c r="CN11" s="2466">
        <f>IF(AND(C11&gt;0,X11=""),1,IF(X11&gt;C11,1,0))</f>
        <v>1</v>
      </c>
      <c r="CO11" s="2466">
        <f>IF(AND(C11&gt;0,Y11=""),1,IF(Y11&gt;C11,1,0))</f>
        <v>1</v>
      </c>
      <c r="CP11" s="2466">
        <f>IF(AND(C11&gt;0,Z11=""),1,IF(Z11&gt;C11,1,0))</f>
        <v>1</v>
      </c>
      <c r="CQ11" s="2466">
        <f>IF(AND(C11&gt;0,AA11=""),1,IF(AA11&gt;C11,1,0))</f>
        <v>1</v>
      </c>
    </row>
    <row r="12" spans="1:95" s="170" customFormat="1" ht="15" customHeight="1" x14ac:dyDescent="0.2">
      <c r="A12" s="6234">
        <v>32100110</v>
      </c>
      <c r="B12" s="1497" t="s">
        <v>76</v>
      </c>
      <c r="C12" s="1457" t="s">
        <v>5292</v>
      </c>
      <c r="D12" s="1095" t="s">
        <v>5293</v>
      </c>
      <c r="E12" s="1426" t="s">
        <v>5294</v>
      </c>
      <c r="F12" s="1097" t="s">
        <v>5295</v>
      </c>
      <c r="G12" s="1426" t="s">
        <v>5296</v>
      </c>
      <c r="H12" s="1426" t="s">
        <v>5297</v>
      </c>
      <c r="I12" s="1426" t="s">
        <v>5298</v>
      </c>
      <c r="J12" s="1426" t="s">
        <v>5299</v>
      </c>
      <c r="K12" s="1426" t="s">
        <v>5300</v>
      </c>
      <c r="L12" s="1426" t="s">
        <v>5301</v>
      </c>
      <c r="M12" s="1426" t="s">
        <v>5302</v>
      </c>
      <c r="N12" s="1426" t="s">
        <v>5303</v>
      </c>
      <c r="O12" s="1426" t="s">
        <v>5304</v>
      </c>
      <c r="P12" s="1426" t="s">
        <v>5305</v>
      </c>
      <c r="Q12" s="1426" t="s">
        <v>5306</v>
      </c>
      <c r="R12" s="1426" t="s">
        <v>5307</v>
      </c>
      <c r="S12" s="1426" t="s">
        <v>5308</v>
      </c>
      <c r="T12" s="1099" t="s">
        <v>5309</v>
      </c>
      <c r="U12" s="1092" t="s">
        <v>5310</v>
      </c>
      <c r="V12" s="1096" t="s">
        <v>5311</v>
      </c>
      <c r="W12" s="8" t="s">
        <v>5312</v>
      </c>
      <c r="X12" s="8" t="s">
        <v>5313</v>
      </c>
      <c r="Y12" s="8" t="s">
        <v>5314</v>
      </c>
      <c r="Z12" s="8" t="s">
        <v>5315</v>
      </c>
      <c r="AA12" s="8" t="s">
        <v>5316</v>
      </c>
      <c r="AB12" s="170" t="e">
        <f t="shared" ref="AB12:AB15" si="0">CD12&amp;CE12&amp;CF12&amp;CG12&amp;CH12&amp;CI12&amp;CJ12</f>
        <v>#VALUE!</v>
      </c>
      <c r="CD12" s="2465" t="e">
        <f t="shared" ref="CD12:CD15" si="1">IF((U12+V12)&lt;&gt;C12," * El desglose por sexo No pueder distinto al Total.","")</f>
        <v>#VALUE!</v>
      </c>
      <c r="CE12" s="2465" t="str">
        <f t="shared" ref="CE12:CE15" si="2">IF(AND(C12&gt;0,W12="")," * No olvide digitar Niños, niñas, adolescentes y Jóvenes SENAME. Digite cero si no tiene.",IF(W12&gt;C12," * La variable Niños, Niñas, adolescentes y jóvenes SENAME no puede ser mayor al Total.",""))</f>
        <v xml:space="preserve"> * La variable Niños, Niñas, adolescentes y jóvenes SENAME no puede ser mayor al Total.</v>
      </c>
      <c r="CF12" s="2465" t="str">
        <f t="shared" ref="CF12:CF15" si="3">IF(AND(C12&gt;0,X12="")," * No olvide digitar Niños, niñas, adolescentes y Jóvenes Mejor niñez. Digite cero si no tiene.",IF(X12&gt;C12," * La variable Niños, Niñas, adolescentes y jóvenes Mejor Niñez no puede ser mayor al Total.",""))</f>
        <v xml:space="preserve"> * La variable Niños, Niñas, adolescentes y jóvenes Mejor Niñez no puede ser mayor al Total.</v>
      </c>
      <c r="CG12" s="2465" t="str">
        <f t="shared" ref="CG12:CG15" si="4">IF(AND(C12&gt;0,Y12="")," * No olvide digitar Pueblos originarios. Digite cero si no tiene.",IF(Y12&gt;C12," * La variable pueblos originarios no puede ser mayor al Total.",""))</f>
        <v xml:space="preserve"> * La variable pueblos originarios no puede ser mayor al Total.</v>
      </c>
      <c r="CH12" s="2465" t="str">
        <f t="shared" ref="CH12:CH15" si="5">IF(AND(C12&gt;0,Z12="")," * No olvide digitar Migrantes. Digite cero si no tiene.",IF(Z12&gt;C12," * La variable Migrantes no puede ser mayor al Total.",""))</f>
        <v xml:space="preserve"> * La variable Migrantes no puede ser mayor al Total.</v>
      </c>
      <c r="CI12" s="2465" t="str">
        <f>IF(AND(C12&gt;0,AA12="")," * No olvide digitar Espacios amigables/adolescentes. Digite cero si no tiene.",IF(AA12&gt;C12," * La variable Espacios amigables/adolescentes no puede ser mayor al Total.",""))</f>
        <v xml:space="preserve"> * La variable Espacios amigables/adolescentes no puede ser mayor al Total.</v>
      </c>
      <c r="CJ12" s="2465"/>
      <c r="CL12" s="2466" t="e">
        <f t="shared" ref="CL12:CL15" si="6">IF((U12+V12)&lt;&gt;C12,1,0)</f>
        <v>#VALUE!</v>
      </c>
      <c r="CM12" s="2466">
        <f t="shared" ref="CM12:CM15" si="7">IF(AND(C12&gt;0,W12=""),1,IF(W12&gt;C12,1,0))</f>
        <v>1</v>
      </c>
      <c r="CN12" s="2466">
        <f t="shared" ref="CN12:CN15" si="8">IF(AND(C12&gt;0,X12=""),1,IF(X12&gt;C12,1,0))</f>
        <v>1</v>
      </c>
      <c r="CO12" s="2466">
        <f t="shared" ref="CO12:CO15" si="9">IF(AND(C12&gt;0,Y12=""),1,IF(Y12&gt;C12,1,0))</f>
        <v>1</v>
      </c>
      <c r="CP12" s="2466">
        <f t="shared" ref="CP12:CP15" si="10">IF(AND(C12&gt;0,Z12=""),1,IF(Z12&gt;C12,1,0))</f>
        <v>1</v>
      </c>
      <c r="CQ12" s="2466">
        <f>IF(AND(C12&gt;0,AA12=""),1,IF(AA12&gt;C12,1,0))</f>
        <v>1</v>
      </c>
    </row>
    <row r="13" spans="1:95" s="170" customFormat="1" ht="15" customHeight="1" x14ac:dyDescent="0.2">
      <c r="A13" s="6234">
        <v>32101530</v>
      </c>
      <c r="B13" s="1497" t="s">
        <v>1317</v>
      </c>
      <c r="C13" s="1457" t="s">
        <v>5292</v>
      </c>
      <c r="D13" s="1500" t="s">
        <v>5293</v>
      </c>
      <c r="E13" s="1501" t="s">
        <v>5294</v>
      </c>
      <c r="F13" s="1097" t="s">
        <v>5295</v>
      </c>
      <c r="G13" s="1426" t="s">
        <v>5296</v>
      </c>
      <c r="H13" s="1426" t="s">
        <v>5297</v>
      </c>
      <c r="I13" s="1426" t="s">
        <v>5298</v>
      </c>
      <c r="J13" s="1426" t="s">
        <v>5299</v>
      </c>
      <c r="K13" s="1426" t="s">
        <v>5300</v>
      </c>
      <c r="L13" s="1426" t="s">
        <v>5301</v>
      </c>
      <c r="M13" s="1426" t="s">
        <v>5302</v>
      </c>
      <c r="N13" s="1426" t="s">
        <v>5303</v>
      </c>
      <c r="O13" s="1426" t="s">
        <v>5304</v>
      </c>
      <c r="P13" s="1426" t="s">
        <v>5305</v>
      </c>
      <c r="Q13" s="1426" t="s">
        <v>5306</v>
      </c>
      <c r="R13" s="1426" t="s">
        <v>5307</v>
      </c>
      <c r="S13" s="1426" t="s">
        <v>5308</v>
      </c>
      <c r="T13" s="1099" t="s">
        <v>5309</v>
      </c>
      <c r="U13" s="1092" t="s">
        <v>5310</v>
      </c>
      <c r="V13" s="1096" t="s">
        <v>5311</v>
      </c>
      <c r="W13" s="8" t="s">
        <v>5312</v>
      </c>
      <c r="X13" s="8" t="s">
        <v>5313</v>
      </c>
      <c r="Y13" s="8" t="s">
        <v>5314</v>
      </c>
      <c r="Z13" s="8" t="s">
        <v>5315</v>
      </c>
      <c r="AA13" s="8" t="s">
        <v>5316</v>
      </c>
      <c r="AB13" s="170" t="e">
        <f t="shared" si="0"/>
        <v>#VALUE!</v>
      </c>
      <c r="CD13" s="2465" t="e">
        <f t="shared" si="1"/>
        <v>#VALUE!</v>
      </c>
      <c r="CE13" s="2465" t="str">
        <f t="shared" si="2"/>
        <v xml:space="preserve"> * La variable Niños, Niñas, adolescentes y jóvenes SENAME no puede ser mayor al Total.</v>
      </c>
      <c r="CF13" s="2465" t="str">
        <f t="shared" si="3"/>
        <v xml:space="preserve"> * La variable Niños, Niñas, adolescentes y jóvenes Mejor Niñez no puede ser mayor al Total.</v>
      </c>
      <c r="CG13" s="2465" t="str">
        <f t="shared" si="4"/>
        <v xml:space="preserve"> * La variable pueblos originarios no puede ser mayor al Total.</v>
      </c>
      <c r="CH13" s="2465" t="str">
        <f t="shared" si="5"/>
        <v xml:space="preserve"> * La variable Migrantes no puede ser mayor al Total.</v>
      </c>
      <c r="CI13" s="2465" t="str">
        <f t="shared" ref="CI13:CI15" si="11">IF(AND(C13&gt;0,AA13="")," * No olvide digitar Espacios amigables/adolescentes. Digite cero si no tiene.",IF(AA13&gt;C13," * La variable Espacios amigables/adolescentes no puede ser mayor al Total.",""))</f>
        <v xml:space="preserve"> * La variable Espacios amigables/adolescentes no puede ser mayor al Total.</v>
      </c>
      <c r="CJ13" s="2465"/>
      <c r="CL13" s="2466" t="e">
        <f t="shared" si="6"/>
        <v>#VALUE!</v>
      </c>
      <c r="CM13" s="2466">
        <f t="shared" si="7"/>
        <v>1</v>
      </c>
      <c r="CN13" s="2466">
        <f t="shared" si="8"/>
        <v>1</v>
      </c>
      <c r="CO13" s="2466">
        <f t="shared" si="9"/>
        <v>1</v>
      </c>
      <c r="CP13" s="2466">
        <f t="shared" si="10"/>
        <v>1</v>
      </c>
      <c r="CQ13" s="2466">
        <f t="shared" ref="CQ13:CQ15" si="12">IF(AND(C13&gt;0,AA13=""),1,IF(AA13&gt;C13,1,0))</f>
        <v>1</v>
      </c>
    </row>
    <row r="14" spans="1:95" s="170" customFormat="1" ht="15" customHeight="1" x14ac:dyDescent="0.2">
      <c r="A14" s="6234">
        <v>32101531</v>
      </c>
      <c r="B14" s="1497" t="s">
        <v>247</v>
      </c>
      <c r="C14" s="1457" t="s">
        <v>5292</v>
      </c>
      <c r="D14" s="1095" t="s">
        <v>5293</v>
      </c>
      <c r="E14" s="1426" t="s">
        <v>5294</v>
      </c>
      <c r="F14" s="1097" t="s">
        <v>5295</v>
      </c>
      <c r="G14" s="1426" t="s">
        <v>5296</v>
      </c>
      <c r="H14" s="1426" t="s">
        <v>5297</v>
      </c>
      <c r="I14" s="1426" t="s">
        <v>5298</v>
      </c>
      <c r="J14" s="1426" t="s">
        <v>5299</v>
      </c>
      <c r="K14" s="1426" t="s">
        <v>5300</v>
      </c>
      <c r="L14" s="1426" t="s">
        <v>5301</v>
      </c>
      <c r="M14" s="1426" t="s">
        <v>5302</v>
      </c>
      <c r="N14" s="1426" t="s">
        <v>5303</v>
      </c>
      <c r="O14" s="1426" t="s">
        <v>5304</v>
      </c>
      <c r="P14" s="1426" t="s">
        <v>5305</v>
      </c>
      <c r="Q14" s="1426" t="s">
        <v>5306</v>
      </c>
      <c r="R14" s="1426" t="s">
        <v>5307</v>
      </c>
      <c r="S14" s="1426" t="s">
        <v>5308</v>
      </c>
      <c r="T14" s="1099" t="s">
        <v>5309</v>
      </c>
      <c r="U14" s="1092" t="s">
        <v>5310</v>
      </c>
      <c r="V14" s="1096" t="s">
        <v>5311</v>
      </c>
      <c r="W14" s="8" t="s">
        <v>5312</v>
      </c>
      <c r="X14" s="8" t="s">
        <v>5313</v>
      </c>
      <c r="Y14" s="8" t="s">
        <v>5314</v>
      </c>
      <c r="Z14" s="8" t="s">
        <v>5315</v>
      </c>
      <c r="AA14" s="8" t="s">
        <v>5316</v>
      </c>
      <c r="AB14" s="170" t="e">
        <f t="shared" si="0"/>
        <v>#VALUE!</v>
      </c>
      <c r="CD14" s="2465" t="e">
        <f t="shared" si="1"/>
        <v>#VALUE!</v>
      </c>
      <c r="CE14" s="2465" t="str">
        <f t="shared" si="2"/>
        <v xml:space="preserve"> * La variable Niños, Niñas, adolescentes y jóvenes SENAME no puede ser mayor al Total.</v>
      </c>
      <c r="CF14" s="2465" t="str">
        <f t="shared" si="3"/>
        <v xml:space="preserve"> * La variable Niños, Niñas, adolescentes y jóvenes Mejor Niñez no puede ser mayor al Total.</v>
      </c>
      <c r="CG14" s="2465" t="str">
        <f t="shared" si="4"/>
        <v xml:space="preserve"> * La variable pueblos originarios no puede ser mayor al Total.</v>
      </c>
      <c r="CH14" s="2465" t="str">
        <f t="shared" si="5"/>
        <v xml:space="preserve"> * La variable Migrantes no puede ser mayor al Total.</v>
      </c>
      <c r="CI14" s="2465" t="str">
        <f t="shared" si="11"/>
        <v xml:space="preserve"> * La variable Espacios amigables/adolescentes no puede ser mayor al Total.</v>
      </c>
      <c r="CJ14" s="2465"/>
      <c r="CL14" s="2466" t="e">
        <f t="shared" si="6"/>
        <v>#VALUE!</v>
      </c>
      <c r="CM14" s="2466">
        <f t="shared" si="7"/>
        <v>1</v>
      </c>
      <c r="CN14" s="2466">
        <f t="shared" si="8"/>
        <v>1</v>
      </c>
      <c r="CO14" s="2466">
        <f t="shared" si="9"/>
        <v>1</v>
      </c>
      <c r="CP14" s="2466">
        <f t="shared" si="10"/>
        <v>1</v>
      </c>
      <c r="CQ14" s="2466">
        <f t="shared" si="12"/>
        <v>1</v>
      </c>
    </row>
    <row r="15" spans="1:95" s="170" customFormat="1" ht="15" customHeight="1" x14ac:dyDescent="0.2">
      <c r="A15" s="6234">
        <v>32100150</v>
      </c>
      <c r="B15" s="1497" t="s">
        <v>123</v>
      </c>
      <c r="C15" s="1457" t="s">
        <v>5292</v>
      </c>
      <c r="D15" s="1095" t="s">
        <v>5293</v>
      </c>
      <c r="E15" s="1426" t="s">
        <v>5294</v>
      </c>
      <c r="F15" s="1097" t="s">
        <v>5295</v>
      </c>
      <c r="G15" s="1426" t="s">
        <v>5296</v>
      </c>
      <c r="H15" s="1426" t="s">
        <v>5297</v>
      </c>
      <c r="I15" s="1426" t="s">
        <v>5298</v>
      </c>
      <c r="J15" s="1426" t="s">
        <v>5299</v>
      </c>
      <c r="K15" s="1426" t="s">
        <v>5300</v>
      </c>
      <c r="L15" s="1426" t="s">
        <v>5301</v>
      </c>
      <c r="M15" s="1426" t="s">
        <v>5302</v>
      </c>
      <c r="N15" s="1426" t="s">
        <v>5303</v>
      </c>
      <c r="O15" s="1426" t="s">
        <v>5304</v>
      </c>
      <c r="P15" s="1426" t="s">
        <v>5305</v>
      </c>
      <c r="Q15" s="1426" t="s">
        <v>5306</v>
      </c>
      <c r="R15" s="1426" t="s">
        <v>5307</v>
      </c>
      <c r="S15" s="1426" t="s">
        <v>5308</v>
      </c>
      <c r="T15" s="1099" t="s">
        <v>5309</v>
      </c>
      <c r="U15" s="1092" t="s">
        <v>5310</v>
      </c>
      <c r="V15" s="1096" t="s">
        <v>5311</v>
      </c>
      <c r="W15" s="8" t="s">
        <v>5312</v>
      </c>
      <c r="X15" s="8" t="s">
        <v>5313</v>
      </c>
      <c r="Y15" s="8" t="s">
        <v>5314</v>
      </c>
      <c r="Z15" s="8" t="s">
        <v>5315</v>
      </c>
      <c r="AA15" s="8" t="s">
        <v>5316</v>
      </c>
      <c r="AB15" s="170" t="e">
        <f t="shared" si="0"/>
        <v>#VALUE!</v>
      </c>
      <c r="CD15" s="2465" t="e">
        <f t="shared" si="1"/>
        <v>#VALUE!</v>
      </c>
      <c r="CE15" s="2465" t="str">
        <f t="shared" si="2"/>
        <v xml:space="preserve"> * La variable Niños, Niñas, adolescentes y jóvenes SENAME no puede ser mayor al Total.</v>
      </c>
      <c r="CF15" s="2465" t="str">
        <f t="shared" si="3"/>
        <v xml:space="preserve"> * La variable Niños, Niñas, adolescentes y jóvenes Mejor Niñez no puede ser mayor al Total.</v>
      </c>
      <c r="CG15" s="2465" t="str">
        <f t="shared" si="4"/>
        <v xml:space="preserve"> * La variable pueblos originarios no puede ser mayor al Total.</v>
      </c>
      <c r="CH15" s="2465" t="str">
        <f t="shared" si="5"/>
        <v xml:space="preserve"> * La variable Migrantes no puede ser mayor al Total.</v>
      </c>
      <c r="CI15" s="2465" t="str">
        <f t="shared" si="11"/>
        <v xml:space="preserve"> * La variable Espacios amigables/adolescentes no puede ser mayor al Total.</v>
      </c>
      <c r="CJ15" s="2465"/>
      <c r="CL15" s="2466" t="e">
        <f t="shared" si="6"/>
        <v>#VALUE!</v>
      </c>
      <c r="CM15" s="2466">
        <f t="shared" si="7"/>
        <v>1</v>
      </c>
      <c r="CN15" s="2466">
        <f t="shared" si="8"/>
        <v>1</v>
      </c>
      <c r="CO15" s="2466">
        <f t="shared" si="9"/>
        <v>1</v>
      </c>
      <c r="CP15" s="2466">
        <f t="shared" si="10"/>
        <v>1</v>
      </c>
      <c r="CQ15" s="2466">
        <f t="shared" si="12"/>
        <v>1</v>
      </c>
    </row>
    <row r="16" spans="1:95" s="170" customFormat="1" ht="15" customHeight="1" x14ac:dyDescent="0.2">
      <c r="A16" s="6304"/>
      <c r="B16" s="2505" t="s">
        <v>47</v>
      </c>
      <c r="C16" s="2506">
        <f t="shared" ref="C11:C16" si="13">SUM(D16:T16)</f>
        <v>0</v>
      </c>
      <c r="D16" s="2507">
        <f t="shared" ref="D16:T16" si="14">SUM(D11:D15)</f>
        <v>0</v>
      </c>
      <c r="E16" s="2508">
        <f t="shared" si="14"/>
        <v>0</v>
      </c>
      <c r="F16" s="2508">
        <f t="shared" si="14"/>
        <v>0</v>
      </c>
      <c r="G16" s="2509">
        <f t="shared" si="14"/>
        <v>0</v>
      </c>
      <c r="H16" s="2509">
        <f t="shared" si="14"/>
        <v>0</v>
      </c>
      <c r="I16" s="2509">
        <f t="shared" si="14"/>
        <v>0</v>
      </c>
      <c r="J16" s="2509">
        <f t="shared" si="14"/>
        <v>0</v>
      </c>
      <c r="K16" s="2509">
        <f t="shared" si="14"/>
        <v>0</v>
      </c>
      <c r="L16" s="2509">
        <f t="shared" si="14"/>
        <v>0</v>
      </c>
      <c r="M16" s="2509">
        <f t="shared" si="14"/>
        <v>0</v>
      </c>
      <c r="N16" s="2509">
        <f t="shared" si="14"/>
        <v>0</v>
      </c>
      <c r="O16" s="2509">
        <f t="shared" si="14"/>
        <v>0</v>
      </c>
      <c r="P16" s="2509">
        <f t="shared" si="14"/>
        <v>0</v>
      </c>
      <c r="Q16" s="2509">
        <f t="shared" si="14"/>
        <v>0</v>
      </c>
      <c r="R16" s="2509">
        <f t="shared" si="14"/>
        <v>0</v>
      </c>
      <c r="S16" s="2509">
        <f t="shared" si="14"/>
        <v>0</v>
      </c>
      <c r="T16" s="2510">
        <f t="shared" si="14"/>
        <v>0</v>
      </c>
      <c r="U16" s="2506">
        <f>SUM(U11:U15)</f>
        <v>0</v>
      </c>
      <c r="V16" s="2511">
        <f t="shared" ref="V16:Z16" si="15">SUM(V11:V15)</f>
        <v>0</v>
      </c>
      <c r="W16" s="2512">
        <f t="shared" si="15"/>
        <v>0</v>
      </c>
      <c r="X16" s="2512">
        <f t="shared" si="15"/>
        <v>0</v>
      </c>
      <c r="Y16" s="2512">
        <f t="shared" si="15"/>
        <v>0</v>
      </c>
      <c r="Z16" s="2512">
        <f t="shared" si="15"/>
        <v>0</v>
      </c>
      <c r="AA16" s="2512">
        <f>SUM(AA11:AA15)</f>
        <v>0</v>
      </c>
    </row>
    <row r="17" spans="1:94" s="1116" customFormat="1" ht="18" customHeight="1" x14ac:dyDescent="0.2">
      <c r="A17" s="6305"/>
      <c r="B17" s="8548" t="s">
        <v>1318</v>
      </c>
      <c r="C17" s="8522"/>
      <c r="D17" s="8522"/>
      <c r="E17" s="8522"/>
      <c r="F17" s="8522"/>
      <c r="G17" s="8522"/>
      <c r="H17" s="8522"/>
      <c r="I17" s="8522"/>
      <c r="J17" s="8522"/>
      <c r="K17" s="8522"/>
      <c r="L17" s="8522"/>
      <c r="M17" s="8522"/>
    </row>
    <row r="18" spans="1:94" s="170" customFormat="1" ht="15" customHeight="1" x14ac:dyDescent="0.2">
      <c r="A18" s="6305"/>
      <c r="B18" s="8546" t="s">
        <v>701</v>
      </c>
      <c r="C18" s="8545" t="s">
        <v>24</v>
      </c>
      <c r="D18" s="8545"/>
      <c r="E18" s="8545"/>
      <c r="F18" s="8550" t="s">
        <v>30</v>
      </c>
      <c r="G18" s="8551"/>
      <c r="H18" s="8551"/>
      <c r="I18" s="8552"/>
      <c r="J18" s="8553" t="s">
        <v>74</v>
      </c>
      <c r="K18" s="8545" t="s">
        <v>1319</v>
      </c>
      <c r="L18" s="8545" t="s">
        <v>2</v>
      </c>
      <c r="M18" s="8545" t="s">
        <v>3</v>
      </c>
    </row>
    <row r="19" spans="1:94" s="170" customFormat="1" ht="15" customHeight="1" x14ac:dyDescent="0.2">
      <c r="A19" s="6305"/>
      <c r="B19" s="8546"/>
      <c r="C19" s="8545"/>
      <c r="D19" s="8545"/>
      <c r="E19" s="8545"/>
      <c r="F19" s="8546" t="s">
        <v>1320</v>
      </c>
      <c r="G19" s="8546"/>
      <c r="H19" s="8546" t="s">
        <v>1123</v>
      </c>
      <c r="I19" s="8547"/>
      <c r="J19" s="8553"/>
      <c r="K19" s="8545"/>
      <c r="L19" s="8545"/>
      <c r="M19" s="8545"/>
    </row>
    <row r="20" spans="1:94" s="170" customFormat="1" ht="15" customHeight="1" x14ac:dyDescent="0.2">
      <c r="A20" s="6305"/>
      <c r="B20" s="8546"/>
      <c r="C20" s="2513" t="s">
        <v>26</v>
      </c>
      <c r="D20" s="2514" t="s">
        <v>22</v>
      </c>
      <c r="E20" s="2514" t="s">
        <v>27</v>
      </c>
      <c r="F20" s="4354" t="s">
        <v>22</v>
      </c>
      <c r="G20" s="4349" t="s">
        <v>27</v>
      </c>
      <c r="H20" s="4354" t="s">
        <v>22</v>
      </c>
      <c r="I20" s="4363" t="s">
        <v>27</v>
      </c>
      <c r="J20" s="8553"/>
      <c r="K20" s="8545"/>
      <c r="L20" s="8545"/>
      <c r="M20" s="8545"/>
    </row>
    <row r="21" spans="1:94" s="170" customFormat="1" ht="15" customHeight="1" x14ac:dyDescent="0.2">
      <c r="A21" s="6234">
        <v>32101532</v>
      </c>
      <c r="B21" s="1502" t="s">
        <v>1321</v>
      </c>
      <c r="C21" s="1503" t="s">
        <v>5292</v>
      </c>
      <c r="D21" s="1503" t="s">
        <v>5293</v>
      </c>
      <c r="E21" s="1503" t="s">
        <v>5294</v>
      </c>
      <c r="F21" s="4355" t="s">
        <v>5295</v>
      </c>
      <c r="G21" s="4350" t="s">
        <v>5296</v>
      </c>
      <c r="H21" s="4355" t="s">
        <v>5297</v>
      </c>
      <c r="I21" s="4359" t="s">
        <v>5298</v>
      </c>
      <c r="J21" s="1505" t="s">
        <v>5299</v>
      </c>
      <c r="K21" s="1506" t="s">
        <v>5300</v>
      </c>
      <c r="L21" s="1504" t="s">
        <v>5301</v>
      </c>
      <c r="M21" s="1504" t="s">
        <v>5302</v>
      </c>
      <c r="N21" s="170" t="str">
        <f>CD21&amp;CE21</f>
        <v xml:space="preserve"> * La variable Pueblos originarios no puede ser mayor al Total. * La variable Migrantes no puede ser mayor al Total.</v>
      </c>
      <c r="CD21" s="2465" t="str">
        <f>IF(AND(C21&gt;0,L21="")," * No olvide digitar la variable Pueblos originarios. Digite cero si no tiene.",IF(L21&gt;C21," * La variable Pueblos originarios no puede ser mayor al Total.",""))</f>
        <v xml:space="preserve"> * La variable Pueblos originarios no puede ser mayor al Total.</v>
      </c>
      <c r="CE21" s="2465" t="str">
        <f>IF(AND(C21&gt;0,M21="")," * No olvide digitar la variable Migrantes. Digite cero si no tiene.",IF(M21&gt;C21," * La variable Migrantes no puede ser mayor al Total.",""))</f>
        <v xml:space="preserve"> * La variable Migrantes no puede ser mayor al Total.</v>
      </c>
      <c r="CF21" s="5831"/>
      <c r="CG21" s="5831"/>
      <c r="CH21" s="5831"/>
      <c r="CI21" s="5831"/>
      <c r="CJ21" s="5831"/>
      <c r="CL21" s="2466">
        <f>IF(AND(C21&gt;0,L21=""),1,IF(L21&gt;C21,1,0))</f>
        <v>1</v>
      </c>
      <c r="CM21" s="2466">
        <f>IF(AND(C21&gt;0,M21=""),1,IF(M21&gt;C21,1,0))</f>
        <v>1</v>
      </c>
      <c r="CN21" s="5831"/>
      <c r="CO21" s="5831"/>
      <c r="CP21" s="5831"/>
    </row>
    <row r="22" spans="1:94" s="170" customFormat="1" ht="15" customHeight="1" x14ac:dyDescent="0.2">
      <c r="A22" s="6234">
        <v>32101533</v>
      </c>
      <c r="B22" s="1497" t="s">
        <v>1322</v>
      </c>
      <c r="C22" s="1507" t="s">
        <v>5292</v>
      </c>
      <c r="D22" s="1507" t="s">
        <v>5293</v>
      </c>
      <c r="E22" s="1507" t="s">
        <v>5294</v>
      </c>
      <c r="F22" s="4356" t="s">
        <v>5295</v>
      </c>
      <c r="G22" s="4351" t="s">
        <v>5296</v>
      </c>
      <c r="H22" s="4356" t="s">
        <v>5297</v>
      </c>
      <c r="I22" s="4360" t="s">
        <v>5298</v>
      </c>
      <c r="J22" s="1509" t="s">
        <v>5299</v>
      </c>
      <c r="K22" s="1510" t="s">
        <v>5300</v>
      </c>
      <c r="L22" s="1508" t="s">
        <v>5301</v>
      </c>
      <c r="M22" s="1508" t="s">
        <v>5302</v>
      </c>
      <c r="N22" s="170" t="str">
        <f>CD22&amp;CE22</f>
        <v xml:space="preserve"> * La variable Pueblos originarios no puede ser mayor al Total. * La variable Migrantes no puede ser mayor al Total.</v>
      </c>
      <c r="CD22" s="2465" t="str">
        <f t="shared" ref="CD22:CD23" si="16">IF(AND(C22&gt;0,L22="")," * No olvide digitar la variable Pueblos originarios. Digite cero si no tiene.",IF(L22&gt;C22," * La variable Pueblos originarios no puede ser mayor al Total.",""))</f>
        <v xml:space="preserve"> * La variable Pueblos originarios no puede ser mayor al Total.</v>
      </c>
      <c r="CE22" s="2465" t="str">
        <f t="shared" ref="CE22:CE23" si="17">IF(AND(C22&gt;0,M22="")," * No olvide digitar la variable Migrantes. Digite cero si no tiene.",IF(M22&gt;C22," * La variable Migrantes no puede ser mayor al Total.",""))</f>
        <v xml:space="preserve"> * La variable Migrantes no puede ser mayor al Total.</v>
      </c>
      <c r="CF22" s="5831"/>
      <c r="CG22" s="5831"/>
      <c r="CH22" s="5831"/>
      <c r="CI22" s="5831"/>
      <c r="CJ22" s="5831"/>
      <c r="CL22" s="2466">
        <f t="shared" ref="CL22:CL23" si="18">IF(AND(C22&gt;0,L22=""),1,IF(L22&gt;C22,1,0))</f>
        <v>1</v>
      </c>
      <c r="CM22" s="2466">
        <f t="shared" ref="CM22:CM23" si="19">IF(AND(C22&gt;0,M22=""),1,IF(M22&gt;C22,1,0))</f>
        <v>1</v>
      </c>
      <c r="CN22" s="5831"/>
      <c r="CO22" s="5831"/>
      <c r="CP22" s="5831"/>
    </row>
    <row r="23" spans="1:94" s="170" customFormat="1" ht="15" customHeight="1" x14ac:dyDescent="0.2">
      <c r="A23" s="6234">
        <v>32101534</v>
      </c>
      <c r="B23" s="1511" t="s">
        <v>1323</v>
      </c>
      <c r="C23" s="1512" t="s">
        <v>5292</v>
      </c>
      <c r="D23" s="1512" t="s">
        <v>5293</v>
      </c>
      <c r="E23" s="1512" t="s">
        <v>5294</v>
      </c>
      <c r="F23" s="4357" t="s">
        <v>5295</v>
      </c>
      <c r="G23" s="4352" t="s">
        <v>5296</v>
      </c>
      <c r="H23" s="4357" t="s">
        <v>5297</v>
      </c>
      <c r="I23" s="4361" t="s">
        <v>5298</v>
      </c>
      <c r="J23" s="1514" t="s">
        <v>5299</v>
      </c>
      <c r="K23" s="1515" t="s">
        <v>5300</v>
      </c>
      <c r="L23" s="1513" t="s">
        <v>5301</v>
      </c>
      <c r="M23" s="1513" t="s">
        <v>5302</v>
      </c>
      <c r="N23" s="170" t="str">
        <f>CD23&amp;CE23</f>
        <v xml:space="preserve"> * La variable Pueblos originarios no puede ser mayor al Total. * La variable Migrantes no puede ser mayor al Total.</v>
      </c>
      <c r="CD23" s="2465" t="str">
        <f t="shared" si="16"/>
        <v xml:space="preserve"> * La variable Pueblos originarios no puede ser mayor al Total.</v>
      </c>
      <c r="CE23" s="2465" t="str">
        <f t="shared" si="17"/>
        <v xml:space="preserve"> * La variable Migrantes no puede ser mayor al Total.</v>
      </c>
      <c r="CF23" s="5831"/>
      <c r="CG23" s="5831"/>
      <c r="CH23" s="5831"/>
      <c r="CI23" s="5831"/>
      <c r="CJ23" s="5831"/>
      <c r="CL23" s="2466">
        <f t="shared" si="18"/>
        <v>1</v>
      </c>
      <c r="CM23" s="2466">
        <f t="shared" si="19"/>
        <v>1</v>
      </c>
      <c r="CN23" s="5831"/>
      <c r="CO23" s="5831"/>
      <c r="CP23" s="5831"/>
    </row>
    <row r="24" spans="1:94" s="170" customFormat="1" ht="15" customHeight="1" x14ac:dyDescent="0.2">
      <c r="A24" s="6304"/>
      <c r="B24" s="2505" t="s">
        <v>24</v>
      </c>
      <c r="C24" s="2515">
        <f>SUM(C21:C23)</f>
        <v>0</v>
      </c>
      <c r="D24" s="2515">
        <f>SUM(D21:D23)</f>
        <v>0</v>
      </c>
      <c r="E24" s="2515">
        <f>SUM(E21:E23)</f>
        <v>0</v>
      </c>
      <c r="F24" s="4358">
        <f>SUM(F21:F23)</f>
        <v>0</v>
      </c>
      <c r="G24" s="4353">
        <f t="shared" ref="G24:M24" si="20">SUM(G21:G23)</f>
        <v>0</v>
      </c>
      <c r="H24" s="4358">
        <f t="shared" si="20"/>
        <v>0</v>
      </c>
      <c r="I24" s="4362">
        <f t="shared" si="20"/>
        <v>0</v>
      </c>
      <c r="J24" s="2516">
        <f t="shared" si="20"/>
        <v>0</v>
      </c>
      <c r="K24" s="2515">
        <f t="shared" si="20"/>
        <v>0</v>
      </c>
      <c r="L24" s="2515">
        <f t="shared" si="20"/>
        <v>0</v>
      </c>
      <c r="M24" s="2515">
        <f t="shared" si="20"/>
        <v>0</v>
      </c>
    </row>
    <row r="25" spans="1:94" s="1116" customFormat="1" ht="18" customHeight="1" x14ac:dyDescent="0.2">
      <c r="B25" s="8548" t="s">
        <v>1324</v>
      </c>
      <c r="C25" s="8522"/>
      <c r="D25" s="8522"/>
      <c r="E25" s="8522"/>
      <c r="F25" s="8522"/>
      <c r="G25" s="8522"/>
      <c r="H25" s="8522"/>
      <c r="I25" s="8522"/>
      <c r="J25" s="8522"/>
      <c r="K25" s="8522"/>
      <c r="L25" s="8522"/>
      <c r="M25" s="8522"/>
    </row>
    <row r="26" spans="1:94" s="170" customFormat="1" ht="15" customHeight="1" x14ac:dyDescent="0.2">
      <c r="B26" s="8536"/>
      <c r="C26" s="8536" t="s">
        <v>24</v>
      </c>
      <c r="D26" s="8109" t="s">
        <v>12</v>
      </c>
      <c r="E26" s="8110"/>
      <c r="F26" s="8110"/>
      <c r="G26" s="8110"/>
      <c r="H26" s="8110"/>
      <c r="I26" s="8110"/>
      <c r="J26" s="8110"/>
      <c r="K26" s="8110"/>
      <c r="L26" s="8110"/>
      <c r="M26" s="8110"/>
      <c r="N26" s="8110"/>
      <c r="O26" s="8110"/>
      <c r="P26" s="8110"/>
      <c r="Q26" s="8110"/>
      <c r="R26" s="8110"/>
      <c r="S26" s="8110"/>
      <c r="T26" s="8549"/>
      <c r="U26" s="8531" t="s">
        <v>523</v>
      </c>
      <c r="V26" s="8534"/>
      <c r="W26" s="7825" t="s">
        <v>2</v>
      </c>
      <c r="X26" s="8122" t="s">
        <v>3</v>
      </c>
    </row>
    <row r="27" spans="1:94" s="170" customFormat="1" ht="15" customHeight="1" x14ac:dyDescent="0.2">
      <c r="B27" s="8538"/>
      <c r="C27" s="8538"/>
      <c r="D27" s="1266" t="s">
        <v>36</v>
      </c>
      <c r="E27" s="1408" t="s">
        <v>37</v>
      </c>
      <c r="F27" s="1268" t="s">
        <v>1316</v>
      </c>
      <c r="G27" s="1408" t="s">
        <v>4</v>
      </c>
      <c r="H27" s="1166" t="s">
        <v>5</v>
      </c>
      <c r="I27" s="1166" t="s">
        <v>6</v>
      </c>
      <c r="J27" s="1166" t="s">
        <v>7</v>
      </c>
      <c r="K27" s="1166" t="s">
        <v>8</v>
      </c>
      <c r="L27" s="1166" t="s">
        <v>9</v>
      </c>
      <c r="M27" s="1166" t="s">
        <v>10</v>
      </c>
      <c r="N27" s="1166" t="s">
        <v>11</v>
      </c>
      <c r="O27" s="1166" t="s">
        <v>18</v>
      </c>
      <c r="P27" s="1166" t="s">
        <v>19</v>
      </c>
      <c r="Q27" s="1166" t="s">
        <v>20</v>
      </c>
      <c r="R27" s="1166" t="s">
        <v>70</v>
      </c>
      <c r="S27" s="1166" t="s">
        <v>71</v>
      </c>
      <c r="T27" s="1342" t="s">
        <v>32</v>
      </c>
      <c r="U27" s="1538" t="s">
        <v>22</v>
      </c>
      <c r="V27" s="2504" t="s">
        <v>27</v>
      </c>
      <c r="W27" s="7825"/>
      <c r="X27" s="8122"/>
    </row>
    <row r="28" spans="1:94" s="170" customFormat="1" ht="15" customHeight="1" x14ac:dyDescent="0.2">
      <c r="A28" s="6240">
        <v>32100160</v>
      </c>
      <c r="B28" s="1516" t="s">
        <v>1325</v>
      </c>
      <c r="C28" s="1517" t="s">
        <v>5292</v>
      </c>
      <c r="D28" s="1235" t="s">
        <v>5293</v>
      </c>
      <c r="E28" s="1518" t="s">
        <v>5294</v>
      </c>
      <c r="F28" s="1518" t="s">
        <v>5295</v>
      </c>
      <c r="G28" s="1518" t="s">
        <v>5296</v>
      </c>
      <c r="H28" s="1518" t="s">
        <v>5297</v>
      </c>
      <c r="I28" s="1518" t="s">
        <v>5298</v>
      </c>
      <c r="J28" s="1518" t="s">
        <v>5299</v>
      </c>
      <c r="K28" s="1518" t="s">
        <v>5300</v>
      </c>
      <c r="L28" s="1518" t="s">
        <v>5301</v>
      </c>
      <c r="M28" s="1518" t="s">
        <v>5302</v>
      </c>
      <c r="N28" s="1518" t="s">
        <v>5303</v>
      </c>
      <c r="O28" s="1518" t="s">
        <v>5304</v>
      </c>
      <c r="P28" s="1518" t="s">
        <v>5305</v>
      </c>
      <c r="Q28" s="1518" t="s">
        <v>5306</v>
      </c>
      <c r="R28" s="1518" t="s">
        <v>5307</v>
      </c>
      <c r="S28" s="1518" t="s">
        <v>5308</v>
      </c>
      <c r="T28" s="1239" t="s">
        <v>5309</v>
      </c>
      <c r="U28" s="1519" t="s">
        <v>5310</v>
      </c>
      <c r="V28" s="1520" t="s">
        <v>5311</v>
      </c>
      <c r="W28" s="1236" t="s">
        <v>5312</v>
      </c>
      <c r="X28" s="1519" t="s">
        <v>5313</v>
      </c>
      <c r="Y28" s="170" t="e">
        <f>CD28&amp;CE28&amp;CF28&amp;CG28</f>
        <v>#VALUE!</v>
      </c>
      <c r="CD28" s="2465" t="e">
        <f>IF((U28+V28)&lt;&gt;C28,"  * El desglose por Sexo (Hombres/Mujeres) debe ser igual al Total.","")</f>
        <v>#VALUE!</v>
      </c>
      <c r="CE28" s="2465" t="str">
        <f>IF(AND(C28&gt;0,W28=""),"No olvide digitar pueblos originarios. Digite cero si no tiene.",IF(W28&gt;C28," * La variable Pueblos originarios no puede ser mayor al Total.",""))</f>
        <v xml:space="preserve"> * La variable Pueblos originarios no puede ser mayor al Total.</v>
      </c>
      <c r="CF28" s="2465" t="str">
        <f>IF(AND(C28&gt;0,X28=""),"No olvide digitar Migrantes. Digite cero si no tiene.",IF(X28&gt;C28," * La variable Migrantes no puede ser mayor al Total.",""))</f>
        <v xml:space="preserve"> * La variable Migrantes no puede ser mayor al Total.</v>
      </c>
      <c r="CG28" s="2465"/>
      <c r="CH28" s="2465"/>
      <c r="CI28" s="2465"/>
      <c r="CJ28" s="2465"/>
      <c r="CL28" s="2466" t="e">
        <f>IF((U28+V28)&lt;&gt;C28,1,0)</f>
        <v>#VALUE!</v>
      </c>
      <c r="CM28" s="2466">
        <f>IF(AND(C28&gt;0,W28=""),1,IF(W28&gt;C28,1,0))</f>
        <v>1</v>
      </c>
      <c r="CN28" s="2466">
        <f>IF(AND(C28&gt;0,X28=""),1,IF(X28&gt;C28,1,0))</f>
        <v>1</v>
      </c>
      <c r="CO28" s="2466"/>
      <c r="CP28" s="2466"/>
    </row>
    <row r="29" spans="1:94" s="1116" customFormat="1" ht="18" customHeight="1" x14ac:dyDescent="0.2">
      <c r="A29" s="6305"/>
      <c r="B29" s="8515" t="s">
        <v>1326</v>
      </c>
      <c r="C29" s="8515"/>
      <c r="D29" s="8515"/>
      <c r="E29" s="8515"/>
      <c r="F29" s="8515"/>
      <c r="G29" s="8515"/>
      <c r="H29" s="8515"/>
      <c r="I29" s="8515"/>
      <c r="J29" s="8515"/>
      <c r="K29" s="8515"/>
      <c r="L29" s="8515"/>
      <c r="M29" s="8515"/>
    </row>
    <row r="30" spans="1:94" s="1116" customFormat="1" ht="18" customHeight="1" x14ac:dyDescent="0.2">
      <c r="A30" s="6305"/>
      <c r="B30" s="8515" t="s">
        <v>1327</v>
      </c>
      <c r="C30" s="8515"/>
      <c r="D30" s="8515"/>
      <c r="E30" s="8515"/>
      <c r="F30" s="8515"/>
      <c r="G30" s="8515"/>
      <c r="H30" s="8515"/>
      <c r="I30" s="8515"/>
      <c r="J30" s="8515"/>
      <c r="K30" s="8515"/>
      <c r="L30" s="8515"/>
      <c r="M30" s="8515"/>
    </row>
    <row r="31" spans="1:94" s="170" customFormat="1" ht="15" customHeight="1" x14ac:dyDescent="0.2">
      <c r="A31" s="6305"/>
      <c r="B31" s="6340" t="s">
        <v>1328</v>
      </c>
      <c r="C31" s="8536" t="s">
        <v>24</v>
      </c>
      <c r="D31" s="8539" t="s">
        <v>1329</v>
      </c>
      <c r="E31" s="8540"/>
      <c r="F31" s="8540"/>
      <c r="G31" s="8540"/>
      <c r="H31" s="8540"/>
      <c r="I31" s="8540"/>
      <c r="J31" s="8540"/>
      <c r="K31" s="8540"/>
      <c r="L31" s="8540"/>
      <c r="M31" s="8540"/>
      <c r="N31" s="8540"/>
      <c r="O31" s="8540"/>
      <c r="P31" s="8540"/>
      <c r="Q31" s="8540"/>
      <c r="R31" s="8540"/>
      <c r="S31" s="8540"/>
      <c r="T31" s="8540"/>
      <c r="U31" s="8540"/>
      <c r="V31" s="8541"/>
      <c r="W31" s="8114" t="s">
        <v>1330</v>
      </c>
      <c r="X31" s="8542"/>
      <c r="Y31" s="7770" t="s">
        <v>1331</v>
      </c>
      <c r="Z31" s="7820"/>
      <c r="AA31" s="7819" t="s">
        <v>1332</v>
      </c>
      <c r="AB31" s="7802"/>
      <c r="AC31" s="7802"/>
      <c r="AD31" s="7802"/>
      <c r="AE31" s="7802"/>
      <c r="AF31" s="7802"/>
      <c r="AG31" s="7802"/>
      <c r="AH31" s="7802"/>
      <c r="AI31" s="7802"/>
      <c r="AJ31" s="7825"/>
      <c r="AK31" s="8532" t="s">
        <v>1333</v>
      </c>
      <c r="AL31" s="6891"/>
      <c r="AM31" s="7820"/>
      <c r="AN31" s="7671" t="s">
        <v>1334</v>
      </c>
      <c r="AO31" s="7820" t="s">
        <v>1335</v>
      </c>
      <c r="AP31" s="7671" t="s">
        <v>2</v>
      </c>
      <c r="AQ31" s="7820" t="s">
        <v>3</v>
      </c>
      <c r="AR31" s="7820" t="s">
        <v>1336</v>
      </c>
    </row>
    <row r="32" spans="1:94" s="170" customFormat="1" ht="15" customHeight="1" x14ac:dyDescent="0.2">
      <c r="A32" s="6305"/>
      <c r="B32" s="6693"/>
      <c r="C32" s="8537"/>
      <c r="D32" s="8529" t="s">
        <v>12</v>
      </c>
      <c r="E32" s="8529"/>
      <c r="F32" s="8529"/>
      <c r="G32" s="8529"/>
      <c r="H32" s="8529"/>
      <c r="I32" s="8529"/>
      <c r="J32" s="8529"/>
      <c r="K32" s="8529"/>
      <c r="L32" s="8529"/>
      <c r="M32" s="8529"/>
      <c r="N32" s="8529"/>
      <c r="O32" s="8529"/>
      <c r="P32" s="8529"/>
      <c r="Q32" s="8529"/>
      <c r="R32" s="8529"/>
      <c r="S32" s="8529"/>
      <c r="T32" s="8529"/>
      <c r="U32" s="8530" t="s">
        <v>523</v>
      </c>
      <c r="V32" s="8531"/>
      <c r="W32" s="8543"/>
      <c r="X32" s="8544"/>
      <c r="Y32" s="8509"/>
      <c r="Z32" s="7821"/>
      <c r="AA32" s="7756" t="s">
        <v>218</v>
      </c>
      <c r="AB32" s="7771"/>
      <c r="AC32" s="7771"/>
      <c r="AD32" s="7771"/>
      <c r="AE32" s="7757"/>
      <c r="AF32" s="7756" t="s">
        <v>219</v>
      </c>
      <c r="AG32" s="7771"/>
      <c r="AH32" s="7771"/>
      <c r="AI32" s="7771"/>
      <c r="AJ32" s="7757"/>
      <c r="AK32" s="8533"/>
      <c r="AL32" s="6892"/>
      <c r="AM32" s="6831"/>
      <c r="AN32" s="7817"/>
      <c r="AO32" s="6831"/>
      <c r="AP32" s="7817"/>
      <c r="AQ32" s="6831"/>
      <c r="AR32" s="6831"/>
    </row>
    <row r="33" spans="1:94" s="170" customFormat="1" ht="138.75" customHeight="1" x14ac:dyDescent="0.2">
      <c r="A33" s="6305"/>
      <c r="B33" s="8535"/>
      <c r="C33" s="8538"/>
      <c r="D33" s="1266" t="s">
        <v>36</v>
      </c>
      <c r="E33" s="1408" t="s">
        <v>37</v>
      </c>
      <c r="F33" s="1268" t="s">
        <v>1316</v>
      </c>
      <c r="G33" s="1408" t="s">
        <v>4</v>
      </c>
      <c r="H33" s="1166" t="s">
        <v>5</v>
      </c>
      <c r="I33" s="1166" t="s">
        <v>6</v>
      </c>
      <c r="J33" s="1166" t="s">
        <v>7</v>
      </c>
      <c r="K33" s="1166" t="s">
        <v>8</v>
      </c>
      <c r="L33" s="1166" t="s">
        <v>9</v>
      </c>
      <c r="M33" s="1166" t="s">
        <v>10</v>
      </c>
      <c r="N33" s="1166" t="s">
        <v>11</v>
      </c>
      <c r="O33" s="1166" t="s">
        <v>18</v>
      </c>
      <c r="P33" s="1166" t="s">
        <v>19</v>
      </c>
      <c r="Q33" s="1166" t="s">
        <v>20</v>
      </c>
      <c r="R33" s="1166" t="s">
        <v>70</v>
      </c>
      <c r="S33" s="1166" t="s">
        <v>71</v>
      </c>
      <c r="T33" s="1342" t="s">
        <v>32</v>
      </c>
      <c r="U33" s="2517" t="s">
        <v>22</v>
      </c>
      <c r="V33" s="2485" t="s">
        <v>27</v>
      </c>
      <c r="W33" s="1266" t="s">
        <v>1337</v>
      </c>
      <c r="X33" s="1267" t="s">
        <v>243</v>
      </c>
      <c r="Y33" s="1266" t="s">
        <v>222</v>
      </c>
      <c r="Z33" s="1447" t="s">
        <v>223</v>
      </c>
      <c r="AA33" s="2458" t="s">
        <v>24</v>
      </c>
      <c r="AB33" s="1165" t="s">
        <v>220</v>
      </c>
      <c r="AC33" s="1408" t="s">
        <v>1338</v>
      </c>
      <c r="AD33" s="1408" t="s">
        <v>221</v>
      </c>
      <c r="AE33" s="1267" t="s">
        <v>1339</v>
      </c>
      <c r="AF33" s="2518" t="s">
        <v>50</v>
      </c>
      <c r="AG33" s="1165" t="s">
        <v>220</v>
      </c>
      <c r="AH33" s="1408" t="s">
        <v>1338</v>
      </c>
      <c r="AI33" s="1408" t="s">
        <v>221</v>
      </c>
      <c r="AJ33" s="1267" t="s">
        <v>1339</v>
      </c>
      <c r="AK33" s="2478" t="s">
        <v>1340</v>
      </c>
      <c r="AL33" s="1406" t="s">
        <v>1341</v>
      </c>
      <c r="AM33" s="1406" t="s">
        <v>1342</v>
      </c>
      <c r="AN33" s="8498"/>
      <c r="AO33" s="7821"/>
      <c r="AP33" s="8498"/>
      <c r="AQ33" s="7821"/>
      <c r="AR33" s="7821"/>
    </row>
    <row r="34" spans="1:94" s="170" customFormat="1" ht="15" customHeight="1" x14ac:dyDescent="0.2">
      <c r="A34" s="6234">
        <v>32101535</v>
      </c>
      <c r="B34" s="1521" t="s">
        <v>224</v>
      </c>
      <c r="C34" s="1457" t="s">
        <v>5292</v>
      </c>
      <c r="D34" s="1245" t="s">
        <v>5293</v>
      </c>
      <c r="E34" s="1422" t="s">
        <v>5294</v>
      </c>
      <c r="F34" s="1422" t="s">
        <v>5295</v>
      </c>
      <c r="G34" s="1422" t="s">
        <v>5296</v>
      </c>
      <c r="H34" s="1522" t="s">
        <v>5297</v>
      </c>
      <c r="I34" s="1522" t="s">
        <v>5298</v>
      </c>
      <c r="J34" s="1522" t="s">
        <v>5299</v>
      </c>
      <c r="K34" s="1522" t="s">
        <v>5300</v>
      </c>
      <c r="L34" s="1522" t="s">
        <v>5301</v>
      </c>
      <c r="M34" s="1522" t="s">
        <v>5302</v>
      </c>
      <c r="N34" s="1522" t="s">
        <v>5303</v>
      </c>
      <c r="O34" s="1522" t="s">
        <v>5304</v>
      </c>
      <c r="P34" s="1522" t="s">
        <v>5305</v>
      </c>
      <c r="Q34" s="1522" t="s">
        <v>5306</v>
      </c>
      <c r="R34" s="1522" t="s">
        <v>5307</v>
      </c>
      <c r="S34" s="1522" t="s">
        <v>5308</v>
      </c>
      <c r="T34" s="1523" t="s">
        <v>5309</v>
      </c>
      <c r="U34" s="1524" t="s">
        <v>5310</v>
      </c>
      <c r="V34" s="1525" t="s">
        <v>5311</v>
      </c>
      <c r="W34" s="1524" t="s">
        <v>5312</v>
      </c>
      <c r="X34" s="1525" t="s">
        <v>5313</v>
      </c>
      <c r="Y34" s="1524" t="s">
        <v>5314</v>
      </c>
      <c r="Z34" s="1525" t="s">
        <v>5315</v>
      </c>
      <c r="AA34" s="1253" t="s">
        <v>5316</v>
      </c>
      <c r="AB34" s="1524" t="s">
        <v>5317</v>
      </c>
      <c r="AC34" s="1526" t="s">
        <v>5318</v>
      </c>
      <c r="AD34" s="1526" t="s">
        <v>5319</v>
      </c>
      <c r="AE34" s="1525" t="s">
        <v>5320</v>
      </c>
      <c r="AF34" s="1253" t="s">
        <v>5321</v>
      </c>
      <c r="AG34" s="1524" t="s">
        <v>5322</v>
      </c>
      <c r="AH34" s="1526" t="s">
        <v>5323</v>
      </c>
      <c r="AI34" s="1526" t="s">
        <v>5324</v>
      </c>
      <c r="AJ34" s="1527" t="s">
        <v>5325</v>
      </c>
      <c r="AK34" s="8" t="s">
        <v>5326</v>
      </c>
      <c r="AL34" s="8" t="s">
        <v>5327</v>
      </c>
      <c r="AM34" s="8" t="s">
        <v>5328</v>
      </c>
      <c r="AN34" s="8" t="s">
        <v>5329</v>
      </c>
      <c r="AO34" s="8" t="s">
        <v>5330</v>
      </c>
      <c r="AP34" s="8" t="s">
        <v>5331</v>
      </c>
      <c r="AQ34" s="8" t="s">
        <v>5332</v>
      </c>
      <c r="AR34" s="8" t="s">
        <v>5333</v>
      </c>
      <c r="AS34" s="170" t="e">
        <f>CD34&amp;CE34&amp;CF34&amp;CG34&amp;CH34&amp;CI34&amp;CJ34</f>
        <v>#VALUE!</v>
      </c>
      <c r="CD34" s="2465" t="e">
        <f>IF((U34+V34)&lt;&gt;C34,"* El número de atenciones remotas según sexo debe ser igual al Total de atenciones remotas por rango etario.","")</f>
        <v>#VALUE!</v>
      </c>
      <c r="CE34" s="2465" t="e">
        <f>IF((AF34+AA34)&gt;C34," * El Total de Teleconsultas nuevas No debe ser mayor que el Total de Atenciones remotas","")</f>
        <v>#VALUE!</v>
      </c>
      <c r="CF34" s="2465" t="str">
        <f>IF(AND(C34&gt;0,AP34="")," * No olvide digitar la variable Pueblos originarios. Digite cero si no tiene.",IF(AP34&gt;C34," * La variable Pueblos originarios No puede ser mayor al Total.",""))</f>
        <v xml:space="preserve"> * La variable Pueblos originarios No puede ser mayor al Total.</v>
      </c>
      <c r="CG34" s="2465" t="str">
        <f>IF(AND(C34&gt;0,AQ34="")," * No olvide digitar la variable Migrantes. Digite cero si no tiene.",IF(AQ34&gt;C34," * La variable Migrantes No puede ser mayor al Total.",""))</f>
        <v xml:space="preserve"> * La variable Migrantes No puede ser mayor al Total.</v>
      </c>
      <c r="CH34" s="2465"/>
      <c r="CI34" s="2465"/>
      <c r="CJ34" s="2465"/>
      <c r="CL34" s="2466" t="e">
        <f>IF((U34+V34)&lt;&gt;C34,1,0)</f>
        <v>#VALUE!</v>
      </c>
      <c r="CM34" s="2466" t="e">
        <f>IF((AF34+AA34)&gt;C34,1,0)</f>
        <v>#VALUE!</v>
      </c>
      <c r="CN34" s="2466">
        <f>IF(AND(C34&gt;0,AP34=""),1,IF(AP34&gt;C34,1,0))</f>
        <v>1</v>
      </c>
      <c r="CO34" s="2466">
        <f>IF(AND(C34&gt;0,AQ34=""),1,IF(AQ34&gt;C34,1,0))</f>
        <v>1</v>
      </c>
      <c r="CP34" s="2466"/>
    </row>
    <row r="35" spans="1:94" s="170" customFormat="1" ht="15" customHeight="1" x14ac:dyDescent="0.2">
      <c r="A35" s="6234">
        <v>32100180</v>
      </c>
      <c r="B35" s="1253" t="s">
        <v>952</v>
      </c>
      <c r="C35" s="1457" t="s">
        <v>5292</v>
      </c>
      <c r="D35" s="1095" t="s">
        <v>5293</v>
      </c>
      <c r="E35" s="1426" t="s">
        <v>5294</v>
      </c>
      <c r="F35" s="1426" t="s">
        <v>5295</v>
      </c>
      <c r="G35" s="1426" t="s">
        <v>5296</v>
      </c>
      <c r="H35" s="1426" t="s">
        <v>5297</v>
      </c>
      <c r="I35" s="1426" t="s">
        <v>5298</v>
      </c>
      <c r="J35" s="1426" t="s">
        <v>5299</v>
      </c>
      <c r="K35" s="1426" t="s">
        <v>5300</v>
      </c>
      <c r="L35" s="1426" t="s">
        <v>5301</v>
      </c>
      <c r="M35" s="1426" t="s">
        <v>5302</v>
      </c>
      <c r="N35" s="1426" t="s">
        <v>5303</v>
      </c>
      <c r="O35" s="1426" t="s">
        <v>5304</v>
      </c>
      <c r="P35" s="1426" t="s">
        <v>5305</v>
      </c>
      <c r="Q35" s="1426" t="s">
        <v>5306</v>
      </c>
      <c r="R35" s="1426" t="s">
        <v>5307</v>
      </c>
      <c r="S35" s="1426" t="s">
        <v>5308</v>
      </c>
      <c r="T35" s="1099" t="s">
        <v>5309</v>
      </c>
      <c r="U35" s="1271" t="s">
        <v>5310</v>
      </c>
      <c r="V35" s="1273" t="s">
        <v>5311</v>
      </c>
      <c r="W35" s="1271" t="s">
        <v>5312</v>
      </c>
      <c r="X35" s="1273" t="s">
        <v>5313</v>
      </c>
      <c r="Y35" s="1271" t="s">
        <v>5314</v>
      </c>
      <c r="Z35" s="1273" t="s">
        <v>5315</v>
      </c>
      <c r="AA35" s="1253" t="s">
        <v>5316</v>
      </c>
      <c r="AB35" s="1271" t="s">
        <v>5317</v>
      </c>
      <c r="AC35" s="1437" t="s">
        <v>5318</v>
      </c>
      <c r="AD35" s="1437" t="s">
        <v>5319</v>
      </c>
      <c r="AE35" s="1273" t="s">
        <v>5320</v>
      </c>
      <c r="AF35" s="1253" t="s">
        <v>5321</v>
      </c>
      <c r="AG35" s="1271" t="s">
        <v>5322</v>
      </c>
      <c r="AH35" s="1437" t="s">
        <v>5323</v>
      </c>
      <c r="AI35" s="1437" t="s">
        <v>5324</v>
      </c>
      <c r="AJ35" s="1275" t="s">
        <v>5325</v>
      </c>
      <c r="AK35" s="8" t="s">
        <v>5326</v>
      </c>
      <c r="AL35" s="8" t="s">
        <v>5327</v>
      </c>
      <c r="AM35" s="8" t="s">
        <v>5328</v>
      </c>
      <c r="AN35" s="8" t="s">
        <v>5329</v>
      </c>
      <c r="AO35" s="8" t="s">
        <v>5330</v>
      </c>
      <c r="AP35" s="8" t="s">
        <v>5331</v>
      </c>
      <c r="AQ35" s="8" t="s">
        <v>5332</v>
      </c>
      <c r="AR35" s="8" t="s">
        <v>5333</v>
      </c>
      <c r="AS35" s="170" t="e">
        <f t="shared" ref="AS35:AS93" si="21">CD35&amp;CE35&amp;CF35&amp;CG35&amp;CH35&amp;CI35&amp;CJ35</f>
        <v>#VALUE!</v>
      </c>
      <c r="CD35" s="2465" t="e">
        <f t="shared" ref="CD35:CD93" si="22">IF((U35+V35)&lt;&gt;C35,"* El número de atenciones remotas según sexo debe ser igual al Total de atenciones remotas por rango etario.","")</f>
        <v>#VALUE!</v>
      </c>
      <c r="CE35" s="2465" t="e">
        <f t="shared" ref="CE35:CE93" si="23">IF((AF35+AA35)&gt;C35," * El Total de Teleconsultas nuevas No debe ser mayor que el Total de Atenciones remotas","")</f>
        <v>#VALUE!</v>
      </c>
      <c r="CF35" s="2465" t="str">
        <f t="shared" ref="CF35:CF93" si="24">IF(AND(C35&gt;0,AP35="")," * No olvide digitar la variable Pueblos originarios. Digite cero si no tiene.",IF(AP35&gt;C35," * La variable Pueblos originarios No puede ser mayor al Total.",""))</f>
        <v xml:space="preserve"> * La variable Pueblos originarios No puede ser mayor al Total.</v>
      </c>
      <c r="CG35" s="2465" t="str">
        <f t="shared" ref="CG35:CG93" si="25">IF(AND(C35&gt;0,AQ35="")," * No olvide digitar la variable Migrantes. Digite cero si no tiene.",IF(AQ35&gt;C35," * La variable Migrantes No puede ser mayor al Total.",""))</f>
        <v xml:space="preserve"> * La variable Migrantes No puede ser mayor al Total.</v>
      </c>
      <c r="CH35" s="2465"/>
      <c r="CI35" s="2465"/>
      <c r="CJ35" s="2465"/>
      <c r="CL35" s="2466" t="e">
        <f t="shared" ref="CL35:CL93" si="26">IF((U35+V35)&lt;&gt;C35,1,0)</f>
        <v>#VALUE!</v>
      </c>
      <c r="CM35" s="2466" t="e">
        <f t="shared" ref="CM35:CM93" si="27">IF((AF35+AA35)&gt;C35,1,0)</f>
        <v>#VALUE!</v>
      </c>
      <c r="CN35" s="2466">
        <f t="shared" ref="CN35:CN93" si="28">IF(AND(C35&gt;0,AP35=""),1,IF(AP35&gt;C35,1,0))</f>
        <v>1</v>
      </c>
      <c r="CO35" s="2466">
        <f t="shared" ref="CO35:CO93" si="29">IF(AND(C35&gt;0,AQ35=""),1,IF(AQ35&gt;C35,1,0))</f>
        <v>1</v>
      </c>
      <c r="CP35" s="2466"/>
    </row>
    <row r="36" spans="1:94" s="170" customFormat="1" ht="15" customHeight="1" x14ac:dyDescent="0.2">
      <c r="A36" s="6234">
        <v>32101536</v>
      </c>
      <c r="B36" s="1253" t="s">
        <v>226</v>
      </c>
      <c r="C36" s="1457" t="s">
        <v>5292</v>
      </c>
      <c r="D36" s="1095" t="s">
        <v>5293</v>
      </c>
      <c r="E36" s="1528" t="s">
        <v>5294</v>
      </c>
      <c r="F36" s="1528" t="s">
        <v>5295</v>
      </c>
      <c r="G36" s="1528" t="s">
        <v>5296</v>
      </c>
      <c r="H36" s="1528" t="s">
        <v>5297</v>
      </c>
      <c r="I36" s="1528" t="s">
        <v>5298</v>
      </c>
      <c r="J36" s="1528" t="s">
        <v>5299</v>
      </c>
      <c r="K36" s="1528" t="s">
        <v>5300</v>
      </c>
      <c r="L36" s="1528" t="s">
        <v>5301</v>
      </c>
      <c r="M36" s="1528" t="s">
        <v>5302</v>
      </c>
      <c r="N36" s="1528" t="s">
        <v>5303</v>
      </c>
      <c r="O36" s="1528" t="s">
        <v>5304</v>
      </c>
      <c r="P36" s="1528" t="s">
        <v>5305</v>
      </c>
      <c r="Q36" s="1528" t="s">
        <v>5306</v>
      </c>
      <c r="R36" s="1528" t="s">
        <v>5307</v>
      </c>
      <c r="S36" s="1528" t="s">
        <v>5308</v>
      </c>
      <c r="T36" s="1529" t="s">
        <v>5309</v>
      </c>
      <c r="U36" s="1271" t="s">
        <v>5310</v>
      </c>
      <c r="V36" s="1273" t="s">
        <v>5311</v>
      </c>
      <c r="W36" s="1271" t="s">
        <v>5312</v>
      </c>
      <c r="X36" s="1273" t="s">
        <v>5313</v>
      </c>
      <c r="Y36" s="1271" t="s">
        <v>5314</v>
      </c>
      <c r="Z36" s="1273" t="s">
        <v>5315</v>
      </c>
      <c r="AA36" s="1253" t="s">
        <v>5316</v>
      </c>
      <c r="AB36" s="1271" t="s">
        <v>5317</v>
      </c>
      <c r="AC36" s="1437" t="s">
        <v>5318</v>
      </c>
      <c r="AD36" s="1437" t="s">
        <v>5319</v>
      </c>
      <c r="AE36" s="1273" t="s">
        <v>5320</v>
      </c>
      <c r="AF36" s="1253" t="s">
        <v>5321</v>
      </c>
      <c r="AG36" s="1271" t="s">
        <v>5322</v>
      </c>
      <c r="AH36" s="1437" t="s">
        <v>5323</v>
      </c>
      <c r="AI36" s="1437" t="s">
        <v>5324</v>
      </c>
      <c r="AJ36" s="1275" t="s">
        <v>5325</v>
      </c>
      <c r="AK36" s="8" t="s">
        <v>5326</v>
      </c>
      <c r="AL36" s="8" t="s">
        <v>5327</v>
      </c>
      <c r="AM36" s="8" t="s">
        <v>5328</v>
      </c>
      <c r="AN36" s="8" t="s">
        <v>5329</v>
      </c>
      <c r="AO36" s="8" t="s">
        <v>5330</v>
      </c>
      <c r="AP36" s="8" t="s">
        <v>5331</v>
      </c>
      <c r="AQ36" s="8" t="s">
        <v>5332</v>
      </c>
      <c r="AR36" s="8" t="s">
        <v>5333</v>
      </c>
      <c r="AS36" s="170" t="e">
        <f t="shared" si="21"/>
        <v>#VALUE!</v>
      </c>
      <c r="CD36" s="2465" t="e">
        <f t="shared" si="22"/>
        <v>#VALUE!</v>
      </c>
      <c r="CE36" s="2465" t="e">
        <f t="shared" si="23"/>
        <v>#VALUE!</v>
      </c>
      <c r="CF36" s="2465" t="str">
        <f t="shared" si="24"/>
        <v xml:space="preserve"> * La variable Pueblos originarios No puede ser mayor al Total.</v>
      </c>
      <c r="CG36" s="2465" t="str">
        <f t="shared" si="25"/>
        <v xml:space="preserve"> * La variable Migrantes No puede ser mayor al Total.</v>
      </c>
      <c r="CH36" s="2465"/>
      <c r="CI36" s="2465"/>
      <c r="CJ36" s="2465"/>
      <c r="CL36" s="2466" t="e">
        <f t="shared" si="26"/>
        <v>#VALUE!</v>
      </c>
      <c r="CM36" s="2466" t="e">
        <f t="shared" si="27"/>
        <v>#VALUE!</v>
      </c>
      <c r="CN36" s="2466">
        <f t="shared" si="28"/>
        <v>1</v>
      </c>
      <c r="CO36" s="2466">
        <f t="shared" si="29"/>
        <v>1</v>
      </c>
      <c r="CP36" s="2466"/>
    </row>
    <row r="37" spans="1:94" s="170" customFormat="1" ht="15" customHeight="1" x14ac:dyDescent="0.2">
      <c r="A37" s="6234">
        <v>32101537</v>
      </c>
      <c r="B37" s="1253" t="s">
        <v>1343</v>
      </c>
      <c r="C37" s="1457" t="s">
        <v>5292</v>
      </c>
      <c r="D37" s="1095" t="s">
        <v>5293</v>
      </c>
      <c r="E37" s="1426" t="s">
        <v>5294</v>
      </c>
      <c r="F37" s="1426" t="s">
        <v>5295</v>
      </c>
      <c r="G37" s="1426" t="s">
        <v>5296</v>
      </c>
      <c r="H37" s="1426" t="s">
        <v>5297</v>
      </c>
      <c r="I37" s="1426" t="s">
        <v>5298</v>
      </c>
      <c r="J37" s="1426" t="s">
        <v>5299</v>
      </c>
      <c r="K37" s="1426" t="s">
        <v>5300</v>
      </c>
      <c r="L37" s="1426" t="s">
        <v>5301</v>
      </c>
      <c r="M37" s="1426" t="s">
        <v>5302</v>
      </c>
      <c r="N37" s="1426" t="s">
        <v>5303</v>
      </c>
      <c r="O37" s="1426" t="s">
        <v>5304</v>
      </c>
      <c r="P37" s="1426" t="s">
        <v>5305</v>
      </c>
      <c r="Q37" s="1426" t="s">
        <v>5306</v>
      </c>
      <c r="R37" s="1426" t="s">
        <v>5307</v>
      </c>
      <c r="S37" s="1426" t="s">
        <v>5308</v>
      </c>
      <c r="T37" s="1099" t="s">
        <v>5309</v>
      </c>
      <c r="U37" s="1271" t="s">
        <v>5310</v>
      </c>
      <c r="V37" s="1273" t="s">
        <v>5311</v>
      </c>
      <c r="W37" s="1271" t="s">
        <v>5312</v>
      </c>
      <c r="X37" s="1273" t="s">
        <v>5313</v>
      </c>
      <c r="Y37" s="1271" t="s">
        <v>5314</v>
      </c>
      <c r="Z37" s="1273" t="s">
        <v>5315</v>
      </c>
      <c r="AA37" s="1253" t="s">
        <v>5316</v>
      </c>
      <c r="AB37" s="1271" t="s">
        <v>5317</v>
      </c>
      <c r="AC37" s="1437" t="s">
        <v>5318</v>
      </c>
      <c r="AD37" s="1437" t="s">
        <v>5319</v>
      </c>
      <c r="AE37" s="1273" t="s">
        <v>5320</v>
      </c>
      <c r="AF37" s="1253" t="s">
        <v>5321</v>
      </c>
      <c r="AG37" s="1271" t="s">
        <v>5322</v>
      </c>
      <c r="AH37" s="1437" t="s">
        <v>5323</v>
      </c>
      <c r="AI37" s="1437" t="s">
        <v>5324</v>
      </c>
      <c r="AJ37" s="1275" t="s">
        <v>5325</v>
      </c>
      <c r="AK37" s="8" t="s">
        <v>5326</v>
      </c>
      <c r="AL37" s="8" t="s">
        <v>5327</v>
      </c>
      <c r="AM37" s="8" t="s">
        <v>5328</v>
      </c>
      <c r="AN37" s="8" t="s">
        <v>5329</v>
      </c>
      <c r="AO37" s="8" t="s">
        <v>5330</v>
      </c>
      <c r="AP37" s="8" t="s">
        <v>5331</v>
      </c>
      <c r="AQ37" s="8" t="s">
        <v>5332</v>
      </c>
      <c r="AR37" s="8" t="s">
        <v>5333</v>
      </c>
      <c r="AS37" s="170" t="e">
        <f t="shared" si="21"/>
        <v>#VALUE!</v>
      </c>
      <c r="CD37" s="2465" t="e">
        <f t="shared" si="22"/>
        <v>#VALUE!</v>
      </c>
      <c r="CE37" s="2465" t="e">
        <f t="shared" si="23"/>
        <v>#VALUE!</v>
      </c>
      <c r="CF37" s="2465" t="str">
        <f t="shared" si="24"/>
        <v xml:space="preserve"> * La variable Pueblos originarios No puede ser mayor al Total.</v>
      </c>
      <c r="CG37" s="2465" t="str">
        <f t="shared" si="25"/>
        <v xml:space="preserve"> * La variable Migrantes No puede ser mayor al Total.</v>
      </c>
      <c r="CH37" s="2465"/>
      <c r="CI37" s="2465"/>
      <c r="CJ37" s="2465"/>
      <c r="CL37" s="2466" t="e">
        <f t="shared" si="26"/>
        <v>#VALUE!</v>
      </c>
      <c r="CM37" s="2466" t="e">
        <f t="shared" si="27"/>
        <v>#VALUE!</v>
      </c>
      <c r="CN37" s="2466">
        <f t="shared" si="28"/>
        <v>1</v>
      </c>
      <c r="CO37" s="2466">
        <f t="shared" si="29"/>
        <v>1</v>
      </c>
      <c r="CP37" s="2466"/>
    </row>
    <row r="38" spans="1:94" s="170" customFormat="1" ht="15" customHeight="1" x14ac:dyDescent="0.2">
      <c r="A38" s="6234">
        <v>32100200</v>
      </c>
      <c r="B38" s="1253" t="s">
        <v>1344</v>
      </c>
      <c r="C38" s="1457" t="s">
        <v>5292</v>
      </c>
      <c r="D38" s="1095" t="s">
        <v>5293</v>
      </c>
      <c r="E38" s="1426" t="s">
        <v>5294</v>
      </c>
      <c r="F38" s="1426" t="s">
        <v>5295</v>
      </c>
      <c r="G38" s="1426" t="s">
        <v>5296</v>
      </c>
      <c r="H38" s="1426" t="s">
        <v>5297</v>
      </c>
      <c r="I38" s="1426" t="s">
        <v>5298</v>
      </c>
      <c r="J38" s="1426" t="s">
        <v>5299</v>
      </c>
      <c r="K38" s="1426" t="s">
        <v>5300</v>
      </c>
      <c r="L38" s="1426" t="s">
        <v>5301</v>
      </c>
      <c r="M38" s="1426" t="s">
        <v>5302</v>
      </c>
      <c r="N38" s="1426" t="s">
        <v>5303</v>
      </c>
      <c r="O38" s="1426" t="s">
        <v>5304</v>
      </c>
      <c r="P38" s="1426" t="s">
        <v>5305</v>
      </c>
      <c r="Q38" s="1426" t="s">
        <v>5306</v>
      </c>
      <c r="R38" s="1426" t="s">
        <v>5307</v>
      </c>
      <c r="S38" s="1426" t="s">
        <v>5308</v>
      </c>
      <c r="T38" s="1099" t="s">
        <v>5309</v>
      </c>
      <c r="U38" s="1271" t="s">
        <v>5310</v>
      </c>
      <c r="V38" s="1273" t="s">
        <v>5311</v>
      </c>
      <c r="W38" s="1271" t="s">
        <v>5312</v>
      </c>
      <c r="X38" s="1273" t="s">
        <v>5313</v>
      </c>
      <c r="Y38" s="1271" t="s">
        <v>5314</v>
      </c>
      <c r="Z38" s="1273" t="s">
        <v>5315</v>
      </c>
      <c r="AA38" s="1253" t="s">
        <v>5316</v>
      </c>
      <c r="AB38" s="1271" t="s">
        <v>5317</v>
      </c>
      <c r="AC38" s="1437" t="s">
        <v>5318</v>
      </c>
      <c r="AD38" s="1437" t="s">
        <v>5319</v>
      </c>
      <c r="AE38" s="1273" t="s">
        <v>5320</v>
      </c>
      <c r="AF38" s="1253" t="s">
        <v>5321</v>
      </c>
      <c r="AG38" s="1271" t="s">
        <v>5322</v>
      </c>
      <c r="AH38" s="1437" t="s">
        <v>5323</v>
      </c>
      <c r="AI38" s="1437" t="s">
        <v>5324</v>
      </c>
      <c r="AJ38" s="1275" t="s">
        <v>5325</v>
      </c>
      <c r="AK38" s="8" t="s">
        <v>5326</v>
      </c>
      <c r="AL38" s="8" t="s">
        <v>5327</v>
      </c>
      <c r="AM38" s="8" t="s">
        <v>5328</v>
      </c>
      <c r="AN38" s="8" t="s">
        <v>5329</v>
      </c>
      <c r="AO38" s="8" t="s">
        <v>5330</v>
      </c>
      <c r="AP38" s="8" t="s">
        <v>5331</v>
      </c>
      <c r="AQ38" s="8" t="s">
        <v>5332</v>
      </c>
      <c r="AR38" s="8" t="s">
        <v>5333</v>
      </c>
      <c r="AS38" s="170" t="e">
        <f t="shared" si="21"/>
        <v>#VALUE!</v>
      </c>
      <c r="CD38" s="2465" t="e">
        <f t="shared" si="22"/>
        <v>#VALUE!</v>
      </c>
      <c r="CE38" s="2465" t="e">
        <f t="shared" si="23"/>
        <v>#VALUE!</v>
      </c>
      <c r="CF38" s="2465" t="str">
        <f t="shared" si="24"/>
        <v xml:space="preserve"> * La variable Pueblos originarios No puede ser mayor al Total.</v>
      </c>
      <c r="CG38" s="2465" t="str">
        <f t="shared" si="25"/>
        <v xml:space="preserve"> * La variable Migrantes No puede ser mayor al Total.</v>
      </c>
      <c r="CH38" s="2465"/>
      <c r="CI38" s="2465"/>
      <c r="CJ38" s="2465"/>
      <c r="CL38" s="2466" t="e">
        <f t="shared" si="26"/>
        <v>#VALUE!</v>
      </c>
      <c r="CM38" s="2466" t="e">
        <f t="shared" si="27"/>
        <v>#VALUE!</v>
      </c>
      <c r="CN38" s="2466">
        <f t="shared" si="28"/>
        <v>1</v>
      </c>
      <c r="CO38" s="2466">
        <f t="shared" si="29"/>
        <v>1</v>
      </c>
      <c r="CP38" s="2466"/>
    </row>
    <row r="39" spans="1:94" s="170" customFormat="1" ht="15" customHeight="1" x14ac:dyDescent="0.2">
      <c r="A39" s="6234">
        <v>32101538</v>
      </c>
      <c r="B39" s="1253" t="s">
        <v>954</v>
      </c>
      <c r="C39" s="1457" t="s">
        <v>5292</v>
      </c>
      <c r="D39" s="1095" t="s">
        <v>5293</v>
      </c>
      <c r="E39" s="1426" t="s">
        <v>5294</v>
      </c>
      <c r="F39" s="1426" t="s">
        <v>5295</v>
      </c>
      <c r="G39" s="1426" t="s">
        <v>5296</v>
      </c>
      <c r="H39" s="1426" t="s">
        <v>5297</v>
      </c>
      <c r="I39" s="1426" t="s">
        <v>5298</v>
      </c>
      <c r="J39" s="1426" t="s">
        <v>5299</v>
      </c>
      <c r="K39" s="1426" t="s">
        <v>5300</v>
      </c>
      <c r="L39" s="1426" t="s">
        <v>5301</v>
      </c>
      <c r="M39" s="1426" t="s">
        <v>5302</v>
      </c>
      <c r="N39" s="1426" t="s">
        <v>5303</v>
      </c>
      <c r="O39" s="1426" t="s">
        <v>5304</v>
      </c>
      <c r="P39" s="1426" t="s">
        <v>5305</v>
      </c>
      <c r="Q39" s="1426" t="s">
        <v>5306</v>
      </c>
      <c r="R39" s="1426" t="s">
        <v>5307</v>
      </c>
      <c r="S39" s="1426" t="s">
        <v>5308</v>
      </c>
      <c r="T39" s="1099" t="s">
        <v>5309</v>
      </c>
      <c r="U39" s="1271" t="s">
        <v>5310</v>
      </c>
      <c r="V39" s="1273" t="s">
        <v>5311</v>
      </c>
      <c r="W39" s="1271" t="s">
        <v>5312</v>
      </c>
      <c r="X39" s="1273" t="s">
        <v>5313</v>
      </c>
      <c r="Y39" s="1271" t="s">
        <v>5314</v>
      </c>
      <c r="Z39" s="1273" t="s">
        <v>5315</v>
      </c>
      <c r="AA39" s="1253" t="s">
        <v>5316</v>
      </c>
      <c r="AB39" s="1271" t="s">
        <v>5317</v>
      </c>
      <c r="AC39" s="1437" t="s">
        <v>5318</v>
      </c>
      <c r="AD39" s="1437" t="s">
        <v>5319</v>
      </c>
      <c r="AE39" s="1273" t="s">
        <v>5320</v>
      </c>
      <c r="AF39" s="1253" t="s">
        <v>5321</v>
      </c>
      <c r="AG39" s="1271" t="s">
        <v>5322</v>
      </c>
      <c r="AH39" s="1437" t="s">
        <v>5323</v>
      </c>
      <c r="AI39" s="1437" t="s">
        <v>5324</v>
      </c>
      <c r="AJ39" s="1275" t="s">
        <v>5325</v>
      </c>
      <c r="AK39" s="8" t="s">
        <v>5326</v>
      </c>
      <c r="AL39" s="8" t="s">
        <v>5327</v>
      </c>
      <c r="AM39" s="8" t="s">
        <v>5328</v>
      </c>
      <c r="AN39" s="8" t="s">
        <v>5329</v>
      </c>
      <c r="AO39" s="8" t="s">
        <v>5330</v>
      </c>
      <c r="AP39" s="8" t="s">
        <v>5331</v>
      </c>
      <c r="AQ39" s="8" t="s">
        <v>5332</v>
      </c>
      <c r="AR39" s="8" t="s">
        <v>5333</v>
      </c>
      <c r="AS39" s="170" t="e">
        <f t="shared" si="21"/>
        <v>#VALUE!</v>
      </c>
      <c r="CD39" s="2465" t="e">
        <f t="shared" si="22"/>
        <v>#VALUE!</v>
      </c>
      <c r="CE39" s="2465" t="e">
        <f t="shared" si="23"/>
        <v>#VALUE!</v>
      </c>
      <c r="CF39" s="2465" t="str">
        <f t="shared" si="24"/>
        <v xml:space="preserve"> * La variable Pueblos originarios No puede ser mayor al Total.</v>
      </c>
      <c r="CG39" s="2465" t="str">
        <f t="shared" si="25"/>
        <v xml:space="preserve"> * La variable Migrantes No puede ser mayor al Total.</v>
      </c>
      <c r="CH39" s="2465"/>
      <c r="CI39" s="2465"/>
      <c r="CJ39" s="2465"/>
      <c r="CL39" s="2466" t="e">
        <f t="shared" si="26"/>
        <v>#VALUE!</v>
      </c>
      <c r="CM39" s="2466" t="e">
        <f t="shared" si="27"/>
        <v>#VALUE!</v>
      </c>
      <c r="CN39" s="2466">
        <f t="shared" si="28"/>
        <v>1</v>
      </c>
      <c r="CO39" s="2466">
        <f t="shared" si="29"/>
        <v>1</v>
      </c>
      <c r="CP39" s="2466"/>
    </row>
    <row r="40" spans="1:94" s="170" customFormat="1" ht="15" customHeight="1" x14ac:dyDescent="0.2">
      <c r="A40" s="6234">
        <v>32100210</v>
      </c>
      <c r="B40" s="1253" t="s">
        <v>955</v>
      </c>
      <c r="C40" s="1457" t="s">
        <v>5292</v>
      </c>
      <c r="D40" s="1095" t="s">
        <v>5293</v>
      </c>
      <c r="E40" s="1426" t="s">
        <v>5294</v>
      </c>
      <c r="F40" s="1426" t="s">
        <v>5295</v>
      </c>
      <c r="G40" s="1426" t="s">
        <v>5296</v>
      </c>
      <c r="H40" s="1426" t="s">
        <v>5297</v>
      </c>
      <c r="I40" s="1426" t="s">
        <v>5298</v>
      </c>
      <c r="J40" s="1426" t="s">
        <v>5299</v>
      </c>
      <c r="K40" s="1426" t="s">
        <v>5300</v>
      </c>
      <c r="L40" s="1426" t="s">
        <v>5301</v>
      </c>
      <c r="M40" s="1426" t="s">
        <v>5302</v>
      </c>
      <c r="N40" s="1426" t="s">
        <v>5303</v>
      </c>
      <c r="O40" s="1426" t="s">
        <v>5304</v>
      </c>
      <c r="P40" s="1426" t="s">
        <v>5305</v>
      </c>
      <c r="Q40" s="1426" t="s">
        <v>5306</v>
      </c>
      <c r="R40" s="1426" t="s">
        <v>5307</v>
      </c>
      <c r="S40" s="1426" t="s">
        <v>5308</v>
      </c>
      <c r="T40" s="1099" t="s">
        <v>5309</v>
      </c>
      <c r="U40" s="1271" t="s">
        <v>5310</v>
      </c>
      <c r="V40" s="1273" t="s">
        <v>5311</v>
      </c>
      <c r="W40" s="1271" t="s">
        <v>5312</v>
      </c>
      <c r="X40" s="1273" t="s">
        <v>5313</v>
      </c>
      <c r="Y40" s="1271" t="s">
        <v>5314</v>
      </c>
      <c r="Z40" s="1273" t="s">
        <v>5315</v>
      </c>
      <c r="AA40" s="1253" t="s">
        <v>5316</v>
      </c>
      <c r="AB40" s="1271" t="s">
        <v>5317</v>
      </c>
      <c r="AC40" s="1437" t="s">
        <v>5318</v>
      </c>
      <c r="AD40" s="1437" t="s">
        <v>5319</v>
      </c>
      <c r="AE40" s="1273" t="s">
        <v>5320</v>
      </c>
      <c r="AF40" s="1253" t="s">
        <v>5321</v>
      </c>
      <c r="AG40" s="1271" t="s">
        <v>5322</v>
      </c>
      <c r="AH40" s="1437" t="s">
        <v>5323</v>
      </c>
      <c r="AI40" s="1437" t="s">
        <v>5324</v>
      </c>
      <c r="AJ40" s="1275" t="s">
        <v>5325</v>
      </c>
      <c r="AK40" s="8" t="s">
        <v>5326</v>
      </c>
      <c r="AL40" s="8" t="s">
        <v>5327</v>
      </c>
      <c r="AM40" s="8" t="s">
        <v>5328</v>
      </c>
      <c r="AN40" s="8" t="s">
        <v>5329</v>
      </c>
      <c r="AO40" s="8" t="s">
        <v>5330</v>
      </c>
      <c r="AP40" s="8" t="s">
        <v>5331</v>
      </c>
      <c r="AQ40" s="8" t="s">
        <v>5332</v>
      </c>
      <c r="AR40" s="8" t="s">
        <v>5333</v>
      </c>
      <c r="AS40" s="170" t="e">
        <f t="shared" si="21"/>
        <v>#VALUE!</v>
      </c>
      <c r="CD40" s="2465" t="e">
        <f t="shared" si="22"/>
        <v>#VALUE!</v>
      </c>
      <c r="CE40" s="2465" t="e">
        <f t="shared" si="23"/>
        <v>#VALUE!</v>
      </c>
      <c r="CF40" s="2465" t="str">
        <f t="shared" si="24"/>
        <v xml:space="preserve"> * La variable Pueblos originarios No puede ser mayor al Total.</v>
      </c>
      <c r="CG40" s="2465" t="str">
        <f t="shared" si="25"/>
        <v xml:space="preserve"> * La variable Migrantes No puede ser mayor al Total.</v>
      </c>
      <c r="CH40" s="2465"/>
      <c r="CI40" s="2465"/>
      <c r="CJ40" s="2465"/>
      <c r="CL40" s="2466" t="e">
        <f t="shared" si="26"/>
        <v>#VALUE!</v>
      </c>
      <c r="CM40" s="2466" t="e">
        <f t="shared" si="27"/>
        <v>#VALUE!</v>
      </c>
      <c r="CN40" s="2466">
        <f t="shared" si="28"/>
        <v>1</v>
      </c>
      <c r="CO40" s="2466">
        <f t="shared" si="29"/>
        <v>1</v>
      </c>
      <c r="CP40" s="2466"/>
    </row>
    <row r="41" spans="1:94" s="170" customFormat="1" ht="15" customHeight="1" x14ac:dyDescent="0.2">
      <c r="A41" s="6234">
        <v>32101539</v>
      </c>
      <c r="B41" s="1253" t="s">
        <v>956</v>
      </c>
      <c r="C41" s="1457" t="s">
        <v>5292</v>
      </c>
      <c r="D41" s="1095" t="s">
        <v>5293</v>
      </c>
      <c r="E41" s="1426" t="s">
        <v>5294</v>
      </c>
      <c r="F41" s="1426" t="s">
        <v>5295</v>
      </c>
      <c r="G41" s="1426" t="s">
        <v>5296</v>
      </c>
      <c r="H41" s="1426" t="s">
        <v>5297</v>
      </c>
      <c r="I41" s="1426" t="s">
        <v>5298</v>
      </c>
      <c r="J41" s="1426" t="s">
        <v>5299</v>
      </c>
      <c r="K41" s="1426" t="s">
        <v>5300</v>
      </c>
      <c r="L41" s="1426" t="s">
        <v>5301</v>
      </c>
      <c r="M41" s="1426" t="s">
        <v>5302</v>
      </c>
      <c r="N41" s="1426" t="s">
        <v>5303</v>
      </c>
      <c r="O41" s="1426" t="s">
        <v>5304</v>
      </c>
      <c r="P41" s="1426" t="s">
        <v>5305</v>
      </c>
      <c r="Q41" s="1426" t="s">
        <v>5306</v>
      </c>
      <c r="R41" s="1426" t="s">
        <v>5307</v>
      </c>
      <c r="S41" s="1426" t="s">
        <v>5308</v>
      </c>
      <c r="T41" s="1099" t="s">
        <v>5309</v>
      </c>
      <c r="U41" s="1271" t="s">
        <v>5310</v>
      </c>
      <c r="V41" s="1273" t="s">
        <v>5311</v>
      </c>
      <c r="W41" s="1271" t="s">
        <v>5312</v>
      </c>
      <c r="X41" s="1273" t="s">
        <v>5313</v>
      </c>
      <c r="Y41" s="1271" t="s">
        <v>5314</v>
      </c>
      <c r="Z41" s="1273" t="s">
        <v>5315</v>
      </c>
      <c r="AA41" s="1253" t="s">
        <v>5316</v>
      </c>
      <c r="AB41" s="1271" t="s">
        <v>5317</v>
      </c>
      <c r="AC41" s="1437" t="s">
        <v>5318</v>
      </c>
      <c r="AD41" s="1437" t="s">
        <v>5319</v>
      </c>
      <c r="AE41" s="1273" t="s">
        <v>5320</v>
      </c>
      <c r="AF41" s="1253" t="s">
        <v>5321</v>
      </c>
      <c r="AG41" s="1271" t="s">
        <v>5322</v>
      </c>
      <c r="AH41" s="1437" t="s">
        <v>5323</v>
      </c>
      <c r="AI41" s="1437" t="s">
        <v>5324</v>
      </c>
      <c r="AJ41" s="1275" t="s">
        <v>5325</v>
      </c>
      <c r="AK41" s="8" t="s">
        <v>5326</v>
      </c>
      <c r="AL41" s="8" t="s">
        <v>5327</v>
      </c>
      <c r="AM41" s="8" t="s">
        <v>5328</v>
      </c>
      <c r="AN41" s="8" t="s">
        <v>5329</v>
      </c>
      <c r="AO41" s="8" t="s">
        <v>5330</v>
      </c>
      <c r="AP41" s="8" t="s">
        <v>5331</v>
      </c>
      <c r="AQ41" s="8" t="s">
        <v>5332</v>
      </c>
      <c r="AR41" s="8" t="s">
        <v>5333</v>
      </c>
      <c r="AS41" s="170" t="e">
        <f t="shared" si="21"/>
        <v>#VALUE!</v>
      </c>
      <c r="CD41" s="2465" t="e">
        <f t="shared" si="22"/>
        <v>#VALUE!</v>
      </c>
      <c r="CE41" s="2465" t="e">
        <f t="shared" si="23"/>
        <v>#VALUE!</v>
      </c>
      <c r="CF41" s="2465" t="str">
        <f t="shared" si="24"/>
        <v xml:space="preserve"> * La variable Pueblos originarios No puede ser mayor al Total.</v>
      </c>
      <c r="CG41" s="2465" t="str">
        <f t="shared" si="25"/>
        <v xml:space="preserve"> * La variable Migrantes No puede ser mayor al Total.</v>
      </c>
      <c r="CH41" s="2465"/>
      <c r="CI41" s="2465"/>
      <c r="CJ41" s="2465"/>
      <c r="CL41" s="2466" t="e">
        <f t="shared" si="26"/>
        <v>#VALUE!</v>
      </c>
      <c r="CM41" s="2466" t="e">
        <f t="shared" si="27"/>
        <v>#VALUE!</v>
      </c>
      <c r="CN41" s="2466">
        <f t="shared" si="28"/>
        <v>1</v>
      </c>
      <c r="CO41" s="2466">
        <f t="shared" si="29"/>
        <v>1</v>
      </c>
      <c r="CP41" s="2466"/>
    </row>
    <row r="42" spans="1:94" s="170" customFormat="1" ht="15" customHeight="1" x14ac:dyDescent="0.2">
      <c r="A42" s="6234">
        <v>32100220</v>
      </c>
      <c r="B42" s="1253" t="s">
        <v>957</v>
      </c>
      <c r="C42" s="1457" t="s">
        <v>5292</v>
      </c>
      <c r="D42" s="1095" t="s">
        <v>5293</v>
      </c>
      <c r="E42" s="1426" t="s">
        <v>5294</v>
      </c>
      <c r="F42" s="1426" t="s">
        <v>5295</v>
      </c>
      <c r="G42" s="1426" t="s">
        <v>5296</v>
      </c>
      <c r="H42" s="1426" t="s">
        <v>5297</v>
      </c>
      <c r="I42" s="1426" t="s">
        <v>5298</v>
      </c>
      <c r="J42" s="1426" t="s">
        <v>5299</v>
      </c>
      <c r="K42" s="1426" t="s">
        <v>5300</v>
      </c>
      <c r="L42" s="1426" t="s">
        <v>5301</v>
      </c>
      <c r="M42" s="1426" t="s">
        <v>5302</v>
      </c>
      <c r="N42" s="1426" t="s">
        <v>5303</v>
      </c>
      <c r="O42" s="1426" t="s">
        <v>5304</v>
      </c>
      <c r="P42" s="1426" t="s">
        <v>5305</v>
      </c>
      <c r="Q42" s="1426" t="s">
        <v>5306</v>
      </c>
      <c r="R42" s="1426" t="s">
        <v>5307</v>
      </c>
      <c r="S42" s="1426" t="s">
        <v>5308</v>
      </c>
      <c r="T42" s="1099" t="s">
        <v>5309</v>
      </c>
      <c r="U42" s="1271" t="s">
        <v>5310</v>
      </c>
      <c r="V42" s="1273" t="s">
        <v>5311</v>
      </c>
      <c r="W42" s="1271" t="s">
        <v>5312</v>
      </c>
      <c r="X42" s="1273" t="s">
        <v>5313</v>
      </c>
      <c r="Y42" s="1271" t="s">
        <v>5314</v>
      </c>
      <c r="Z42" s="1273" t="s">
        <v>5315</v>
      </c>
      <c r="AA42" s="1253" t="s">
        <v>5316</v>
      </c>
      <c r="AB42" s="1271" t="s">
        <v>5317</v>
      </c>
      <c r="AC42" s="1437" t="s">
        <v>5318</v>
      </c>
      <c r="AD42" s="1437" t="s">
        <v>5319</v>
      </c>
      <c r="AE42" s="1273" t="s">
        <v>5320</v>
      </c>
      <c r="AF42" s="1253" t="s">
        <v>5321</v>
      </c>
      <c r="AG42" s="1271" t="s">
        <v>5322</v>
      </c>
      <c r="AH42" s="1437" t="s">
        <v>5323</v>
      </c>
      <c r="AI42" s="1437" t="s">
        <v>5324</v>
      </c>
      <c r="AJ42" s="1275" t="s">
        <v>5325</v>
      </c>
      <c r="AK42" s="8" t="s">
        <v>5326</v>
      </c>
      <c r="AL42" s="8" t="s">
        <v>5327</v>
      </c>
      <c r="AM42" s="8" t="s">
        <v>5328</v>
      </c>
      <c r="AN42" s="8" t="s">
        <v>5329</v>
      </c>
      <c r="AO42" s="8" t="s">
        <v>5330</v>
      </c>
      <c r="AP42" s="8" t="s">
        <v>5331</v>
      </c>
      <c r="AQ42" s="8" t="s">
        <v>5332</v>
      </c>
      <c r="AR42" s="8" t="s">
        <v>5333</v>
      </c>
      <c r="AS42" s="170" t="e">
        <f t="shared" si="21"/>
        <v>#VALUE!</v>
      </c>
      <c r="CD42" s="2465" t="e">
        <f t="shared" si="22"/>
        <v>#VALUE!</v>
      </c>
      <c r="CE42" s="2465" t="e">
        <f t="shared" si="23"/>
        <v>#VALUE!</v>
      </c>
      <c r="CF42" s="2465" t="str">
        <f t="shared" si="24"/>
        <v xml:space="preserve"> * La variable Pueblos originarios No puede ser mayor al Total.</v>
      </c>
      <c r="CG42" s="2465" t="str">
        <f t="shared" si="25"/>
        <v xml:space="preserve"> * La variable Migrantes No puede ser mayor al Total.</v>
      </c>
      <c r="CH42" s="2465"/>
      <c r="CI42" s="2465"/>
      <c r="CJ42" s="2465"/>
      <c r="CL42" s="2466" t="e">
        <f t="shared" si="26"/>
        <v>#VALUE!</v>
      </c>
      <c r="CM42" s="2466" t="e">
        <f t="shared" si="27"/>
        <v>#VALUE!</v>
      </c>
      <c r="CN42" s="2466">
        <f t="shared" si="28"/>
        <v>1</v>
      </c>
      <c r="CO42" s="2466">
        <f t="shared" si="29"/>
        <v>1</v>
      </c>
      <c r="CP42" s="2466"/>
    </row>
    <row r="43" spans="1:94" s="170" customFormat="1" ht="15" customHeight="1" x14ac:dyDescent="0.2">
      <c r="A43" s="6234">
        <v>32101540</v>
      </c>
      <c r="B43" s="1253" t="s">
        <v>958</v>
      </c>
      <c r="C43" s="1457" t="s">
        <v>5292</v>
      </c>
      <c r="D43" s="1095" t="s">
        <v>5293</v>
      </c>
      <c r="E43" s="1426" t="s">
        <v>5294</v>
      </c>
      <c r="F43" s="1426" t="s">
        <v>5295</v>
      </c>
      <c r="G43" s="1426" t="s">
        <v>5296</v>
      </c>
      <c r="H43" s="1426" t="s">
        <v>5297</v>
      </c>
      <c r="I43" s="1426" t="s">
        <v>5298</v>
      </c>
      <c r="J43" s="1426" t="s">
        <v>5299</v>
      </c>
      <c r="K43" s="1426" t="s">
        <v>5300</v>
      </c>
      <c r="L43" s="1426" t="s">
        <v>5301</v>
      </c>
      <c r="M43" s="1426" t="s">
        <v>5302</v>
      </c>
      <c r="N43" s="1426" t="s">
        <v>5303</v>
      </c>
      <c r="O43" s="1426" t="s">
        <v>5304</v>
      </c>
      <c r="P43" s="1426" t="s">
        <v>5305</v>
      </c>
      <c r="Q43" s="1426" t="s">
        <v>5306</v>
      </c>
      <c r="R43" s="1426" t="s">
        <v>5307</v>
      </c>
      <c r="S43" s="1426" t="s">
        <v>5308</v>
      </c>
      <c r="T43" s="1099" t="s">
        <v>5309</v>
      </c>
      <c r="U43" s="1271" t="s">
        <v>5310</v>
      </c>
      <c r="V43" s="1273" t="s">
        <v>5311</v>
      </c>
      <c r="W43" s="1271" t="s">
        <v>5312</v>
      </c>
      <c r="X43" s="1273" t="s">
        <v>5313</v>
      </c>
      <c r="Y43" s="1271" t="s">
        <v>5314</v>
      </c>
      <c r="Z43" s="1273" t="s">
        <v>5315</v>
      </c>
      <c r="AA43" s="1253" t="s">
        <v>5316</v>
      </c>
      <c r="AB43" s="1271" t="s">
        <v>5317</v>
      </c>
      <c r="AC43" s="1437" t="s">
        <v>5318</v>
      </c>
      <c r="AD43" s="1437" t="s">
        <v>5319</v>
      </c>
      <c r="AE43" s="1273" t="s">
        <v>5320</v>
      </c>
      <c r="AF43" s="1253" t="s">
        <v>5321</v>
      </c>
      <c r="AG43" s="1271" t="s">
        <v>5322</v>
      </c>
      <c r="AH43" s="1437" t="s">
        <v>5323</v>
      </c>
      <c r="AI43" s="1437" t="s">
        <v>5324</v>
      </c>
      <c r="AJ43" s="1275" t="s">
        <v>5325</v>
      </c>
      <c r="AK43" s="8" t="s">
        <v>5326</v>
      </c>
      <c r="AL43" s="8" t="s">
        <v>5327</v>
      </c>
      <c r="AM43" s="8" t="s">
        <v>5328</v>
      </c>
      <c r="AN43" s="8" t="s">
        <v>5329</v>
      </c>
      <c r="AO43" s="8" t="s">
        <v>5330</v>
      </c>
      <c r="AP43" s="8" t="s">
        <v>5331</v>
      </c>
      <c r="AQ43" s="8" t="s">
        <v>5332</v>
      </c>
      <c r="AR43" s="8" t="s">
        <v>5333</v>
      </c>
      <c r="AS43" s="170" t="e">
        <f t="shared" si="21"/>
        <v>#VALUE!</v>
      </c>
      <c r="CD43" s="2465" t="e">
        <f t="shared" si="22"/>
        <v>#VALUE!</v>
      </c>
      <c r="CE43" s="2465" t="e">
        <f t="shared" si="23"/>
        <v>#VALUE!</v>
      </c>
      <c r="CF43" s="2465" t="str">
        <f t="shared" si="24"/>
        <v xml:space="preserve"> * La variable Pueblos originarios No puede ser mayor al Total.</v>
      </c>
      <c r="CG43" s="2465" t="str">
        <f t="shared" si="25"/>
        <v xml:space="preserve"> * La variable Migrantes No puede ser mayor al Total.</v>
      </c>
      <c r="CH43" s="2465"/>
      <c r="CI43" s="2465"/>
      <c r="CJ43" s="2465"/>
      <c r="CL43" s="2466" t="e">
        <f t="shared" si="26"/>
        <v>#VALUE!</v>
      </c>
      <c r="CM43" s="2466" t="e">
        <f t="shared" si="27"/>
        <v>#VALUE!</v>
      </c>
      <c r="CN43" s="2466">
        <f t="shared" si="28"/>
        <v>1</v>
      </c>
      <c r="CO43" s="2466">
        <f t="shared" si="29"/>
        <v>1</v>
      </c>
      <c r="CP43" s="2466"/>
    </row>
    <row r="44" spans="1:94" s="170" customFormat="1" ht="15" customHeight="1" x14ac:dyDescent="0.2">
      <c r="A44" s="6234">
        <v>32101541</v>
      </c>
      <c r="B44" s="1253" t="s">
        <v>959</v>
      </c>
      <c r="C44" s="1457" t="s">
        <v>5292</v>
      </c>
      <c r="D44" s="1095" t="s">
        <v>5293</v>
      </c>
      <c r="E44" s="1426" t="s">
        <v>5294</v>
      </c>
      <c r="F44" s="1426" t="s">
        <v>5295</v>
      </c>
      <c r="G44" s="1426" t="s">
        <v>5296</v>
      </c>
      <c r="H44" s="1426" t="s">
        <v>5297</v>
      </c>
      <c r="I44" s="1426" t="s">
        <v>5298</v>
      </c>
      <c r="J44" s="1426" t="s">
        <v>5299</v>
      </c>
      <c r="K44" s="1426" t="s">
        <v>5300</v>
      </c>
      <c r="L44" s="1426" t="s">
        <v>5301</v>
      </c>
      <c r="M44" s="1426" t="s">
        <v>5302</v>
      </c>
      <c r="N44" s="1426" t="s">
        <v>5303</v>
      </c>
      <c r="O44" s="1426" t="s">
        <v>5304</v>
      </c>
      <c r="P44" s="1426" t="s">
        <v>5305</v>
      </c>
      <c r="Q44" s="1426" t="s">
        <v>5306</v>
      </c>
      <c r="R44" s="1426" t="s">
        <v>5307</v>
      </c>
      <c r="S44" s="1426" t="s">
        <v>5308</v>
      </c>
      <c r="T44" s="1099" t="s">
        <v>5309</v>
      </c>
      <c r="U44" s="1271" t="s">
        <v>5310</v>
      </c>
      <c r="V44" s="1273" t="s">
        <v>5311</v>
      </c>
      <c r="W44" s="1271" t="s">
        <v>5312</v>
      </c>
      <c r="X44" s="1273" t="s">
        <v>5313</v>
      </c>
      <c r="Y44" s="1271" t="s">
        <v>5314</v>
      </c>
      <c r="Z44" s="1273" t="s">
        <v>5315</v>
      </c>
      <c r="AA44" s="1253" t="s">
        <v>5316</v>
      </c>
      <c r="AB44" s="1271" t="s">
        <v>5317</v>
      </c>
      <c r="AC44" s="1437" t="s">
        <v>5318</v>
      </c>
      <c r="AD44" s="1437" t="s">
        <v>5319</v>
      </c>
      <c r="AE44" s="1273" t="s">
        <v>5320</v>
      </c>
      <c r="AF44" s="1253" t="s">
        <v>5321</v>
      </c>
      <c r="AG44" s="1271" t="s">
        <v>5322</v>
      </c>
      <c r="AH44" s="1437" t="s">
        <v>5323</v>
      </c>
      <c r="AI44" s="1437" t="s">
        <v>5324</v>
      </c>
      <c r="AJ44" s="1275" t="s">
        <v>5325</v>
      </c>
      <c r="AK44" s="8" t="s">
        <v>5326</v>
      </c>
      <c r="AL44" s="8" t="s">
        <v>5327</v>
      </c>
      <c r="AM44" s="8" t="s">
        <v>5328</v>
      </c>
      <c r="AN44" s="8" t="s">
        <v>5329</v>
      </c>
      <c r="AO44" s="8" t="s">
        <v>5330</v>
      </c>
      <c r="AP44" s="8" t="s">
        <v>5331</v>
      </c>
      <c r="AQ44" s="8" t="s">
        <v>5332</v>
      </c>
      <c r="AR44" s="8" t="s">
        <v>5333</v>
      </c>
      <c r="AS44" s="170" t="e">
        <f t="shared" si="21"/>
        <v>#VALUE!</v>
      </c>
      <c r="CD44" s="2465" t="e">
        <f t="shared" si="22"/>
        <v>#VALUE!</v>
      </c>
      <c r="CE44" s="2465" t="e">
        <f t="shared" si="23"/>
        <v>#VALUE!</v>
      </c>
      <c r="CF44" s="2465" t="str">
        <f t="shared" si="24"/>
        <v xml:space="preserve"> * La variable Pueblos originarios No puede ser mayor al Total.</v>
      </c>
      <c r="CG44" s="2465" t="str">
        <f t="shared" si="25"/>
        <v xml:space="preserve"> * La variable Migrantes No puede ser mayor al Total.</v>
      </c>
      <c r="CH44" s="2465"/>
      <c r="CI44" s="2465"/>
      <c r="CJ44" s="2465"/>
      <c r="CL44" s="2466" t="e">
        <f t="shared" si="26"/>
        <v>#VALUE!</v>
      </c>
      <c r="CM44" s="2466" t="e">
        <f t="shared" si="27"/>
        <v>#VALUE!</v>
      </c>
      <c r="CN44" s="2466">
        <f t="shared" si="28"/>
        <v>1</v>
      </c>
      <c r="CO44" s="2466">
        <f t="shared" si="29"/>
        <v>1</v>
      </c>
      <c r="CP44" s="2466"/>
    </row>
    <row r="45" spans="1:94" s="170" customFormat="1" ht="15" customHeight="1" x14ac:dyDescent="0.2">
      <c r="A45" s="6234">
        <v>32101542</v>
      </c>
      <c r="B45" s="1253" t="s">
        <v>960</v>
      </c>
      <c r="C45" s="1457" t="s">
        <v>5292</v>
      </c>
      <c r="D45" s="1095" t="s">
        <v>5293</v>
      </c>
      <c r="E45" s="1426" t="s">
        <v>5294</v>
      </c>
      <c r="F45" s="1426" t="s">
        <v>5295</v>
      </c>
      <c r="G45" s="1426" t="s">
        <v>5296</v>
      </c>
      <c r="H45" s="1426" t="s">
        <v>5297</v>
      </c>
      <c r="I45" s="1426" t="s">
        <v>5298</v>
      </c>
      <c r="J45" s="1426" t="s">
        <v>5299</v>
      </c>
      <c r="K45" s="1426" t="s">
        <v>5300</v>
      </c>
      <c r="L45" s="1426" t="s">
        <v>5301</v>
      </c>
      <c r="M45" s="1426" t="s">
        <v>5302</v>
      </c>
      <c r="N45" s="1426" t="s">
        <v>5303</v>
      </c>
      <c r="O45" s="1426" t="s">
        <v>5304</v>
      </c>
      <c r="P45" s="1426" t="s">
        <v>5305</v>
      </c>
      <c r="Q45" s="1426" t="s">
        <v>5306</v>
      </c>
      <c r="R45" s="1426" t="s">
        <v>5307</v>
      </c>
      <c r="S45" s="1426" t="s">
        <v>5308</v>
      </c>
      <c r="T45" s="1099" t="s">
        <v>5309</v>
      </c>
      <c r="U45" s="1271" t="s">
        <v>5310</v>
      </c>
      <c r="V45" s="1273" t="s">
        <v>5311</v>
      </c>
      <c r="W45" s="1271" t="s">
        <v>5312</v>
      </c>
      <c r="X45" s="1273" t="s">
        <v>5313</v>
      </c>
      <c r="Y45" s="1271" t="s">
        <v>5314</v>
      </c>
      <c r="Z45" s="1273" t="s">
        <v>5315</v>
      </c>
      <c r="AA45" s="1253" t="s">
        <v>5316</v>
      </c>
      <c r="AB45" s="1271" t="s">
        <v>5317</v>
      </c>
      <c r="AC45" s="1437" t="s">
        <v>5318</v>
      </c>
      <c r="AD45" s="1437" t="s">
        <v>5319</v>
      </c>
      <c r="AE45" s="1273" t="s">
        <v>5320</v>
      </c>
      <c r="AF45" s="1253" t="s">
        <v>5321</v>
      </c>
      <c r="AG45" s="1271" t="s">
        <v>5322</v>
      </c>
      <c r="AH45" s="1437" t="s">
        <v>5323</v>
      </c>
      <c r="AI45" s="1437" t="s">
        <v>5324</v>
      </c>
      <c r="AJ45" s="1275" t="s">
        <v>5325</v>
      </c>
      <c r="AK45" s="8" t="s">
        <v>5326</v>
      </c>
      <c r="AL45" s="8" t="s">
        <v>5327</v>
      </c>
      <c r="AM45" s="8" t="s">
        <v>5328</v>
      </c>
      <c r="AN45" s="8" t="s">
        <v>5329</v>
      </c>
      <c r="AO45" s="8" t="s">
        <v>5330</v>
      </c>
      <c r="AP45" s="8" t="s">
        <v>5331</v>
      </c>
      <c r="AQ45" s="8" t="s">
        <v>5332</v>
      </c>
      <c r="AR45" s="8" t="s">
        <v>5333</v>
      </c>
      <c r="AS45" s="170" t="e">
        <f t="shared" si="21"/>
        <v>#VALUE!</v>
      </c>
      <c r="CD45" s="2465" t="e">
        <f t="shared" si="22"/>
        <v>#VALUE!</v>
      </c>
      <c r="CE45" s="2465" t="e">
        <f t="shared" si="23"/>
        <v>#VALUE!</v>
      </c>
      <c r="CF45" s="2465" t="str">
        <f t="shared" si="24"/>
        <v xml:space="preserve"> * La variable Pueblos originarios No puede ser mayor al Total.</v>
      </c>
      <c r="CG45" s="2465" t="str">
        <f t="shared" si="25"/>
        <v xml:space="preserve"> * La variable Migrantes No puede ser mayor al Total.</v>
      </c>
      <c r="CH45" s="2465"/>
      <c r="CI45" s="2465"/>
      <c r="CJ45" s="2465"/>
      <c r="CL45" s="2466" t="e">
        <f t="shared" si="26"/>
        <v>#VALUE!</v>
      </c>
      <c r="CM45" s="2466" t="e">
        <f t="shared" si="27"/>
        <v>#VALUE!</v>
      </c>
      <c r="CN45" s="2466">
        <f t="shared" si="28"/>
        <v>1</v>
      </c>
      <c r="CO45" s="2466">
        <f t="shared" si="29"/>
        <v>1</v>
      </c>
      <c r="CP45" s="2466"/>
    </row>
    <row r="46" spans="1:94" s="170" customFormat="1" ht="15" customHeight="1" x14ac:dyDescent="0.2">
      <c r="A46" s="6234">
        <v>32101543</v>
      </c>
      <c r="B46" s="1253" t="s">
        <v>961</v>
      </c>
      <c r="C46" s="1457" t="s">
        <v>5292</v>
      </c>
      <c r="D46" s="1095" t="s">
        <v>5293</v>
      </c>
      <c r="E46" s="1426" t="s">
        <v>5294</v>
      </c>
      <c r="F46" s="1426" t="s">
        <v>5295</v>
      </c>
      <c r="G46" s="1426" t="s">
        <v>5296</v>
      </c>
      <c r="H46" s="1426" t="s">
        <v>5297</v>
      </c>
      <c r="I46" s="1426" t="s">
        <v>5298</v>
      </c>
      <c r="J46" s="1426" t="s">
        <v>5299</v>
      </c>
      <c r="K46" s="1426" t="s">
        <v>5300</v>
      </c>
      <c r="L46" s="1426" t="s">
        <v>5301</v>
      </c>
      <c r="M46" s="1426" t="s">
        <v>5302</v>
      </c>
      <c r="N46" s="1426" t="s">
        <v>5303</v>
      </c>
      <c r="O46" s="1426" t="s">
        <v>5304</v>
      </c>
      <c r="P46" s="1426" t="s">
        <v>5305</v>
      </c>
      <c r="Q46" s="1426" t="s">
        <v>5306</v>
      </c>
      <c r="R46" s="1426" t="s">
        <v>5307</v>
      </c>
      <c r="S46" s="1426" t="s">
        <v>5308</v>
      </c>
      <c r="T46" s="1099" t="s">
        <v>5309</v>
      </c>
      <c r="U46" s="1271" t="s">
        <v>5310</v>
      </c>
      <c r="V46" s="1273" t="s">
        <v>5311</v>
      </c>
      <c r="W46" s="1271" t="s">
        <v>5312</v>
      </c>
      <c r="X46" s="1273" t="s">
        <v>5313</v>
      </c>
      <c r="Y46" s="1271" t="s">
        <v>5314</v>
      </c>
      <c r="Z46" s="1273" t="s">
        <v>5315</v>
      </c>
      <c r="AA46" s="1253" t="s">
        <v>5316</v>
      </c>
      <c r="AB46" s="1271" t="s">
        <v>5317</v>
      </c>
      <c r="AC46" s="1437" t="s">
        <v>5318</v>
      </c>
      <c r="AD46" s="1437" t="s">
        <v>5319</v>
      </c>
      <c r="AE46" s="1273" t="s">
        <v>5320</v>
      </c>
      <c r="AF46" s="1253" t="s">
        <v>5321</v>
      </c>
      <c r="AG46" s="1271" t="s">
        <v>5322</v>
      </c>
      <c r="AH46" s="1437" t="s">
        <v>5323</v>
      </c>
      <c r="AI46" s="1437" t="s">
        <v>5324</v>
      </c>
      <c r="AJ46" s="1275" t="s">
        <v>5325</v>
      </c>
      <c r="AK46" s="8" t="s">
        <v>5326</v>
      </c>
      <c r="AL46" s="8" t="s">
        <v>5327</v>
      </c>
      <c r="AM46" s="8" t="s">
        <v>5328</v>
      </c>
      <c r="AN46" s="8" t="s">
        <v>5329</v>
      </c>
      <c r="AO46" s="8" t="s">
        <v>5330</v>
      </c>
      <c r="AP46" s="8" t="s">
        <v>5331</v>
      </c>
      <c r="AQ46" s="8" t="s">
        <v>5332</v>
      </c>
      <c r="AR46" s="8" t="s">
        <v>5333</v>
      </c>
      <c r="AS46" s="170" t="e">
        <f t="shared" si="21"/>
        <v>#VALUE!</v>
      </c>
      <c r="CD46" s="2465" t="e">
        <f t="shared" si="22"/>
        <v>#VALUE!</v>
      </c>
      <c r="CE46" s="2465" t="e">
        <f t="shared" si="23"/>
        <v>#VALUE!</v>
      </c>
      <c r="CF46" s="2465" t="str">
        <f t="shared" si="24"/>
        <v xml:space="preserve"> * La variable Pueblos originarios No puede ser mayor al Total.</v>
      </c>
      <c r="CG46" s="2465" t="str">
        <f t="shared" si="25"/>
        <v xml:space="preserve"> * La variable Migrantes No puede ser mayor al Total.</v>
      </c>
      <c r="CH46" s="2465"/>
      <c r="CI46" s="2465"/>
      <c r="CJ46" s="2465"/>
      <c r="CL46" s="2466" t="e">
        <f t="shared" si="26"/>
        <v>#VALUE!</v>
      </c>
      <c r="CM46" s="2466" t="e">
        <f t="shared" si="27"/>
        <v>#VALUE!</v>
      </c>
      <c r="CN46" s="2466">
        <f t="shared" si="28"/>
        <v>1</v>
      </c>
      <c r="CO46" s="2466">
        <f t="shared" si="29"/>
        <v>1</v>
      </c>
      <c r="CP46" s="2466"/>
    </row>
    <row r="47" spans="1:94" s="170" customFormat="1" ht="15" customHeight="1" x14ac:dyDescent="0.2">
      <c r="A47" s="6234">
        <v>32101544</v>
      </c>
      <c r="B47" s="1253" t="s">
        <v>962</v>
      </c>
      <c r="C47" s="1457" t="s">
        <v>5292</v>
      </c>
      <c r="D47" s="1095" t="s">
        <v>5293</v>
      </c>
      <c r="E47" s="1426" t="s">
        <v>5294</v>
      </c>
      <c r="F47" s="1426" t="s">
        <v>5295</v>
      </c>
      <c r="G47" s="1426" t="s">
        <v>5296</v>
      </c>
      <c r="H47" s="1426" t="s">
        <v>5297</v>
      </c>
      <c r="I47" s="1426" t="s">
        <v>5298</v>
      </c>
      <c r="J47" s="1426" t="s">
        <v>5299</v>
      </c>
      <c r="K47" s="1426" t="s">
        <v>5300</v>
      </c>
      <c r="L47" s="1426" t="s">
        <v>5301</v>
      </c>
      <c r="M47" s="1426" t="s">
        <v>5302</v>
      </c>
      <c r="N47" s="1426" t="s">
        <v>5303</v>
      </c>
      <c r="O47" s="1426" t="s">
        <v>5304</v>
      </c>
      <c r="P47" s="1426" t="s">
        <v>5305</v>
      </c>
      <c r="Q47" s="1426" t="s">
        <v>5306</v>
      </c>
      <c r="R47" s="1426" t="s">
        <v>5307</v>
      </c>
      <c r="S47" s="1426" t="s">
        <v>5308</v>
      </c>
      <c r="T47" s="1099" t="s">
        <v>5309</v>
      </c>
      <c r="U47" s="1271" t="s">
        <v>5310</v>
      </c>
      <c r="V47" s="1273" t="s">
        <v>5311</v>
      </c>
      <c r="W47" s="1271" t="s">
        <v>5312</v>
      </c>
      <c r="X47" s="1273" t="s">
        <v>5313</v>
      </c>
      <c r="Y47" s="1271" t="s">
        <v>5314</v>
      </c>
      <c r="Z47" s="1273" t="s">
        <v>5315</v>
      </c>
      <c r="AA47" s="1253" t="s">
        <v>5316</v>
      </c>
      <c r="AB47" s="1271" t="s">
        <v>5317</v>
      </c>
      <c r="AC47" s="1437" t="s">
        <v>5318</v>
      </c>
      <c r="AD47" s="1437" t="s">
        <v>5319</v>
      </c>
      <c r="AE47" s="1273" t="s">
        <v>5320</v>
      </c>
      <c r="AF47" s="1253" t="s">
        <v>5321</v>
      </c>
      <c r="AG47" s="1271" t="s">
        <v>5322</v>
      </c>
      <c r="AH47" s="1437" t="s">
        <v>5323</v>
      </c>
      <c r="AI47" s="1437" t="s">
        <v>5324</v>
      </c>
      <c r="AJ47" s="1275" t="s">
        <v>5325</v>
      </c>
      <c r="AK47" s="8" t="s">
        <v>5326</v>
      </c>
      <c r="AL47" s="8" t="s">
        <v>5327</v>
      </c>
      <c r="AM47" s="8" t="s">
        <v>5328</v>
      </c>
      <c r="AN47" s="8" t="s">
        <v>5329</v>
      </c>
      <c r="AO47" s="8" t="s">
        <v>5330</v>
      </c>
      <c r="AP47" s="8" t="s">
        <v>5331</v>
      </c>
      <c r="AQ47" s="8" t="s">
        <v>5332</v>
      </c>
      <c r="AR47" s="8" t="s">
        <v>5333</v>
      </c>
      <c r="AS47" s="170" t="e">
        <f t="shared" si="21"/>
        <v>#VALUE!</v>
      </c>
      <c r="CD47" s="2465" t="e">
        <f t="shared" si="22"/>
        <v>#VALUE!</v>
      </c>
      <c r="CE47" s="2465" t="e">
        <f t="shared" si="23"/>
        <v>#VALUE!</v>
      </c>
      <c r="CF47" s="2465" t="str">
        <f t="shared" si="24"/>
        <v xml:space="preserve"> * La variable Pueblos originarios No puede ser mayor al Total.</v>
      </c>
      <c r="CG47" s="2465" t="str">
        <f t="shared" si="25"/>
        <v xml:space="preserve"> * La variable Migrantes No puede ser mayor al Total.</v>
      </c>
      <c r="CH47" s="2465"/>
      <c r="CI47" s="2465"/>
      <c r="CJ47" s="2465"/>
      <c r="CL47" s="2466" t="e">
        <f t="shared" si="26"/>
        <v>#VALUE!</v>
      </c>
      <c r="CM47" s="2466" t="e">
        <f t="shared" si="27"/>
        <v>#VALUE!</v>
      </c>
      <c r="CN47" s="2466">
        <f t="shared" si="28"/>
        <v>1</v>
      </c>
      <c r="CO47" s="2466">
        <f t="shared" si="29"/>
        <v>1</v>
      </c>
      <c r="CP47" s="2466"/>
    </row>
    <row r="48" spans="1:94" s="170" customFormat="1" ht="15" customHeight="1" x14ac:dyDescent="0.2">
      <c r="A48" s="6234">
        <v>32101545</v>
      </c>
      <c r="B48" s="1253" t="s">
        <v>963</v>
      </c>
      <c r="C48" s="1457" t="s">
        <v>5292</v>
      </c>
      <c r="D48" s="1095" t="s">
        <v>5293</v>
      </c>
      <c r="E48" s="1426" t="s">
        <v>5294</v>
      </c>
      <c r="F48" s="1426" t="s">
        <v>5295</v>
      </c>
      <c r="G48" s="1426" t="s">
        <v>5296</v>
      </c>
      <c r="H48" s="1426" t="s">
        <v>5297</v>
      </c>
      <c r="I48" s="1426" t="s">
        <v>5298</v>
      </c>
      <c r="J48" s="1426" t="s">
        <v>5299</v>
      </c>
      <c r="K48" s="1426" t="s">
        <v>5300</v>
      </c>
      <c r="L48" s="1426" t="s">
        <v>5301</v>
      </c>
      <c r="M48" s="1426" t="s">
        <v>5302</v>
      </c>
      <c r="N48" s="1426" t="s">
        <v>5303</v>
      </c>
      <c r="O48" s="1426" t="s">
        <v>5304</v>
      </c>
      <c r="P48" s="1426" t="s">
        <v>5305</v>
      </c>
      <c r="Q48" s="1426" t="s">
        <v>5306</v>
      </c>
      <c r="R48" s="1426" t="s">
        <v>5307</v>
      </c>
      <c r="S48" s="1426" t="s">
        <v>5308</v>
      </c>
      <c r="T48" s="1099" t="s">
        <v>5309</v>
      </c>
      <c r="U48" s="1271" t="s">
        <v>5310</v>
      </c>
      <c r="V48" s="1273" t="s">
        <v>5311</v>
      </c>
      <c r="W48" s="1271" t="s">
        <v>5312</v>
      </c>
      <c r="X48" s="1273" t="s">
        <v>5313</v>
      </c>
      <c r="Y48" s="1271" t="s">
        <v>5314</v>
      </c>
      <c r="Z48" s="1273" t="s">
        <v>5315</v>
      </c>
      <c r="AA48" s="1253" t="s">
        <v>5316</v>
      </c>
      <c r="AB48" s="1271" t="s">
        <v>5317</v>
      </c>
      <c r="AC48" s="1437" t="s">
        <v>5318</v>
      </c>
      <c r="AD48" s="1437" t="s">
        <v>5319</v>
      </c>
      <c r="AE48" s="1273" t="s">
        <v>5320</v>
      </c>
      <c r="AF48" s="1253" t="s">
        <v>5321</v>
      </c>
      <c r="AG48" s="1271" t="s">
        <v>5322</v>
      </c>
      <c r="AH48" s="1437" t="s">
        <v>5323</v>
      </c>
      <c r="AI48" s="1437" t="s">
        <v>5324</v>
      </c>
      <c r="AJ48" s="1275" t="s">
        <v>5325</v>
      </c>
      <c r="AK48" s="8" t="s">
        <v>5326</v>
      </c>
      <c r="AL48" s="8" t="s">
        <v>5327</v>
      </c>
      <c r="AM48" s="8" t="s">
        <v>5328</v>
      </c>
      <c r="AN48" s="8" t="s">
        <v>5329</v>
      </c>
      <c r="AO48" s="8" t="s">
        <v>5330</v>
      </c>
      <c r="AP48" s="8" t="s">
        <v>5331</v>
      </c>
      <c r="AQ48" s="8" t="s">
        <v>5332</v>
      </c>
      <c r="AR48" s="8" t="s">
        <v>5333</v>
      </c>
      <c r="AS48" s="170" t="e">
        <f t="shared" si="21"/>
        <v>#VALUE!</v>
      </c>
      <c r="CD48" s="2465" t="e">
        <f t="shared" si="22"/>
        <v>#VALUE!</v>
      </c>
      <c r="CE48" s="2465" t="e">
        <f t="shared" si="23"/>
        <v>#VALUE!</v>
      </c>
      <c r="CF48" s="2465" t="str">
        <f t="shared" si="24"/>
        <v xml:space="preserve"> * La variable Pueblos originarios No puede ser mayor al Total.</v>
      </c>
      <c r="CG48" s="2465" t="str">
        <f t="shared" si="25"/>
        <v xml:space="preserve"> * La variable Migrantes No puede ser mayor al Total.</v>
      </c>
      <c r="CH48" s="2465"/>
      <c r="CI48" s="2465"/>
      <c r="CJ48" s="2465"/>
      <c r="CL48" s="2466" t="e">
        <f t="shared" si="26"/>
        <v>#VALUE!</v>
      </c>
      <c r="CM48" s="2466" t="e">
        <f t="shared" si="27"/>
        <v>#VALUE!</v>
      </c>
      <c r="CN48" s="2466">
        <f t="shared" si="28"/>
        <v>1</v>
      </c>
      <c r="CO48" s="2466">
        <f t="shared" si="29"/>
        <v>1</v>
      </c>
      <c r="CP48" s="2466"/>
    </row>
    <row r="49" spans="1:94" s="170" customFormat="1" ht="15" customHeight="1" x14ac:dyDescent="0.2">
      <c r="A49" s="6234">
        <v>32101546</v>
      </c>
      <c r="B49" s="1253" t="s">
        <v>964</v>
      </c>
      <c r="C49" s="1457" t="s">
        <v>5292</v>
      </c>
      <c r="D49" s="1095" t="s">
        <v>5293</v>
      </c>
      <c r="E49" s="1426" t="s">
        <v>5294</v>
      </c>
      <c r="F49" s="1426" t="s">
        <v>5295</v>
      </c>
      <c r="G49" s="1426" t="s">
        <v>5296</v>
      </c>
      <c r="H49" s="1426" t="s">
        <v>5297</v>
      </c>
      <c r="I49" s="1426" t="s">
        <v>5298</v>
      </c>
      <c r="J49" s="1426" t="s">
        <v>5299</v>
      </c>
      <c r="K49" s="1426" t="s">
        <v>5300</v>
      </c>
      <c r="L49" s="1426" t="s">
        <v>5301</v>
      </c>
      <c r="M49" s="1426" t="s">
        <v>5302</v>
      </c>
      <c r="N49" s="1426" t="s">
        <v>5303</v>
      </c>
      <c r="O49" s="1426" t="s">
        <v>5304</v>
      </c>
      <c r="P49" s="1426" t="s">
        <v>5305</v>
      </c>
      <c r="Q49" s="1426" t="s">
        <v>5306</v>
      </c>
      <c r="R49" s="1426" t="s">
        <v>5307</v>
      </c>
      <c r="S49" s="1426" t="s">
        <v>5308</v>
      </c>
      <c r="T49" s="1099" t="s">
        <v>5309</v>
      </c>
      <c r="U49" s="1271" t="s">
        <v>5310</v>
      </c>
      <c r="V49" s="1273" t="s">
        <v>5311</v>
      </c>
      <c r="W49" s="1271" t="s">
        <v>5312</v>
      </c>
      <c r="X49" s="1273" t="s">
        <v>5313</v>
      </c>
      <c r="Y49" s="1271" t="s">
        <v>5314</v>
      </c>
      <c r="Z49" s="1273" t="s">
        <v>5315</v>
      </c>
      <c r="AA49" s="1253" t="s">
        <v>5316</v>
      </c>
      <c r="AB49" s="1271" t="s">
        <v>5317</v>
      </c>
      <c r="AC49" s="1437" t="s">
        <v>5318</v>
      </c>
      <c r="AD49" s="1437" t="s">
        <v>5319</v>
      </c>
      <c r="AE49" s="1273" t="s">
        <v>5320</v>
      </c>
      <c r="AF49" s="1253" t="s">
        <v>5321</v>
      </c>
      <c r="AG49" s="1271" t="s">
        <v>5322</v>
      </c>
      <c r="AH49" s="1437" t="s">
        <v>5323</v>
      </c>
      <c r="AI49" s="1437" t="s">
        <v>5324</v>
      </c>
      <c r="AJ49" s="1275" t="s">
        <v>5325</v>
      </c>
      <c r="AK49" s="8" t="s">
        <v>5326</v>
      </c>
      <c r="AL49" s="8" t="s">
        <v>5327</v>
      </c>
      <c r="AM49" s="8" t="s">
        <v>5328</v>
      </c>
      <c r="AN49" s="8" t="s">
        <v>5329</v>
      </c>
      <c r="AO49" s="8" t="s">
        <v>5330</v>
      </c>
      <c r="AP49" s="8" t="s">
        <v>5331</v>
      </c>
      <c r="AQ49" s="8" t="s">
        <v>5332</v>
      </c>
      <c r="AR49" s="8" t="s">
        <v>5333</v>
      </c>
      <c r="AS49" s="170" t="e">
        <f t="shared" si="21"/>
        <v>#VALUE!</v>
      </c>
      <c r="CD49" s="2465" t="e">
        <f t="shared" si="22"/>
        <v>#VALUE!</v>
      </c>
      <c r="CE49" s="2465" t="e">
        <f t="shared" si="23"/>
        <v>#VALUE!</v>
      </c>
      <c r="CF49" s="2465" t="str">
        <f t="shared" si="24"/>
        <v xml:space="preserve"> * La variable Pueblos originarios No puede ser mayor al Total.</v>
      </c>
      <c r="CG49" s="2465" t="str">
        <f t="shared" si="25"/>
        <v xml:space="preserve"> * La variable Migrantes No puede ser mayor al Total.</v>
      </c>
      <c r="CH49" s="2465"/>
      <c r="CI49" s="2465"/>
      <c r="CJ49" s="2465"/>
      <c r="CL49" s="2466" t="e">
        <f t="shared" si="26"/>
        <v>#VALUE!</v>
      </c>
      <c r="CM49" s="2466" t="e">
        <f t="shared" si="27"/>
        <v>#VALUE!</v>
      </c>
      <c r="CN49" s="2466">
        <f t="shared" si="28"/>
        <v>1</v>
      </c>
      <c r="CO49" s="2466">
        <f t="shared" si="29"/>
        <v>1</v>
      </c>
      <c r="CP49" s="2466"/>
    </row>
    <row r="50" spans="1:94" s="170" customFormat="1" ht="15" customHeight="1" x14ac:dyDescent="0.2">
      <c r="A50" s="6234">
        <v>32101547</v>
      </c>
      <c r="B50" s="1253" t="s">
        <v>965</v>
      </c>
      <c r="C50" s="1457" t="s">
        <v>5292</v>
      </c>
      <c r="D50" s="1095" t="s">
        <v>5293</v>
      </c>
      <c r="E50" s="1426" t="s">
        <v>5294</v>
      </c>
      <c r="F50" s="1426" t="s">
        <v>5295</v>
      </c>
      <c r="G50" s="1426" t="s">
        <v>5296</v>
      </c>
      <c r="H50" s="1426" t="s">
        <v>5297</v>
      </c>
      <c r="I50" s="1426" t="s">
        <v>5298</v>
      </c>
      <c r="J50" s="1426" t="s">
        <v>5299</v>
      </c>
      <c r="K50" s="1426" t="s">
        <v>5300</v>
      </c>
      <c r="L50" s="1426" t="s">
        <v>5301</v>
      </c>
      <c r="M50" s="1426" t="s">
        <v>5302</v>
      </c>
      <c r="N50" s="1426" t="s">
        <v>5303</v>
      </c>
      <c r="O50" s="1426" t="s">
        <v>5304</v>
      </c>
      <c r="P50" s="1426" t="s">
        <v>5305</v>
      </c>
      <c r="Q50" s="1426" t="s">
        <v>5306</v>
      </c>
      <c r="R50" s="1426" t="s">
        <v>5307</v>
      </c>
      <c r="S50" s="1426" t="s">
        <v>5308</v>
      </c>
      <c r="T50" s="1099" t="s">
        <v>5309</v>
      </c>
      <c r="U50" s="1271" t="s">
        <v>5310</v>
      </c>
      <c r="V50" s="1273" t="s">
        <v>5311</v>
      </c>
      <c r="W50" s="1271" t="s">
        <v>5312</v>
      </c>
      <c r="X50" s="1273" t="s">
        <v>5313</v>
      </c>
      <c r="Y50" s="1271" t="s">
        <v>5314</v>
      </c>
      <c r="Z50" s="1273" t="s">
        <v>5315</v>
      </c>
      <c r="AA50" s="1253" t="s">
        <v>5316</v>
      </c>
      <c r="AB50" s="1271" t="s">
        <v>5317</v>
      </c>
      <c r="AC50" s="1437" t="s">
        <v>5318</v>
      </c>
      <c r="AD50" s="1437" t="s">
        <v>5319</v>
      </c>
      <c r="AE50" s="1273" t="s">
        <v>5320</v>
      </c>
      <c r="AF50" s="1253" t="s">
        <v>5321</v>
      </c>
      <c r="AG50" s="1271" t="s">
        <v>5322</v>
      </c>
      <c r="AH50" s="1437" t="s">
        <v>5323</v>
      </c>
      <c r="AI50" s="1437" t="s">
        <v>5324</v>
      </c>
      <c r="AJ50" s="1275" t="s">
        <v>5325</v>
      </c>
      <c r="AK50" s="8" t="s">
        <v>5326</v>
      </c>
      <c r="AL50" s="8" t="s">
        <v>5327</v>
      </c>
      <c r="AM50" s="8" t="s">
        <v>5328</v>
      </c>
      <c r="AN50" s="8" t="s">
        <v>5329</v>
      </c>
      <c r="AO50" s="8" t="s">
        <v>5330</v>
      </c>
      <c r="AP50" s="8" t="s">
        <v>5331</v>
      </c>
      <c r="AQ50" s="8" t="s">
        <v>5332</v>
      </c>
      <c r="AR50" s="8" t="s">
        <v>5333</v>
      </c>
      <c r="AS50" s="170" t="e">
        <f t="shared" si="21"/>
        <v>#VALUE!</v>
      </c>
      <c r="CD50" s="2465" t="e">
        <f t="shared" si="22"/>
        <v>#VALUE!</v>
      </c>
      <c r="CE50" s="2465" t="e">
        <f t="shared" si="23"/>
        <v>#VALUE!</v>
      </c>
      <c r="CF50" s="2465" t="str">
        <f t="shared" si="24"/>
        <v xml:space="preserve"> * La variable Pueblos originarios No puede ser mayor al Total.</v>
      </c>
      <c r="CG50" s="2465" t="str">
        <f t="shared" si="25"/>
        <v xml:space="preserve"> * La variable Migrantes No puede ser mayor al Total.</v>
      </c>
      <c r="CH50" s="2465"/>
      <c r="CI50" s="2465"/>
      <c r="CJ50" s="2465"/>
      <c r="CL50" s="2466" t="e">
        <f t="shared" si="26"/>
        <v>#VALUE!</v>
      </c>
      <c r="CM50" s="2466" t="e">
        <f t="shared" si="27"/>
        <v>#VALUE!</v>
      </c>
      <c r="CN50" s="2466">
        <f t="shared" si="28"/>
        <v>1</v>
      </c>
      <c r="CO50" s="2466">
        <f t="shared" si="29"/>
        <v>1</v>
      </c>
      <c r="CP50" s="2466"/>
    </row>
    <row r="51" spans="1:94" s="170" customFormat="1" ht="15" customHeight="1" x14ac:dyDescent="0.2">
      <c r="A51" s="6234">
        <v>32101548</v>
      </c>
      <c r="B51" s="1253" t="s">
        <v>966</v>
      </c>
      <c r="C51" s="1457" t="s">
        <v>5292</v>
      </c>
      <c r="D51" s="1095" t="s">
        <v>5293</v>
      </c>
      <c r="E51" s="1426" t="s">
        <v>5294</v>
      </c>
      <c r="F51" s="1426" t="s">
        <v>5295</v>
      </c>
      <c r="G51" s="1426" t="s">
        <v>5296</v>
      </c>
      <c r="H51" s="1426" t="s">
        <v>5297</v>
      </c>
      <c r="I51" s="1426" t="s">
        <v>5298</v>
      </c>
      <c r="J51" s="1426" t="s">
        <v>5299</v>
      </c>
      <c r="K51" s="1426" t="s">
        <v>5300</v>
      </c>
      <c r="L51" s="1426" t="s">
        <v>5301</v>
      </c>
      <c r="M51" s="1426" t="s">
        <v>5302</v>
      </c>
      <c r="N51" s="1426" t="s">
        <v>5303</v>
      </c>
      <c r="O51" s="1426" t="s">
        <v>5304</v>
      </c>
      <c r="P51" s="1426" t="s">
        <v>5305</v>
      </c>
      <c r="Q51" s="1426" t="s">
        <v>5306</v>
      </c>
      <c r="R51" s="1426" t="s">
        <v>5307</v>
      </c>
      <c r="S51" s="1426" t="s">
        <v>5308</v>
      </c>
      <c r="T51" s="1099" t="s">
        <v>5309</v>
      </c>
      <c r="U51" s="1271" t="s">
        <v>5310</v>
      </c>
      <c r="V51" s="1273" t="s">
        <v>5311</v>
      </c>
      <c r="W51" s="1271" t="s">
        <v>5312</v>
      </c>
      <c r="X51" s="1273" t="s">
        <v>5313</v>
      </c>
      <c r="Y51" s="1271" t="s">
        <v>5314</v>
      </c>
      <c r="Z51" s="1273" t="s">
        <v>5315</v>
      </c>
      <c r="AA51" s="1253" t="s">
        <v>5316</v>
      </c>
      <c r="AB51" s="1271" t="s">
        <v>5317</v>
      </c>
      <c r="AC51" s="1437" t="s">
        <v>5318</v>
      </c>
      <c r="AD51" s="1437" t="s">
        <v>5319</v>
      </c>
      <c r="AE51" s="1273" t="s">
        <v>5320</v>
      </c>
      <c r="AF51" s="1253" t="s">
        <v>5321</v>
      </c>
      <c r="AG51" s="1271" t="s">
        <v>5322</v>
      </c>
      <c r="AH51" s="1437" t="s">
        <v>5323</v>
      </c>
      <c r="AI51" s="1437" t="s">
        <v>5324</v>
      </c>
      <c r="AJ51" s="1275" t="s">
        <v>5325</v>
      </c>
      <c r="AK51" s="8" t="s">
        <v>5326</v>
      </c>
      <c r="AL51" s="8" t="s">
        <v>5327</v>
      </c>
      <c r="AM51" s="8" t="s">
        <v>5328</v>
      </c>
      <c r="AN51" s="8" t="s">
        <v>5329</v>
      </c>
      <c r="AO51" s="8" t="s">
        <v>5330</v>
      </c>
      <c r="AP51" s="8" t="s">
        <v>5331</v>
      </c>
      <c r="AQ51" s="8" t="s">
        <v>5332</v>
      </c>
      <c r="AR51" s="8" t="s">
        <v>5333</v>
      </c>
      <c r="AS51" s="170" t="e">
        <f t="shared" si="21"/>
        <v>#VALUE!</v>
      </c>
      <c r="CD51" s="2465" t="e">
        <f t="shared" si="22"/>
        <v>#VALUE!</v>
      </c>
      <c r="CE51" s="2465" t="e">
        <f t="shared" si="23"/>
        <v>#VALUE!</v>
      </c>
      <c r="CF51" s="2465" t="str">
        <f t="shared" si="24"/>
        <v xml:space="preserve"> * La variable Pueblos originarios No puede ser mayor al Total.</v>
      </c>
      <c r="CG51" s="2465" t="str">
        <f t="shared" si="25"/>
        <v xml:space="preserve"> * La variable Migrantes No puede ser mayor al Total.</v>
      </c>
      <c r="CH51" s="2465"/>
      <c r="CI51" s="2465"/>
      <c r="CJ51" s="2465"/>
      <c r="CL51" s="2466" t="e">
        <f t="shared" si="26"/>
        <v>#VALUE!</v>
      </c>
      <c r="CM51" s="2466" t="e">
        <f t="shared" si="27"/>
        <v>#VALUE!</v>
      </c>
      <c r="CN51" s="2466">
        <f t="shared" si="28"/>
        <v>1</v>
      </c>
      <c r="CO51" s="2466">
        <f t="shared" si="29"/>
        <v>1</v>
      </c>
      <c r="CP51" s="2466"/>
    </row>
    <row r="52" spans="1:94" s="170" customFormat="1" ht="15" customHeight="1" x14ac:dyDescent="0.2">
      <c r="A52" s="6234">
        <v>32101549</v>
      </c>
      <c r="B52" s="1253" t="s">
        <v>967</v>
      </c>
      <c r="C52" s="1457" t="s">
        <v>5292</v>
      </c>
      <c r="D52" s="1095" t="s">
        <v>5293</v>
      </c>
      <c r="E52" s="1426" t="s">
        <v>5294</v>
      </c>
      <c r="F52" s="1426" t="s">
        <v>5295</v>
      </c>
      <c r="G52" s="1426" t="s">
        <v>5296</v>
      </c>
      <c r="H52" s="1426" t="s">
        <v>5297</v>
      </c>
      <c r="I52" s="1426" t="s">
        <v>5298</v>
      </c>
      <c r="J52" s="1426" t="s">
        <v>5299</v>
      </c>
      <c r="K52" s="1426" t="s">
        <v>5300</v>
      </c>
      <c r="L52" s="1426" t="s">
        <v>5301</v>
      </c>
      <c r="M52" s="1426" t="s">
        <v>5302</v>
      </c>
      <c r="N52" s="1426" t="s">
        <v>5303</v>
      </c>
      <c r="O52" s="1426" t="s">
        <v>5304</v>
      </c>
      <c r="P52" s="1426" t="s">
        <v>5305</v>
      </c>
      <c r="Q52" s="1426" t="s">
        <v>5306</v>
      </c>
      <c r="R52" s="1426" t="s">
        <v>5307</v>
      </c>
      <c r="S52" s="1426" t="s">
        <v>5308</v>
      </c>
      <c r="T52" s="1099" t="s">
        <v>5309</v>
      </c>
      <c r="U52" s="1271" t="s">
        <v>5310</v>
      </c>
      <c r="V52" s="1273" t="s">
        <v>5311</v>
      </c>
      <c r="W52" s="1271" t="s">
        <v>5312</v>
      </c>
      <c r="X52" s="1273" t="s">
        <v>5313</v>
      </c>
      <c r="Y52" s="1271" t="s">
        <v>5314</v>
      </c>
      <c r="Z52" s="1273" t="s">
        <v>5315</v>
      </c>
      <c r="AA52" s="1253" t="s">
        <v>5316</v>
      </c>
      <c r="AB52" s="1271" t="s">
        <v>5317</v>
      </c>
      <c r="AC52" s="1437" t="s">
        <v>5318</v>
      </c>
      <c r="AD52" s="1437" t="s">
        <v>5319</v>
      </c>
      <c r="AE52" s="1273" t="s">
        <v>5320</v>
      </c>
      <c r="AF52" s="1253" t="s">
        <v>5321</v>
      </c>
      <c r="AG52" s="1271" t="s">
        <v>5322</v>
      </c>
      <c r="AH52" s="1437" t="s">
        <v>5323</v>
      </c>
      <c r="AI52" s="1437" t="s">
        <v>5324</v>
      </c>
      <c r="AJ52" s="1275" t="s">
        <v>5325</v>
      </c>
      <c r="AK52" s="8" t="s">
        <v>5326</v>
      </c>
      <c r="AL52" s="8" t="s">
        <v>5327</v>
      </c>
      <c r="AM52" s="8" t="s">
        <v>5328</v>
      </c>
      <c r="AN52" s="8" t="s">
        <v>5329</v>
      </c>
      <c r="AO52" s="8" t="s">
        <v>5330</v>
      </c>
      <c r="AP52" s="8" t="s">
        <v>5331</v>
      </c>
      <c r="AQ52" s="8" t="s">
        <v>5332</v>
      </c>
      <c r="AR52" s="8" t="s">
        <v>5333</v>
      </c>
      <c r="AS52" s="170" t="e">
        <f t="shared" si="21"/>
        <v>#VALUE!</v>
      </c>
      <c r="CD52" s="2465" t="e">
        <f t="shared" si="22"/>
        <v>#VALUE!</v>
      </c>
      <c r="CE52" s="2465" t="e">
        <f t="shared" si="23"/>
        <v>#VALUE!</v>
      </c>
      <c r="CF52" s="2465" t="str">
        <f t="shared" si="24"/>
        <v xml:space="preserve"> * La variable Pueblos originarios No puede ser mayor al Total.</v>
      </c>
      <c r="CG52" s="2465" t="str">
        <f t="shared" si="25"/>
        <v xml:space="preserve"> * La variable Migrantes No puede ser mayor al Total.</v>
      </c>
      <c r="CH52" s="2465"/>
      <c r="CI52" s="2465"/>
      <c r="CJ52" s="2465"/>
      <c r="CL52" s="2466" t="e">
        <f t="shared" si="26"/>
        <v>#VALUE!</v>
      </c>
      <c r="CM52" s="2466" t="e">
        <f t="shared" si="27"/>
        <v>#VALUE!</v>
      </c>
      <c r="CN52" s="2466">
        <f t="shared" si="28"/>
        <v>1</v>
      </c>
      <c r="CO52" s="2466">
        <f t="shared" si="29"/>
        <v>1</v>
      </c>
      <c r="CP52" s="2466"/>
    </row>
    <row r="53" spans="1:94" s="170" customFormat="1" ht="15" customHeight="1" x14ac:dyDescent="0.2">
      <c r="A53" s="6234">
        <v>32100230</v>
      </c>
      <c r="B53" s="1253" t="s">
        <v>968</v>
      </c>
      <c r="C53" s="1457" t="s">
        <v>5292</v>
      </c>
      <c r="D53" s="1095" t="s">
        <v>5293</v>
      </c>
      <c r="E53" s="1426" t="s">
        <v>5294</v>
      </c>
      <c r="F53" s="1426" t="s">
        <v>5295</v>
      </c>
      <c r="G53" s="1426" t="s">
        <v>5296</v>
      </c>
      <c r="H53" s="1426" t="s">
        <v>5297</v>
      </c>
      <c r="I53" s="1426" t="s">
        <v>5298</v>
      </c>
      <c r="J53" s="1426" t="s">
        <v>5299</v>
      </c>
      <c r="K53" s="1426" t="s">
        <v>5300</v>
      </c>
      <c r="L53" s="1426" t="s">
        <v>5301</v>
      </c>
      <c r="M53" s="1426" t="s">
        <v>5302</v>
      </c>
      <c r="N53" s="1426" t="s">
        <v>5303</v>
      </c>
      <c r="O53" s="1426" t="s">
        <v>5304</v>
      </c>
      <c r="P53" s="1426" t="s">
        <v>5305</v>
      </c>
      <c r="Q53" s="1426" t="s">
        <v>5306</v>
      </c>
      <c r="R53" s="1426" t="s">
        <v>5307</v>
      </c>
      <c r="S53" s="1426" t="s">
        <v>5308</v>
      </c>
      <c r="T53" s="1099" t="s">
        <v>5309</v>
      </c>
      <c r="U53" s="1271" t="s">
        <v>5310</v>
      </c>
      <c r="V53" s="1273" t="s">
        <v>5311</v>
      </c>
      <c r="W53" s="1271" t="s">
        <v>5312</v>
      </c>
      <c r="X53" s="1273" t="s">
        <v>5313</v>
      </c>
      <c r="Y53" s="1271" t="s">
        <v>5314</v>
      </c>
      <c r="Z53" s="1273" t="s">
        <v>5315</v>
      </c>
      <c r="AA53" s="1253" t="s">
        <v>5316</v>
      </c>
      <c r="AB53" s="1271" t="s">
        <v>5317</v>
      </c>
      <c r="AC53" s="1437" t="s">
        <v>5318</v>
      </c>
      <c r="AD53" s="1437" t="s">
        <v>5319</v>
      </c>
      <c r="AE53" s="1273" t="s">
        <v>5320</v>
      </c>
      <c r="AF53" s="1253" t="s">
        <v>5321</v>
      </c>
      <c r="AG53" s="1271" t="s">
        <v>5322</v>
      </c>
      <c r="AH53" s="1437" t="s">
        <v>5323</v>
      </c>
      <c r="AI53" s="1437" t="s">
        <v>5324</v>
      </c>
      <c r="AJ53" s="1275" t="s">
        <v>5325</v>
      </c>
      <c r="AK53" s="8" t="s">
        <v>5326</v>
      </c>
      <c r="AL53" s="8" t="s">
        <v>5327</v>
      </c>
      <c r="AM53" s="8" t="s">
        <v>5328</v>
      </c>
      <c r="AN53" s="8" t="s">
        <v>5329</v>
      </c>
      <c r="AO53" s="8" t="s">
        <v>5330</v>
      </c>
      <c r="AP53" s="8" t="s">
        <v>5331</v>
      </c>
      <c r="AQ53" s="8" t="s">
        <v>5332</v>
      </c>
      <c r="AR53" s="8" t="s">
        <v>5333</v>
      </c>
      <c r="AS53" s="170" t="e">
        <f t="shared" si="21"/>
        <v>#VALUE!</v>
      </c>
      <c r="CD53" s="2465" t="e">
        <f t="shared" si="22"/>
        <v>#VALUE!</v>
      </c>
      <c r="CE53" s="2465" t="e">
        <f t="shared" si="23"/>
        <v>#VALUE!</v>
      </c>
      <c r="CF53" s="2465" t="str">
        <f t="shared" si="24"/>
        <v xml:space="preserve"> * La variable Pueblos originarios No puede ser mayor al Total.</v>
      </c>
      <c r="CG53" s="2465" t="str">
        <f t="shared" si="25"/>
        <v xml:space="preserve"> * La variable Migrantes No puede ser mayor al Total.</v>
      </c>
      <c r="CH53" s="2465"/>
      <c r="CI53" s="2465"/>
      <c r="CJ53" s="2465"/>
      <c r="CL53" s="2466" t="e">
        <f t="shared" si="26"/>
        <v>#VALUE!</v>
      </c>
      <c r="CM53" s="2466" t="e">
        <f t="shared" si="27"/>
        <v>#VALUE!</v>
      </c>
      <c r="CN53" s="2466">
        <f t="shared" si="28"/>
        <v>1</v>
      </c>
      <c r="CO53" s="2466">
        <f t="shared" si="29"/>
        <v>1</v>
      </c>
      <c r="CP53" s="2466"/>
    </row>
    <row r="54" spans="1:94" s="170" customFormat="1" ht="15" customHeight="1" x14ac:dyDescent="0.2">
      <c r="A54" s="6234">
        <v>32101550</v>
      </c>
      <c r="B54" s="1253" t="s">
        <v>227</v>
      </c>
      <c r="C54" s="1457" t="s">
        <v>5292</v>
      </c>
      <c r="D54" s="1095" t="s">
        <v>5293</v>
      </c>
      <c r="E54" s="1426" t="s">
        <v>5294</v>
      </c>
      <c r="F54" s="1426" t="s">
        <v>5295</v>
      </c>
      <c r="G54" s="1426" t="s">
        <v>5296</v>
      </c>
      <c r="H54" s="1426" t="s">
        <v>5297</v>
      </c>
      <c r="I54" s="1426" t="s">
        <v>5298</v>
      </c>
      <c r="J54" s="1426" t="s">
        <v>5299</v>
      </c>
      <c r="K54" s="1426" t="s">
        <v>5300</v>
      </c>
      <c r="L54" s="1426" t="s">
        <v>5301</v>
      </c>
      <c r="M54" s="1426" t="s">
        <v>5302</v>
      </c>
      <c r="N54" s="1426" t="s">
        <v>5303</v>
      </c>
      <c r="O54" s="1426" t="s">
        <v>5304</v>
      </c>
      <c r="P54" s="1426" t="s">
        <v>5305</v>
      </c>
      <c r="Q54" s="1426" t="s">
        <v>5306</v>
      </c>
      <c r="R54" s="1426" t="s">
        <v>5307</v>
      </c>
      <c r="S54" s="1426" t="s">
        <v>5308</v>
      </c>
      <c r="T54" s="1099" t="s">
        <v>5309</v>
      </c>
      <c r="U54" s="1271" t="s">
        <v>5310</v>
      </c>
      <c r="V54" s="1273" t="s">
        <v>5311</v>
      </c>
      <c r="W54" s="1271" t="s">
        <v>5312</v>
      </c>
      <c r="X54" s="1273" t="s">
        <v>5313</v>
      </c>
      <c r="Y54" s="1271" t="s">
        <v>5314</v>
      </c>
      <c r="Z54" s="1273" t="s">
        <v>5315</v>
      </c>
      <c r="AA54" s="1253" t="s">
        <v>5316</v>
      </c>
      <c r="AB54" s="1271" t="s">
        <v>5317</v>
      </c>
      <c r="AC54" s="1437" t="s">
        <v>5318</v>
      </c>
      <c r="AD54" s="1437" t="s">
        <v>5319</v>
      </c>
      <c r="AE54" s="1273" t="s">
        <v>5320</v>
      </c>
      <c r="AF54" s="1253" t="s">
        <v>5321</v>
      </c>
      <c r="AG54" s="1271" t="s">
        <v>5322</v>
      </c>
      <c r="AH54" s="1437" t="s">
        <v>5323</v>
      </c>
      <c r="AI54" s="1437" t="s">
        <v>5324</v>
      </c>
      <c r="AJ54" s="1275" t="s">
        <v>5325</v>
      </c>
      <c r="AK54" s="8" t="s">
        <v>5326</v>
      </c>
      <c r="AL54" s="8" t="s">
        <v>5327</v>
      </c>
      <c r="AM54" s="8" t="s">
        <v>5328</v>
      </c>
      <c r="AN54" s="8" t="s">
        <v>5329</v>
      </c>
      <c r="AO54" s="8" t="s">
        <v>5330</v>
      </c>
      <c r="AP54" s="8" t="s">
        <v>5331</v>
      </c>
      <c r="AQ54" s="8" t="s">
        <v>5332</v>
      </c>
      <c r="AR54" s="8" t="s">
        <v>5333</v>
      </c>
      <c r="AS54" s="170" t="e">
        <f t="shared" si="21"/>
        <v>#VALUE!</v>
      </c>
      <c r="CD54" s="2465" t="e">
        <f t="shared" si="22"/>
        <v>#VALUE!</v>
      </c>
      <c r="CE54" s="2465" t="e">
        <f t="shared" si="23"/>
        <v>#VALUE!</v>
      </c>
      <c r="CF54" s="2465" t="str">
        <f t="shared" si="24"/>
        <v xml:space="preserve"> * La variable Pueblos originarios No puede ser mayor al Total.</v>
      </c>
      <c r="CG54" s="2465" t="str">
        <f t="shared" si="25"/>
        <v xml:space="preserve"> * La variable Migrantes No puede ser mayor al Total.</v>
      </c>
      <c r="CH54" s="2465"/>
      <c r="CI54" s="2465"/>
      <c r="CJ54" s="2465"/>
      <c r="CL54" s="2466" t="e">
        <f t="shared" si="26"/>
        <v>#VALUE!</v>
      </c>
      <c r="CM54" s="2466" t="e">
        <f t="shared" si="27"/>
        <v>#VALUE!</v>
      </c>
      <c r="CN54" s="2466">
        <f t="shared" si="28"/>
        <v>1</v>
      </c>
      <c r="CO54" s="2466">
        <f t="shared" si="29"/>
        <v>1</v>
      </c>
      <c r="CP54" s="2466"/>
    </row>
    <row r="55" spans="1:94" s="170" customFormat="1" ht="15" customHeight="1" x14ac:dyDescent="0.2">
      <c r="A55" s="6234">
        <v>32101551</v>
      </c>
      <c r="B55" s="1253" t="s">
        <v>969</v>
      </c>
      <c r="C55" s="1457" t="s">
        <v>5292</v>
      </c>
      <c r="D55" s="1095" t="s">
        <v>5293</v>
      </c>
      <c r="E55" s="1426" t="s">
        <v>5294</v>
      </c>
      <c r="F55" s="1426" t="s">
        <v>5295</v>
      </c>
      <c r="G55" s="1426" t="s">
        <v>5296</v>
      </c>
      <c r="H55" s="1426" t="s">
        <v>5297</v>
      </c>
      <c r="I55" s="1426" t="s">
        <v>5298</v>
      </c>
      <c r="J55" s="1426" t="s">
        <v>5299</v>
      </c>
      <c r="K55" s="1426" t="s">
        <v>5300</v>
      </c>
      <c r="L55" s="1426" t="s">
        <v>5301</v>
      </c>
      <c r="M55" s="1426" t="s">
        <v>5302</v>
      </c>
      <c r="N55" s="1426" t="s">
        <v>5303</v>
      </c>
      <c r="O55" s="1426" t="s">
        <v>5304</v>
      </c>
      <c r="P55" s="1426" t="s">
        <v>5305</v>
      </c>
      <c r="Q55" s="1426" t="s">
        <v>5306</v>
      </c>
      <c r="R55" s="1426" t="s">
        <v>5307</v>
      </c>
      <c r="S55" s="1426" t="s">
        <v>5308</v>
      </c>
      <c r="T55" s="1099" t="s">
        <v>5309</v>
      </c>
      <c r="U55" s="1271" t="s">
        <v>5310</v>
      </c>
      <c r="V55" s="1273" t="s">
        <v>5311</v>
      </c>
      <c r="W55" s="1271" t="s">
        <v>5312</v>
      </c>
      <c r="X55" s="1273" t="s">
        <v>5313</v>
      </c>
      <c r="Y55" s="1271" t="s">
        <v>5314</v>
      </c>
      <c r="Z55" s="1273" t="s">
        <v>5315</v>
      </c>
      <c r="AA55" s="1253" t="s">
        <v>5316</v>
      </c>
      <c r="AB55" s="1271" t="s">
        <v>5317</v>
      </c>
      <c r="AC55" s="1437" t="s">
        <v>5318</v>
      </c>
      <c r="AD55" s="1437" t="s">
        <v>5319</v>
      </c>
      <c r="AE55" s="1273" t="s">
        <v>5320</v>
      </c>
      <c r="AF55" s="1253" t="s">
        <v>5321</v>
      </c>
      <c r="AG55" s="1271" t="s">
        <v>5322</v>
      </c>
      <c r="AH55" s="1437" t="s">
        <v>5323</v>
      </c>
      <c r="AI55" s="1437" t="s">
        <v>5324</v>
      </c>
      <c r="AJ55" s="1275" t="s">
        <v>5325</v>
      </c>
      <c r="AK55" s="8" t="s">
        <v>5326</v>
      </c>
      <c r="AL55" s="8" t="s">
        <v>5327</v>
      </c>
      <c r="AM55" s="8" t="s">
        <v>5328</v>
      </c>
      <c r="AN55" s="8" t="s">
        <v>5329</v>
      </c>
      <c r="AO55" s="8" t="s">
        <v>5330</v>
      </c>
      <c r="AP55" s="8" t="s">
        <v>5331</v>
      </c>
      <c r="AQ55" s="8" t="s">
        <v>5332</v>
      </c>
      <c r="AR55" s="8" t="s">
        <v>5333</v>
      </c>
      <c r="AS55" s="170" t="e">
        <f t="shared" si="21"/>
        <v>#VALUE!</v>
      </c>
      <c r="CD55" s="2465" t="e">
        <f t="shared" si="22"/>
        <v>#VALUE!</v>
      </c>
      <c r="CE55" s="2465" t="e">
        <f t="shared" si="23"/>
        <v>#VALUE!</v>
      </c>
      <c r="CF55" s="2465" t="str">
        <f t="shared" si="24"/>
        <v xml:space="preserve"> * La variable Pueblos originarios No puede ser mayor al Total.</v>
      </c>
      <c r="CG55" s="2465" t="str">
        <f t="shared" si="25"/>
        <v xml:space="preserve"> * La variable Migrantes No puede ser mayor al Total.</v>
      </c>
      <c r="CH55" s="2465"/>
      <c r="CI55" s="2465"/>
      <c r="CJ55" s="2465"/>
      <c r="CL55" s="2466" t="e">
        <f t="shared" si="26"/>
        <v>#VALUE!</v>
      </c>
      <c r="CM55" s="2466" t="e">
        <f t="shared" si="27"/>
        <v>#VALUE!</v>
      </c>
      <c r="CN55" s="2466">
        <f t="shared" si="28"/>
        <v>1</v>
      </c>
      <c r="CO55" s="2466">
        <f t="shared" si="29"/>
        <v>1</v>
      </c>
      <c r="CP55" s="2466"/>
    </row>
    <row r="56" spans="1:94" s="170" customFormat="1" ht="15" customHeight="1" x14ac:dyDescent="0.2">
      <c r="A56" s="6234">
        <v>32100240</v>
      </c>
      <c r="B56" s="1253" t="s">
        <v>970</v>
      </c>
      <c r="C56" s="1457" t="s">
        <v>5292</v>
      </c>
      <c r="D56" s="1095" t="s">
        <v>5293</v>
      </c>
      <c r="E56" s="1426" t="s">
        <v>5294</v>
      </c>
      <c r="F56" s="1426" t="s">
        <v>5295</v>
      </c>
      <c r="G56" s="1426" t="s">
        <v>5296</v>
      </c>
      <c r="H56" s="1426" t="s">
        <v>5297</v>
      </c>
      <c r="I56" s="1426" t="s">
        <v>5298</v>
      </c>
      <c r="J56" s="1426" t="s">
        <v>5299</v>
      </c>
      <c r="K56" s="1426" t="s">
        <v>5300</v>
      </c>
      <c r="L56" s="1426" t="s">
        <v>5301</v>
      </c>
      <c r="M56" s="1426" t="s">
        <v>5302</v>
      </c>
      <c r="N56" s="1426" t="s">
        <v>5303</v>
      </c>
      <c r="O56" s="1426" t="s">
        <v>5304</v>
      </c>
      <c r="P56" s="1426" t="s">
        <v>5305</v>
      </c>
      <c r="Q56" s="1426" t="s">
        <v>5306</v>
      </c>
      <c r="R56" s="1426" t="s">
        <v>5307</v>
      </c>
      <c r="S56" s="1426" t="s">
        <v>5308</v>
      </c>
      <c r="T56" s="1099" t="s">
        <v>5309</v>
      </c>
      <c r="U56" s="1271" t="s">
        <v>5310</v>
      </c>
      <c r="V56" s="1273" t="s">
        <v>5311</v>
      </c>
      <c r="W56" s="1271" t="s">
        <v>5312</v>
      </c>
      <c r="X56" s="1273" t="s">
        <v>5313</v>
      </c>
      <c r="Y56" s="1271" t="s">
        <v>5314</v>
      </c>
      <c r="Z56" s="1273" t="s">
        <v>5315</v>
      </c>
      <c r="AA56" s="1253" t="s">
        <v>5316</v>
      </c>
      <c r="AB56" s="1271" t="s">
        <v>5317</v>
      </c>
      <c r="AC56" s="1437" t="s">
        <v>5318</v>
      </c>
      <c r="AD56" s="1437" t="s">
        <v>5319</v>
      </c>
      <c r="AE56" s="1273" t="s">
        <v>5320</v>
      </c>
      <c r="AF56" s="1253" t="s">
        <v>5321</v>
      </c>
      <c r="AG56" s="1271" t="s">
        <v>5322</v>
      </c>
      <c r="AH56" s="1437" t="s">
        <v>5323</v>
      </c>
      <c r="AI56" s="1437" t="s">
        <v>5324</v>
      </c>
      <c r="AJ56" s="1275" t="s">
        <v>5325</v>
      </c>
      <c r="AK56" s="8" t="s">
        <v>5326</v>
      </c>
      <c r="AL56" s="8" t="s">
        <v>5327</v>
      </c>
      <c r="AM56" s="8" t="s">
        <v>5328</v>
      </c>
      <c r="AN56" s="8" t="s">
        <v>5329</v>
      </c>
      <c r="AO56" s="8" t="s">
        <v>5330</v>
      </c>
      <c r="AP56" s="8" t="s">
        <v>5331</v>
      </c>
      <c r="AQ56" s="8" t="s">
        <v>5332</v>
      </c>
      <c r="AR56" s="8" t="s">
        <v>5333</v>
      </c>
      <c r="AS56" s="170" t="e">
        <f t="shared" si="21"/>
        <v>#VALUE!</v>
      </c>
      <c r="CD56" s="2465" t="e">
        <f t="shared" si="22"/>
        <v>#VALUE!</v>
      </c>
      <c r="CE56" s="2465" t="e">
        <f t="shared" si="23"/>
        <v>#VALUE!</v>
      </c>
      <c r="CF56" s="2465" t="str">
        <f t="shared" si="24"/>
        <v xml:space="preserve"> * La variable Pueblos originarios No puede ser mayor al Total.</v>
      </c>
      <c r="CG56" s="2465" t="str">
        <f t="shared" si="25"/>
        <v xml:space="preserve"> * La variable Migrantes No puede ser mayor al Total.</v>
      </c>
      <c r="CH56" s="2465"/>
      <c r="CI56" s="2465"/>
      <c r="CJ56" s="2465"/>
      <c r="CL56" s="2466" t="e">
        <f t="shared" si="26"/>
        <v>#VALUE!</v>
      </c>
      <c r="CM56" s="2466" t="e">
        <f t="shared" si="27"/>
        <v>#VALUE!</v>
      </c>
      <c r="CN56" s="2466">
        <f t="shared" si="28"/>
        <v>1</v>
      </c>
      <c r="CO56" s="2466">
        <f t="shared" si="29"/>
        <v>1</v>
      </c>
      <c r="CP56" s="2466"/>
    </row>
    <row r="57" spans="1:94" s="170" customFormat="1" ht="15" customHeight="1" x14ac:dyDescent="0.2">
      <c r="A57" s="6234">
        <v>32101552</v>
      </c>
      <c r="B57" s="1253" t="s">
        <v>228</v>
      </c>
      <c r="C57" s="1457" t="s">
        <v>5292</v>
      </c>
      <c r="D57" s="1095" t="s">
        <v>5293</v>
      </c>
      <c r="E57" s="1426" t="s">
        <v>5294</v>
      </c>
      <c r="F57" s="1426" t="s">
        <v>5295</v>
      </c>
      <c r="G57" s="1426" t="s">
        <v>5296</v>
      </c>
      <c r="H57" s="1426" t="s">
        <v>5297</v>
      </c>
      <c r="I57" s="1426" t="s">
        <v>5298</v>
      </c>
      <c r="J57" s="1426" t="s">
        <v>5299</v>
      </c>
      <c r="K57" s="1426" t="s">
        <v>5300</v>
      </c>
      <c r="L57" s="1426" t="s">
        <v>5301</v>
      </c>
      <c r="M57" s="1426" t="s">
        <v>5302</v>
      </c>
      <c r="N57" s="1426" t="s">
        <v>5303</v>
      </c>
      <c r="O57" s="1426" t="s">
        <v>5304</v>
      </c>
      <c r="P57" s="1426" t="s">
        <v>5305</v>
      </c>
      <c r="Q57" s="1426" t="s">
        <v>5306</v>
      </c>
      <c r="R57" s="1426" t="s">
        <v>5307</v>
      </c>
      <c r="S57" s="1426" t="s">
        <v>5308</v>
      </c>
      <c r="T57" s="1099" t="s">
        <v>5309</v>
      </c>
      <c r="U57" s="1271" t="s">
        <v>5310</v>
      </c>
      <c r="V57" s="1273" t="s">
        <v>5311</v>
      </c>
      <c r="W57" s="1271" t="s">
        <v>5312</v>
      </c>
      <c r="X57" s="1273" t="s">
        <v>5313</v>
      </c>
      <c r="Y57" s="1271" t="s">
        <v>5314</v>
      </c>
      <c r="Z57" s="1273" t="s">
        <v>5315</v>
      </c>
      <c r="AA57" s="1253" t="s">
        <v>5316</v>
      </c>
      <c r="AB57" s="1271" t="s">
        <v>5317</v>
      </c>
      <c r="AC57" s="1437" t="s">
        <v>5318</v>
      </c>
      <c r="AD57" s="1437" t="s">
        <v>5319</v>
      </c>
      <c r="AE57" s="1273" t="s">
        <v>5320</v>
      </c>
      <c r="AF57" s="1253" t="s">
        <v>5321</v>
      </c>
      <c r="AG57" s="1271" t="s">
        <v>5322</v>
      </c>
      <c r="AH57" s="1437" t="s">
        <v>5323</v>
      </c>
      <c r="AI57" s="1437" t="s">
        <v>5324</v>
      </c>
      <c r="AJ57" s="1275" t="s">
        <v>5325</v>
      </c>
      <c r="AK57" s="8" t="s">
        <v>5326</v>
      </c>
      <c r="AL57" s="8" t="s">
        <v>5327</v>
      </c>
      <c r="AM57" s="8" t="s">
        <v>5328</v>
      </c>
      <c r="AN57" s="8" t="s">
        <v>5329</v>
      </c>
      <c r="AO57" s="8" t="s">
        <v>5330</v>
      </c>
      <c r="AP57" s="8" t="s">
        <v>5331</v>
      </c>
      <c r="AQ57" s="8" t="s">
        <v>5332</v>
      </c>
      <c r="AR57" s="8" t="s">
        <v>5333</v>
      </c>
      <c r="AS57" s="170" t="e">
        <f t="shared" si="21"/>
        <v>#VALUE!</v>
      </c>
      <c r="CD57" s="2465" t="e">
        <f t="shared" si="22"/>
        <v>#VALUE!</v>
      </c>
      <c r="CE57" s="2465" t="e">
        <f t="shared" si="23"/>
        <v>#VALUE!</v>
      </c>
      <c r="CF57" s="2465" t="str">
        <f t="shared" si="24"/>
        <v xml:space="preserve"> * La variable Pueblos originarios No puede ser mayor al Total.</v>
      </c>
      <c r="CG57" s="2465" t="str">
        <f t="shared" si="25"/>
        <v xml:space="preserve"> * La variable Migrantes No puede ser mayor al Total.</v>
      </c>
      <c r="CH57" s="2465"/>
      <c r="CI57" s="2465"/>
      <c r="CJ57" s="2465"/>
      <c r="CL57" s="2466" t="e">
        <f t="shared" si="26"/>
        <v>#VALUE!</v>
      </c>
      <c r="CM57" s="2466" t="e">
        <f t="shared" si="27"/>
        <v>#VALUE!</v>
      </c>
      <c r="CN57" s="2466">
        <f t="shared" si="28"/>
        <v>1</v>
      </c>
      <c r="CO57" s="2466">
        <f t="shared" si="29"/>
        <v>1</v>
      </c>
      <c r="CP57" s="2466"/>
    </row>
    <row r="58" spans="1:94" s="170" customFormat="1" ht="15" customHeight="1" x14ac:dyDescent="0.2">
      <c r="A58" s="6234">
        <v>32101553</v>
      </c>
      <c r="B58" s="1253" t="s">
        <v>229</v>
      </c>
      <c r="C58" s="1457" t="s">
        <v>5292</v>
      </c>
      <c r="D58" s="1530" t="s">
        <v>5293</v>
      </c>
      <c r="E58" s="1528" t="s">
        <v>5294</v>
      </c>
      <c r="F58" s="1528" t="s">
        <v>5295</v>
      </c>
      <c r="G58" s="1528" t="s">
        <v>5296</v>
      </c>
      <c r="H58" s="1528" t="s">
        <v>5297</v>
      </c>
      <c r="I58" s="1528" t="s">
        <v>5298</v>
      </c>
      <c r="J58" s="1528" t="s">
        <v>5299</v>
      </c>
      <c r="K58" s="1528" t="s">
        <v>5300</v>
      </c>
      <c r="L58" s="1528" t="s">
        <v>5301</v>
      </c>
      <c r="M58" s="1528" t="s">
        <v>5302</v>
      </c>
      <c r="N58" s="1528" t="s">
        <v>5303</v>
      </c>
      <c r="O58" s="1528" t="s">
        <v>5304</v>
      </c>
      <c r="P58" s="1426" t="s">
        <v>5305</v>
      </c>
      <c r="Q58" s="1426" t="s">
        <v>5306</v>
      </c>
      <c r="R58" s="1426" t="s">
        <v>5307</v>
      </c>
      <c r="S58" s="1426" t="s">
        <v>5308</v>
      </c>
      <c r="T58" s="1099" t="s">
        <v>5309</v>
      </c>
      <c r="U58" s="1271" t="s">
        <v>5310</v>
      </c>
      <c r="V58" s="1273" t="s">
        <v>5311</v>
      </c>
      <c r="W58" s="1271" t="s">
        <v>5312</v>
      </c>
      <c r="X58" s="1273" t="s">
        <v>5313</v>
      </c>
      <c r="Y58" s="1271" t="s">
        <v>5314</v>
      </c>
      <c r="Z58" s="1273" t="s">
        <v>5315</v>
      </c>
      <c r="AA58" s="1253" t="s">
        <v>5316</v>
      </c>
      <c r="AB58" s="1271" t="s">
        <v>5317</v>
      </c>
      <c r="AC58" s="1437" t="s">
        <v>5318</v>
      </c>
      <c r="AD58" s="1437" t="s">
        <v>5319</v>
      </c>
      <c r="AE58" s="1273" t="s">
        <v>5320</v>
      </c>
      <c r="AF58" s="1253" t="s">
        <v>5321</v>
      </c>
      <c r="AG58" s="1271" t="s">
        <v>5322</v>
      </c>
      <c r="AH58" s="1437" t="s">
        <v>5323</v>
      </c>
      <c r="AI58" s="1437" t="s">
        <v>5324</v>
      </c>
      <c r="AJ58" s="1275" t="s">
        <v>5325</v>
      </c>
      <c r="AK58" s="8" t="s">
        <v>5326</v>
      </c>
      <c r="AL58" s="8" t="s">
        <v>5327</v>
      </c>
      <c r="AM58" s="8" t="s">
        <v>5328</v>
      </c>
      <c r="AN58" s="8" t="s">
        <v>5329</v>
      </c>
      <c r="AO58" s="8" t="s">
        <v>5330</v>
      </c>
      <c r="AP58" s="8" t="s">
        <v>5331</v>
      </c>
      <c r="AQ58" s="8" t="s">
        <v>5332</v>
      </c>
      <c r="AR58" s="8" t="s">
        <v>5333</v>
      </c>
      <c r="AS58" s="170" t="e">
        <f t="shared" si="21"/>
        <v>#VALUE!</v>
      </c>
      <c r="CD58" s="2465" t="e">
        <f t="shared" si="22"/>
        <v>#VALUE!</v>
      </c>
      <c r="CE58" s="2465" t="e">
        <f t="shared" si="23"/>
        <v>#VALUE!</v>
      </c>
      <c r="CF58" s="2465" t="str">
        <f t="shared" si="24"/>
        <v xml:space="preserve"> * La variable Pueblos originarios No puede ser mayor al Total.</v>
      </c>
      <c r="CG58" s="2465" t="str">
        <f t="shared" si="25"/>
        <v xml:space="preserve"> * La variable Migrantes No puede ser mayor al Total.</v>
      </c>
      <c r="CH58" s="2465"/>
      <c r="CI58" s="2465"/>
      <c r="CJ58" s="2465"/>
      <c r="CL58" s="2466" t="e">
        <f t="shared" si="26"/>
        <v>#VALUE!</v>
      </c>
      <c r="CM58" s="2466" t="e">
        <f t="shared" si="27"/>
        <v>#VALUE!</v>
      </c>
      <c r="CN58" s="2466">
        <f t="shared" si="28"/>
        <v>1</v>
      </c>
      <c r="CO58" s="2466">
        <f t="shared" si="29"/>
        <v>1</v>
      </c>
      <c r="CP58" s="2466"/>
    </row>
    <row r="59" spans="1:94" s="170" customFormat="1" ht="15" customHeight="1" x14ac:dyDescent="0.2">
      <c r="A59" s="6234">
        <v>32101554</v>
      </c>
      <c r="B59" s="1253" t="s">
        <v>971</v>
      </c>
      <c r="C59" s="1457" t="s">
        <v>5292</v>
      </c>
      <c r="D59" s="1095" t="s">
        <v>5293</v>
      </c>
      <c r="E59" s="1426" t="s">
        <v>5294</v>
      </c>
      <c r="F59" s="1426" t="s">
        <v>5295</v>
      </c>
      <c r="G59" s="1531" t="s">
        <v>5296</v>
      </c>
      <c r="H59" s="1531" t="s">
        <v>5297</v>
      </c>
      <c r="I59" s="1531" t="s">
        <v>5298</v>
      </c>
      <c r="J59" s="1531" t="s">
        <v>5299</v>
      </c>
      <c r="K59" s="1531" t="s">
        <v>5300</v>
      </c>
      <c r="L59" s="1531" t="s">
        <v>5301</v>
      </c>
      <c r="M59" s="1426" t="s">
        <v>5302</v>
      </c>
      <c r="N59" s="1426" t="s">
        <v>5303</v>
      </c>
      <c r="O59" s="1426" t="s">
        <v>5304</v>
      </c>
      <c r="P59" s="1426" t="s">
        <v>5305</v>
      </c>
      <c r="Q59" s="1426" t="s">
        <v>5306</v>
      </c>
      <c r="R59" s="1426" t="s">
        <v>5307</v>
      </c>
      <c r="S59" s="1426" t="s">
        <v>5308</v>
      </c>
      <c r="T59" s="1099" t="s">
        <v>5309</v>
      </c>
      <c r="U59" s="1271" t="s">
        <v>5310</v>
      </c>
      <c r="V59" s="1273" t="s">
        <v>5311</v>
      </c>
      <c r="W59" s="1271" t="s">
        <v>5312</v>
      </c>
      <c r="X59" s="1273" t="s">
        <v>5313</v>
      </c>
      <c r="Y59" s="1271" t="s">
        <v>5314</v>
      </c>
      <c r="Z59" s="1273" t="s">
        <v>5315</v>
      </c>
      <c r="AA59" s="1253" t="s">
        <v>5316</v>
      </c>
      <c r="AB59" s="1271" t="s">
        <v>5317</v>
      </c>
      <c r="AC59" s="1437" t="s">
        <v>5318</v>
      </c>
      <c r="AD59" s="1437" t="s">
        <v>5319</v>
      </c>
      <c r="AE59" s="1273" t="s">
        <v>5320</v>
      </c>
      <c r="AF59" s="1253" t="s">
        <v>5321</v>
      </c>
      <c r="AG59" s="1271" t="s">
        <v>5322</v>
      </c>
      <c r="AH59" s="1437" t="s">
        <v>5323</v>
      </c>
      <c r="AI59" s="1437" t="s">
        <v>5324</v>
      </c>
      <c r="AJ59" s="1275" t="s">
        <v>5325</v>
      </c>
      <c r="AK59" s="8" t="s">
        <v>5326</v>
      </c>
      <c r="AL59" s="8" t="s">
        <v>5327</v>
      </c>
      <c r="AM59" s="8" t="s">
        <v>5328</v>
      </c>
      <c r="AN59" s="8" t="s">
        <v>5329</v>
      </c>
      <c r="AO59" s="8" t="s">
        <v>5330</v>
      </c>
      <c r="AP59" s="8" t="s">
        <v>5331</v>
      </c>
      <c r="AQ59" s="8" t="s">
        <v>5332</v>
      </c>
      <c r="AR59" s="8" t="s">
        <v>5333</v>
      </c>
      <c r="AS59" s="170" t="e">
        <f t="shared" si="21"/>
        <v>#VALUE!</v>
      </c>
      <c r="CD59" s="2465" t="e">
        <f t="shared" si="22"/>
        <v>#VALUE!</v>
      </c>
      <c r="CE59" s="2465" t="e">
        <f t="shared" si="23"/>
        <v>#VALUE!</v>
      </c>
      <c r="CF59" s="2465" t="str">
        <f t="shared" si="24"/>
        <v xml:space="preserve"> * La variable Pueblos originarios No puede ser mayor al Total.</v>
      </c>
      <c r="CG59" s="2465" t="str">
        <f t="shared" si="25"/>
        <v xml:space="preserve"> * La variable Migrantes No puede ser mayor al Total.</v>
      </c>
      <c r="CH59" s="2465"/>
      <c r="CI59" s="2465"/>
      <c r="CJ59" s="2465"/>
      <c r="CL59" s="2466" t="e">
        <f t="shared" si="26"/>
        <v>#VALUE!</v>
      </c>
      <c r="CM59" s="2466" t="e">
        <f t="shared" si="27"/>
        <v>#VALUE!</v>
      </c>
      <c r="CN59" s="2466">
        <f t="shared" si="28"/>
        <v>1</v>
      </c>
      <c r="CO59" s="2466">
        <f t="shared" si="29"/>
        <v>1</v>
      </c>
      <c r="CP59" s="2466"/>
    </row>
    <row r="60" spans="1:94" s="170" customFormat="1" ht="15" customHeight="1" x14ac:dyDescent="0.2">
      <c r="A60" s="6234">
        <v>32101555</v>
      </c>
      <c r="B60" s="1253" t="s">
        <v>972</v>
      </c>
      <c r="C60" s="1457" t="s">
        <v>5292</v>
      </c>
      <c r="D60" s="1532" t="s">
        <v>5293</v>
      </c>
      <c r="E60" s="1531" t="s">
        <v>5294</v>
      </c>
      <c r="F60" s="1531" t="s">
        <v>5295</v>
      </c>
      <c r="G60" s="1531" t="s">
        <v>5296</v>
      </c>
      <c r="H60" s="1426" t="s">
        <v>5297</v>
      </c>
      <c r="I60" s="1426" t="s">
        <v>5298</v>
      </c>
      <c r="J60" s="1426" t="s">
        <v>5299</v>
      </c>
      <c r="K60" s="1426" t="s">
        <v>5300</v>
      </c>
      <c r="L60" s="1426" t="s">
        <v>5301</v>
      </c>
      <c r="M60" s="1426" t="s">
        <v>5302</v>
      </c>
      <c r="N60" s="1426" t="s">
        <v>5303</v>
      </c>
      <c r="O60" s="1426" t="s">
        <v>5304</v>
      </c>
      <c r="P60" s="1426" t="s">
        <v>5305</v>
      </c>
      <c r="Q60" s="1426" t="s">
        <v>5306</v>
      </c>
      <c r="R60" s="1426" t="s">
        <v>5307</v>
      </c>
      <c r="S60" s="1426" t="s">
        <v>5308</v>
      </c>
      <c r="T60" s="1099" t="s">
        <v>5309</v>
      </c>
      <c r="U60" s="1271" t="s">
        <v>5310</v>
      </c>
      <c r="V60" s="1273" t="s">
        <v>5311</v>
      </c>
      <c r="W60" s="1271" t="s">
        <v>5312</v>
      </c>
      <c r="X60" s="1273" t="s">
        <v>5313</v>
      </c>
      <c r="Y60" s="1271" t="s">
        <v>5314</v>
      </c>
      <c r="Z60" s="1273" t="s">
        <v>5315</v>
      </c>
      <c r="AA60" s="1253" t="s">
        <v>5316</v>
      </c>
      <c r="AB60" s="1271" t="s">
        <v>5317</v>
      </c>
      <c r="AC60" s="1437" t="s">
        <v>5318</v>
      </c>
      <c r="AD60" s="1437" t="s">
        <v>5319</v>
      </c>
      <c r="AE60" s="1273" t="s">
        <v>5320</v>
      </c>
      <c r="AF60" s="1253" t="s">
        <v>5321</v>
      </c>
      <c r="AG60" s="1271" t="s">
        <v>5322</v>
      </c>
      <c r="AH60" s="1437" t="s">
        <v>5323</v>
      </c>
      <c r="AI60" s="1437" t="s">
        <v>5324</v>
      </c>
      <c r="AJ60" s="1275" t="s">
        <v>5325</v>
      </c>
      <c r="AK60" s="8" t="s">
        <v>5326</v>
      </c>
      <c r="AL60" s="8" t="s">
        <v>5327</v>
      </c>
      <c r="AM60" s="8" t="s">
        <v>5328</v>
      </c>
      <c r="AN60" s="8" t="s">
        <v>5329</v>
      </c>
      <c r="AO60" s="8" t="s">
        <v>5330</v>
      </c>
      <c r="AP60" s="8" t="s">
        <v>5331</v>
      </c>
      <c r="AQ60" s="8" t="s">
        <v>5332</v>
      </c>
      <c r="AR60" s="8" t="s">
        <v>5333</v>
      </c>
      <c r="AS60" s="170" t="e">
        <f t="shared" si="21"/>
        <v>#VALUE!</v>
      </c>
      <c r="CD60" s="2465" t="e">
        <f t="shared" si="22"/>
        <v>#VALUE!</v>
      </c>
      <c r="CE60" s="2465" t="e">
        <f t="shared" si="23"/>
        <v>#VALUE!</v>
      </c>
      <c r="CF60" s="2465" t="str">
        <f t="shared" si="24"/>
        <v xml:space="preserve"> * La variable Pueblos originarios No puede ser mayor al Total.</v>
      </c>
      <c r="CG60" s="2465" t="str">
        <f t="shared" si="25"/>
        <v xml:space="preserve"> * La variable Migrantes No puede ser mayor al Total.</v>
      </c>
      <c r="CH60" s="2465"/>
      <c r="CI60" s="2465"/>
      <c r="CJ60" s="2465"/>
      <c r="CL60" s="2466" t="e">
        <f t="shared" si="26"/>
        <v>#VALUE!</v>
      </c>
      <c r="CM60" s="2466" t="e">
        <f t="shared" si="27"/>
        <v>#VALUE!</v>
      </c>
      <c r="CN60" s="2466">
        <f t="shared" si="28"/>
        <v>1</v>
      </c>
      <c r="CO60" s="2466">
        <f t="shared" si="29"/>
        <v>1</v>
      </c>
      <c r="CP60" s="2466"/>
    </row>
    <row r="61" spans="1:94" s="170" customFormat="1" ht="15" customHeight="1" x14ac:dyDescent="0.2">
      <c r="A61" s="6234">
        <v>32101556</v>
      </c>
      <c r="B61" s="1253" t="s">
        <v>973</v>
      </c>
      <c r="C61" s="1457" t="s">
        <v>5292</v>
      </c>
      <c r="D61" s="1532" t="s">
        <v>5293</v>
      </c>
      <c r="E61" s="1531" t="s">
        <v>5294</v>
      </c>
      <c r="F61" s="1531" t="s">
        <v>5295</v>
      </c>
      <c r="G61" s="1531" t="s">
        <v>5296</v>
      </c>
      <c r="H61" s="1531" t="s">
        <v>5297</v>
      </c>
      <c r="I61" s="1531" t="s">
        <v>5298</v>
      </c>
      <c r="J61" s="1531" t="s">
        <v>5299</v>
      </c>
      <c r="K61" s="1531" t="s">
        <v>5300</v>
      </c>
      <c r="L61" s="1531" t="s">
        <v>5301</v>
      </c>
      <c r="M61" s="1426" t="s">
        <v>5302</v>
      </c>
      <c r="N61" s="1426" t="s">
        <v>5303</v>
      </c>
      <c r="O61" s="1426" t="s">
        <v>5304</v>
      </c>
      <c r="P61" s="1426" t="s">
        <v>5305</v>
      </c>
      <c r="Q61" s="1426" t="s">
        <v>5306</v>
      </c>
      <c r="R61" s="1426" t="s">
        <v>5307</v>
      </c>
      <c r="S61" s="1426" t="s">
        <v>5308</v>
      </c>
      <c r="T61" s="1099" t="s">
        <v>5309</v>
      </c>
      <c r="U61" s="1271" t="s">
        <v>5310</v>
      </c>
      <c r="V61" s="1273" t="s">
        <v>5311</v>
      </c>
      <c r="W61" s="1271" t="s">
        <v>5312</v>
      </c>
      <c r="X61" s="1273" t="s">
        <v>5313</v>
      </c>
      <c r="Y61" s="1271" t="s">
        <v>5314</v>
      </c>
      <c r="Z61" s="1273" t="s">
        <v>5315</v>
      </c>
      <c r="AA61" s="1253" t="s">
        <v>5316</v>
      </c>
      <c r="AB61" s="1271" t="s">
        <v>5317</v>
      </c>
      <c r="AC61" s="1437" t="s">
        <v>5318</v>
      </c>
      <c r="AD61" s="1437" t="s">
        <v>5319</v>
      </c>
      <c r="AE61" s="1273" t="s">
        <v>5320</v>
      </c>
      <c r="AF61" s="1253" t="s">
        <v>5321</v>
      </c>
      <c r="AG61" s="1271" t="s">
        <v>5322</v>
      </c>
      <c r="AH61" s="1437" t="s">
        <v>5323</v>
      </c>
      <c r="AI61" s="1437" t="s">
        <v>5324</v>
      </c>
      <c r="AJ61" s="1275" t="s">
        <v>5325</v>
      </c>
      <c r="AK61" s="8" t="s">
        <v>5326</v>
      </c>
      <c r="AL61" s="8" t="s">
        <v>5327</v>
      </c>
      <c r="AM61" s="8" t="s">
        <v>5328</v>
      </c>
      <c r="AN61" s="8" t="s">
        <v>5329</v>
      </c>
      <c r="AO61" s="8" t="s">
        <v>5330</v>
      </c>
      <c r="AP61" s="8" t="s">
        <v>5331</v>
      </c>
      <c r="AQ61" s="8" t="s">
        <v>5332</v>
      </c>
      <c r="AR61" s="8" t="s">
        <v>5333</v>
      </c>
      <c r="AS61" s="170" t="e">
        <f t="shared" si="21"/>
        <v>#VALUE!</v>
      </c>
      <c r="CD61" s="2465" t="e">
        <f t="shared" si="22"/>
        <v>#VALUE!</v>
      </c>
      <c r="CE61" s="2465" t="e">
        <f t="shared" si="23"/>
        <v>#VALUE!</v>
      </c>
      <c r="CF61" s="2465" t="str">
        <f t="shared" si="24"/>
        <v xml:space="preserve"> * La variable Pueblos originarios No puede ser mayor al Total.</v>
      </c>
      <c r="CG61" s="2465" t="str">
        <f t="shared" si="25"/>
        <v xml:space="preserve"> * La variable Migrantes No puede ser mayor al Total.</v>
      </c>
      <c r="CH61" s="2465"/>
      <c r="CI61" s="2465"/>
      <c r="CJ61" s="2465"/>
      <c r="CL61" s="2466" t="e">
        <f t="shared" si="26"/>
        <v>#VALUE!</v>
      </c>
      <c r="CM61" s="2466" t="e">
        <f t="shared" si="27"/>
        <v>#VALUE!</v>
      </c>
      <c r="CN61" s="2466">
        <f t="shared" si="28"/>
        <v>1</v>
      </c>
      <c r="CO61" s="2466">
        <f t="shared" si="29"/>
        <v>1</v>
      </c>
      <c r="CP61" s="2466"/>
    </row>
    <row r="62" spans="1:94" s="170" customFormat="1" ht="15" customHeight="1" x14ac:dyDescent="0.2">
      <c r="A62" s="6234">
        <v>32101557</v>
      </c>
      <c r="B62" s="1253" t="s">
        <v>974</v>
      </c>
      <c r="C62" s="1457" t="s">
        <v>5292</v>
      </c>
      <c r="D62" s="1532" t="s">
        <v>5293</v>
      </c>
      <c r="E62" s="1531" t="s">
        <v>5294</v>
      </c>
      <c r="F62" s="1531" t="s">
        <v>5295</v>
      </c>
      <c r="G62" s="1426" t="s">
        <v>5296</v>
      </c>
      <c r="H62" s="1426" t="s">
        <v>5297</v>
      </c>
      <c r="I62" s="1426" t="s">
        <v>5298</v>
      </c>
      <c r="J62" s="1426" t="s">
        <v>5299</v>
      </c>
      <c r="K62" s="1426" t="s">
        <v>5300</v>
      </c>
      <c r="L62" s="1426" t="s">
        <v>5301</v>
      </c>
      <c r="M62" s="1426" t="s">
        <v>5302</v>
      </c>
      <c r="N62" s="1426" t="s">
        <v>5303</v>
      </c>
      <c r="O62" s="1426" t="s">
        <v>5304</v>
      </c>
      <c r="P62" s="1426" t="s">
        <v>5305</v>
      </c>
      <c r="Q62" s="1426" t="s">
        <v>5306</v>
      </c>
      <c r="R62" s="1426" t="s">
        <v>5307</v>
      </c>
      <c r="S62" s="1426" t="s">
        <v>5308</v>
      </c>
      <c r="T62" s="1099" t="s">
        <v>5309</v>
      </c>
      <c r="U62" s="1271" t="s">
        <v>5310</v>
      </c>
      <c r="V62" s="1273" t="s">
        <v>5311</v>
      </c>
      <c r="W62" s="1271" t="s">
        <v>5312</v>
      </c>
      <c r="X62" s="1273" t="s">
        <v>5313</v>
      </c>
      <c r="Y62" s="1271" t="s">
        <v>5314</v>
      </c>
      <c r="Z62" s="1273" t="s">
        <v>5315</v>
      </c>
      <c r="AA62" s="1253" t="s">
        <v>5316</v>
      </c>
      <c r="AB62" s="1271" t="s">
        <v>5317</v>
      </c>
      <c r="AC62" s="1437" t="s">
        <v>5318</v>
      </c>
      <c r="AD62" s="1437" t="s">
        <v>5319</v>
      </c>
      <c r="AE62" s="1273" t="s">
        <v>5320</v>
      </c>
      <c r="AF62" s="1253" t="s">
        <v>5321</v>
      </c>
      <c r="AG62" s="1271" t="s">
        <v>5322</v>
      </c>
      <c r="AH62" s="1437" t="s">
        <v>5323</v>
      </c>
      <c r="AI62" s="1437" t="s">
        <v>5324</v>
      </c>
      <c r="AJ62" s="1275" t="s">
        <v>5325</v>
      </c>
      <c r="AK62" s="8" t="s">
        <v>5326</v>
      </c>
      <c r="AL62" s="8" t="s">
        <v>5327</v>
      </c>
      <c r="AM62" s="8" t="s">
        <v>5328</v>
      </c>
      <c r="AN62" s="8" t="s">
        <v>5329</v>
      </c>
      <c r="AO62" s="8" t="s">
        <v>5330</v>
      </c>
      <c r="AP62" s="8" t="s">
        <v>5331</v>
      </c>
      <c r="AQ62" s="8" t="s">
        <v>5332</v>
      </c>
      <c r="AR62" s="8" t="s">
        <v>5333</v>
      </c>
      <c r="AS62" s="170" t="e">
        <f t="shared" si="21"/>
        <v>#VALUE!</v>
      </c>
      <c r="CD62" s="2465" t="e">
        <f t="shared" si="22"/>
        <v>#VALUE!</v>
      </c>
      <c r="CE62" s="2465" t="e">
        <f t="shared" si="23"/>
        <v>#VALUE!</v>
      </c>
      <c r="CF62" s="2465" t="str">
        <f t="shared" si="24"/>
        <v xml:space="preserve"> * La variable Pueblos originarios No puede ser mayor al Total.</v>
      </c>
      <c r="CG62" s="2465" t="str">
        <f t="shared" si="25"/>
        <v xml:space="preserve"> * La variable Migrantes No puede ser mayor al Total.</v>
      </c>
      <c r="CH62" s="2465"/>
      <c r="CI62" s="2465"/>
      <c r="CJ62" s="2465"/>
      <c r="CL62" s="2466" t="e">
        <f t="shared" si="26"/>
        <v>#VALUE!</v>
      </c>
      <c r="CM62" s="2466" t="e">
        <f t="shared" si="27"/>
        <v>#VALUE!</v>
      </c>
      <c r="CN62" s="2466">
        <f t="shared" si="28"/>
        <v>1</v>
      </c>
      <c r="CO62" s="2466">
        <f t="shared" si="29"/>
        <v>1</v>
      </c>
      <c r="CP62" s="2466"/>
    </row>
    <row r="63" spans="1:94" s="170" customFormat="1" ht="15" customHeight="1" x14ac:dyDescent="0.2">
      <c r="A63" s="6234">
        <v>32101558</v>
      </c>
      <c r="B63" s="1253" t="s">
        <v>975</v>
      </c>
      <c r="C63" s="1457" t="s">
        <v>5292</v>
      </c>
      <c r="D63" s="1532" t="s">
        <v>5293</v>
      </c>
      <c r="E63" s="1531" t="s">
        <v>5294</v>
      </c>
      <c r="F63" s="1531" t="s">
        <v>5295</v>
      </c>
      <c r="G63" s="1426" t="s">
        <v>5296</v>
      </c>
      <c r="H63" s="1426" t="s">
        <v>5297</v>
      </c>
      <c r="I63" s="1426" t="s">
        <v>5298</v>
      </c>
      <c r="J63" s="1426" t="s">
        <v>5299</v>
      </c>
      <c r="K63" s="1426" t="s">
        <v>5300</v>
      </c>
      <c r="L63" s="1426" t="s">
        <v>5301</v>
      </c>
      <c r="M63" s="1426" t="s">
        <v>5302</v>
      </c>
      <c r="N63" s="1426" t="s">
        <v>5303</v>
      </c>
      <c r="O63" s="1426" t="s">
        <v>5304</v>
      </c>
      <c r="P63" s="1426" t="s">
        <v>5305</v>
      </c>
      <c r="Q63" s="1426" t="s">
        <v>5306</v>
      </c>
      <c r="R63" s="1426" t="s">
        <v>5307</v>
      </c>
      <c r="S63" s="1426" t="s">
        <v>5308</v>
      </c>
      <c r="T63" s="1099" t="s">
        <v>5309</v>
      </c>
      <c r="U63" s="1271" t="s">
        <v>5310</v>
      </c>
      <c r="V63" s="1273" t="s">
        <v>5311</v>
      </c>
      <c r="W63" s="1271" t="s">
        <v>5312</v>
      </c>
      <c r="X63" s="1273" t="s">
        <v>5313</v>
      </c>
      <c r="Y63" s="1271" t="s">
        <v>5314</v>
      </c>
      <c r="Z63" s="1273" t="s">
        <v>5315</v>
      </c>
      <c r="AA63" s="1253" t="s">
        <v>5316</v>
      </c>
      <c r="AB63" s="1271" t="s">
        <v>5317</v>
      </c>
      <c r="AC63" s="1437" t="s">
        <v>5318</v>
      </c>
      <c r="AD63" s="1437" t="s">
        <v>5319</v>
      </c>
      <c r="AE63" s="1273" t="s">
        <v>5320</v>
      </c>
      <c r="AF63" s="1253" t="s">
        <v>5321</v>
      </c>
      <c r="AG63" s="1271" t="s">
        <v>5322</v>
      </c>
      <c r="AH63" s="1437" t="s">
        <v>5323</v>
      </c>
      <c r="AI63" s="1437" t="s">
        <v>5324</v>
      </c>
      <c r="AJ63" s="1275" t="s">
        <v>5325</v>
      </c>
      <c r="AK63" s="8" t="s">
        <v>5326</v>
      </c>
      <c r="AL63" s="8" t="s">
        <v>5327</v>
      </c>
      <c r="AM63" s="8" t="s">
        <v>5328</v>
      </c>
      <c r="AN63" s="8" t="s">
        <v>5329</v>
      </c>
      <c r="AO63" s="8" t="s">
        <v>5330</v>
      </c>
      <c r="AP63" s="8" t="s">
        <v>5331</v>
      </c>
      <c r="AQ63" s="8" t="s">
        <v>5332</v>
      </c>
      <c r="AR63" s="8" t="s">
        <v>5333</v>
      </c>
      <c r="AS63" s="170" t="e">
        <f t="shared" si="21"/>
        <v>#VALUE!</v>
      </c>
      <c r="CD63" s="2465" t="e">
        <f t="shared" si="22"/>
        <v>#VALUE!</v>
      </c>
      <c r="CE63" s="2465" t="e">
        <f t="shared" si="23"/>
        <v>#VALUE!</v>
      </c>
      <c r="CF63" s="2465" t="str">
        <f t="shared" si="24"/>
        <v xml:space="preserve"> * La variable Pueblos originarios No puede ser mayor al Total.</v>
      </c>
      <c r="CG63" s="2465" t="str">
        <f t="shared" si="25"/>
        <v xml:space="preserve"> * La variable Migrantes No puede ser mayor al Total.</v>
      </c>
      <c r="CH63" s="2465"/>
      <c r="CI63" s="2465"/>
      <c r="CJ63" s="2465"/>
      <c r="CL63" s="2466" t="e">
        <f t="shared" si="26"/>
        <v>#VALUE!</v>
      </c>
      <c r="CM63" s="2466" t="e">
        <f t="shared" si="27"/>
        <v>#VALUE!</v>
      </c>
      <c r="CN63" s="2466">
        <f t="shared" si="28"/>
        <v>1</v>
      </c>
      <c r="CO63" s="2466">
        <f t="shared" si="29"/>
        <v>1</v>
      </c>
      <c r="CP63" s="2466"/>
    </row>
    <row r="64" spans="1:94" s="170" customFormat="1" ht="15" customHeight="1" x14ac:dyDescent="0.2">
      <c r="A64" s="6234">
        <v>32101559</v>
      </c>
      <c r="B64" s="1253" t="s">
        <v>976</v>
      </c>
      <c r="C64" s="1457" t="s">
        <v>5292</v>
      </c>
      <c r="D64" s="1532" t="s">
        <v>5293</v>
      </c>
      <c r="E64" s="1531" t="s">
        <v>5294</v>
      </c>
      <c r="F64" s="1531" t="s">
        <v>5295</v>
      </c>
      <c r="G64" s="1426" t="s">
        <v>5296</v>
      </c>
      <c r="H64" s="1426" t="s">
        <v>5297</v>
      </c>
      <c r="I64" s="1426" t="s">
        <v>5298</v>
      </c>
      <c r="J64" s="1426" t="s">
        <v>5299</v>
      </c>
      <c r="K64" s="1426" t="s">
        <v>5300</v>
      </c>
      <c r="L64" s="1426" t="s">
        <v>5301</v>
      </c>
      <c r="M64" s="1426" t="s">
        <v>5302</v>
      </c>
      <c r="N64" s="1426" t="s">
        <v>5303</v>
      </c>
      <c r="O64" s="1426" t="s">
        <v>5304</v>
      </c>
      <c r="P64" s="1426" t="s">
        <v>5305</v>
      </c>
      <c r="Q64" s="1426" t="s">
        <v>5306</v>
      </c>
      <c r="R64" s="1426" t="s">
        <v>5307</v>
      </c>
      <c r="S64" s="1426" t="s">
        <v>5308</v>
      </c>
      <c r="T64" s="1099" t="s">
        <v>5309</v>
      </c>
      <c r="U64" s="1271" t="s">
        <v>5310</v>
      </c>
      <c r="V64" s="1273" t="s">
        <v>5311</v>
      </c>
      <c r="W64" s="1271" t="s">
        <v>5312</v>
      </c>
      <c r="X64" s="1273" t="s">
        <v>5313</v>
      </c>
      <c r="Y64" s="1271" t="s">
        <v>5314</v>
      </c>
      <c r="Z64" s="1273" t="s">
        <v>5315</v>
      </c>
      <c r="AA64" s="1253" t="s">
        <v>5316</v>
      </c>
      <c r="AB64" s="1271" t="s">
        <v>5317</v>
      </c>
      <c r="AC64" s="1437" t="s">
        <v>5318</v>
      </c>
      <c r="AD64" s="1437" t="s">
        <v>5319</v>
      </c>
      <c r="AE64" s="1273" t="s">
        <v>5320</v>
      </c>
      <c r="AF64" s="1253" t="s">
        <v>5321</v>
      </c>
      <c r="AG64" s="1271" t="s">
        <v>5322</v>
      </c>
      <c r="AH64" s="1437" t="s">
        <v>5323</v>
      </c>
      <c r="AI64" s="1437" t="s">
        <v>5324</v>
      </c>
      <c r="AJ64" s="1275" t="s">
        <v>5325</v>
      </c>
      <c r="AK64" s="8" t="s">
        <v>5326</v>
      </c>
      <c r="AL64" s="8" t="s">
        <v>5327</v>
      </c>
      <c r="AM64" s="8" t="s">
        <v>5328</v>
      </c>
      <c r="AN64" s="8" t="s">
        <v>5329</v>
      </c>
      <c r="AO64" s="8" t="s">
        <v>5330</v>
      </c>
      <c r="AP64" s="8" t="s">
        <v>5331</v>
      </c>
      <c r="AQ64" s="8" t="s">
        <v>5332</v>
      </c>
      <c r="AR64" s="8" t="s">
        <v>5333</v>
      </c>
      <c r="AS64" s="170" t="e">
        <f t="shared" si="21"/>
        <v>#VALUE!</v>
      </c>
      <c r="CD64" s="2465" t="e">
        <f t="shared" si="22"/>
        <v>#VALUE!</v>
      </c>
      <c r="CE64" s="2465" t="e">
        <f t="shared" si="23"/>
        <v>#VALUE!</v>
      </c>
      <c r="CF64" s="2465" t="str">
        <f t="shared" si="24"/>
        <v xml:space="preserve"> * La variable Pueblos originarios No puede ser mayor al Total.</v>
      </c>
      <c r="CG64" s="2465" t="str">
        <f t="shared" si="25"/>
        <v xml:space="preserve"> * La variable Migrantes No puede ser mayor al Total.</v>
      </c>
      <c r="CH64" s="2465"/>
      <c r="CI64" s="2465"/>
      <c r="CJ64" s="2465"/>
      <c r="CL64" s="2466" t="e">
        <f t="shared" si="26"/>
        <v>#VALUE!</v>
      </c>
      <c r="CM64" s="2466" t="e">
        <f t="shared" si="27"/>
        <v>#VALUE!</v>
      </c>
      <c r="CN64" s="2466">
        <f t="shared" si="28"/>
        <v>1</v>
      </c>
      <c r="CO64" s="2466">
        <f t="shared" si="29"/>
        <v>1</v>
      </c>
      <c r="CP64" s="2466"/>
    </row>
    <row r="65" spans="1:94" s="170" customFormat="1" ht="15" customHeight="1" x14ac:dyDescent="0.2">
      <c r="A65" s="6234">
        <v>32101560</v>
      </c>
      <c r="B65" s="1253" t="s">
        <v>977</v>
      </c>
      <c r="C65" s="1457" t="s">
        <v>5292</v>
      </c>
      <c r="D65" s="1095" t="s">
        <v>5293</v>
      </c>
      <c r="E65" s="1426" t="s">
        <v>5294</v>
      </c>
      <c r="F65" s="1426" t="s">
        <v>5295</v>
      </c>
      <c r="G65" s="1426" t="s">
        <v>5296</v>
      </c>
      <c r="H65" s="1426" t="s">
        <v>5297</v>
      </c>
      <c r="I65" s="1426" t="s">
        <v>5298</v>
      </c>
      <c r="J65" s="1426" t="s">
        <v>5299</v>
      </c>
      <c r="K65" s="1426" t="s">
        <v>5300</v>
      </c>
      <c r="L65" s="1426" t="s">
        <v>5301</v>
      </c>
      <c r="M65" s="1426" t="s">
        <v>5302</v>
      </c>
      <c r="N65" s="1426" t="s">
        <v>5303</v>
      </c>
      <c r="O65" s="1426" t="s">
        <v>5304</v>
      </c>
      <c r="P65" s="1426" t="s">
        <v>5305</v>
      </c>
      <c r="Q65" s="1426" t="s">
        <v>5306</v>
      </c>
      <c r="R65" s="1426" t="s">
        <v>5307</v>
      </c>
      <c r="S65" s="1426" t="s">
        <v>5308</v>
      </c>
      <c r="T65" s="1099" t="s">
        <v>5309</v>
      </c>
      <c r="U65" s="1271" t="s">
        <v>5310</v>
      </c>
      <c r="V65" s="1273" t="s">
        <v>5311</v>
      </c>
      <c r="W65" s="1271" t="s">
        <v>5312</v>
      </c>
      <c r="X65" s="1273" t="s">
        <v>5313</v>
      </c>
      <c r="Y65" s="1271" t="s">
        <v>5314</v>
      </c>
      <c r="Z65" s="1273" t="s">
        <v>5315</v>
      </c>
      <c r="AA65" s="1253" t="s">
        <v>5316</v>
      </c>
      <c r="AB65" s="1271" t="s">
        <v>5317</v>
      </c>
      <c r="AC65" s="1437" t="s">
        <v>5318</v>
      </c>
      <c r="AD65" s="1437" t="s">
        <v>5319</v>
      </c>
      <c r="AE65" s="1273" t="s">
        <v>5320</v>
      </c>
      <c r="AF65" s="1253" t="s">
        <v>5321</v>
      </c>
      <c r="AG65" s="1271" t="s">
        <v>5322</v>
      </c>
      <c r="AH65" s="1437" t="s">
        <v>5323</v>
      </c>
      <c r="AI65" s="1437" t="s">
        <v>5324</v>
      </c>
      <c r="AJ65" s="1275" t="s">
        <v>5325</v>
      </c>
      <c r="AK65" s="8" t="s">
        <v>5326</v>
      </c>
      <c r="AL65" s="8" t="s">
        <v>5327</v>
      </c>
      <c r="AM65" s="8" t="s">
        <v>5328</v>
      </c>
      <c r="AN65" s="8" t="s">
        <v>5329</v>
      </c>
      <c r="AO65" s="8" t="s">
        <v>5330</v>
      </c>
      <c r="AP65" s="8" t="s">
        <v>5331</v>
      </c>
      <c r="AQ65" s="8" t="s">
        <v>5332</v>
      </c>
      <c r="AR65" s="8" t="s">
        <v>5333</v>
      </c>
      <c r="AS65" s="170" t="e">
        <f t="shared" si="21"/>
        <v>#VALUE!</v>
      </c>
      <c r="CD65" s="2465" t="e">
        <f t="shared" si="22"/>
        <v>#VALUE!</v>
      </c>
      <c r="CE65" s="2465" t="e">
        <f t="shared" si="23"/>
        <v>#VALUE!</v>
      </c>
      <c r="CF65" s="2465" t="str">
        <f t="shared" si="24"/>
        <v xml:space="preserve"> * La variable Pueblos originarios No puede ser mayor al Total.</v>
      </c>
      <c r="CG65" s="2465" t="str">
        <f t="shared" si="25"/>
        <v xml:space="preserve"> * La variable Migrantes No puede ser mayor al Total.</v>
      </c>
      <c r="CH65" s="2465"/>
      <c r="CI65" s="2465"/>
      <c r="CJ65" s="2465"/>
      <c r="CL65" s="2466" t="e">
        <f t="shared" si="26"/>
        <v>#VALUE!</v>
      </c>
      <c r="CM65" s="2466" t="e">
        <f t="shared" si="27"/>
        <v>#VALUE!</v>
      </c>
      <c r="CN65" s="2466">
        <f t="shared" si="28"/>
        <v>1</v>
      </c>
      <c r="CO65" s="2466">
        <f t="shared" si="29"/>
        <v>1</v>
      </c>
      <c r="CP65" s="2466"/>
    </row>
    <row r="66" spans="1:94" s="170" customFormat="1" ht="15" customHeight="1" x14ac:dyDescent="0.2">
      <c r="A66" s="6234">
        <v>32101561</v>
      </c>
      <c r="B66" s="1253" t="s">
        <v>978</v>
      </c>
      <c r="C66" s="1457" t="s">
        <v>5292</v>
      </c>
      <c r="D66" s="1095" t="s">
        <v>5293</v>
      </c>
      <c r="E66" s="1426" t="s">
        <v>5294</v>
      </c>
      <c r="F66" s="1426" t="s">
        <v>5295</v>
      </c>
      <c r="G66" s="1426" t="s">
        <v>5296</v>
      </c>
      <c r="H66" s="1426" t="s">
        <v>5297</v>
      </c>
      <c r="I66" s="1426" t="s">
        <v>5298</v>
      </c>
      <c r="J66" s="1426" t="s">
        <v>5299</v>
      </c>
      <c r="K66" s="1426" t="s">
        <v>5300</v>
      </c>
      <c r="L66" s="1426" t="s">
        <v>5301</v>
      </c>
      <c r="M66" s="1426" t="s">
        <v>5302</v>
      </c>
      <c r="N66" s="1426" t="s">
        <v>5303</v>
      </c>
      <c r="O66" s="1426" t="s">
        <v>5304</v>
      </c>
      <c r="P66" s="1426" t="s">
        <v>5305</v>
      </c>
      <c r="Q66" s="1426" t="s">
        <v>5306</v>
      </c>
      <c r="R66" s="1426" t="s">
        <v>5307</v>
      </c>
      <c r="S66" s="1426" t="s">
        <v>5308</v>
      </c>
      <c r="T66" s="1099" t="s">
        <v>5309</v>
      </c>
      <c r="U66" s="1271" t="s">
        <v>5310</v>
      </c>
      <c r="V66" s="1273" t="s">
        <v>5311</v>
      </c>
      <c r="W66" s="1271" t="s">
        <v>5312</v>
      </c>
      <c r="X66" s="1273" t="s">
        <v>5313</v>
      </c>
      <c r="Y66" s="1271" t="s">
        <v>5314</v>
      </c>
      <c r="Z66" s="1273" t="s">
        <v>5315</v>
      </c>
      <c r="AA66" s="1253" t="s">
        <v>5316</v>
      </c>
      <c r="AB66" s="1271" t="s">
        <v>5317</v>
      </c>
      <c r="AC66" s="1437" t="s">
        <v>5318</v>
      </c>
      <c r="AD66" s="1437" t="s">
        <v>5319</v>
      </c>
      <c r="AE66" s="1273" t="s">
        <v>5320</v>
      </c>
      <c r="AF66" s="1253" t="s">
        <v>5321</v>
      </c>
      <c r="AG66" s="1271" t="s">
        <v>5322</v>
      </c>
      <c r="AH66" s="1437" t="s">
        <v>5323</v>
      </c>
      <c r="AI66" s="1437" t="s">
        <v>5324</v>
      </c>
      <c r="AJ66" s="1275" t="s">
        <v>5325</v>
      </c>
      <c r="AK66" s="8" t="s">
        <v>5326</v>
      </c>
      <c r="AL66" s="8" t="s">
        <v>5327</v>
      </c>
      <c r="AM66" s="8" t="s">
        <v>5328</v>
      </c>
      <c r="AN66" s="8" t="s">
        <v>5329</v>
      </c>
      <c r="AO66" s="8" t="s">
        <v>5330</v>
      </c>
      <c r="AP66" s="8" t="s">
        <v>5331</v>
      </c>
      <c r="AQ66" s="8" t="s">
        <v>5332</v>
      </c>
      <c r="AR66" s="8" t="s">
        <v>5333</v>
      </c>
      <c r="AS66" s="170" t="e">
        <f t="shared" si="21"/>
        <v>#VALUE!</v>
      </c>
      <c r="CD66" s="2465" t="e">
        <f t="shared" si="22"/>
        <v>#VALUE!</v>
      </c>
      <c r="CE66" s="2465" t="e">
        <f t="shared" si="23"/>
        <v>#VALUE!</v>
      </c>
      <c r="CF66" s="2465" t="str">
        <f t="shared" si="24"/>
        <v xml:space="preserve"> * La variable Pueblos originarios No puede ser mayor al Total.</v>
      </c>
      <c r="CG66" s="2465" t="str">
        <f t="shared" si="25"/>
        <v xml:space="preserve"> * La variable Migrantes No puede ser mayor al Total.</v>
      </c>
      <c r="CH66" s="2465"/>
      <c r="CI66" s="2465"/>
      <c r="CJ66" s="2465"/>
      <c r="CL66" s="2466" t="e">
        <f t="shared" si="26"/>
        <v>#VALUE!</v>
      </c>
      <c r="CM66" s="2466" t="e">
        <f t="shared" si="27"/>
        <v>#VALUE!</v>
      </c>
      <c r="CN66" s="2466">
        <f t="shared" si="28"/>
        <v>1</v>
      </c>
      <c r="CO66" s="2466">
        <f t="shared" si="29"/>
        <v>1</v>
      </c>
      <c r="CP66" s="2466"/>
    </row>
    <row r="67" spans="1:94" s="170" customFormat="1" ht="15" customHeight="1" x14ac:dyDescent="0.2">
      <c r="A67" s="6234">
        <v>32101562</v>
      </c>
      <c r="B67" s="1253" t="s">
        <v>979</v>
      </c>
      <c r="C67" s="1457" t="s">
        <v>5292</v>
      </c>
      <c r="D67" s="1095" t="s">
        <v>5293</v>
      </c>
      <c r="E67" s="1426" t="s">
        <v>5294</v>
      </c>
      <c r="F67" s="1426" t="s">
        <v>5295</v>
      </c>
      <c r="G67" s="1426" t="s">
        <v>5296</v>
      </c>
      <c r="H67" s="1426" t="s">
        <v>5297</v>
      </c>
      <c r="I67" s="1426" t="s">
        <v>5298</v>
      </c>
      <c r="J67" s="1426" t="s">
        <v>5299</v>
      </c>
      <c r="K67" s="1426" t="s">
        <v>5300</v>
      </c>
      <c r="L67" s="1426" t="s">
        <v>5301</v>
      </c>
      <c r="M67" s="1426" t="s">
        <v>5302</v>
      </c>
      <c r="N67" s="1426" t="s">
        <v>5303</v>
      </c>
      <c r="O67" s="1426" t="s">
        <v>5304</v>
      </c>
      <c r="P67" s="1426" t="s">
        <v>5305</v>
      </c>
      <c r="Q67" s="1426" t="s">
        <v>5306</v>
      </c>
      <c r="R67" s="1426" t="s">
        <v>5307</v>
      </c>
      <c r="S67" s="1426" t="s">
        <v>5308</v>
      </c>
      <c r="T67" s="1099" t="s">
        <v>5309</v>
      </c>
      <c r="U67" s="1271" t="s">
        <v>5310</v>
      </c>
      <c r="V67" s="1273" t="s">
        <v>5311</v>
      </c>
      <c r="W67" s="1271" t="s">
        <v>5312</v>
      </c>
      <c r="X67" s="1273" t="s">
        <v>5313</v>
      </c>
      <c r="Y67" s="1271" t="s">
        <v>5314</v>
      </c>
      <c r="Z67" s="1273" t="s">
        <v>5315</v>
      </c>
      <c r="AA67" s="1253" t="s">
        <v>5316</v>
      </c>
      <c r="AB67" s="1271" t="s">
        <v>5317</v>
      </c>
      <c r="AC67" s="1437" t="s">
        <v>5318</v>
      </c>
      <c r="AD67" s="1437" t="s">
        <v>5319</v>
      </c>
      <c r="AE67" s="1273" t="s">
        <v>5320</v>
      </c>
      <c r="AF67" s="1253" t="s">
        <v>5321</v>
      </c>
      <c r="AG67" s="1271" t="s">
        <v>5322</v>
      </c>
      <c r="AH67" s="1437" t="s">
        <v>5323</v>
      </c>
      <c r="AI67" s="1437" t="s">
        <v>5324</v>
      </c>
      <c r="AJ67" s="1275" t="s">
        <v>5325</v>
      </c>
      <c r="AK67" s="8" t="s">
        <v>5326</v>
      </c>
      <c r="AL67" s="8" t="s">
        <v>5327</v>
      </c>
      <c r="AM67" s="8" t="s">
        <v>5328</v>
      </c>
      <c r="AN67" s="8" t="s">
        <v>5329</v>
      </c>
      <c r="AO67" s="8" t="s">
        <v>5330</v>
      </c>
      <c r="AP67" s="8" t="s">
        <v>5331</v>
      </c>
      <c r="AQ67" s="8" t="s">
        <v>5332</v>
      </c>
      <c r="AR67" s="8" t="s">
        <v>5333</v>
      </c>
      <c r="AS67" s="170" t="e">
        <f t="shared" si="21"/>
        <v>#VALUE!</v>
      </c>
      <c r="CD67" s="2465" t="e">
        <f t="shared" si="22"/>
        <v>#VALUE!</v>
      </c>
      <c r="CE67" s="2465" t="e">
        <f t="shared" si="23"/>
        <v>#VALUE!</v>
      </c>
      <c r="CF67" s="2465" t="str">
        <f t="shared" si="24"/>
        <v xml:space="preserve"> * La variable Pueblos originarios No puede ser mayor al Total.</v>
      </c>
      <c r="CG67" s="2465" t="str">
        <f t="shared" si="25"/>
        <v xml:space="preserve"> * La variable Migrantes No puede ser mayor al Total.</v>
      </c>
      <c r="CH67" s="2465"/>
      <c r="CI67" s="2465"/>
      <c r="CJ67" s="2465"/>
      <c r="CL67" s="2466" t="e">
        <f t="shared" si="26"/>
        <v>#VALUE!</v>
      </c>
      <c r="CM67" s="2466" t="e">
        <f t="shared" si="27"/>
        <v>#VALUE!</v>
      </c>
      <c r="CN67" s="2466">
        <f t="shared" si="28"/>
        <v>1</v>
      </c>
      <c r="CO67" s="2466">
        <f t="shared" si="29"/>
        <v>1</v>
      </c>
      <c r="CP67" s="2466"/>
    </row>
    <row r="68" spans="1:94" s="170" customFormat="1" ht="15" customHeight="1" x14ac:dyDescent="0.2">
      <c r="A68" s="6234">
        <v>32101563</v>
      </c>
      <c r="B68" s="1107" t="s">
        <v>980</v>
      </c>
      <c r="C68" s="1457" t="s">
        <v>5292</v>
      </c>
      <c r="D68" s="1532" t="s">
        <v>5293</v>
      </c>
      <c r="E68" s="1531" t="s">
        <v>5294</v>
      </c>
      <c r="F68" s="1531" t="s">
        <v>5295</v>
      </c>
      <c r="G68" s="1531" t="s">
        <v>5296</v>
      </c>
      <c r="H68" s="1426" t="s">
        <v>5297</v>
      </c>
      <c r="I68" s="1426" t="s">
        <v>5298</v>
      </c>
      <c r="J68" s="1426" t="s">
        <v>5299</v>
      </c>
      <c r="K68" s="1426" t="s">
        <v>5300</v>
      </c>
      <c r="L68" s="1426" t="s">
        <v>5301</v>
      </c>
      <c r="M68" s="1426" t="s">
        <v>5302</v>
      </c>
      <c r="N68" s="1426" t="s">
        <v>5303</v>
      </c>
      <c r="O68" s="1426" t="s">
        <v>5304</v>
      </c>
      <c r="P68" s="1426" t="s">
        <v>5305</v>
      </c>
      <c r="Q68" s="1426" t="s">
        <v>5306</v>
      </c>
      <c r="R68" s="1426" t="s">
        <v>5307</v>
      </c>
      <c r="S68" s="1426" t="s">
        <v>5308</v>
      </c>
      <c r="T68" s="1099" t="s">
        <v>5309</v>
      </c>
      <c r="U68" s="1271" t="s">
        <v>5310</v>
      </c>
      <c r="V68" s="1273" t="s">
        <v>5311</v>
      </c>
      <c r="W68" s="1271" t="s">
        <v>5312</v>
      </c>
      <c r="X68" s="1273" t="s">
        <v>5313</v>
      </c>
      <c r="Y68" s="1271" t="s">
        <v>5314</v>
      </c>
      <c r="Z68" s="1273" t="s">
        <v>5315</v>
      </c>
      <c r="AA68" s="1253" t="s">
        <v>5316</v>
      </c>
      <c r="AB68" s="1271" t="s">
        <v>5317</v>
      </c>
      <c r="AC68" s="1437" t="s">
        <v>5318</v>
      </c>
      <c r="AD68" s="1437" t="s">
        <v>5319</v>
      </c>
      <c r="AE68" s="1273" t="s">
        <v>5320</v>
      </c>
      <c r="AF68" s="1253" t="s">
        <v>5321</v>
      </c>
      <c r="AG68" s="1271" t="s">
        <v>5322</v>
      </c>
      <c r="AH68" s="1437" t="s">
        <v>5323</v>
      </c>
      <c r="AI68" s="1437" t="s">
        <v>5324</v>
      </c>
      <c r="AJ68" s="1275" t="s">
        <v>5325</v>
      </c>
      <c r="AK68" s="8" t="s">
        <v>5326</v>
      </c>
      <c r="AL68" s="8" t="s">
        <v>5327</v>
      </c>
      <c r="AM68" s="8" t="s">
        <v>5328</v>
      </c>
      <c r="AN68" s="8" t="s">
        <v>5329</v>
      </c>
      <c r="AO68" s="8" t="s">
        <v>5330</v>
      </c>
      <c r="AP68" s="8" t="s">
        <v>5331</v>
      </c>
      <c r="AQ68" s="8" t="s">
        <v>5332</v>
      </c>
      <c r="AR68" s="8" t="s">
        <v>5333</v>
      </c>
      <c r="AS68" s="170" t="e">
        <f t="shared" si="21"/>
        <v>#VALUE!</v>
      </c>
      <c r="CD68" s="2465" t="e">
        <f t="shared" si="22"/>
        <v>#VALUE!</v>
      </c>
      <c r="CE68" s="2465" t="e">
        <f t="shared" si="23"/>
        <v>#VALUE!</v>
      </c>
      <c r="CF68" s="2465" t="str">
        <f t="shared" si="24"/>
        <v xml:space="preserve"> * La variable Pueblos originarios No puede ser mayor al Total.</v>
      </c>
      <c r="CG68" s="2465" t="str">
        <f t="shared" si="25"/>
        <v xml:space="preserve"> * La variable Migrantes No puede ser mayor al Total.</v>
      </c>
      <c r="CH68" s="2465"/>
      <c r="CI68" s="2465"/>
      <c r="CJ68" s="2465"/>
      <c r="CL68" s="2466" t="e">
        <f t="shared" si="26"/>
        <v>#VALUE!</v>
      </c>
      <c r="CM68" s="2466" t="e">
        <f t="shared" si="27"/>
        <v>#VALUE!</v>
      </c>
      <c r="CN68" s="2466">
        <f t="shared" si="28"/>
        <v>1</v>
      </c>
      <c r="CO68" s="2466">
        <f t="shared" si="29"/>
        <v>1</v>
      </c>
      <c r="CP68" s="2466"/>
    </row>
    <row r="69" spans="1:94" s="170" customFormat="1" ht="15" customHeight="1" x14ac:dyDescent="0.2">
      <c r="A69" s="6234">
        <v>32101564</v>
      </c>
      <c r="B69" s="1098" t="s">
        <v>981</v>
      </c>
      <c r="C69" s="1457" t="s">
        <v>5292</v>
      </c>
      <c r="D69" s="1532" t="s">
        <v>5293</v>
      </c>
      <c r="E69" s="1531" t="s">
        <v>5294</v>
      </c>
      <c r="F69" s="1531" t="s">
        <v>5295</v>
      </c>
      <c r="G69" s="1531" t="s">
        <v>5296</v>
      </c>
      <c r="H69" s="1426" t="s">
        <v>5297</v>
      </c>
      <c r="I69" s="1426" t="s">
        <v>5298</v>
      </c>
      <c r="J69" s="1426" t="s">
        <v>5299</v>
      </c>
      <c r="K69" s="1426" t="s">
        <v>5300</v>
      </c>
      <c r="L69" s="1426" t="s">
        <v>5301</v>
      </c>
      <c r="M69" s="1426" t="s">
        <v>5302</v>
      </c>
      <c r="N69" s="1426" t="s">
        <v>5303</v>
      </c>
      <c r="O69" s="1426" t="s">
        <v>5304</v>
      </c>
      <c r="P69" s="1426" t="s">
        <v>5305</v>
      </c>
      <c r="Q69" s="1426" t="s">
        <v>5306</v>
      </c>
      <c r="R69" s="1426" t="s">
        <v>5307</v>
      </c>
      <c r="S69" s="1426" t="s">
        <v>5308</v>
      </c>
      <c r="T69" s="1099" t="s">
        <v>5309</v>
      </c>
      <c r="U69" s="1271" t="s">
        <v>5310</v>
      </c>
      <c r="V69" s="1273" t="s">
        <v>5311</v>
      </c>
      <c r="W69" s="1271" t="s">
        <v>5312</v>
      </c>
      <c r="X69" s="1273" t="s">
        <v>5313</v>
      </c>
      <c r="Y69" s="1271" t="s">
        <v>5314</v>
      </c>
      <c r="Z69" s="1273" t="s">
        <v>5315</v>
      </c>
      <c r="AA69" s="1253" t="s">
        <v>5316</v>
      </c>
      <c r="AB69" s="1271" t="s">
        <v>5317</v>
      </c>
      <c r="AC69" s="1437" t="s">
        <v>5318</v>
      </c>
      <c r="AD69" s="1437" t="s">
        <v>5319</v>
      </c>
      <c r="AE69" s="1273" t="s">
        <v>5320</v>
      </c>
      <c r="AF69" s="1253" t="s">
        <v>5321</v>
      </c>
      <c r="AG69" s="1271" t="s">
        <v>5322</v>
      </c>
      <c r="AH69" s="1437" t="s">
        <v>5323</v>
      </c>
      <c r="AI69" s="1437" t="s">
        <v>5324</v>
      </c>
      <c r="AJ69" s="1275" t="s">
        <v>5325</v>
      </c>
      <c r="AK69" s="8" t="s">
        <v>5326</v>
      </c>
      <c r="AL69" s="8" t="s">
        <v>5327</v>
      </c>
      <c r="AM69" s="8" t="s">
        <v>5328</v>
      </c>
      <c r="AN69" s="8" t="s">
        <v>5329</v>
      </c>
      <c r="AO69" s="8" t="s">
        <v>5330</v>
      </c>
      <c r="AP69" s="8" t="s">
        <v>5331</v>
      </c>
      <c r="AQ69" s="8" t="s">
        <v>5332</v>
      </c>
      <c r="AR69" s="8" t="s">
        <v>5333</v>
      </c>
      <c r="AS69" s="170" t="e">
        <f t="shared" si="21"/>
        <v>#VALUE!</v>
      </c>
      <c r="CD69" s="2465" t="e">
        <f t="shared" si="22"/>
        <v>#VALUE!</v>
      </c>
      <c r="CE69" s="2465" t="e">
        <f t="shared" si="23"/>
        <v>#VALUE!</v>
      </c>
      <c r="CF69" s="2465" t="str">
        <f t="shared" si="24"/>
        <v xml:space="preserve"> * La variable Pueblos originarios No puede ser mayor al Total.</v>
      </c>
      <c r="CG69" s="2465" t="str">
        <f t="shared" si="25"/>
        <v xml:space="preserve"> * La variable Migrantes No puede ser mayor al Total.</v>
      </c>
      <c r="CH69" s="2465"/>
      <c r="CI69" s="2465"/>
      <c r="CJ69" s="2465"/>
      <c r="CL69" s="2466" t="e">
        <f t="shared" si="26"/>
        <v>#VALUE!</v>
      </c>
      <c r="CM69" s="2466" t="e">
        <f t="shared" si="27"/>
        <v>#VALUE!</v>
      </c>
      <c r="CN69" s="2466">
        <f t="shared" si="28"/>
        <v>1</v>
      </c>
      <c r="CO69" s="2466">
        <f t="shared" si="29"/>
        <v>1</v>
      </c>
      <c r="CP69" s="2466"/>
    </row>
    <row r="70" spans="1:94" s="170" customFormat="1" ht="15" customHeight="1" x14ac:dyDescent="0.2">
      <c r="A70" s="6234">
        <v>32101565</v>
      </c>
      <c r="B70" s="1253" t="s">
        <v>982</v>
      </c>
      <c r="C70" s="1457" t="s">
        <v>5292</v>
      </c>
      <c r="D70" s="1532" t="s">
        <v>5293</v>
      </c>
      <c r="E70" s="1531" t="s">
        <v>5294</v>
      </c>
      <c r="F70" s="1531" t="s">
        <v>5295</v>
      </c>
      <c r="G70" s="1531" t="s">
        <v>5296</v>
      </c>
      <c r="H70" s="1531" t="s">
        <v>5297</v>
      </c>
      <c r="I70" s="1531" t="s">
        <v>5298</v>
      </c>
      <c r="J70" s="1531" t="s">
        <v>5299</v>
      </c>
      <c r="K70" s="1531" t="s">
        <v>5300</v>
      </c>
      <c r="L70" s="1531" t="s">
        <v>5301</v>
      </c>
      <c r="M70" s="1426" t="s">
        <v>5302</v>
      </c>
      <c r="N70" s="1426" t="s">
        <v>5303</v>
      </c>
      <c r="O70" s="1426" t="s">
        <v>5304</v>
      </c>
      <c r="P70" s="1426" t="s">
        <v>5305</v>
      </c>
      <c r="Q70" s="1426" t="s">
        <v>5306</v>
      </c>
      <c r="R70" s="1426" t="s">
        <v>5307</v>
      </c>
      <c r="S70" s="1426" t="s">
        <v>5308</v>
      </c>
      <c r="T70" s="1099" t="s">
        <v>5309</v>
      </c>
      <c r="U70" s="1271" t="s">
        <v>5310</v>
      </c>
      <c r="V70" s="1273" t="s">
        <v>5311</v>
      </c>
      <c r="W70" s="1271" t="s">
        <v>5312</v>
      </c>
      <c r="X70" s="1273" t="s">
        <v>5313</v>
      </c>
      <c r="Y70" s="1271" t="s">
        <v>5314</v>
      </c>
      <c r="Z70" s="1273" t="s">
        <v>5315</v>
      </c>
      <c r="AA70" s="1253" t="s">
        <v>5316</v>
      </c>
      <c r="AB70" s="1271" t="s">
        <v>5317</v>
      </c>
      <c r="AC70" s="1437" t="s">
        <v>5318</v>
      </c>
      <c r="AD70" s="1437" t="s">
        <v>5319</v>
      </c>
      <c r="AE70" s="1273" t="s">
        <v>5320</v>
      </c>
      <c r="AF70" s="1253" t="s">
        <v>5321</v>
      </c>
      <c r="AG70" s="1271" t="s">
        <v>5322</v>
      </c>
      <c r="AH70" s="1437" t="s">
        <v>5323</v>
      </c>
      <c r="AI70" s="1437" t="s">
        <v>5324</v>
      </c>
      <c r="AJ70" s="1275" t="s">
        <v>5325</v>
      </c>
      <c r="AK70" s="8" t="s">
        <v>5326</v>
      </c>
      <c r="AL70" s="8" t="s">
        <v>5327</v>
      </c>
      <c r="AM70" s="8" t="s">
        <v>5328</v>
      </c>
      <c r="AN70" s="8" t="s">
        <v>5329</v>
      </c>
      <c r="AO70" s="8" t="s">
        <v>5330</v>
      </c>
      <c r="AP70" s="8" t="s">
        <v>5331</v>
      </c>
      <c r="AQ70" s="8" t="s">
        <v>5332</v>
      </c>
      <c r="AR70" s="8" t="s">
        <v>5333</v>
      </c>
      <c r="AS70" s="170" t="e">
        <f t="shared" si="21"/>
        <v>#VALUE!</v>
      </c>
      <c r="CD70" s="2465" t="e">
        <f t="shared" si="22"/>
        <v>#VALUE!</v>
      </c>
      <c r="CE70" s="2465" t="e">
        <f t="shared" si="23"/>
        <v>#VALUE!</v>
      </c>
      <c r="CF70" s="2465" t="str">
        <f t="shared" si="24"/>
        <v xml:space="preserve"> * La variable Pueblos originarios No puede ser mayor al Total.</v>
      </c>
      <c r="CG70" s="2465" t="str">
        <f t="shared" si="25"/>
        <v xml:space="preserve"> * La variable Migrantes No puede ser mayor al Total.</v>
      </c>
      <c r="CH70" s="2465"/>
      <c r="CI70" s="2465"/>
      <c r="CJ70" s="2465"/>
      <c r="CL70" s="2466" t="e">
        <f t="shared" si="26"/>
        <v>#VALUE!</v>
      </c>
      <c r="CM70" s="2466" t="e">
        <f t="shared" si="27"/>
        <v>#VALUE!</v>
      </c>
      <c r="CN70" s="2466">
        <f t="shared" si="28"/>
        <v>1</v>
      </c>
      <c r="CO70" s="2466">
        <f t="shared" si="29"/>
        <v>1</v>
      </c>
      <c r="CP70" s="2466"/>
    </row>
    <row r="71" spans="1:94" s="170" customFormat="1" ht="15" customHeight="1" x14ac:dyDescent="0.2">
      <c r="A71" s="6234">
        <v>32101566</v>
      </c>
      <c r="B71" s="1253" t="s">
        <v>983</v>
      </c>
      <c r="C71" s="1457" t="s">
        <v>5292</v>
      </c>
      <c r="D71" s="1532" t="s">
        <v>5293</v>
      </c>
      <c r="E71" s="1531" t="s">
        <v>5294</v>
      </c>
      <c r="F71" s="1531" t="s">
        <v>5295</v>
      </c>
      <c r="G71" s="1531" t="s">
        <v>5296</v>
      </c>
      <c r="H71" s="1426" t="s">
        <v>5297</v>
      </c>
      <c r="I71" s="1426" t="s">
        <v>5298</v>
      </c>
      <c r="J71" s="1426" t="s">
        <v>5299</v>
      </c>
      <c r="K71" s="1426" t="s">
        <v>5300</v>
      </c>
      <c r="L71" s="1426" t="s">
        <v>5301</v>
      </c>
      <c r="M71" s="1426" t="s">
        <v>5302</v>
      </c>
      <c r="N71" s="1426" t="s">
        <v>5303</v>
      </c>
      <c r="O71" s="1426" t="s">
        <v>5304</v>
      </c>
      <c r="P71" s="1426" t="s">
        <v>5305</v>
      </c>
      <c r="Q71" s="1426" t="s">
        <v>5306</v>
      </c>
      <c r="R71" s="1426" t="s">
        <v>5307</v>
      </c>
      <c r="S71" s="1426" t="s">
        <v>5308</v>
      </c>
      <c r="T71" s="1099" t="s">
        <v>5309</v>
      </c>
      <c r="U71" s="1271" t="s">
        <v>5310</v>
      </c>
      <c r="V71" s="1273" t="s">
        <v>5311</v>
      </c>
      <c r="W71" s="1271" t="s">
        <v>5312</v>
      </c>
      <c r="X71" s="1273" t="s">
        <v>5313</v>
      </c>
      <c r="Y71" s="1271" t="s">
        <v>5314</v>
      </c>
      <c r="Z71" s="1273" t="s">
        <v>5315</v>
      </c>
      <c r="AA71" s="1253" t="s">
        <v>5316</v>
      </c>
      <c r="AB71" s="1271" t="s">
        <v>5317</v>
      </c>
      <c r="AC71" s="1437" t="s">
        <v>5318</v>
      </c>
      <c r="AD71" s="1437" t="s">
        <v>5319</v>
      </c>
      <c r="AE71" s="1273" t="s">
        <v>5320</v>
      </c>
      <c r="AF71" s="1253" t="s">
        <v>5321</v>
      </c>
      <c r="AG71" s="1271" t="s">
        <v>5322</v>
      </c>
      <c r="AH71" s="1437" t="s">
        <v>5323</v>
      </c>
      <c r="AI71" s="1437" t="s">
        <v>5324</v>
      </c>
      <c r="AJ71" s="1275" t="s">
        <v>5325</v>
      </c>
      <c r="AK71" s="8" t="s">
        <v>5326</v>
      </c>
      <c r="AL71" s="8" t="s">
        <v>5327</v>
      </c>
      <c r="AM71" s="8" t="s">
        <v>5328</v>
      </c>
      <c r="AN71" s="8" t="s">
        <v>5329</v>
      </c>
      <c r="AO71" s="8" t="s">
        <v>5330</v>
      </c>
      <c r="AP71" s="8" t="s">
        <v>5331</v>
      </c>
      <c r="AQ71" s="8" t="s">
        <v>5332</v>
      </c>
      <c r="AR71" s="8" t="s">
        <v>5333</v>
      </c>
      <c r="AS71" s="170" t="e">
        <f t="shared" si="21"/>
        <v>#VALUE!</v>
      </c>
      <c r="CD71" s="2465" t="e">
        <f t="shared" si="22"/>
        <v>#VALUE!</v>
      </c>
      <c r="CE71" s="2465" t="e">
        <f t="shared" si="23"/>
        <v>#VALUE!</v>
      </c>
      <c r="CF71" s="2465" t="str">
        <f t="shared" si="24"/>
        <v xml:space="preserve"> * La variable Pueblos originarios No puede ser mayor al Total.</v>
      </c>
      <c r="CG71" s="2465" t="str">
        <f t="shared" si="25"/>
        <v xml:space="preserve"> * La variable Migrantes No puede ser mayor al Total.</v>
      </c>
      <c r="CH71" s="2465"/>
      <c r="CI71" s="2465"/>
      <c r="CJ71" s="2465"/>
      <c r="CL71" s="2466" t="e">
        <f t="shared" si="26"/>
        <v>#VALUE!</v>
      </c>
      <c r="CM71" s="2466" t="e">
        <f t="shared" si="27"/>
        <v>#VALUE!</v>
      </c>
      <c r="CN71" s="2466">
        <f t="shared" si="28"/>
        <v>1</v>
      </c>
      <c r="CO71" s="2466">
        <f t="shared" si="29"/>
        <v>1</v>
      </c>
      <c r="CP71" s="2466"/>
    </row>
    <row r="72" spans="1:94" s="170" customFormat="1" ht="15" customHeight="1" x14ac:dyDescent="0.2">
      <c r="A72" s="6234">
        <v>32101567</v>
      </c>
      <c r="B72" s="1253" t="s">
        <v>1345</v>
      </c>
      <c r="C72" s="1457" t="s">
        <v>5292</v>
      </c>
      <c r="D72" s="1095" t="s">
        <v>5293</v>
      </c>
      <c r="E72" s="1426" t="s">
        <v>5294</v>
      </c>
      <c r="F72" s="1426" t="s">
        <v>5295</v>
      </c>
      <c r="G72" s="1426" t="s">
        <v>5296</v>
      </c>
      <c r="H72" s="1426" t="s">
        <v>5297</v>
      </c>
      <c r="I72" s="1426" t="s">
        <v>5298</v>
      </c>
      <c r="J72" s="1426" t="s">
        <v>5299</v>
      </c>
      <c r="K72" s="1426" t="s">
        <v>5300</v>
      </c>
      <c r="L72" s="1426" t="s">
        <v>5301</v>
      </c>
      <c r="M72" s="1426" t="s">
        <v>5302</v>
      </c>
      <c r="N72" s="1426" t="s">
        <v>5303</v>
      </c>
      <c r="O72" s="1426" t="s">
        <v>5304</v>
      </c>
      <c r="P72" s="1426" t="s">
        <v>5305</v>
      </c>
      <c r="Q72" s="1426" t="s">
        <v>5306</v>
      </c>
      <c r="R72" s="1426" t="s">
        <v>5307</v>
      </c>
      <c r="S72" s="1426" t="s">
        <v>5308</v>
      </c>
      <c r="T72" s="1099" t="s">
        <v>5309</v>
      </c>
      <c r="U72" s="1271" t="s">
        <v>5310</v>
      </c>
      <c r="V72" s="1273" t="s">
        <v>5311</v>
      </c>
      <c r="W72" s="1271" t="s">
        <v>5312</v>
      </c>
      <c r="X72" s="1273" t="s">
        <v>5313</v>
      </c>
      <c r="Y72" s="1271" t="s">
        <v>5314</v>
      </c>
      <c r="Z72" s="1273" t="s">
        <v>5315</v>
      </c>
      <c r="AA72" s="1253" t="s">
        <v>5316</v>
      </c>
      <c r="AB72" s="1271" t="s">
        <v>5317</v>
      </c>
      <c r="AC72" s="1437" t="s">
        <v>5318</v>
      </c>
      <c r="AD72" s="1437" t="s">
        <v>5319</v>
      </c>
      <c r="AE72" s="1273" t="s">
        <v>5320</v>
      </c>
      <c r="AF72" s="1253" t="s">
        <v>5321</v>
      </c>
      <c r="AG72" s="1271" t="s">
        <v>5322</v>
      </c>
      <c r="AH72" s="1437" t="s">
        <v>5323</v>
      </c>
      <c r="AI72" s="1437" t="s">
        <v>5324</v>
      </c>
      <c r="AJ72" s="1275" t="s">
        <v>5325</v>
      </c>
      <c r="AK72" s="8" t="s">
        <v>5326</v>
      </c>
      <c r="AL72" s="8" t="s">
        <v>5327</v>
      </c>
      <c r="AM72" s="8" t="s">
        <v>5328</v>
      </c>
      <c r="AN72" s="8" t="s">
        <v>5329</v>
      </c>
      <c r="AO72" s="8" t="s">
        <v>5330</v>
      </c>
      <c r="AP72" s="8" t="s">
        <v>5331</v>
      </c>
      <c r="AQ72" s="8" t="s">
        <v>5332</v>
      </c>
      <c r="AR72" s="8" t="s">
        <v>5333</v>
      </c>
      <c r="AS72" s="170" t="e">
        <f t="shared" si="21"/>
        <v>#VALUE!</v>
      </c>
      <c r="CD72" s="2465" t="e">
        <f t="shared" si="22"/>
        <v>#VALUE!</v>
      </c>
      <c r="CE72" s="2465" t="e">
        <f t="shared" si="23"/>
        <v>#VALUE!</v>
      </c>
      <c r="CF72" s="2465" t="str">
        <f t="shared" si="24"/>
        <v xml:space="preserve"> * La variable Pueblos originarios No puede ser mayor al Total.</v>
      </c>
      <c r="CG72" s="2465" t="str">
        <f t="shared" si="25"/>
        <v xml:space="preserve"> * La variable Migrantes No puede ser mayor al Total.</v>
      </c>
      <c r="CH72" s="2465"/>
      <c r="CI72" s="2465"/>
      <c r="CJ72" s="2465"/>
      <c r="CL72" s="2466" t="e">
        <f t="shared" si="26"/>
        <v>#VALUE!</v>
      </c>
      <c r="CM72" s="2466" t="e">
        <f t="shared" si="27"/>
        <v>#VALUE!</v>
      </c>
      <c r="CN72" s="2466">
        <f t="shared" si="28"/>
        <v>1</v>
      </c>
      <c r="CO72" s="2466">
        <f t="shared" si="29"/>
        <v>1</v>
      </c>
      <c r="CP72" s="2466"/>
    </row>
    <row r="73" spans="1:94" s="170" customFormat="1" ht="15" customHeight="1" x14ac:dyDescent="0.2">
      <c r="A73" s="6234">
        <v>32101568</v>
      </c>
      <c r="B73" s="1253" t="s">
        <v>984</v>
      </c>
      <c r="C73" s="1457" t="s">
        <v>5292</v>
      </c>
      <c r="D73" s="1095" t="s">
        <v>5293</v>
      </c>
      <c r="E73" s="1426" t="s">
        <v>5294</v>
      </c>
      <c r="F73" s="1426" t="s">
        <v>5295</v>
      </c>
      <c r="G73" s="1426" t="s">
        <v>5296</v>
      </c>
      <c r="H73" s="1426" t="s">
        <v>5297</v>
      </c>
      <c r="I73" s="1426" t="s">
        <v>5298</v>
      </c>
      <c r="J73" s="1426" t="s">
        <v>5299</v>
      </c>
      <c r="K73" s="1426" t="s">
        <v>5300</v>
      </c>
      <c r="L73" s="1426" t="s">
        <v>5301</v>
      </c>
      <c r="M73" s="1426" t="s">
        <v>5302</v>
      </c>
      <c r="N73" s="1426" t="s">
        <v>5303</v>
      </c>
      <c r="O73" s="1426" t="s">
        <v>5304</v>
      </c>
      <c r="P73" s="1426" t="s">
        <v>5305</v>
      </c>
      <c r="Q73" s="1426" t="s">
        <v>5306</v>
      </c>
      <c r="R73" s="1426" t="s">
        <v>5307</v>
      </c>
      <c r="S73" s="1426" t="s">
        <v>5308</v>
      </c>
      <c r="T73" s="1099" t="s">
        <v>5309</v>
      </c>
      <c r="U73" s="1271" t="s">
        <v>5310</v>
      </c>
      <c r="V73" s="1273" t="s">
        <v>5311</v>
      </c>
      <c r="W73" s="1271" t="s">
        <v>5312</v>
      </c>
      <c r="X73" s="1273" t="s">
        <v>5313</v>
      </c>
      <c r="Y73" s="1271" t="s">
        <v>5314</v>
      </c>
      <c r="Z73" s="1273" t="s">
        <v>5315</v>
      </c>
      <c r="AA73" s="1253" t="s">
        <v>5316</v>
      </c>
      <c r="AB73" s="1271" t="s">
        <v>5317</v>
      </c>
      <c r="AC73" s="1437" t="s">
        <v>5318</v>
      </c>
      <c r="AD73" s="1437" t="s">
        <v>5319</v>
      </c>
      <c r="AE73" s="1273" t="s">
        <v>5320</v>
      </c>
      <c r="AF73" s="1253" t="s">
        <v>5321</v>
      </c>
      <c r="AG73" s="1271" t="s">
        <v>5322</v>
      </c>
      <c r="AH73" s="1437" t="s">
        <v>5323</v>
      </c>
      <c r="AI73" s="1437" t="s">
        <v>5324</v>
      </c>
      <c r="AJ73" s="1275" t="s">
        <v>5325</v>
      </c>
      <c r="AK73" s="8" t="s">
        <v>5326</v>
      </c>
      <c r="AL73" s="8" t="s">
        <v>5327</v>
      </c>
      <c r="AM73" s="8" t="s">
        <v>5328</v>
      </c>
      <c r="AN73" s="8" t="s">
        <v>5329</v>
      </c>
      <c r="AO73" s="8" t="s">
        <v>5330</v>
      </c>
      <c r="AP73" s="8" t="s">
        <v>5331</v>
      </c>
      <c r="AQ73" s="8" t="s">
        <v>5332</v>
      </c>
      <c r="AR73" s="8" t="s">
        <v>5333</v>
      </c>
      <c r="AS73" s="170" t="e">
        <f t="shared" si="21"/>
        <v>#VALUE!</v>
      </c>
      <c r="CD73" s="2465" t="e">
        <f t="shared" si="22"/>
        <v>#VALUE!</v>
      </c>
      <c r="CE73" s="2465" t="e">
        <f t="shared" si="23"/>
        <v>#VALUE!</v>
      </c>
      <c r="CF73" s="2465" t="str">
        <f t="shared" si="24"/>
        <v xml:space="preserve"> * La variable Pueblos originarios No puede ser mayor al Total.</v>
      </c>
      <c r="CG73" s="2465" t="str">
        <f t="shared" si="25"/>
        <v xml:space="preserve"> * La variable Migrantes No puede ser mayor al Total.</v>
      </c>
      <c r="CH73" s="2465"/>
      <c r="CI73" s="2465"/>
      <c r="CJ73" s="2465"/>
      <c r="CL73" s="2466" t="e">
        <f t="shared" si="26"/>
        <v>#VALUE!</v>
      </c>
      <c r="CM73" s="2466" t="e">
        <f t="shared" si="27"/>
        <v>#VALUE!</v>
      </c>
      <c r="CN73" s="2466">
        <f t="shared" si="28"/>
        <v>1</v>
      </c>
      <c r="CO73" s="2466">
        <f t="shared" si="29"/>
        <v>1</v>
      </c>
      <c r="CP73" s="2466"/>
    </row>
    <row r="74" spans="1:94" s="170" customFormat="1" ht="15" customHeight="1" x14ac:dyDescent="0.2">
      <c r="A74" s="6234">
        <v>32101569</v>
      </c>
      <c r="B74" s="1253" t="s">
        <v>1346</v>
      </c>
      <c r="C74" s="1457" t="s">
        <v>5292</v>
      </c>
      <c r="D74" s="1095" t="s">
        <v>5293</v>
      </c>
      <c r="E74" s="1426" t="s">
        <v>5294</v>
      </c>
      <c r="F74" s="1426" t="s">
        <v>5295</v>
      </c>
      <c r="G74" s="1426" t="s">
        <v>5296</v>
      </c>
      <c r="H74" s="1426" t="s">
        <v>5297</v>
      </c>
      <c r="I74" s="1426" t="s">
        <v>5298</v>
      </c>
      <c r="J74" s="1426" t="s">
        <v>5299</v>
      </c>
      <c r="K74" s="1426" t="s">
        <v>5300</v>
      </c>
      <c r="L74" s="1426" t="s">
        <v>5301</v>
      </c>
      <c r="M74" s="1426" t="s">
        <v>5302</v>
      </c>
      <c r="N74" s="1426" t="s">
        <v>5303</v>
      </c>
      <c r="O74" s="1426" t="s">
        <v>5304</v>
      </c>
      <c r="P74" s="1426" t="s">
        <v>5305</v>
      </c>
      <c r="Q74" s="1426" t="s">
        <v>5306</v>
      </c>
      <c r="R74" s="1426" t="s">
        <v>5307</v>
      </c>
      <c r="S74" s="1426" t="s">
        <v>5308</v>
      </c>
      <c r="T74" s="1099" t="s">
        <v>5309</v>
      </c>
      <c r="U74" s="1271" t="s">
        <v>5310</v>
      </c>
      <c r="V74" s="1273" t="s">
        <v>5311</v>
      </c>
      <c r="W74" s="1271" t="s">
        <v>5312</v>
      </c>
      <c r="X74" s="1273" t="s">
        <v>5313</v>
      </c>
      <c r="Y74" s="1271" t="s">
        <v>5314</v>
      </c>
      <c r="Z74" s="1273" t="s">
        <v>5315</v>
      </c>
      <c r="AA74" s="1253" t="s">
        <v>5316</v>
      </c>
      <c r="AB74" s="1271" t="s">
        <v>5317</v>
      </c>
      <c r="AC74" s="1437" t="s">
        <v>5318</v>
      </c>
      <c r="AD74" s="1437" t="s">
        <v>5319</v>
      </c>
      <c r="AE74" s="1273" t="s">
        <v>5320</v>
      </c>
      <c r="AF74" s="1253" t="s">
        <v>5321</v>
      </c>
      <c r="AG74" s="1271" t="s">
        <v>5322</v>
      </c>
      <c r="AH74" s="1437" t="s">
        <v>5323</v>
      </c>
      <c r="AI74" s="1437" t="s">
        <v>5324</v>
      </c>
      <c r="AJ74" s="1275" t="s">
        <v>5325</v>
      </c>
      <c r="AK74" s="8" t="s">
        <v>5326</v>
      </c>
      <c r="AL74" s="8" t="s">
        <v>5327</v>
      </c>
      <c r="AM74" s="8" t="s">
        <v>5328</v>
      </c>
      <c r="AN74" s="8" t="s">
        <v>5329</v>
      </c>
      <c r="AO74" s="8" t="s">
        <v>5330</v>
      </c>
      <c r="AP74" s="8" t="s">
        <v>5331</v>
      </c>
      <c r="AQ74" s="8" t="s">
        <v>5332</v>
      </c>
      <c r="AR74" s="8" t="s">
        <v>5333</v>
      </c>
      <c r="AS74" s="170" t="e">
        <f t="shared" si="21"/>
        <v>#VALUE!</v>
      </c>
      <c r="CD74" s="2465" t="e">
        <f t="shared" si="22"/>
        <v>#VALUE!</v>
      </c>
      <c r="CE74" s="2465" t="e">
        <f t="shared" si="23"/>
        <v>#VALUE!</v>
      </c>
      <c r="CF74" s="2465" t="str">
        <f t="shared" si="24"/>
        <v xml:space="preserve"> * La variable Pueblos originarios No puede ser mayor al Total.</v>
      </c>
      <c r="CG74" s="2465" t="str">
        <f t="shared" si="25"/>
        <v xml:space="preserve"> * La variable Migrantes No puede ser mayor al Total.</v>
      </c>
      <c r="CH74" s="2465"/>
      <c r="CI74" s="2465"/>
      <c r="CJ74" s="2465"/>
      <c r="CL74" s="2466" t="e">
        <f t="shared" si="26"/>
        <v>#VALUE!</v>
      </c>
      <c r="CM74" s="2466" t="e">
        <f t="shared" si="27"/>
        <v>#VALUE!</v>
      </c>
      <c r="CN74" s="2466">
        <f t="shared" si="28"/>
        <v>1</v>
      </c>
      <c r="CO74" s="2466">
        <f t="shared" si="29"/>
        <v>1</v>
      </c>
      <c r="CP74" s="2466"/>
    </row>
    <row r="75" spans="1:94" s="170" customFormat="1" ht="15" customHeight="1" x14ac:dyDescent="0.2">
      <c r="A75" s="6234">
        <v>32101570</v>
      </c>
      <c r="B75" s="1253" t="s">
        <v>234</v>
      </c>
      <c r="C75" s="1457" t="s">
        <v>5292</v>
      </c>
      <c r="D75" s="1095" t="s">
        <v>5293</v>
      </c>
      <c r="E75" s="1426" t="s">
        <v>5294</v>
      </c>
      <c r="F75" s="1426" t="s">
        <v>5295</v>
      </c>
      <c r="G75" s="1426" t="s">
        <v>5296</v>
      </c>
      <c r="H75" s="1426" t="s">
        <v>5297</v>
      </c>
      <c r="I75" s="1426" t="s">
        <v>5298</v>
      </c>
      <c r="J75" s="1426" t="s">
        <v>5299</v>
      </c>
      <c r="K75" s="1426" t="s">
        <v>5300</v>
      </c>
      <c r="L75" s="1426" t="s">
        <v>5301</v>
      </c>
      <c r="M75" s="1426" t="s">
        <v>5302</v>
      </c>
      <c r="N75" s="1426" t="s">
        <v>5303</v>
      </c>
      <c r="O75" s="1426" t="s">
        <v>5304</v>
      </c>
      <c r="P75" s="1426" t="s">
        <v>5305</v>
      </c>
      <c r="Q75" s="1426" t="s">
        <v>5306</v>
      </c>
      <c r="R75" s="1426" t="s">
        <v>5307</v>
      </c>
      <c r="S75" s="1426" t="s">
        <v>5308</v>
      </c>
      <c r="T75" s="1099" t="s">
        <v>5309</v>
      </c>
      <c r="U75" s="1095" t="s">
        <v>5310</v>
      </c>
      <c r="V75" s="1099" t="s">
        <v>5311</v>
      </c>
      <c r="W75" s="1095" t="s">
        <v>5312</v>
      </c>
      <c r="X75" s="1099" t="s">
        <v>5313</v>
      </c>
      <c r="Y75" s="1095" t="s">
        <v>5314</v>
      </c>
      <c r="Z75" s="1099" t="s">
        <v>5315</v>
      </c>
      <c r="AA75" s="1253" t="s">
        <v>5316</v>
      </c>
      <c r="AB75" s="1095" t="s">
        <v>5317</v>
      </c>
      <c r="AC75" s="1426" t="s">
        <v>5318</v>
      </c>
      <c r="AD75" s="1426" t="s">
        <v>5319</v>
      </c>
      <c r="AE75" s="1099" t="s">
        <v>5320</v>
      </c>
      <c r="AF75" s="1253" t="s">
        <v>5321</v>
      </c>
      <c r="AG75" s="1095" t="s">
        <v>5322</v>
      </c>
      <c r="AH75" s="1426" t="s">
        <v>5323</v>
      </c>
      <c r="AI75" s="1426" t="s">
        <v>5324</v>
      </c>
      <c r="AJ75" s="1100" t="s">
        <v>5325</v>
      </c>
      <c r="AK75" s="8" t="s">
        <v>5326</v>
      </c>
      <c r="AL75" s="8" t="s">
        <v>5327</v>
      </c>
      <c r="AM75" s="8" t="s">
        <v>5328</v>
      </c>
      <c r="AN75" s="8" t="s">
        <v>5329</v>
      </c>
      <c r="AO75" s="8" t="s">
        <v>5330</v>
      </c>
      <c r="AP75" s="8" t="s">
        <v>5331</v>
      </c>
      <c r="AQ75" s="8" t="s">
        <v>5332</v>
      </c>
      <c r="AR75" s="8" t="s">
        <v>5333</v>
      </c>
      <c r="AS75" s="170" t="e">
        <f t="shared" si="21"/>
        <v>#VALUE!</v>
      </c>
      <c r="CD75" s="2465" t="e">
        <f t="shared" si="22"/>
        <v>#VALUE!</v>
      </c>
      <c r="CE75" s="2465" t="e">
        <f t="shared" si="23"/>
        <v>#VALUE!</v>
      </c>
      <c r="CF75" s="2465" t="str">
        <f t="shared" si="24"/>
        <v xml:space="preserve"> * La variable Pueblos originarios No puede ser mayor al Total.</v>
      </c>
      <c r="CG75" s="2465" t="str">
        <f t="shared" si="25"/>
        <v xml:space="preserve"> * La variable Migrantes No puede ser mayor al Total.</v>
      </c>
      <c r="CH75" s="2465"/>
      <c r="CI75" s="2465"/>
      <c r="CJ75" s="2465"/>
      <c r="CL75" s="2466" t="e">
        <f t="shared" si="26"/>
        <v>#VALUE!</v>
      </c>
      <c r="CM75" s="2466" t="e">
        <f t="shared" si="27"/>
        <v>#VALUE!</v>
      </c>
      <c r="CN75" s="2466">
        <f t="shared" si="28"/>
        <v>1</v>
      </c>
      <c r="CO75" s="2466">
        <f t="shared" si="29"/>
        <v>1</v>
      </c>
      <c r="CP75" s="2466"/>
    </row>
    <row r="76" spans="1:94" s="170" customFormat="1" ht="15" customHeight="1" x14ac:dyDescent="0.2">
      <c r="A76" s="6234">
        <v>32101571</v>
      </c>
      <c r="B76" s="1253" t="s">
        <v>985</v>
      </c>
      <c r="C76" s="1457" t="s">
        <v>5292</v>
      </c>
      <c r="D76" s="1095" t="s">
        <v>5293</v>
      </c>
      <c r="E76" s="1426" t="s">
        <v>5294</v>
      </c>
      <c r="F76" s="1426" t="s">
        <v>5295</v>
      </c>
      <c r="G76" s="1426" t="s">
        <v>5296</v>
      </c>
      <c r="H76" s="1426" t="s">
        <v>5297</v>
      </c>
      <c r="I76" s="1426" t="s">
        <v>5298</v>
      </c>
      <c r="J76" s="1426" t="s">
        <v>5299</v>
      </c>
      <c r="K76" s="1426" t="s">
        <v>5300</v>
      </c>
      <c r="L76" s="1426" t="s">
        <v>5301</v>
      </c>
      <c r="M76" s="1426" t="s">
        <v>5302</v>
      </c>
      <c r="N76" s="1426" t="s">
        <v>5303</v>
      </c>
      <c r="O76" s="1426" t="s">
        <v>5304</v>
      </c>
      <c r="P76" s="1426" t="s">
        <v>5305</v>
      </c>
      <c r="Q76" s="1426" t="s">
        <v>5306</v>
      </c>
      <c r="R76" s="1426" t="s">
        <v>5307</v>
      </c>
      <c r="S76" s="1426" t="s">
        <v>5308</v>
      </c>
      <c r="T76" s="1099" t="s">
        <v>5309</v>
      </c>
      <c r="U76" s="1095" t="s">
        <v>5310</v>
      </c>
      <c r="V76" s="1099" t="s">
        <v>5311</v>
      </c>
      <c r="W76" s="1095" t="s">
        <v>5312</v>
      </c>
      <c r="X76" s="1099" t="s">
        <v>5313</v>
      </c>
      <c r="Y76" s="1095" t="s">
        <v>5314</v>
      </c>
      <c r="Z76" s="1099" t="s">
        <v>5315</v>
      </c>
      <c r="AA76" s="1253" t="s">
        <v>5316</v>
      </c>
      <c r="AB76" s="1095" t="s">
        <v>5317</v>
      </c>
      <c r="AC76" s="1426" t="s">
        <v>5318</v>
      </c>
      <c r="AD76" s="1426" t="s">
        <v>5319</v>
      </c>
      <c r="AE76" s="1099" t="s">
        <v>5320</v>
      </c>
      <c r="AF76" s="1253" t="s">
        <v>5321</v>
      </c>
      <c r="AG76" s="1095" t="s">
        <v>5322</v>
      </c>
      <c r="AH76" s="1426" t="s">
        <v>5323</v>
      </c>
      <c r="AI76" s="1426" t="s">
        <v>5324</v>
      </c>
      <c r="AJ76" s="1100" t="s">
        <v>5325</v>
      </c>
      <c r="AK76" s="8" t="s">
        <v>5326</v>
      </c>
      <c r="AL76" s="8" t="s">
        <v>5327</v>
      </c>
      <c r="AM76" s="8" t="s">
        <v>5328</v>
      </c>
      <c r="AN76" s="8" t="s">
        <v>5329</v>
      </c>
      <c r="AO76" s="8" t="s">
        <v>5330</v>
      </c>
      <c r="AP76" s="8" t="s">
        <v>5331</v>
      </c>
      <c r="AQ76" s="8" t="s">
        <v>5332</v>
      </c>
      <c r="AR76" s="8" t="s">
        <v>5333</v>
      </c>
      <c r="AS76" s="170" t="e">
        <f t="shared" si="21"/>
        <v>#VALUE!</v>
      </c>
      <c r="CD76" s="2465" t="e">
        <f t="shared" si="22"/>
        <v>#VALUE!</v>
      </c>
      <c r="CE76" s="2465" t="e">
        <f t="shared" si="23"/>
        <v>#VALUE!</v>
      </c>
      <c r="CF76" s="2465" t="str">
        <f t="shared" si="24"/>
        <v xml:space="preserve"> * La variable Pueblos originarios No puede ser mayor al Total.</v>
      </c>
      <c r="CG76" s="2465" t="str">
        <f t="shared" si="25"/>
        <v xml:space="preserve"> * La variable Migrantes No puede ser mayor al Total.</v>
      </c>
      <c r="CH76" s="2465"/>
      <c r="CI76" s="2465"/>
      <c r="CJ76" s="2465"/>
      <c r="CL76" s="2466" t="e">
        <f t="shared" si="26"/>
        <v>#VALUE!</v>
      </c>
      <c r="CM76" s="2466" t="e">
        <f t="shared" si="27"/>
        <v>#VALUE!</v>
      </c>
      <c r="CN76" s="2466">
        <f t="shared" si="28"/>
        <v>1</v>
      </c>
      <c r="CO76" s="2466">
        <f t="shared" si="29"/>
        <v>1</v>
      </c>
      <c r="CP76" s="2466"/>
    </row>
    <row r="77" spans="1:94" s="170" customFormat="1" ht="15" customHeight="1" x14ac:dyDescent="0.2">
      <c r="A77" s="6234">
        <v>32101572</v>
      </c>
      <c r="B77" s="1521" t="s">
        <v>236</v>
      </c>
      <c r="C77" s="1457" t="s">
        <v>5292</v>
      </c>
      <c r="D77" s="1095" t="s">
        <v>5293</v>
      </c>
      <c r="E77" s="1426" t="s">
        <v>5294</v>
      </c>
      <c r="F77" s="1426" t="s">
        <v>5295</v>
      </c>
      <c r="G77" s="1426" t="s">
        <v>5296</v>
      </c>
      <c r="H77" s="1426" t="s">
        <v>5297</v>
      </c>
      <c r="I77" s="1426" t="s">
        <v>5298</v>
      </c>
      <c r="J77" s="1426" t="s">
        <v>5299</v>
      </c>
      <c r="K77" s="1426" t="s">
        <v>5300</v>
      </c>
      <c r="L77" s="1426" t="s">
        <v>5301</v>
      </c>
      <c r="M77" s="1426" t="s">
        <v>5302</v>
      </c>
      <c r="N77" s="1426" t="s">
        <v>5303</v>
      </c>
      <c r="O77" s="1426" t="s">
        <v>5304</v>
      </c>
      <c r="P77" s="1426" t="s">
        <v>5305</v>
      </c>
      <c r="Q77" s="1426" t="s">
        <v>5306</v>
      </c>
      <c r="R77" s="1426" t="s">
        <v>5307</v>
      </c>
      <c r="S77" s="1426" t="s">
        <v>5308</v>
      </c>
      <c r="T77" s="1099" t="s">
        <v>5309</v>
      </c>
      <c r="U77" s="1095" t="s">
        <v>5310</v>
      </c>
      <c r="V77" s="1099" t="s">
        <v>5311</v>
      </c>
      <c r="W77" s="1095" t="s">
        <v>5312</v>
      </c>
      <c r="X77" s="1099" t="s">
        <v>5313</v>
      </c>
      <c r="Y77" s="1095" t="s">
        <v>5314</v>
      </c>
      <c r="Z77" s="1099" t="s">
        <v>5315</v>
      </c>
      <c r="AA77" s="1253" t="s">
        <v>5316</v>
      </c>
      <c r="AB77" s="1095" t="s">
        <v>5317</v>
      </c>
      <c r="AC77" s="1426" t="s">
        <v>5318</v>
      </c>
      <c r="AD77" s="1426" t="s">
        <v>5319</v>
      </c>
      <c r="AE77" s="1099" t="s">
        <v>5320</v>
      </c>
      <c r="AF77" s="1253" t="s">
        <v>5321</v>
      </c>
      <c r="AG77" s="1095" t="s">
        <v>5322</v>
      </c>
      <c r="AH77" s="1426" t="s">
        <v>5323</v>
      </c>
      <c r="AI77" s="1426" t="s">
        <v>5324</v>
      </c>
      <c r="AJ77" s="1100" t="s">
        <v>5325</v>
      </c>
      <c r="AK77" s="8" t="s">
        <v>5326</v>
      </c>
      <c r="AL77" s="8" t="s">
        <v>5327</v>
      </c>
      <c r="AM77" s="8" t="s">
        <v>5328</v>
      </c>
      <c r="AN77" s="8" t="s">
        <v>5329</v>
      </c>
      <c r="AO77" s="8" t="s">
        <v>5330</v>
      </c>
      <c r="AP77" s="8" t="s">
        <v>5331</v>
      </c>
      <c r="AQ77" s="8" t="s">
        <v>5332</v>
      </c>
      <c r="AR77" s="8" t="s">
        <v>5333</v>
      </c>
      <c r="AS77" s="170" t="e">
        <f t="shared" si="21"/>
        <v>#VALUE!</v>
      </c>
      <c r="CD77" s="2465" t="e">
        <f t="shared" si="22"/>
        <v>#VALUE!</v>
      </c>
      <c r="CE77" s="2465" t="e">
        <f t="shared" si="23"/>
        <v>#VALUE!</v>
      </c>
      <c r="CF77" s="2465" t="str">
        <f t="shared" si="24"/>
        <v xml:space="preserve"> * La variable Pueblos originarios No puede ser mayor al Total.</v>
      </c>
      <c r="CG77" s="2465" t="str">
        <f t="shared" si="25"/>
        <v xml:space="preserve"> * La variable Migrantes No puede ser mayor al Total.</v>
      </c>
      <c r="CH77" s="2465"/>
      <c r="CI77" s="2465"/>
      <c r="CJ77" s="2465"/>
      <c r="CL77" s="2466" t="e">
        <f t="shared" si="26"/>
        <v>#VALUE!</v>
      </c>
      <c r="CM77" s="2466" t="e">
        <f t="shared" si="27"/>
        <v>#VALUE!</v>
      </c>
      <c r="CN77" s="2466">
        <f t="shared" si="28"/>
        <v>1</v>
      </c>
      <c r="CO77" s="2466">
        <f t="shared" si="29"/>
        <v>1</v>
      </c>
      <c r="CP77" s="2466"/>
    </row>
    <row r="78" spans="1:94" s="170" customFormat="1" ht="15" customHeight="1" x14ac:dyDescent="0.2">
      <c r="A78" s="6234">
        <v>32101573</v>
      </c>
      <c r="B78" s="1098" t="s">
        <v>237</v>
      </c>
      <c r="C78" s="1457" t="s">
        <v>5292</v>
      </c>
      <c r="D78" s="1095" t="s">
        <v>5293</v>
      </c>
      <c r="E78" s="1426" t="s">
        <v>5294</v>
      </c>
      <c r="F78" s="1426" t="s">
        <v>5295</v>
      </c>
      <c r="G78" s="1426" t="s">
        <v>5296</v>
      </c>
      <c r="H78" s="1426" t="s">
        <v>5297</v>
      </c>
      <c r="I78" s="1426" t="s">
        <v>5298</v>
      </c>
      <c r="J78" s="1426" t="s">
        <v>5299</v>
      </c>
      <c r="K78" s="1426" t="s">
        <v>5300</v>
      </c>
      <c r="L78" s="1426" t="s">
        <v>5301</v>
      </c>
      <c r="M78" s="1426" t="s">
        <v>5302</v>
      </c>
      <c r="N78" s="1426" t="s">
        <v>5303</v>
      </c>
      <c r="O78" s="1426" t="s">
        <v>5304</v>
      </c>
      <c r="P78" s="1426" t="s">
        <v>5305</v>
      </c>
      <c r="Q78" s="1426" t="s">
        <v>5306</v>
      </c>
      <c r="R78" s="1426" t="s">
        <v>5307</v>
      </c>
      <c r="S78" s="1426" t="s">
        <v>5308</v>
      </c>
      <c r="T78" s="1099" t="s">
        <v>5309</v>
      </c>
      <c r="U78" s="1095" t="s">
        <v>5310</v>
      </c>
      <c r="V78" s="1099" t="s">
        <v>5311</v>
      </c>
      <c r="W78" s="1095" t="s">
        <v>5312</v>
      </c>
      <c r="X78" s="1099" t="s">
        <v>5313</v>
      </c>
      <c r="Y78" s="1095" t="s">
        <v>5314</v>
      </c>
      <c r="Z78" s="1099" t="s">
        <v>5315</v>
      </c>
      <c r="AA78" s="1253" t="s">
        <v>5316</v>
      </c>
      <c r="AB78" s="1095" t="s">
        <v>5317</v>
      </c>
      <c r="AC78" s="1426" t="s">
        <v>5318</v>
      </c>
      <c r="AD78" s="1426" t="s">
        <v>5319</v>
      </c>
      <c r="AE78" s="1099" t="s">
        <v>5320</v>
      </c>
      <c r="AF78" s="1253" t="s">
        <v>5321</v>
      </c>
      <c r="AG78" s="1095" t="s">
        <v>5322</v>
      </c>
      <c r="AH78" s="1426" t="s">
        <v>5323</v>
      </c>
      <c r="AI78" s="1426" t="s">
        <v>5324</v>
      </c>
      <c r="AJ78" s="1100" t="s">
        <v>5325</v>
      </c>
      <c r="AK78" s="8" t="s">
        <v>5326</v>
      </c>
      <c r="AL78" s="8" t="s">
        <v>5327</v>
      </c>
      <c r="AM78" s="8" t="s">
        <v>5328</v>
      </c>
      <c r="AN78" s="8" t="s">
        <v>5329</v>
      </c>
      <c r="AO78" s="8" t="s">
        <v>5330</v>
      </c>
      <c r="AP78" s="8" t="s">
        <v>5331</v>
      </c>
      <c r="AQ78" s="8" t="s">
        <v>5332</v>
      </c>
      <c r="AR78" s="8" t="s">
        <v>5333</v>
      </c>
      <c r="AS78" s="170" t="e">
        <f t="shared" si="21"/>
        <v>#VALUE!</v>
      </c>
      <c r="CD78" s="2465" t="e">
        <f t="shared" si="22"/>
        <v>#VALUE!</v>
      </c>
      <c r="CE78" s="2465" t="e">
        <f t="shared" si="23"/>
        <v>#VALUE!</v>
      </c>
      <c r="CF78" s="2465" t="str">
        <f t="shared" si="24"/>
        <v xml:space="preserve"> * La variable Pueblos originarios No puede ser mayor al Total.</v>
      </c>
      <c r="CG78" s="2465" t="str">
        <f t="shared" si="25"/>
        <v xml:space="preserve"> * La variable Migrantes No puede ser mayor al Total.</v>
      </c>
      <c r="CH78" s="2465"/>
      <c r="CI78" s="2465"/>
      <c r="CJ78" s="2465"/>
      <c r="CL78" s="2466" t="e">
        <f t="shared" si="26"/>
        <v>#VALUE!</v>
      </c>
      <c r="CM78" s="2466" t="e">
        <f t="shared" si="27"/>
        <v>#VALUE!</v>
      </c>
      <c r="CN78" s="2466">
        <f t="shared" si="28"/>
        <v>1</v>
      </c>
      <c r="CO78" s="2466">
        <f t="shared" si="29"/>
        <v>1</v>
      </c>
      <c r="CP78" s="2466"/>
    </row>
    <row r="79" spans="1:94" s="170" customFormat="1" ht="15" customHeight="1" x14ac:dyDescent="0.2">
      <c r="A79" s="6234">
        <v>32101574</v>
      </c>
      <c r="B79" s="1098" t="s">
        <v>986</v>
      </c>
      <c r="C79" s="1457" t="s">
        <v>5292</v>
      </c>
      <c r="D79" s="1095" t="s">
        <v>5293</v>
      </c>
      <c r="E79" s="1426" t="s">
        <v>5294</v>
      </c>
      <c r="F79" s="1426" t="s">
        <v>5295</v>
      </c>
      <c r="G79" s="1426" t="s">
        <v>5296</v>
      </c>
      <c r="H79" s="1426" t="s">
        <v>5297</v>
      </c>
      <c r="I79" s="1426" t="s">
        <v>5298</v>
      </c>
      <c r="J79" s="1426" t="s">
        <v>5299</v>
      </c>
      <c r="K79" s="1426" t="s">
        <v>5300</v>
      </c>
      <c r="L79" s="1426" t="s">
        <v>5301</v>
      </c>
      <c r="M79" s="1426" t="s">
        <v>5302</v>
      </c>
      <c r="N79" s="1426" t="s">
        <v>5303</v>
      </c>
      <c r="O79" s="1426" t="s">
        <v>5304</v>
      </c>
      <c r="P79" s="1426" t="s">
        <v>5305</v>
      </c>
      <c r="Q79" s="1426" t="s">
        <v>5306</v>
      </c>
      <c r="R79" s="1426" t="s">
        <v>5307</v>
      </c>
      <c r="S79" s="1426" t="s">
        <v>5308</v>
      </c>
      <c r="T79" s="1099" t="s">
        <v>5309</v>
      </c>
      <c r="U79" s="1095" t="s">
        <v>5310</v>
      </c>
      <c r="V79" s="1099" t="s">
        <v>5311</v>
      </c>
      <c r="W79" s="1095" t="s">
        <v>5312</v>
      </c>
      <c r="X79" s="1099" t="s">
        <v>5313</v>
      </c>
      <c r="Y79" s="1095" t="s">
        <v>5314</v>
      </c>
      <c r="Z79" s="1099" t="s">
        <v>5315</v>
      </c>
      <c r="AA79" s="1253" t="s">
        <v>5316</v>
      </c>
      <c r="AB79" s="1095" t="s">
        <v>5317</v>
      </c>
      <c r="AC79" s="1426" t="s">
        <v>5318</v>
      </c>
      <c r="AD79" s="1426" t="s">
        <v>5319</v>
      </c>
      <c r="AE79" s="1099" t="s">
        <v>5320</v>
      </c>
      <c r="AF79" s="1253" t="s">
        <v>5321</v>
      </c>
      <c r="AG79" s="1095" t="s">
        <v>5322</v>
      </c>
      <c r="AH79" s="1426" t="s">
        <v>5323</v>
      </c>
      <c r="AI79" s="1426" t="s">
        <v>5324</v>
      </c>
      <c r="AJ79" s="1100" t="s">
        <v>5325</v>
      </c>
      <c r="AK79" s="8" t="s">
        <v>5326</v>
      </c>
      <c r="AL79" s="8" t="s">
        <v>5327</v>
      </c>
      <c r="AM79" s="8" t="s">
        <v>5328</v>
      </c>
      <c r="AN79" s="8" t="s">
        <v>5329</v>
      </c>
      <c r="AO79" s="8" t="s">
        <v>5330</v>
      </c>
      <c r="AP79" s="8" t="s">
        <v>5331</v>
      </c>
      <c r="AQ79" s="8" t="s">
        <v>5332</v>
      </c>
      <c r="AR79" s="8" t="s">
        <v>5333</v>
      </c>
      <c r="AS79" s="170" t="e">
        <f t="shared" si="21"/>
        <v>#VALUE!</v>
      </c>
      <c r="CD79" s="2465" t="e">
        <f t="shared" si="22"/>
        <v>#VALUE!</v>
      </c>
      <c r="CE79" s="2465" t="e">
        <f t="shared" si="23"/>
        <v>#VALUE!</v>
      </c>
      <c r="CF79" s="2465" t="str">
        <f t="shared" si="24"/>
        <v xml:space="preserve"> * La variable Pueblos originarios No puede ser mayor al Total.</v>
      </c>
      <c r="CG79" s="2465" t="str">
        <f t="shared" si="25"/>
        <v xml:space="preserve"> * La variable Migrantes No puede ser mayor al Total.</v>
      </c>
      <c r="CH79" s="2465"/>
      <c r="CI79" s="2465"/>
      <c r="CJ79" s="2465"/>
      <c r="CL79" s="2466" t="e">
        <f t="shared" si="26"/>
        <v>#VALUE!</v>
      </c>
      <c r="CM79" s="2466" t="e">
        <f t="shared" si="27"/>
        <v>#VALUE!</v>
      </c>
      <c r="CN79" s="2466">
        <f t="shared" si="28"/>
        <v>1</v>
      </c>
      <c r="CO79" s="2466">
        <f t="shared" si="29"/>
        <v>1</v>
      </c>
      <c r="CP79" s="2466"/>
    </row>
    <row r="80" spans="1:94" s="170" customFormat="1" ht="15" customHeight="1" x14ac:dyDescent="0.2">
      <c r="A80" s="6234">
        <v>32101575</v>
      </c>
      <c r="B80" s="1098" t="s">
        <v>987</v>
      </c>
      <c r="C80" s="1457" t="s">
        <v>5292</v>
      </c>
      <c r="D80" s="1095" t="s">
        <v>5293</v>
      </c>
      <c r="E80" s="1426" t="s">
        <v>5294</v>
      </c>
      <c r="F80" s="1426" t="s">
        <v>5295</v>
      </c>
      <c r="G80" s="1426" t="s">
        <v>5296</v>
      </c>
      <c r="H80" s="1426" t="s">
        <v>5297</v>
      </c>
      <c r="I80" s="1426" t="s">
        <v>5298</v>
      </c>
      <c r="J80" s="1426" t="s">
        <v>5299</v>
      </c>
      <c r="K80" s="1426" t="s">
        <v>5300</v>
      </c>
      <c r="L80" s="1426" t="s">
        <v>5301</v>
      </c>
      <c r="M80" s="1426" t="s">
        <v>5302</v>
      </c>
      <c r="N80" s="1426" t="s">
        <v>5303</v>
      </c>
      <c r="O80" s="1426" t="s">
        <v>5304</v>
      </c>
      <c r="P80" s="1426" t="s">
        <v>5305</v>
      </c>
      <c r="Q80" s="1426" t="s">
        <v>5306</v>
      </c>
      <c r="R80" s="1426" t="s">
        <v>5307</v>
      </c>
      <c r="S80" s="1426" t="s">
        <v>5308</v>
      </c>
      <c r="T80" s="1099" t="s">
        <v>5309</v>
      </c>
      <c r="U80" s="1095" t="s">
        <v>5310</v>
      </c>
      <c r="V80" s="1099" t="s">
        <v>5311</v>
      </c>
      <c r="W80" s="1095" t="s">
        <v>5312</v>
      </c>
      <c r="X80" s="1099" t="s">
        <v>5313</v>
      </c>
      <c r="Y80" s="1095" t="s">
        <v>5314</v>
      </c>
      <c r="Z80" s="1099" t="s">
        <v>5315</v>
      </c>
      <c r="AA80" s="1253" t="s">
        <v>5316</v>
      </c>
      <c r="AB80" s="1095" t="s">
        <v>5317</v>
      </c>
      <c r="AC80" s="1426" t="s">
        <v>5318</v>
      </c>
      <c r="AD80" s="1426" t="s">
        <v>5319</v>
      </c>
      <c r="AE80" s="1099" t="s">
        <v>5320</v>
      </c>
      <c r="AF80" s="1253" t="s">
        <v>5321</v>
      </c>
      <c r="AG80" s="1095" t="s">
        <v>5322</v>
      </c>
      <c r="AH80" s="1426" t="s">
        <v>5323</v>
      </c>
      <c r="AI80" s="1426" t="s">
        <v>5324</v>
      </c>
      <c r="AJ80" s="1100" t="s">
        <v>5325</v>
      </c>
      <c r="AK80" s="8" t="s">
        <v>5326</v>
      </c>
      <c r="AL80" s="8" t="s">
        <v>5327</v>
      </c>
      <c r="AM80" s="8" t="s">
        <v>5328</v>
      </c>
      <c r="AN80" s="8" t="s">
        <v>5329</v>
      </c>
      <c r="AO80" s="8" t="s">
        <v>5330</v>
      </c>
      <c r="AP80" s="8" t="s">
        <v>5331</v>
      </c>
      <c r="AQ80" s="8" t="s">
        <v>5332</v>
      </c>
      <c r="AR80" s="8" t="s">
        <v>5333</v>
      </c>
      <c r="AS80" s="170" t="e">
        <f t="shared" si="21"/>
        <v>#VALUE!</v>
      </c>
      <c r="CD80" s="2465" t="e">
        <f t="shared" si="22"/>
        <v>#VALUE!</v>
      </c>
      <c r="CE80" s="2465" t="e">
        <f t="shared" si="23"/>
        <v>#VALUE!</v>
      </c>
      <c r="CF80" s="2465" t="str">
        <f t="shared" si="24"/>
        <v xml:space="preserve"> * La variable Pueblos originarios No puede ser mayor al Total.</v>
      </c>
      <c r="CG80" s="2465" t="str">
        <f t="shared" si="25"/>
        <v xml:space="preserve"> * La variable Migrantes No puede ser mayor al Total.</v>
      </c>
      <c r="CH80" s="2465"/>
      <c r="CI80" s="2465"/>
      <c r="CJ80" s="2465"/>
      <c r="CL80" s="2466" t="e">
        <f t="shared" si="26"/>
        <v>#VALUE!</v>
      </c>
      <c r="CM80" s="2466" t="e">
        <f t="shared" si="27"/>
        <v>#VALUE!</v>
      </c>
      <c r="CN80" s="2466">
        <f t="shared" si="28"/>
        <v>1</v>
      </c>
      <c r="CO80" s="2466">
        <f t="shared" si="29"/>
        <v>1</v>
      </c>
      <c r="CP80" s="2466"/>
    </row>
    <row r="81" spans="1:94" s="170" customFormat="1" ht="15" customHeight="1" x14ac:dyDescent="0.2">
      <c r="A81" s="6234">
        <v>32100270</v>
      </c>
      <c r="B81" s="1253" t="s">
        <v>238</v>
      </c>
      <c r="C81" s="1457" t="s">
        <v>5292</v>
      </c>
      <c r="D81" s="1095" t="s">
        <v>5293</v>
      </c>
      <c r="E81" s="1426" t="s">
        <v>5294</v>
      </c>
      <c r="F81" s="1426" t="s">
        <v>5295</v>
      </c>
      <c r="G81" s="1426" t="s">
        <v>5296</v>
      </c>
      <c r="H81" s="1426" t="s">
        <v>5297</v>
      </c>
      <c r="I81" s="1426" t="s">
        <v>5298</v>
      </c>
      <c r="J81" s="1426" t="s">
        <v>5299</v>
      </c>
      <c r="K81" s="1426" t="s">
        <v>5300</v>
      </c>
      <c r="L81" s="1426" t="s">
        <v>5301</v>
      </c>
      <c r="M81" s="1426" t="s">
        <v>5302</v>
      </c>
      <c r="N81" s="1426" t="s">
        <v>5303</v>
      </c>
      <c r="O81" s="1426" t="s">
        <v>5304</v>
      </c>
      <c r="P81" s="1426" t="s">
        <v>5305</v>
      </c>
      <c r="Q81" s="1426" t="s">
        <v>5306</v>
      </c>
      <c r="R81" s="1426" t="s">
        <v>5307</v>
      </c>
      <c r="S81" s="1426" t="s">
        <v>5308</v>
      </c>
      <c r="T81" s="1099" t="s">
        <v>5309</v>
      </c>
      <c r="U81" s="1095" t="s">
        <v>5310</v>
      </c>
      <c r="V81" s="1099" t="s">
        <v>5311</v>
      </c>
      <c r="W81" s="1095" t="s">
        <v>5312</v>
      </c>
      <c r="X81" s="1099" t="s">
        <v>5313</v>
      </c>
      <c r="Y81" s="1095" t="s">
        <v>5314</v>
      </c>
      <c r="Z81" s="1099" t="s">
        <v>5315</v>
      </c>
      <c r="AA81" s="1253" t="s">
        <v>5316</v>
      </c>
      <c r="AB81" s="1095" t="s">
        <v>5317</v>
      </c>
      <c r="AC81" s="1426" t="s">
        <v>5318</v>
      </c>
      <c r="AD81" s="1426" t="s">
        <v>5319</v>
      </c>
      <c r="AE81" s="1099" t="s">
        <v>5320</v>
      </c>
      <c r="AF81" s="1253" t="s">
        <v>5321</v>
      </c>
      <c r="AG81" s="1095" t="s">
        <v>5322</v>
      </c>
      <c r="AH81" s="1426" t="s">
        <v>5323</v>
      </c>
      <c r="AI81" s="1426" t="s">
        <v>5324</v>
      </c>
      <c r="AJ81" s="1100" t="s">
        <v>5325</v>
      </c>
      <c r="AK81" s="8" t="s">
        <v>5326</v>
      </c>
      <c r="AL81" s="8" t="s">
        <v>5327</v>
      </c>
      <c r="AM81" s="8" t="s">
        <v>5328</v>
      </c>
      <c r="AN81" s="8" t="s">
        <v>5329</v>
      </c>
      <c r="AO81" s="8" t="s">
        <v>5330</v>
      </c>
      <c r="AP81" s="8" t="s">
        <v>5331</v>
      </c>
      <c r="AQ81" s="8" t="s">
        <v>5332</v>
      </c>
      <c r="AR81" s="8" t="s">
        <v>5333</v>
      </c>
      <c r="AS81" s="170" t="e">
        <f t="shared" si="21"/>
        <v>#VALUE!</v>
      </c>
      <c r="CD81" s="2465" t="e">
        <f t="shared" si="22"/>
        <v>#VALUE!</v>
      </c>
      <c r="CE81" s="2465" t="e">
        <f t="shared" si="23"/>
        <v>#VALUE!</v>
      </c>
      <c r="CF81" s="2465" t="str">
        <f t="shared" si="24"/>
        <v xml:space="preserve"> * La variable Pueblos originarios No puede ser mayor al Total.</v>
      </c>
      <c r="CG81" s="2465" t="str">
        <f t="shared" si="25"/>
        <v xml:space="preserve"> * La variable Migrantes No puede ser mayor al Total.</v>
      </c>
      <c r="CH81" s="2465"/>
      <c r="CI81" s="2465"/>
      <c r="CJ81" s="2465"/>
      <c r="CL81" s="2466" t="e">
        <f t="shared" si="26"/>
        <v>#VALUE!</v>
      </c>
      <c r="CM81" s="2466" t="e">
        <f t="shared" si="27"/>
        <v>#VALUE!</v>
      </c>
      <c r="CN81" s="2466">
        <f t="shared" si="28"/>
        <v>1</v>
      </c>
      <c r="CO81" s="2466">
        <f t="shared" si="29"/>
        <v>1</v>
      </c>
      <c r="CP81" s="2466"/>
    </row>
    <row r="82" spans="1:94" s="170" customFormat="1" ht="15" customHeight="1" x14ac:dyDescent="0.2">
      <c r="A82" s="6234">
        <v>32100280</v>
      </c>
      <c r="B82" s="1253" t="s">
        <v>239</v>
      </c>
      <c r="C82" s="1457" t="s">
        <v>5292</v>
      </c>
      <c r="D82" s="1095" t="s">
        <v>5293</v>
      </c>
      <c r="E82" s="1426" t="s">
        <v>5294</v>
      </c>
      <c r="F82" s="1426" t="s">
        <v>5295</v>
      </c>
      <c r="G82" s="1426" t="s">
        <v>5296</v>
      </c>
      <c r="H82" s="1426" t="s">
        <v>5297</v>
      </c>
      <c r="I82" s="1426" t="s">
        <v>5298</v>
      </c>
      <c r="J82" s="1426" t="s">
        <v>5299</v>
      </c>
      <c r="K82" s="1426" t="s">
        <v>5300</v>
      </c>
      <c r="L82" s="1426" t="s">
        <v>5301</v>
      </c>
      <c r="M82" s="1426" t="s">
        <v>5302</v>
      </c>
      <c r="N82" s="1426" t="s">
        <v>5303</v>
      </c>
      <c r="O82" s="1426" t="s">
        <v>5304</v>
      </c>
      <c r="P82" s="1426" t="s">
        <v>5305</v>
      </c>
      <c r="Q82" s="1426" t="s">
        <v>5306</v>
      </c>
      <c r="R82" s="1426" t="s">
        <v>5307</v>
      </c>
      <c r="S82" s="1426" t="s">
        <v>5308</v>
      </c>
      <c r="T82" s="1099" t="s">
        <v>5309</v>
      </c>
      <c r="U82" s="1095" t="s">
        <v>5310</v>
      </c>
      <c r="V82" s="1099" t="s">
        <v>5311</v>
      </c>
      <c r="W82" s="1095" t="s">
        <v>5312</v>
      </c>
      <c r="X82" s="1099" t="s">
        <v>5313</v>
      </c>
      <c r="Y82" s="1095" t="s">
        <v>5314</v>
      </c>
      <c r="Z82" s="1099" t="s">
        <v>5315</v>
      </c>
      <c r="AA82" s="1253" t="s">
        <v>5316</v>
      </c>
      <c r="AB82" s="1095" t="s">
        <v>5317</v>
      </c>
      <c r="AC82" s="1426" t="s">
        <v>5318</v>
      </c>
      <c r="AD82" s="1426" t="s">
        <v>5319</v>
      </c>
      <c r="AE82" s="1099" t="s">
        <v>5320</v>
      </c>
      <c r="AF82" s="1253" t="s">
        <v>5321</v>
      </c>
      <c r="AG82" s="1095" t="s">
        <v>5322</v>
      </c>
      <c r="AH82" s="1426" t="s">
        <v>5323</v>
      </c>
      <c r="AI82" s="1426" t="s">
        <v>5324</v>
      </c>
      <c r="AJ82" s="1100" t="s">
        <v>5325</v>
      </c>
      <c r="AK82" s="8" t="s">
        <v>5326</v>
      </c>
      <c r="AL82" s="8" t="s">
        <v>5327</v>
      </c>
      <c r="AM82" s="8" t="s">
        <v>5328</v>
      </c>
      <c r="AN82" s="8" t="s">
        <v>5329</v>
      </c>
      <c r="AO82" s="8" t="s">
        <v>5330</v>
      </c>
      <c r="AP82" s="8" t="s">
        <v>5331</v>
      </c>
      <c r="AQ82" s="8" t="s">
        <v>5332</v>
      </c>
      <c r="AR82" s="8" t="s">
        <v>5333</v>
      </c>
      <c r="AS82" s="170" t="e">
        <f t="shared" si="21"/>
        <v>#VALUE!</v>
      </c>
      <c r="CD82" s="2465" t="e">
        <f t="shared" si="22"/>
        <v>#VALUE!</v>
      </c>
      <c r="CE82" s="2465" t="e">
        <f t="shared" si="23"/>
        <v>#VALUE!</v>
      </c>
      <c r="CF82" s="2465" t="str">
        <f t="shared" si="24"/>
        <v xml:space="preserve"> * La variable Pueblos originarios No puede ser mayor al Total.</v>
      </c>
      <c r="CG82" s="2465" t="str">
        <f t="shared" si="25"/>
        <v xml:space="preserve"> * La variable Migrantes No puede ser mayor al Total.</v>
      </c>
      <c r="CH82" s="2465"/>
      <c r="CI82" s="2465"/>
      <c r="CJ82" s="2465"/>
      <c r="CL82" s="2466" t="e">
        <f t="shared" si="26"/>
        <v>#VALUE!</v>
      </c>
      <c r="CM82" s="2466" t="e">
        <f t="shared" si="27"/>
        <v>#VALUE!</v>
      </c>
      <c r="CN82" s="2466">
        <f t="shared" si="28"/>
        <v>1</v>
      </c>
      <c r="CO82" s="2466">
        <f t="shared" si="29"/>
        <v>1</v>
      </c>
      <c r="CP82" s="2466"/>
    </row>
    <row r="83" spans="1:94" s="170" customFormat="1" ht="15" customHeight="1" x14ac:dyDescent="0.2">
      <c r="A83" s="6234">
        <v>32101576</v>
      </c>
      <c r="B83" s="1253" t="s">
        <v>988</v>
      </c>
      <c r="C83" s="1457" t="s">
        <v>5292</v>
      </c>
      <c r="D83" s="1095" t="s">
        <v>5293</v>
      </c>
      <c r="E83" s="1426" t="s">
        <v>5294</v>
      </c>
      <c r="F83" s="1426" t="s">
        <v>5295</v>
      </c>
      <c r="G83" s="1426" t="s">
        <v>5296</v>
      </c>
      <c r="H83" s="1426" t="s">
        <v>5297</v>
      </c>
      <c r="I83" s="1426" t="s">
        <v>5298</v>
      </c>
      <c r="J83" s="1426" t="s">
        <v>5299</v>
      </c>
      <c r="K83" s="1426" t="s">
        <v>5300</v>
      </c>
      <c r="L83" s="1426" t="s">
        <v>5301</v>
      </c>
      <c r="M83" s="1426" t="s">
        <v>5302</v>
      </c>
      <c r="N83" s="1426" t="s">
        <v>5303</v>
      </c>
      <c r="O83" s="1426" t="s">
        <v>5304</v>
      </c>
      <c r="P83" s="1426" t="s">
        <v>5305</v>
      </c>
      <c r="Q83" s="1426" t="s">
        <v>5306</v>
      </c>
      <c r="R83" s="1426" t="s">
        <v>5307</v>
      </c>
      <c r="S83" s="1426" t="s">
        <v>5308</v>
      </c>
      <c r="T83" s="1099" t="s">
        <v>5309</v>
      </c>
      <c r="U83" s="1095" t="s">
        <v>5310</v>
      </c>
      <c r="V83" s="1099" t="s">
        <v>5311</v>
      </c>
      <c r="W83" s="1095" t="s">
        <v>5312</v>
      </c>
      <c r="X83" s="1099" t="s">
        <v>5313</v>
      </c>
      <c r="Y83" s="1095" t="s">
        <v>5314</v>
      </c>
      <c r="Z83" s="1099" t="s">
        <v>5315</v>
      </c>
      <c r="AA83" s="1253" t="s">
        <v>5316</v>
      </c>
      <c r="AB83" s="1095" t="s">
        <v>5317</v>
      </c>
      <c r="AC83" s="1426" t="s">
        <v>5318</v>
      </c>
      <c r="AD83" s="1426" t="s">
        <v>5319</v>
      </c>
      <c r="AE83" s="1099" t="s">
        <v>5320</v>
      </c>
      <c r="AF83" s="1253" t="s">
        <v>5321</v>
      </c>
      <c r="AG83" s="1095" t="s">
        <v>5322</v>
      </c>
      <c r="AH83" s="1426" t="s">
        <v>5323</v>
      </c>
      <c r="AI83" s="1426" t="s">
        <v>5324</v>
      </c>
      <c r="AJ83" s="1100" t="s">
        <v>5325</v>
      </c>
      <c r="AK83" s="8" t="s">
        <v>5326</v>
      </c>
      <c r="AL83" s="8" t="s">
        <v>5327</v>
      </c>
      <c r="AM83" s="8" t="s">
        <v>5328</v>
      </c>
      <c r="AN83" s="8" t="s">
        <v>5329</v>
      </c>
      <c r="AO83" s="8" t="s">
        <v>5330</v>
      </c>
      <c r="AP83" s="8" t="s">
        <v>5331</v>
      </c>
      <c r="AQ83" s="8" t="s">
        <v>5332</v>
      </c>
      <c r="AR83" s="8" t="s">
        <v>5333</v>
      </c>
      <c r="AS83" s="170" t="e">
        <f t="shared" si="21"/>
        <v>#VALUE!</v>
      </c>
      <c r="CD83" s="2465" t="e">
        <f t="shared" si="22"/>
        <v>#VALUE!</v>
      </c>
      <c r="CE83" s="2465" t="e">
        <f t="shared" si="23"/>
        <v>#VALUE!</v>
      </c>
      <c r="CF83" s="2465" t="str">
        <f t="shared" si="24"/>
        <v xml:space="preserve"> * La variable Pueblos originarios No puede ser mayor al Total.</v>
      </c>
      <c r="CG83" s="2465" t="str">
        <f t="shared" si="25"/>
        <v xml:space="preserve"> * La variable Migrantes No puede ser mayor al Total.</v>
      </c>
      <c r="CH83" s="2465"/>
      <c r="CI83" s="2465"/>
      <c r="CJ83" s="2465"/>
      <c r="CL83" s="2466" t="e">
        <f t="shared" si="26"/>
        <v>#VALUE!</v>
      </c>
      <c r="CM83" s="2466" t="e">
        <f t="shared" si="27"/>
        <v>#VALUE!</v>
      </c>
      <c r="CN83" s="2466">
        <f t="shared" si="28"/>
        <v>1</v>
      </c>
      <c r="CO83" s="2466">
        <f t="shared" si="29"/>
        <v>1</v>
      </c>
      <c r="CP83" s="2466"/>
    </row>
    <row r="84" spans="1:94" s="170" customFormat="1" ht="15" customHeight="1" x14ac:dyDescent="0.2">
      <c r="A84" s="6234">
        <v>32101577</v>
      </c>
      <c r="B84" s="1253" t="s">
        <v>989</v>
      </c>
      <c r="C84" s="1457" t="s">
        <v>5292</v>
      </c>
      <c r="D84" s="1095" t="s">
        <v>5293</v>
      </c>
      <c r="E84" s="1426" t="s">
        <v>5294</v>
      </c>
      <c r="F84" s="1426" t="s">
        <v>5295</v>
      </c>
      <c r="G84" s="1426" t="s">
        <v>5296</v>
      </c>
      <c r="H84" s="1426" t="s">
        <v>5297</v>
      </c>
      <c r="I84" s="1426" t="s">
        <v>5298</v>
      </c>
      <c r="J84" s="1426" t="s">
        <v>5299</v>
      </c>
      <c r="K84" s="1426" t="s">
        <v>5300</v>
      </c>
      <c r="L84" s="1426" t="s">
        <v>5301</v>
      </c>
      <c r="M84" s="1426" t="s">
        <v>5302</v>
      </c>
      <c r="N84" s="1426" t="s">
        <v>5303</v>
      </c>
      <c r="O84" s="1426" t="s">
        <v>5304</v>
      </c>
      <c r="P84" s="1426" t="s">
        <v>5305</v>
      </c>
      <c r="Q84" s="1426" t="s">
        <v>5306</v>
      </c>
      <c r="R84" s="1426" t="s">
        <v>5307</v>
      </c>
      <c r="S84" s="1426" t="s">
        <v>5308</v>
      </c>
      <c r="T84" s="1099" t="s">
        <v>5309</v>
      </c>
      <c r="U84" s="1095" t="s">
        <v>5310</v>
      </c>
      <c r="V84" s="1099" t="s">
        <v>5311</v>
      </c>
      <c r="W84" s="1095" t="s">
        <v>5312</v>
      </c>
      <c r="X84" s="1099" t="s">
        <v>5313</v>
      </c>
      <c r="Y84" s="1095" t="s">
        <v>5314</v>
      </c>
      <c r="Z84" s="1099" t="s">
        <v>5315</v>
      </c>
      <c r="AA84" s="1253" t="s">
        <v>5316</v>
      </c>
      <c r="AB84" s="1095" t="s">
        <v>5317</v>
      </c>
      <c r="AC84" s="1426" t="s">
        <v>5318</v>
      </c>
      <c r="AD84" s="1426" t="s">
        <v>5319</v>
      </c>
      <c r="AE84" s="1099" t="s">
        <v>5320</v>
      </c>
      <c r="AF84" s="1253" t="s">
        <v>5321</v>
      </c>
      <c r="AG84" s="1095" t="s">
        <v>5322</v>
      </c>
      <c r="AH84" s="1426" t="s">
        <v>5323</v>
      </c>
      <c r="AI84" s="1426" t="s">
        <v>5324</v>
      </c>
      <c r="AJ84" s="1100" t="s">
        <v>5325</v>
      </c>
      <c r="AK84" s="8" t="s">
        <v>5326</v>
      </c>
      <c r="AL84" s="8" t="s">
        <v>5327</v>
      </c>
      <c r="AM84" s="8" t="s">
        <v>5328</v>
      </c>
      <c r="AN84" s="8" t="s">
        <v>5329</v>
      </c>
      <c r="AO84" s="8" t="s">
        <v>5330</v>
      </c>
      <c r="AP84" s="8" t="s">
        <v>5331</v>
      </c>
      <c r="AQ84" s="8" t="s">
        <v>5332</v>
      </c>
      <c r="AR84" s="8" t="s">
        <v>5333</v>
      </c>
      <c r="AS84" s="170" t="e">
        <f t="shared" si="21"/>
        <v>#VALUE!</v>
      </c>
      <c r="CD84" s="2465" t="e">
        <f t="shared" si="22"/>
        <v>#VALUE!</v>
      </c>
      <c r="CE84" s="2465" t="e">
        <f t="shared" si="23"/>
        <v>#VALUE!</v>
      </c>
      <c r="CF84" s="2465" t="str">
        <f t="shared" si="24"/>
        <v xml:space="preserve"> * La variable Pueblos originarios No puede ser mayor al Total.</v>
      </c>
      <c r="CG84" s="2465" t="str">
        <f t="shared" si="25"/>
        <v xml:space="preserve"> * La variable Migrantes No puede ser mayor al Total.</v>
      </c>
      <c r="CH84" s="2465"/>
      <c r="CI84" s="2465"/>
      <c r="CJ84" s="2465"/>
      <c r="CL84" s="2466" t="e">
        <f t="shared" si="26"/>
        <v>#VALUE!</v>
      </c>
      <c r="CM84" s="2466" t="e">
        <f t="shared" si="27"/>
        <v>#VALUE!</v>
      </c>
      <c r="CN84" s="2466">
        <f t="shared" si="28"/>
        <v>1</v>
      </c>
      <c r="CO84" s="2466">
        <f t="shared" si="29"/>
        <v>1</v>
      </c>
      <c r="CP84" s="2466"/>
    </row>
    <row r="85" spans="1:94" s="170" customFormat="1" ht="15" customHeight="1" x14ac:dyDescent="0.2">
      <c r="A85" s="6234">
        <v>32101578</v>
      </c>
      <c r="B85" s="1253" t="s">
        <v>990</v>
      </c>
      <c r="C85" s="1457" t="s">
        <v>5292</v>
      </c>
      <c r="D85" s="1095" t="s">
        <v>5293</v>
      </c>
      <c r="E85" s="1426" t="s">
        <v>5294</v>
      </c>
      <c r="F85" s="1426" t="s">
        <v>5295</v>
      </c>
      <c r="G85" s="1426" t="s">
        <v>5296</v>
      </c>
      <c r="H85" s="1426" t="s">
        <v>5297</v>
      </c>
      <c r="I85" s="1426" t="s">
        <v>5298</v>
      </c>
      <c r="J85" s="1426" t="s">
        <v>5299</v>
      </c>
      <c r="K85" s="1426" t="s">
        <v>5300</v>
      </c>
      <c r="L85" s="1426" t="s">
        <v>5301</v>
      </c>
      <c r="M85" s="1426" t="s">
        <v>5302</v>
      </c>
      <c r="N85" s="1426" t="s">
        <v>5303</v>
      </c>
      <c r="O85" s="1426" t="s">
        <v>5304</v>
      </c>
      <c r="P85" s="1426" t="s">
        <v>5305</v>
      </c>
      <c r="Q85" s="1426" t="s">
        <v>5306</v>
      </c>
      <c r="R85" s="1426" t="s">
        <v>5307</v>
      </c>
      <c r="S85" s="1426" t="s">
        <v>5308</v>
      </c>
      <c r="T85" s="1099" t="s">
        <v>5309</v>
      </c>
      <c r="U85" s="1095" t="s">
        <v>5310</v>
      </c>
      <c r="V85" s="1099" t="s">
        <v>5311</v>
      </c>
      <c r="W85" s="1095" t="s">
        <v>5312</v>
      </c>
      <c r="X85" s="1099" t="s">
        <v>5313</v>
      </c>
      <c r="Y85" s="1095" t="s">
        <v>5314</v>
      </c>
      <c r="Z85" s="1099" t="s">
        <v>5315</v>
      </c>
      <c r="AA85" s="1253" t="s">
        <v>5316</v>
      </c>
      <c r="AB85" s="1095" t="s">
        <v>5317</v>
      </c>
      <c r="AC85" s="1426" t="s">
        <v>5318</v>
      </c>
      <c r="AD85" s="1426" t="s">
        <v>5319</v>
      </c>
      <c r="AE85" s="1099" t="s">
        <v>5320</v>
      </c>
      <c r="AF85" s="1253" t="s">
        <v>5321</v>
      </c>
      <c r="AG85" s="1095" t="s">
        <v>5322</v>
      </c>
      <c r="AH85" s="1426" t="s">
        <v>5323</v>
      </c>
      <c r="AI85" s="1426" t="s">
        <v>5324</v>
      </c>
      <c r="AJ85" s="1100" t="s">
        <v>5325</v>
      </c>
      <c r="AK85" s="8" t="s">
        <v>5326</v>
      </c>
      <c r="AL85" s="8" t="s">
        <v>5327</v>
      </c>
      <c r="AM85" s="8" t="s">
        <v>5328</v>
      </c>
      <c r="AN85" s="8" t="s">
        <v>5329</v>
      </c>
      <c r="AO85" s="8" t="s">
        <v>5330</v>
      </c>
      <c r="AP85" s="8" t="s">
        <v>5331</v>
      </c>
      <c r="AQ85" s="8" t="s">
        <v>5332</v>
      </c>
      <c r="AR85" s="8" t="s">
        <v>5333</v>
      </c>
      <c r="AS85" s="170" t="e">
        <f t="shared" si="21"/>
        <v>#VALUE!</v>
      </c>
      <c r="CD85" s="2465" t="e">
        <f t="shared" si="22"/>
        <v>#VALUE!</v>
      </c>
      <c r="CE85" s="2465" t="e">
        <f t="shared" si="23"/>
        <v>#VALUE!</v>
      </c>
      <c r="CF85" s="2465" t="str">
        <f t="shared" si="24"/>
        <v xml:space="preserve"> * La variable Pueblos originarios No puede ser mayor al Total.</v>
      </c>
      <c r="CG85" s="2465" t="str">
        <f t="shared" si="25"/>
        <v xml:space="preserve"> * La variable Migrantes No puede ser mayor al Total.</v>
      </c>
      <c r="CH85" s="2465"/>
      <c r="CI85" s="2465"/>
      <c r="CJ85" s="2465"/>
      <c r="CL85" s="2466" t="e">
        <f t="shared" si="26"/>
        <v>#VALUE!</v>
      </c>
      <c r="CM85" s="2466" t="e">
        <f t="shared" si="27"/>
        <v>#VALUE!</v>
      </c>
      <c r="CN85" s="2466">
        <f t="shared" si="28"/>
        <v>1</v>
      </c>
      <c r="CO85" s="2466">
        <f t="shared" si="29"/>
        <v>1</v>
      </c>
      <c r="CP85" s="2466"/>
    </row>
    <row r="86" spans="1:94" s="170" customFormat="1" ht="15" customHeight="1" x14ac:dyDescent="0.2">
      <c r="A86" s="6234">
        <v>32101579</v>
      </c>
      <c r="B86" s="1253" t="s">
        <v>991</v>
      </c>
      <c r="C86" s="1457" t="s">
        <v>5292</v>
      </c>
      <c r="D86" s="1095" t="s">
        <v>5293</v>
      </c>
      <c r="E86" s="1426" t="s">
        <v>5294</v>
      </c>
      <c r="F86" s="1426" t="s">
        <v>5295</v>
      </c>
      <c r="G86" s="1426" t="s">
        <v>5296</v>
      </c>
      <c r="H86" s="1426" t="s">
        <v>5297</v>
      </c>
      <c r="I86" s="1426" t="s">
        <v>5298</v>
      </c>
      <c r="J86" s="1426" t="s">
        <v>5299</v>
      </c>
      <c r="K86" s="1426" t="s">
        <v>5300</v>
      </c>
      <c r="L86" s="1426" t="s">
        <v>5301</v>
      </c>
      <c r="M86" s="1426" t="s">
        <v>5302</v>
      </c>
      <c r="N86" s="1426" t="s">
        <v>5303</v>
      </c>
      <c r="O86" s="1426" t="s">
        <v>5304</v>
      </c>
      <c r="P86" s="1426" t="s">
        <v>5305</v>
      </c>
      <c r="Q86" s="1426" t="s">
        <v>5306</v>
      </c>
      <c r="R86" s="1426" t="s">
        <v>5307</v>
      </c>
      <c r="S86" s="1426" t="s">
        <v>5308</v>
      </c>
      <c r="T86" s="1099" t="s">
        <v>5309</v>
      </c>
      <c r="U86" s="1095" t="s">
        <v>5310</v>
      </c>
      <c r="V86" s="1099" t="s">
        <v>5311</v>
      </c>
      <c r="W86" s="1095" t="s">
        <v>5312</v>
      </c>
      <c r="X86" s="1099" t="s">
        <v>5313</v>
      </c>
      <c r="Y86" s="1095" t="s">
        <v>5314</v>
      </c>
      <c r="Z86" s="1099" t="s">
        <v>5315</v>
      </c>
      <c r="AA86" s="1253" t="s">
        <v>5316</v>
      </c>
      <c r="AB86" s="1095" t="s">
        <v>5317</v>
      </c>
      <c r="AC86" s="1426" t="s">
        <v>5318</v>
      </c>
      <c r="AD86" s="1426" t="s">
        <v>5319</v>
      </c>
      <c r="AE86" s="1099" t="s">
        <v>5320</v>
      </c>
      <c r="AF86" s="1253" t="s">
        <v>5321</v>
      </c>
      <c r="AG86" s="1095" t="s">
        <v>5322</v>
      </c>
      <c r="AH86" s="1426" t="s">
        <v>5323</v>
      </c>
      <c r="AI86" s="1426" t="s">
        <v>5324</v>
      </c>
      <c r="AJ86" s="1100" t="s">
        <v>5325</v>
      </c>
      <c r="AK86" s="8" t="s">
        <v>5326</v>
      </c>
      <c r="AL86" s="8" t="s">
        <v>5327</v>
      </c>
      <c r="AM86" s="8" t="s">
        <v>5328</v>
      </c>
      <c r="AN86" s="8" t="s">
        <v>5329</v>
      </c>
      <c r="AO86" s="8" t="s">
        <v>5330</v>
      </c>
      <c r="AP86" s="8" t="s">
        <v>5331</v>
      </c>
      <c r="AQ86" s="8" t="s">
        <v>5332</v>
      </c>
      <c r="AR86" s="8" t="s">
        <v>5333</v>
      </c>
      <c r="AS86" s="170" t="e">
        <f t="shared" si="21"/>
        <v>#VALUE!</v>
      </c>
      <c r="CD86" s="2465" t="e">
        <f t="shared" si="22"/>
        <v>#VALUE!</v>
      </c>
      <c r="CE86" s="2465" t="e">
        <f t="shared" si="23"/>
        <v>#VALUE!</v>
      </c>
      <c r="CF86" s="2465" t="str">
        <f t="shared" si="24"/>
        <v xml:space="preserve"> * La variable Pueblos originarios No puede ser mayor al Total.</v>
      </c>
      <c r="CG86" s="2465" t="str">
        <f t="shared" si="25"/>
        <v xml:space="preserve"> * La variable Migrantes No puede ser mayor al Total.</v>
      </c>
      <c r="CH86" s="2465"/>
      <c r="CI86" s="2465"/>
      <c r="CJ86" s="2465"/>
      <c r="CL86" s="2466" t="e">
        <f t="shared" si="26"/>
        <v>#VALUE!</v>
      </c>
      <c r="CM86" s="2466" t="e">
        <f t="shared" si="27"/>
        <v>#VALUE!</v>
      </c>
      <c r="CN86" s="2466">
        <f t="shared" si="28"/>
        <v>1</v>
      </c>
      <c r="CO86" s="2466">
        <f t="shared" si="29"/>
        <v>1</v>
      </c>
      <c r="CP86" s="2466"/>
    </row>
    <row r="87" spans="1:94" s="170" customFormat="1" ht="15" customHeight="1" x14ac:dyDescent="0.2">
      <c r="A87" s="6234">
        <v>32101580</v>
      </c>
      <c r="B87" s="1253" t="s">
        <v>992</v>
      </c>
      <c r="C87" s="1457" t="s">
        <v>5292</v>
      </c>
      <c r="D87" s="1095" t="s">
        <v>5293</v>
      </c>
      <c r="E87" s="1426" t="s">
        <v>5294</v>
      </c>
      <c r="F87" s="1426" t="s">
        <v>5295</v>
      </c>
      <c r="G87" s="1426" t="s">
        <v>5296</v>
      </c>
      <c r="H87" s="1426" t="s">
        <v>5297</v>
      </c>
      <c r="I87" s="1426" t="s">
        <v>5298</v>
      </c>
      <c r="J87" s="1426" t="s">
        <v>5299</v>
      </c>
      <c r="K87" s="1426" t="s">
        <v>5300</v>
      </c>
      <c r="L87" s="1426" t="s">
        <v>5301</v>
      </c>
      <c r="M87" s="1426" t="s">
        <v>5302</v>
      </c>
      <c r="N87" s="1426" t="s">
        <v>5303</v>
      </c>
      <c r="O87" s="1426" t="s">
        <v>5304</v>
      </c>
      <c r="P87" s="1426" t="s">
        <v>5305</v>
      </c>
      <c r="Q87" s="1426" t="s">
        <v>5306</v>
      </c>
      <c r="R87" s="1426" t="s">
        <v>5307</v>
      </c>
      <c r="S87" s="1426" t="s">
        <v>5308</v>
      </c>
      <c r="T87" s="1099" t="s">
        <v>5309</v>
      </c>
      <c r="U87" s="1095" t="s">
        <v>5310</v>
      </c>
      <c r="V87" s="1099" t="s">
        <v>5311</v>
      </c>
      <c r="W87" s="1095" t="s">
        <v>5312</v>
      </c>
      <c r="X87" s="1099" t="s">
        <v>5313</v>
      </c>
      <c r="Y87" s="1095" t="s">
        <v>5314</v>
      </c>
      <c r="Z87" s="1099" t="s">
        <v>5315</v>
      </c>
      <c r="AA87" s="1253" t="s">
        <v>5316</v>
      </c>
      <c r="AB87" s="1095" t="s">
        <v>5317</v>
      </c>
      <c r="AC87" s="1426" t="s">
        <v>5318</v>
      </c>
      <c r="AD87" s="1426" t="s">
        <v>5319</v>
      </c>
      <c r="AE87" s="1099" t="s">
        <v>5320</v>
      </c>
      <c r="AF87" s="1253" t="s">
        <v>5321</v>
      </c>
      <c r="AG87" s="1095" t="s">
        <v>5322</v>
      </c>
      <c r="AH87" s="1426" t="s">
        <v>5323</v>
      </c>
      <c r="AI87" s="1426" t="s">
        <v>5324</v>
      </c>
      <c r="AJ87" s="1100" t="s">
        <v>5325</v>
      </c>
      <c r="AK87" s="8" t="s">
        <v>5326</v>
      </c>
      <c r="AL87" s="8" t="s">
        <v>5327</v>
      </c>
      <c r="AM87" s="8" t="s">
        <v>5328</v>
      </c>
      <c r="AN87" s="8" t="s">
        <v>5329</v>
      </c>
      <c r="AO87" s="8" t="s">
        <v>5330</v>
      </c>
      <c r="AP87" s="8" t="s">
        <v>5331</v>
      </c>
      <c r="AQ87" s="8" t="s">
        <v>5332</v>
      </c>
      <c r="AR87" s="8" t="s">
        <v>5333</v>
      </c>
      <c r="AS87" s="170" t="e">
        <f t="shared" si="21"/>
        <v>#VALUE!</v>
      </c>
      <c r="CD87" s="2465" t="e">
        <f t="shared" si="22"/>
        <v>#VALUE!</v>
      </c>
      <c r="CE87" s="2465" t="e">
        <f t="shared" si="23"/>
        <v>#VALUE!</v>
      </c>
      <c r="CF87" s="2465" t="str">
        <f t="shared" si="24"/>
        <v xml:space="preserve"> * La variable Pueblos originarios No puede ser mayor al Total.</v>
      </c>
      <c r="CG87" s="2465" t="str">
        <f t="shared" si="25"/>
        <v xml:space="preserve"> * La variable Migrantes No puede ser mayor al Total.</v>
      </c>
      <c r="CH87" s="2465"/>
      <c r="CI87" s="2465"/>
      <c r="CJ87" s="2465"/>
      <c r="CL87" s="2466" t="e">
        <f t="shared" si="26"/>
        <v>#VALUE!</v>
      </c>
      <c r="CM87" s="2466" t="e">
        <f t="shared" si="27"/>
        <v>#VALUE!</v>
      </c>
      <c r="CN87" s="2466">
        <f t="shared" si="28"/>
        <v>1</v>
      </c>
      <c r="CO87" s="2466">
        <f t="shared" si="29"/>
        <v>1</v>
      </c>
      <c r="CP87" s="2466"/>
    </row>
    <row r="88" spans="1:94" s="170" customFormat="1" ht="15" customHeight="1" x14ac:dyDescent="0.2">
      <c r="A88" s="6234">
        <v>32101581</v>
      </c>
      <c r="B88" s="1253" t="s">
        <v>993</v>
      </c>
      <c r="C88" s="1457" t="s">
        <v>5292</v>
      </c>
      <c r="D88" s="1095" t="s">
        <v>5293</v>
      </c>
      <c r="E88" s="1426" t="s">
        <v>5294</v>
      </c>
      <c r="F88" s="1426" t="s">
        <v>5295</v>
      </c>
      <c r="G88" s="1426" t="s">
        <v>5296</v>
      </c>
      <c r="H88" s="1426" t="s">
        <v>5297</v>
      </c>
      <c r="I88" s="1426" t="s">
        <v>5298</v>
      </c>
      <c r="J88" s="1426" t="s">
        <v>5299</v>
      </c>
      <c r="K88" s="1426" t="s">
        <v>5300</v>
      </c>
      <c r="L88" s="1426" t="s">
        <v>5301</v>
      </c>
      <c r="M88" s="1426" t="s">
        <v>5302</v>
      </c>
      <c r="N88" s="1426" t="s">
        <v>5303</v>
      </c>
      <c r="O88" s="1426" t="s">
        <v>5304</v>
      </c>
      <c r="P88" s="1426" t="s">
        <v>5305</v>
      </c>
      <c r="Q88" s="1426" t="s">
        <v>5306</v>
      </c>
      <c r="R88" s="1426" t="s">
        <v>5307</v>
      </c>
      <c r="S88" s="1426" t="s">
        <v>5308</v>
      </c>
      <c r="T88" s="1099" t="s">
        <v>5309</v>
      </c>
      <c r="U88" s="1095" t="s">
        <v>5310</v>
      </c>
      <c r="V88" s="1099" t="s">
        <v>5311</v>
      </c>
      <c r="W88" s="1095" t="s">
        <v>5312</v>
      </c>
      <c r="X88" s="1099" t="s">
        <v>5313</v>
      </c>
      <c r="Y88" s="1095" t="s">
        <v>5314</v>
      </c>
      <c r="Z88" s="1099" t="s">
        <v>5315</v>
      </c>
      <c r="AA88" s="1253" t="s">
        <v>5316</v>
      </c>
      <c r="AB88" s="1095" t="s">
        <v>5317</v>
      </c>
      <c r="AC88" s="1426" t="s">
        <v>5318</v>
      </c>
      <c r="AD88" s="1426" t="s">
        <v>5319</v>
      </c>
      <c r="AE88" s="1099" t="s">
        <v>5320</v>
      </c>
      <c r="AF88" s="1253" t="s">
        <v>5321</v>
      </c>
      <c r="AG88" s="1095" t="s">
        <v>5322</v>
      </c>
      <c r="AH88" s="1426" t="s">
        <v>5323</v>
      </c>
      <c r="AI88" s="1426" t="s">
        <v>5324</v>
      </c>
      <c r="AJ88" s="1100" t="s">
        <v>5325</v>
      </c>
      <c r="AK88" s="8" t="s">
        <v>5326</v>
      </c>
      <c r="AL88" s="8" t="s">
        <v>5327</v>
      </c>
      <c r="AM88" s="8" t="s">
        <v>5328</v>
      </c>
      <c r="AN88" s="8" t="s">
        <v>5329</v>
      </c>
      <c r="AO88" s="8" t="s">
        <v>5330</v>
      </c>
      <c r="AP88" s="8" t="s">
        <v>5331</v>
      </c>
      <c r="AQ88" s="8" t="s">
        <v>5332</v>
      </c>
      <c r="AR88" s="8" t="s">
        <v>5333</v>
      </c>
      <c r="AS88" s="170" t="e">
        <f t="shared" si="21"/>
        <v>#VALUE!</v>
      </c>
      <c r="CD88" s="2465" t="e">
        <f t="shared" si="22"/>
        <v>#VALUE!</v>
      </c>
      <c r="CE88" s="2465" t="e">
        <f t="shared" si="23"/>
        <v>#VALUE!</v>
      </c>
      <c r="CF88" s="2465" t="str">
        <f t="shared" si="24"/>
        <v xml:space="preserve"> * La variable Pueblos originarios No puede ser mayor al Total.</v>
      </c>
      <c r="CG88" s="2465" t="str">
        <f t="shared" si="25"/>
        <v xml:space="preserve"> * La variable Migrantes No puede ser mayor al Total.</v>
      </c>
      <c r="CH88" s="2465"/>
      <c r="CI88" s="2465"/>
      <c r="CJ88" s="2465"/>
      <c r="CL88" s="2466" t="e">
        <f t="shared" si="26"/>
        <v>#VALUE!</v>
      </c>
      <c r="CM88" s="2466" t="e">
        <f t="shared" si="27"/>
        <v>#VALUE!</v>
      </c>
      <c r="CN88" s="2466">
        <f t="shared" si="28"/>
        <v>1</v>
      </c>
      <c r="CO88" s="2466">
        <f t="shared" si="29"/>
        <v>1</v>
      </c>
      <c r="CP88" s="2466"/>
    </row>
    <row r="89" spans="1:94" s="170" customFormat="1" ht="15" customHeight="1" x14ac:dyDescent="0.2">
      <c r="A89" s="6234">
        <v>32101582</v>
      </c>
      <c r="B89" s="1253" t="s">
        <v>994</v>
      </c>
      <c r="C89" s="1457" t="s">
        <v>5292</v>
      </c>
      <c r="D89" s="1533" t="s">
        <v>5293</v>
      </c>
      <c r="E89" s="1534" t="s">
        <v>5294</v>
      </c>
      <c r="F89" s="1534" t="s">
        <v>5295</v>
      </c>
      <c r="G89" s="1534" t="s">
        <v>5296</v>
      </c>
      <c r="H89" s="1534" t="s">
        <v>5297</v>
      </c>
      <c r="I89" s="1534" t="s">
        <v>5298</v>
      </c>
      <c r="J89" s="1534" t="s">
        <v>5299</v>
      </c>
      <c r="K89" s="1534" t="s">
        <v>5300</v>
      </c>
      <c r="L89" s="1534" t="s">
        <v>5301</v>
      </c>
      <c r="M89" s="1426" t="s">
        <v>5302</v>
      </c>
      <c r="N89" s="1426" t="s">
        <v>5303</v>
      </c>
      <c r="O89" s="1426" t="s">
        <v>5304</v>
      </c>
      <c r="P89" s="1426" t="s">
        <v>5305</v>
      </c>
      <c r="Q89" s="1426" t="s">
        <v>5306</v>
      </c>
      <c r="R89" s="1426" t="s">
        <v>5307</v>
      </c>
      <c r="S89" s="1426" t="s">
        <v>5308</v>
      </c>
      <c r="T89" s="1099" t="s">
        <v>5309</v>
      </c>
      <c r="U89" s="1095" t="s">
        <v>5310</v>
      </c>
      <c r="V89" s="1099" t="s">
        <v>5311</v>
      </c>
      <c r="W89" s="1095" t="s">
        <v>5312</v>
      </c>
      <c r="X89" s="1099" t="s">
        <v>5313</v>
      </c>
      <c r="Y89" s="1095" t="s">
        <v>5314</v>
      </c>
      <c r="Z89" s="1099" t="s">
        <v>5315</v>
      </c>
      <c r="AA89" s="1253" t="s">
        <v>5316</v>
      </c>
      <c r="AB89" s="1095" t="s">
        <v>5317</v>
      </c>
      <c r="AC89" s="1426" t="s">
        <v>5318</v>
      </c>
      <c r="AD89" s="1426" t="s">
        <v>5319</v>
      </c>
      <c r="AE89" s="1099" t="s">
        <v>5320</v>
      </c>
      <c r="AF89" s="1253" t="s">
        <v>5321</v>
      </c>
      <c r="AG89" s="1095" t="s">
        <v>5322</v>
      </c>
      <c r="AH89" s="1426" t="s">
        <v>5323</v>
      </c>
      <c r="AI89" s="1426" t="s">
        <v>5324</v>
      </c>
      <c r="AJ89" s="1100" t="s">
        <v>5325</v>
      </c>
      <c r="AK89" s="8" t="s">
        <v>5326</v>
      </c>
      <c r="AL89" s="8" t="s">
        <v>5327</v>
      </c>
      <c r="AM89" s="8" t="s">
        <v>5328</v>
      </c>
      <c r="AN89" s="8" t="s">
        <v>5329</v>
      </c>
      <c r="AO89" s="8" t="s">
        <v>5330</v>
      </c>
      <c r="AP89" s="8" t="s">
        <v>5331</v>
      </c>
      <c r="AQ89" s="8" t="s">
        <v>5332</v>
      </c>
      <c r="AR89" s="8" t="s">
        <v>5333</v>
      </c>
      <c r="AS89" s="170" t="e">
        <f t="shared" si="21"/>
        <v>#VALUE!</v>
      </c>
      <c r="CD89" s="2465" t="e">
        <f t="shared" si="22"/>
        <v>#VALUE!</v>
      </c>
      <c r="CE89" s="2465" t="e">
        <f t="shared" si="23"/>
        <v>#VALUE!</v>
      </c>
      <c r="CF89" s="2465" t="str">
        <f t="shared" si="24"/>
        <v xml:space="preserve"> * La variable Pueblos originarios No puede ser mayor al Total.</v>
      </c>
      <c r="CG89" s="2465" t="str">
        <f t="shared" si="25"/>
        <v xml:space="preserve"> * La variable Migrantes No puede ser mayor al Total.</v>
      </c>
      <c r="CH89" s="2465"/>
      <c r="CI89" s="2465"/>
      <c r="CJ89" s="2465"/>
      <c r="CL89" s="2466" t="e">
        <f t="shared" si="26"/>
        <v>#VALUE!</v>
      </c>
      <c r="CM89" s="2466" t="e">
        <f t="shared" si="27"/>
        <v>#VALUE!</v>
      </c>
      <c r="CN89" s="2466">
        <f t="shared" si="28"/>
        <v>1</v>
      </c>
      <c r="CO89" s="2466">
        <f t="shared" si="29"/>
        <v>1</v>
      </c>
      <c r="CP89" s="2466"/>
    </row>
    <row r="90" spans="1:94" s="170" customFormat="1" ht="15" customHeight="1" x14ac:dyDescent="0.2">
      <c r="A90" s="6234">
        <v>32100250</v>
      </c>
      <c r="B90" s="1253" t="s">
        <v>240</v>
      </c>
      <c r="C90" s="1457" t="s">
        <v>5292</v>
      </c>
      <c r="D90" s="1095" t="s">
        <v>5293</v>
      </c>
      <c r="E90" s="1426" t="s">
        <v>5294</v>
      </c>
      <c r="F90" s="1426" t="s">
        <v>5295</v>
      </c>
      <c r="G90" s="1426" t="s">
        <v>5296</v>
      </c>
      <c r="H90" s="1426" t="s">
        <v>5297</v>
      </c>
      <c r="I90" s="1426" t="s">
        <v>5298</v>
      </c>
      <c r="J90" s="1426" t="s">
        <v>5299</v>
      </c>
      <c r="K90" s="1426" t="s">
        <v>5300</v>
      </c>
      <c r="L90" s="1426" t="s">
        <v>5301</v>
      </c>
      <c r="M90" s="1426" t="s">
        <v>5302</v>
      </c>
      <c r="N90" s="1426" t="s">
        <v>5303</v>
      </c>
      <c r="O90" s="1426" t="s">
        <v>5304</v>
      </c>
      <c r="P90" s="1426" t="s">
        <v>5305</v>
      </c>
      <c r="Q90" s="1426" t="s">
        <v>5306</v>
      </c>
      <c r="R90" s="1426" t="s">
        <v>5307</v>
      </c>
      <c r="S90" s="1426" t="s">
        <v>5308</v>
      </c>
      <c r="T90" s="1099" t="s">
        <v>5309</v>
      </c>
      <c r="U90" s="1095" t="s">
        <v>5310</v>
      </c>
      <c r="V90" s="1099" t="s">
        <v>5311</v>
      </c>
      <c r="W90" s="1095" t="s">
        <v>5312</v>
      </c>
      <c r="X90" s="1099" t="s">
        <v>5313</v>
      </c>
      <c r="Y90" s="1095" t="s">
        <v>5314</v>
      </c>
      <c r="Z90" s="1099" t="s">
        <v>5315</v>
      </c>
      <c r="AA90" s="1253" t="s">
        <v>5316</v>
      </c>
      <c r="AB90" s="1095" t="s">
        <v>5317</v>
      </c>
      <c r="AC90" s="1426" t="s">
        <v>5318</v>
      </c>
      <c r="AD90" s="1426" t="s">
        <v>5319</v>
      </c>
      <c r="AE90" s="1099" t="s">
        <v>5320</v>
      </c>
      <c r="AF90" s="1253" t="s">
        <v>5321</v>
      </c>
      <c r="AG90" s="1095" t="s">
        <v>5322</v>
      </c>
      <c r="AH90" s="1426" t="s">
        <v>5323</v>
      </c>
      <c r="AI90" s="1426" t="s">
        <v>5324</v>
      </c>
      <c r="AJ90" s="1100" t="s">
        <v>5325</v>
      </c>
      <c r="AK90" s="8" t="s">
        <v>5326</v>
      </c>
      <c r="AL90" s="8" t="s">
        <v>5327</v>
      </c>
      <c r="AM90" s="8" t="s">
        <v>5328</v>
      </c>
      <c r="AN90" s="8" t="s">
        <v>5329</v>
      </c>
      <c r="AO90" s="8" t="s">
        <v>5330</v>
      </c>
      <c r="AP90" s="8" t="s">
        <v>5331</v>
      </c>
      <c r="AQ90" s="8" t="s">
        <v>5332</v>
      </c>
      <c r="AR90" s="8" t="s">
        <v>5333</v>
      </c>
      <c r="AS90" s="170" t="e">
        <f t="shared" si="21"/>
        <v>#VALUE!</v>
      </c>
      <c r="CD90" s="2465" t="e">
        <f t="shared" si="22"/>
        <v>#VALUE!</v>
      </c>
      <c r="CE90" s="2465" t="e">
        <f t="shared" si="23"/>
        <v>#VALUE!</v>
      </c>
      <c r="CF90" s="2465" t="str">
        <f t="shared" si="24"/>
        <v xml:space="preserve"> * La variable Pueblos originarios No puede ser mayor al Total.</v>
      </c>
      <c r="CG90" s="2465" t="str">
        <f t="shared" si="25"/>
        <v xml:space="preserve"> * La variable Migrantes No puede ser mayor al Total.</v>
      </c>
      <c r="CH90" s="2465"/>
      <c r="CI90" s="2465"/>
      <c r="CJ90" s="2465"/>
      <c r="CL90" s="2466" t="e">
        <f t="shared" si="26"/>
        <v>#VALUE!</v>
      </c>
      <c r="CM90" s="2466" t="e">
        <f t="shared" si="27"/>
        <v>#VALUE!</v>
      </c>
      <c r="CN90" s="2466">
        <f t="shared" si="28"/>
        <v>1</v>
      </c>
      <c r="CO90" s="2466">
        <f t="shared" si="29"/>
        <v>1</v>
      </c>
      <c r="CP90" s="2466"/>
    </row>
    <row r="91" spans="1:94" s="170" customFormat="1" ht="15" customHeight="1" x14ac:dyDescent="0.2">
      <c r="A91" s="6234">
        <v>32101583</v>
      </c>
      <c r="B91" s="1253" t="s">
        <v>1347</v>
      </c>
      <c r="C91" s="1457" t="s">
        <v>5292</v>
      </c>
      <c r="D91" s="1095" t="s">
        <v>5293</v>
      </c>
      <c r="E91" s="1426" t="s">
        <v>5294</v>
      </c>
      <c r="F91" s="1426" t="s">
        <v>5295</v>
      </c>
      <c r="G91" s="1426" t="s">
        <v>5296</v>
      </c>
      <c r="H91" s="1426" t="s">
        <v>5297</v>
      </c>
      <c r="I91" s="1426" t="s">
        <v>5298</v>
      </c>
      <c r="J91" s="1426" t="s">
        <v>5299</v>
      </c>
      <c r="K91" s="1426" t="s">
        <v>5300</v>
      </c>
      <c r="L91" s="1426" t="s">
        <v>5301</v>
      </c>
      <c r="M91" s="1426" t="s">
        <v>5302</v>
      </c>
      <c r="N91" s="1426" t="s">
        <v>5303</v>
      </c>
      <c r="O91" s="1426" t="s">
        <v>5304</v>
      </c>
      <c r="P91" s="1426" t="s">
        <v>5305</v>
      </c>
      <c r="Q91" s="1426" t="s">
        <v>5306</v>
      </c>
      <c r="R91" s="1426" t="s">
        <v>5307</v>
      </c>
      <c r="S91" s="1426" t="s">
        <v>5308</v>
      </c>
      <c r="T91" s="1099" t="s">
        <v>5309</v>
      </c>
      <c r="U91" s="1095" t="s">
        <v>5310</v>
      </c>
      <c r="V91" s="1099" t="s">
        <v>5311</v>
      </c>
      <c r="W91" s="1095" t="s">
        <v>5312</v>
      </c>
      <c r="X91" s="1099" t="s">
        <v>5313</v>
      </c>
      <c r="Y91" s="1095" t="s">
        <v>5314</v>
      </c>
      <c r="Z91" s="1099" t="s">
        <v>5315</v>
      </c>
      <c r="AA91" s="1253" t="s">
        <v>5316</v>
      </c>
      <c r="AB91" s="1095" t="s">
        <v>5317</v>
      </c>
      <c r="AC91" s="1426" t="s">
        <v>5318</v>
      </c>
      <c r="AD91" s="1426" t="s">
        <v>5319</v>
      </c>
      <c r="AE91" s="1099" t="s">
        <v>5320</v>
      </c>
      <c r="AF91" s="1253" t="s">
        <v>5321</v>
      </c>
      <c r="AG91" s="1095" t="s">
        <v>5322</v>
      </c>
      <c r="AH91" s="1426" t="s">
        <v>5323</v>
      </c>
      <c r="AI91" s="1426" t="s">
        <v>5324</v>
      </c>
      <c r="AJ91" s="1100" t="s">
        <v>5325</v>
      </c>
      <c r="AK91" s="8" t="s">
        <v>5326</v>
      </c>
      <c r="AL91" s="8" t="s">
        <v>5327</v>
      </c>
      <c r="AM91" s="8" t="s">
        <v>5328</v>
      </c>
      <c r="AN91" s="8" t="s">
        <v>5329</v>
      </c>
      <c r="AO91" s="8" t="s">
        <v>5330</v>
      </c>
      <c r="AP91" s="8" t="s">
        <v>5331</v>
      </c>
      <c r="AQ91" s="8" t="s">
        <v>5332</v>
      </c>
      <c r="AR91" s="8" t="s">
        <v>5333</v>
      </c>
      <c r="AS91" s="170" t="e">
        <f t="shared" si="21"/>
        <v>#VALUE!</v>
      </c>
      <c r="CD91" s="2465" t="e">
        <f t="shared" si="22"/>
        <v>#VALUE!</v>
      </c>
      <c r="CE91" s="2465" t="e">
        <f t="shared" si="23"/>
        <v>#VALUE!</v>
      </c>
      <c r="CF91" s="2465" t="str">
        <f t="shared" si="24"/>
        <v xml:space="preserve"> * La variable Pueblos originarios No puede ser mayor al Total.</v>
      </c>
      <c r="CG91" s="2465" t="str">
        <f t="shared" si="25"/>
        <v xml:space="preserve"> * La variable Migrantes No puede ser mayor al Total.</v>
      </c>
      <c r="CH91" s="2465"/>
      <c r="CI91" s="2465"/>
      <c r="CJ91" s="2465"/>
      <c r="CL91" s="2466" t="e">
        <f t="shared" si="26"/>
        <v>#VALUE!</v>
      </c>
      <c r="CM91" s="2466" t="e">
        <f t="shared" si="27"/>
        <v>#VALUE!</v>
      </c>
      <c r="CN91" s="2466">
        <f t="shared" si="28"/>
        <v>1</v>
      </c>
      <c r="CO91" s="2466">
        <f t="shared" si="29"/>
        <v>1</v>
      </c>
      <c r="CP91" s="2466"/>
    </row>
    <row r="92" spans="1:94" s="170" customFormat="1" ht="15" customHeight="1" x14ac:dyDescent="0.2">
      <c r="A92" s="6234">
        <v>32101584</v>
      </c>
      <c r="B92" s="1521" t="s">
        <v>241</v>
      </c>
      <c r="C92" s="1457" t="s">
        <v>5292</v>
      </c>
      <c r="D92" s="1095" t="s">
        <v>5293</v>
      </c>
      <c r="E92" s="1426" t="s">
        <v>5294</v>
      </c>
      <c r="F92" s="1426" t="s">
        <v>5295</v>
      </c>
      <c r="G92" s="1426" t="s">
        <v>5296</v>
      </c>
      <c r="H92" s="1426" t="s">
        <v>5297</v>
      </c>
      <c r="I92" s="1426" t="s">
        <v>5298</v>
      </c>
      <c r="J92" s="1426" t="s">
        <v>5299</v>
      </c>
      <c r="K92" s="1426" t="s">
        <v>5300</v>
      </c>
      <c r="L92" s="1426" t="s">
        <v>5301</v>
      </c>
      <c r="M92" s="1426" t="s">
        <v>5302</v>
      </c>
      <c r="N92" s="1426" t="s">
        <v>5303</v>
      </c>
      <c r="O92" s="1426" t="s">
        <v>5304</v>
      </c>
      <c r="P92" s="1426" t="s">
        <v>5305</v>
      </c>
      <c r="Q92" s="1426" t="s">
        <v>5306</v>
      </c>
      <c r="R92" s="1426" t="s">
        <v>5307</v>
      </c>
      <c r="S92" s="1426" t="s">
        <v>5308</v>
      </c>
      <c r="T92" s="1099" t="s">
        <v>5309</v>
      </c>
      <c r="U92" s="1095" t="s">
        <v>5310</v>
      </c>
      <c r="V92" s="1099" t="s">
        <v>5311</v>
      </c>
      <c r="W92" s="1095" t="s">
        <v>5312</v>
      </c>
      <c r="X92" s="1099" t="s">
        <v>5313</v>
      </c>
      <c r="Y92" s="1095" t="s">
        <v>5314</v>
      </c>
      <c r="Z92" s="1099" t="s">
        <v>5315</v>
      </c>
      <c r="AA92" s="1253" t="s">
        <v>5316</v>
      </c>
      <c r="AB92" s="1095" t="s">
        <v>5317</v>
      </c>
      <c r="AC92" s="1426" t="s">
        <v>5318</v>
      </c>
      <c r="AD92" s="1426" t="s">
        <v>5319</v>
      </c>
      <c r="AE92" s="1099" t="s">
        <v>5320</v>
      </c>
      <c r="AF92" s="1253" t="s">
        <v>5321</v>
      </c>
      <c r="AG92" s="1095" t="s">
        <v>5322</v>
      </c>
      <c r="AH92" s="1426" t="s">
        <v>5323</v>
      </c>
      <c r="AI92" s="1426" t="s">
        <v>5324</v>
      </c>
      <c r="AJ92" s="1100" t="s">
        <v>5325</v>
      </c>
      <c r="AK92" s="8" t="s">
        <v>5326</v>
      </c>
      <c r="AL92" s="8" t="s">
        <v>5327</v>
      </c>
      <c r="AM92" s="8" t="s">
        <v>5328</v>
      </c>
      <c r="AN92" s="8" t="s">
        <v>5329</v>
      </c>
      <c r="AO92" s="8" t="s">
        <v>5330</v>
      </c>
      <c r="AP92" s="8" t="s">
        <v>5331</v>
      </c>
      <c r="AQ92" s="8" t="s">
        <v>5332</v>
      </c>
      <c r="AR92" s="8" t="s">
        <v>5333</v>
      </c>
      <c r="AS92" s="170" t="e">
        <f t="shared" si="21"/>
        <v>#VALUE!</v>
      </c>
      <c r="CD92" s="2465" t="e">
        <f t="shared" si="22"/>
        <v>#VALUE!</v>
      </c>
      <c r="CE92" s="2465" t="e">
        <f t="shared" si="23"/>
        <v>#VALUE!</v>
      </c>
      <c r="CF92" s="2465" t="str">
        <f t="shared" si="24"/>
        <v xml:space="preserve"> * La variable Pueblos originarios No puede ser mayor al Total.</v>
      </c>
      <c r="CG92" s="2465" t="str">
        <f t="shared" si="25"/>
        <v xml:space="preserve"> * La variable Migrantes No puede ser mayor al Total.</v>
      </c>
      <c r="CH92" s="2465"/>
      <c r="CI92" s="2465"/>
      <c r="CJ92" s="2465"/>
      <c r="CL92" s="2466" t="e">
        <f t="shared" si="26"/>
        <v>#VALUE!</v>
      </c>
      <c r="CM92" s="2466" t="e">
        <f t="shared" si="27"/>
        <v>#VALUE!</v>
      </c>
      <c r="CN92" s="2466">
        <f t="shared" si="28"/>
        <v>1</v>
      </c>
      <c r="CO92" s="2466">
        <f t="shared" si="29"/>
        <v>1</v>
      </c>
      <c r="CP92" s="2466"/>
    </row>
    <row r="93" spans="1:94" s="170" customFormat="1" ht="15" customHeight="1" x14ac:dyDescent="0.2">
      <c r="A93" s="6234">
        <v>32101585</v>
      </c>
      <c r="B93" s="1535" t="s">
        <v>995</v>
      </c>
      <c r="C93" s="1457" t="s">
        <v>5292</v>
      </c>
      <c r="D93" s="3" t="s">
        <v>5293</v>
      </c>
      <c r="E93" s="4" t="s">
        <v>5294</v>
      </c>
      <c r="F93" s="4" t="s">
        <v>5295</v>
      </c>
      <c r="G93" s="4" t="s">
        <v>5296</v>
      </c>
      <c r="H93" s="4" t="s">
        <v>5297</v>
      </c>
      <c r="I93" s="4" t="s">
        <v>5298</v>
      </c>
      <c r="J93" s="4" t="s">
        <v>5299</v>
      </c>
      <c r="K93" s="4" t="s">
        <v>5300</v>
      </c>
      <c r="L93" s="4" t="s">
        <v>5301</v>
      </c>
      <c r="M93" s="4" t="s">
        <v>5302</v>
      </c>
      <c r="N93" s="4" t="s">
        <v>5303</v>
      </c>
      <c r="O93" s="4" t="s">
        <v>5304</v>
      </c>
      <c r="P93" s="4" t="s">
        <v>5305</v>
      </c>
      <c r="Q93" s="4" t="s">
        <v>5306</v>
      </c>
      <c r="R93" s="4" t="s">
        <v>5307</v>
      </c>
      <c r="S93" s="4" t="s">
        <v>5308</v>
      </c>
      <c r="T93" s="6" t="s">
        <v>5309</v>
      </c>
      <c r="U93" s="1095" t="s">
        <v>5310</v>
      </c>
      <c r="V93" s="1099" t="s">
        <v>5311</v>
      </c>
      <c r="W93" s="1095" t="s">
        <v>5312</v>
      </c>
      <c r="X93" s="1099" t="s">
        <v>5313</v>
      </c>
      <c r="Y93" s="1095" t="s">
        <v>5314</v>
      </c>
      <c r="Z93" s="1099" t="s">
        <v>5315</v>
      </c>
      <c r="AA93" s="1253" t="s">
        <v>5316</v>
      </c>
      <c r="AB93" s="1095" t="s">
        <v>5317</v>
      </c>
      <c r="AC93" s="1426" t="s">
        <v>5318</v>
      </c>
      <c r="AD93" s="1426" t="s">
        <v>5319</v>
      </c>
      <c r="AE93" s="1099" t="s">
        <v>5320</v>
      </c>
      <c r="AF93" s="1253" t="s">
        <v>5321</v>
      </c>
      <c r="AG93" s="1095" t="s">
        <v>5322</v>
      </c>
      <c r="AH93" s="1426" t="s">
        <v>5323</v>
      </c>
      <c r="AI93" s="1426" t="s">
        <v>5324</v>
      </c>
      <c r="AJ93" s="1100" t="s">
        <v>5325</v>
      </c>
      <c r="AK93" s="8" t="s">
        <v>5326</v>
      </c>
      <c r="AL93" s="8" t="s">
        <v>5327</v>
      </c>
      <c r="AM93" s="8" t="s">
        <v>5328</v>
      </c>
      <c r="AN93" s="8" t="s">
        <v>5329</v>
      </c>
      <c r="AO93" s="8" t="s">
        <v>5330</v>
      </c>
      <c r="AP93" s="8" t="s">
        <v>5331</v>
      </c>
      <c r="AQ93" s="8" t="s">
        <v>5332</v>
      </c>
      <c r="AR93" s="8" t="s">
        <v>5333</v>
      </c>
      <c r="AS93" s="170" t="e">
        <f t="shared" si="21"/>
        <v>#VALUE!</v>
      </c>
      <c r="CD93" s="2465" t="e">
        <f t="shared" si="22"/>
        <v>#VALUE!</v>
      </c>
      <c r="CE93" s="2465" t="e">
        <f t="shared" si="23"/>
        <v>#VALUE!</v>
      </c>
      <c r="CF93" s="2465" t="str">
        <f t="shared" si="24"/>
        <v xml:space="preserve"> * La variable Pueblos originarios No puede ser mayor al Total.</v>
      </c>
      <c r="CG93" s="2465" t="str">
        <f t="shared" si="25"/>
        <v xml:space="preserve"> * La variable Migrantes No puede ser mayor al Total.</v>
      </c>
      <c r="CH93" s="2465"/>
      <c r="CI93" s="2465"/>
      <c r="CJ93" s="2465"/>
      <c r="CL93" s="2466" t="e">
        <f t="shared" si="26"/>
        <v>#VALUE!</v>
      </c>
      <c r="CM93" s="2466" t="e">
        <f t="shared" si="27"/>
        <v>#VALUE!</v>
      </c>
      <c r="CN93" s="2466">
        <f t="shared" si="28"/>
        <v>1</v>
      </c>
      <c r="CO93" s="2466">
        <f t="shared" si="29"/>
        <v>1</v>
      </c>
      <c r="CP93" s="2466"/>
    </row>
    <row r="94" spans="1:94" s="170" customFormat="1" ht="15" customHeight="1" x14ac:dyDescent="0.2">
      <c r="A94" s="6304"/>
      <c r="B94" s="2484" t="s">
        <v>24</v>
      </c>
      <c r="C94" s="2486">
        <f>SUM(D94:T94)</f>
        <v>0</v>
      </c>
      <c r="D94" s="2487">
        <f>SUM(D34:D93)</f>
        <v>0</v>
      </c>
      <c r="E94" s="2527">
        <f>SUM(E34:E93)</f>
        <v>0</v>
      </c>
      <c r="F94" s="2527">
        <f t="shared" ref="F94:AQ94" si="30">SUM(F34:F93)</f>
        <v>0</v>
      </c>
      <c r="G94" s="2527">
        <f t="shared" si="30"/>
        <v>0</v>
      </c>
      <c r="H94" s="2527">
        <f t="shared" si="30"/>
        <v>0</v>
      </c>
      <c r="I94" s="2489">
        <f t="shared" si="30"/>
        <v>0</v>
      </c>
      <c r="J94" s="2527">
        <f t="shared" si="30"/>
        <v>0</v>
      </c>
      <c r="K94" s="2527">
        <f t="shared" si="30"/>
        <v>0</v>
      </c>
      <c r="L94" s="2527">
        <f t="shared" si="30"/>
        <v>0</v>
      </c>
      <c r="M94" s="2527">
        <f t="shared" si="30"/>
        <v>0</v>
      </c>
      <c r="N94" s="2527">
        <f t="shared" si="30"/>
        <v>0</v>
      </c>
      <c r="O94" s="2527">
        <f t="shared" si="30"/>
        <v>0</v>
      </c>
      <c r="P94" s="2527">
        <f t="shared" si="30"/>
        <v>0</v>
      </c>
      <c r="Q94" s="2527">
        <f t="shared" si="30"/>
        <v>0</v>
      </c>
      <c r="R94" s="2527">
        <f t="shared" si="30"/>
        <v>0</v>
      </c>
      <c r="S94" s="2527">
        <f t="shared" si="30"/>
        <v>0</v>
      </c>
      <c r="T94" s="1536">
        <f t="shared" si="30"/>
        <v>0</v>
      </c>
      <c r="U94" s="2487">
        <f t="shared" si="30"/>
        <v>0</v>
      </c>
      <c r="V94" s="1536">
        <f t="shared" si="30"/>
        <v>0</v>
      </c>
      <c r="W94" s="2487">
        <f t="shared" si="30"/>
        <v>0</v>
      </c>
      <c r="X94" s="1536">
        <f t="shared" si="30"/>
        <v>0</v>
      </c>
      <c r="Y94" s="2487">
        <f t="shared" si="30"/>
        <v>0</v>
      </c>
      <c r="Z94" s="1536">
        <f t="shared" si="30"/>
        <v>0</v>
      </c>
      <c r="AA94" s="2486">
        <f t="shared" si="30"/>
        <v>0</v>
      </c>
      <c r="AB94" s="2487">
        <f t="shared" si="30"/>
        <v>0</v>
      </c>
      <c r="AC94" s="2527">
        <f t="shared" si="30"/>
        <v>0</v>
      </c>
      <c r="AD94" s="2527">
        <f t="shared" si="30"/>
        <v>0</v>
      </c>
      <c r="AE94" s="2489">
        <f t="shared" si="30"/>
        <v>0</v>
      </c>
      <c r="AF94" s="2486">
        <f t="shared" si="30"/>
        <v>0</v>
      </c>
      <c r="AG94" s="2487">
        <f t="shared" si="30"/>
        <v>0</v>
      </c>
      <c r="AH94" s="2527">
        <f t="shared" si="30"/>
        <v>0</v>
      </c>
      <c r="AI94" s="2527">
        <f t="shared" si="30"/>
        <v>0</v>
      </c>
      <c r="AJ94" s="2528">
        <f t="shared" si="30"/>
        <v>0</v>
      </c>
      <c r="AK94" s="1536">
        <f>SUM(AK34:AK93)</f>
        <v>0</v>
      </c>
      <c r="AL94" s="1536">
        <f>SUM(AL34:AL93)</f>
        <v>0</v>
      </c>
      <c r="AM94" s="1536">
        <f>SUM(AM34:AM93)</f>
        <v>0</v>
      </c>
      <c r="AN94" s="1536">
        <f t="shared" si="30"/>
        <v>0</v>
      </c>
      <c r="AO94" s="1536">
        <f t="shared" si="30"/>
        <v>0</v>
      </c>
      <c r="AP94" s="1536">
        <f t="shared" si="30"/>
        <v>0</v>
      </c>
      <c r="AQ94" s="1536">
        <f t="shared" si="30"/>
        <v>0</v>
      </c>
      <c r="AR94" s="1536">
        <f>SUM(AR34:AR93)</f>
        <v>0</v>
      </c>
    </row>
    <row r="95" spans="1:94" s="1116" customFormat="1" ht="18" customHeight="1" x14ac:dyDescent="0.2">
      <c r="B95" s="8524" t="s">
        <v>1348</v>
      </c>
      <c r="C95" s="8524"/>
      <c r="D95" s="8524"/>
      <c r="E95" s="8524"/>
      <c r="F95" s="8524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  <c r="CN95" s="170"/>
    </row>
    <row r="96" spans="1:94" s="170" customFormat="1" ht="15" customHeight="1" x14ac:dyDescent="0.2">
      <c r="B96" s="7754" t="s">
        <v>61</v>
      </c>
      <c r="C96" s="7755"/>
      <c r="D96" s="7754" t="s">
        <v>47</v>
      </c>
      <c r="E96" s="6983"/>
      <c r="F96" s="7755"/>
      <c r="G96" s="7756" t="s">
        <v>30</v>
      </c>
      <c r="H96" s="7771"/>
      <c r="I96" s="7771"/>
      <c r="J96" s="7771"/>
      <c r="K96" s="7771"/>
      <c r="L96" s="7771"/>
      <c r="M96" s="7771"/>
      <c r="N96" s="7771"/>
      <c r="O96" s="7771"/>
      <c r="P96" s="7771"/>
      <c r="Q96" s="7771"/>
      <c r="R96" s="7771"/>
      <c r="S96" s="7771"/>
      <c r="T96" s="7771"/>
      <c r="U96" s="7771"/>
      <c r="V96" s="7771"/>
      <c r="W96" s="7771"/>
      <c r="X96" s="7771"/>
      <c r="Y96" s="7771"/>
      <c r="Z96" s="7771"/>
      <c r="AA96" s="7771"/>
      <c r="AB96" s="7771"/>
      <c r="AC96" s="7771"/>
      <c r="AD96" s="7771"/>
      <c r="AE96" s="7771"/>
      <c r="AF96" s="7771"/>
      <c r="AG96" s="7771"/>
      <c r="AH96" s="7771"/>
      <c r="AI96" s="7771"/>
      <c r="AJ96" s="7771"/>
      <c r="AK96" s="7771"/>
      <c r="AL96" s="7771"/>
      <c r="AM96" s="7771"/>
      <c r="AN96" s="7796"/>
      <c r="AO96" s="8525" t="s">
        <v>1349</v>
      </c>
      <c r="AP96" s="8123"/>
      <c r="AQ96" s="6891" t="s">
        <v>67</v>
      </c>
      <c r="AR96" s="8523" t="s">
        <v>245</v>
      </c>
      <c r="AS96" s="6921" t="s">
        <v>2</v>
      </c>
      <c r="AT96" s="8523" t="s">
        <v>3</v>
      </c>
      <c r="AU96" s="7671" t="s">
        <v>1350</v>
      </c>
      <c r="AV96" s="7820" t="s">
        <v>1351</v>
      </c>
    </row>
    <row r="97" spans="1:94" s="170" customFormat="1" ht="15" customHeight="1" x14ac:dyDescent="0.2">
      <c r="B97" s="7822"/>
      <c r="C97" s="6762"/>
      <c r="D97" s="7808"/>
      <c r="E97" s="7801"/>
      <c r="F97" s="7795"/>
      <c r="G97" s="7819" t="s">
        <v>36</v>
      </c>
      <c r="H97" s="7825"/>
      <c r="I97" s="7819" t="s">
        <v>37</v>
      </c>
      <c r="J97" s="7825"/>
      <c r="K97" s="7819" t="s">
        <v>38</v>
      </c>
      <c r="L97" s="7825"/>
      <c r="M97" s="7819" t="s">
        <v>4</v>
      </c>
      <c r="N97" s="7825"/>
      <c r="O97" s="7819" t="s">
        <v>5</v>
      </c>
      <c r="P97" s="7825"/>
      <c r="Q97" s="7756" t="s">
        <v>6</v>
      </c>
      <c r="R97" s="7757"/>
      <c r="S97" s="7756" t="s">
        <v>7</v>
      </c>
      <c r="T97" s="7757"/>
      <c r="U97" s="7756" t="s">
        <v>8</v>
      </c>
      <c r="V97" s="7757"/>
      <c r="W97" s="7756" t="s">
        <v>9</v>
      </c>
      <c r="X97" s="7757"/>
      <c r="Y97" s="7756" t="s">
        <v>10</v>
      </c>
      <c r="Z97" s="7757"/>
      <c r="AA97" s="7756" t="s">
        <v>11</v>
      </c>
      <c r="AB97" s="7757"/>
      <c r="AC97" s="7756" t="s">
        <v>18</v>
      </c>
      <c r="AD97" s="7757"/>
      <c r="AE97" s="7756" t="s">
        <v>19</v>
      </c>
      <c r="AF97" s="7757"/>
      <c r="AG97" s="7756" t="s">
        <v>20</v>
      </c>
      <c r="AH97" s="7757"/>
      <c r="AI97" s="7756" t="s">
        <v>70</v>
      </c>
      <c r="AJ97" s="7757"/>
      <c r="AK97" s="7756" t="s">
        <v>71</v>
      </c>
      <c r="AL97" s="7757"/>
      <c r="AM97" s="7756" t="s">
        <v>32</v>
      </c>
      <c r="AN97" s="7796"/>
      <c r="AO97" s="8526"/>
      <c r="AP97" s="8527"/>
      <c r="AQ97" s="6892"/>
      <c r="AR97" s="6773"/>
      <c r="AS97" s="6830"/>
      <c r="AT97" s="6773"/>
      <c r="AU97" s="7817"/>
      <c r="AV97" s="6831"/>
    </row>
    <row r="98" spans="1:94" s="170" customFormat="1" ht="30.6" x14ac:dyDescent="0.2">
      <c r="B98" s="7808"/>
      <c r="C98" s="7795"/>
      <c r="D98" s="1165" t="s">
        <v>26</v>
      </c>
      <c r="E98" s="1537" t="s">
        <v>22</v>
      </c>
      <c r="F98" s="1167" t="s">
        <v>27</v>
      </c>
      <c r="G98" s="2521" t="s">
        <v>22</v>
      </c>
      <c r="H98" s="2522" t="s">
        <v>27</v>
      </c>
      <c r="I98" s="2521" t="s">
        <v>22</v>
      </c>
      <c r="J98" s="2522" t="s">
        <v>27</v>
      </c>
      <c r="K98" s="2521" t="s">
        <v>22</v>
      </c>
      <c r="L98" s="2522" t="s">
        <v>27</v>
      </c>
      <c r="M98" s="2521" t="s">
        <v>22</v>
      </c>
      <c r="N98" s="2522" t="s">
        <v>27</v>
      </c>
      <c r="O98" s="2521" t="s">
        <v>22</v>
      </c>
      <c r="P98" s="2522" t="s">
        <v>27</v>
      </c>
      <c r="Q98" s="2521" t="s">
        <v>22</v>
      </c>
      <c r="R98" s="2522" t="s">
        <v>27</v>
      </c>
      <c r="S98" s="2521" t="s">
        <v>22</v>
      </c>
      <c r="T98" s="2522" t="s">
        <v>27</v>
      </c>
      <c r="U98" s="2521" t="s">
        <v>22</v>
      </c>
      <c r="V98" s="2522" t="s">
        <v>27</v>
      </c>
      <c r="W98" s="2521" t="s">
        <v>22</v>
      </c>
      <c r="X98" s="2522" t="s">
        <v>27</v>
      </c>
      <c r="Y98" s="2521" t="s">
        <v>22</v>
      </c>
      <c r="Z98" s="2522" t="s">
        <v>27</v>
      </c>
      <c r="AA98" s="2521" t="s">
        <v>22</v>
      </c>
      <c r="AB98" s="2522" t="s">
        <v>27</v>
      </c>
      <c r="AC98" s="2521" t="s">
        <v>22</v>
      </c>
      <c r="AD98" s="2522" t="s">
        <v>27</v>
      </c>
      <c r="AE98" s="2521" t="s">
        <v>22</v>
      </c>
      <c r="AF98" s="2522" t="s">
        <v>27</v>
      </c>
      <c r="AG98" s="2521" t="s">
        <v>22</v>
      </c>
      <c r="AH98" s="2522" t="s">
        <v>27</v>
      </c>
      <c r="AI98" s="2521" t="s">
        <v>22</v>
      </c>
      <c r="AJ98" s="2522" t="s">
        <v>27</v>
      </c>
      <c r="AK98" s="2521" t="s">
        <v>22</v>
      </c>
      <c r="AL98" s="2522" t="s">
        <v>27</v>
      </c>
      <c r="AM98" s="2521" t="s">
        <v>22</v>
      </c>
      <c r="AN98" s="2524" t="s">
        <v>27</v>
      </c>
      <c r="AO98" s="4367" t="s">
        <v>1352</v>
      </c>
      <c r="AP98" s="4368" t="s">
        <v>1353</v>
      </c>
      <c r="AQ98" s="8528"/>
      <c r="AR98" s="6896"/>
      <c r="AS98" s="6828"/>
      <c r="AT98" s="6896"/>
      <c r="AU98" s="8498"/>
      <c r="AV98" s="7821"/>
    </row>
    <row r="99" spans="1:94" s="170" customFormat="1" ht="15" customHeight="1" x14ac:dyDescent="0.2">
      <c r="A99" s="6240">
        <v>32100470</v>
      </c>
      <c r="B99" s="1539" t="s">
        <v>76</v>
      </c>
      <c r="C99" s="1540"/>
      <c r="D99" s="1159" t="s">
        <v>5292</v>
      </c>
      <c r="E99" s="1541" t="s">
        <v>5293</v>
      </c>
      <c r="F99" s="1542" t="s">
        <v>5294</v>
      </c>
      <c r="G99" s="1543" t="s">
        <v>5295</v>
      </c>
      <c r="H99" s="1252" t="s">
        <v>5296</v>
      </c>
      <c r="I99" s="1543" t="s">
        <v>5297</v>
      </c>
      <c r="J99" s="1252" t="s">
        <v>5298</v>
      </c>
      <c r="K99" s="1543" t="s">
        <v>5299</v>
      </c>
      <c r="L99" s="1252" t="s">
        <v>5300</v>
      </c>
      <c r="M99" s="1543" t="s">
        <v>5301</v>
      </c>
      <c r="N99" s="1252" t="s">
        <v>5302</v>
      </c>
      <c r="O99" s="1543" t="s">
        <v>5303</v>
      </c>
      <c r="P99" s="1252" t="s">
        <v>5304</v>
      </c>
      <c r="Q99" s="1543" t="s">
        <v>5305</v>
      </c>
      <c r="R99" s="1252" t="s">
        <v>5306</v>
      </c>
      <c r="S99" s="1543" t="s">
        <v>5307</v>
      </c>
      <c r="T99" s="1252" t="s">
        <v>5308</v>
      </c>
      <c r="U99" s="1543" t="s">
        <v>5309</v>
      </c>
      <c r="V99" s="1252" t="s">
        <v>5310</v>
      </c>
      <c r="W99" s="1543" t="s">
        <v>5311</v>
      </c>
      <c r="X99" s="1252" t="s">
        <v>5312</v>
      </c>
      <c r="Y99" s="1543" t="s">
        <v>5313</v>
      </c>
      <c r="Z99" s="1252" t="s">
        <v>5314</v>
      </c>
      <c r="AA99" s="1543" t="s">
        <v>5315</v>
      </c>
      <c r="AB99" s="1252" t="s">
        <v>5316</v>
      </c>
      <c r="AC99" s="1543" t="s">
        <v>5317</v>
      </c>
      <c r="AD99" s="1252" t="s">
        <v>5318</v>
      </c>
      <c r="AE99" s="1543" t="s">
        <v>5319</v>
      </c>
      <c r="AF99" s="1252" t="s">
        <v>5320</v>
      </c>
      <c r="AG99" s="1543" t="s">
        <v>5321</v>
      </c>
      <c r="AH99" s="1252" t="s">
        <v>5322</v>
      </c>
      <c r="AI99" s="1543" t="s">
        <v>5323</v>
      </c>
      <c r="AJ99" s="1252" t="s">
        <v>5324</v>
      </c>
      <c r="AK99" s="1543" t="s">
        <v>5325</v>
      </c>
      <c r="AL99" s="1252" t="s">
        <v>5326</v>
      </c>
      <c r="AM99" s="1543" t="s">
        <v>5327</v>
      </c>
      <c r="AN99" s="1544" t="s">
        <v>5328</v>
      </c>
      <c r="AO99" s="4369" t="s">
        <v>5329</v>
      </c>
      <c r="AP99" s="4370" t="s">
        <v>5330</v>
      </c>
      <c r="AQ99" s="4365" t="s">
        <v>5331</v>
      </c>
      <c r="AR99" s="2520" t="s">
        <v>5332</v>
      </c>
      <c r="AS99" s="2519" t="s">
        <v>5333</v>
      </c>
      <c r="AT99" s="2520" t="s">
        <v>5334</v>
      </c>
      <c r="AU99" s="1545" t="s">
        <v>5335</v>
      </c>
      <c r="AV99" s="1545" t="s">
        <v>5336</v>
      </c>
      <c r="AW99" s="170" t="str">
        <f>CD99&amp;CE99&amp;CF99&amp;CG99&amp;CH99&amp;CI99&amp;CJ99</f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99" s="2465" t="str">
        <f>IF(AND(AQ99="",D99&gt;0)," * No olvide digitar la columna Beneficiarios",IF(AQ99&gt;D99," * La variable Beneficiarios no puede ser mayor al Total.",""))</f>
        <v xml:space="preserve"> * La variable Beneficiarios no puede ser mayor al Total.</v>
      </c>
      <c r="CE99" s="2465" t="str">
        <f>IF(AR99&gt;D99," * El total de Controles No puede ser mayor que el Total.","")</f>
        <v xml:space="preserve"> * El total de Controles No puede ser mayor que el Total.</v>
      </c>
      <c r="CF99" s="2465" t="str">
        <f>IF(AND(D99&gt;0,AS99="")," * No olvide digitar la variable Pueblos originarios. Digite cero si no tiene.",IF(AS99&gt;D99," * La variable Pueblos originarios no puede ser mayor al Total.",""))</f>
        <v xml:space="preserve"> * La variable Pueblos originarios no puede ser mayor al Total.</v>
      </c>
      <c r="CG99" s="2465" t="str">
        <f>IF(AND(D99&gt;0,AT99="")," * No olvide digitar la variable Migrantes. Digite cero si no tiene.",IF(AT99&gt;D99," * La variable Migrantes no puede ser mayor al Total.",""))</f>
        <v xml:space="preserve"> * La variable Migrantes no puede ser mayor al Total.</v>
      </c>
      <c r="CH99" s="2465"/>
      <c r="CI99" s="2465"/>
      <c r="CJ99" s="5831"/>
      <c r="CL99" s="2466">
        <f>IF(AND(AQ99="",D99&gt;0),1,IF(AQ99&gt;D99,1,0))</f>
        <v>1</v>
      </c>
      <c r="CM99" s="2466">
        <f>IF(AR99&gt;D99,1,0)</f>
        <v>1</v>
      </c>
      <c r="CN99" s="2466">
        <f>IF(AND(D99&gt;0,AS99=""),1,IF(AS99&gt;D99,1,0))</f>
        <v>1</v>
      </c>
      <c r="CO99" s="2466">
        <f>IF(AND(D99&gt;0,AT99=""),1,IF(AT99&gt;D99,1,0))</f>
        <v>1</v>
      </c>
      <c r="CP99" s="5831"/>
    </row>
    <row r="100" spans="1:94" s="170" customFormat="1" ht="15" customHeight="1" x14ac:dyDescent="0.2">
      <c r="A100" s="6240">
        <v>32100480</v>
      </c>
      <c r="B100" s="1546" t="s">
        <v>1317</v>
      </c>
      <c r="C100" s="1547" t="s">
        <v>246</v>
      </c>
      <c r="D100" s="1548" t="s">
        <v>5292</v>
      </c>
      <c r="E100" s="1549" t="s">
        <v>5293</v>
      </c>
      <c r="F100" s="1542" t="s">
        <v>5294</v>
      </c>
      <c r="G100" s="1550" t="s">
        <v>5295</v>
      </c>
      <c r="H100" s="1551" t="s">
        <v>5296</v>
      </c>
      <c r="I100" s="1550" t="s">
        <v>5297</v>
      </c>
      <c r="J100" s="1551" t="s">
        <v>5298</v>
      </c>
      <c r="K100" s="1550" t="s">
        <v>5299</v>
      </c>
      <c r="L100" s="1552" t="s">
        <v>5300</v>
      </c>
      <c r="M100" s="1550" t="s">
        <v>5301</v>
      </c>
      <c r="N100" s="1552" t="s">
        <v>5302</v>
      </c>
      <c r="O100" s="1550" t="s">
        <v>5303</v>
      </c>
      <c r="P100" s="1552" t="s">
        <v>5304</v>
      </c>
      <c r="Q100" s="1550" t="s">
        <v>5305</v>
      </c>
      <c r="R100" s="1552" t="s">
        <v>5306</v>
      </c>
      <c r="S100" s="1550" t="s">
        <v>5307</v>
      </c>
      <c r="T100" s="1552" t="s">
        <v>5308</v>
      </c>
      <c r="U100" s="1550" t="s">
        <v>5309</v>
      </c>
      <c r="V100" s="1552" t="s">
        <v>5310</v>
      </c>
      <c r="W100" s="1550" t="s">
        <v>5311</v>
      </c>
      <c r="X100" s="1552" t="s">
        <v>5312</v>
      </c>
      <c r="Y100" s="1550" t="s">
        <v>5313</v>
      </c>
      <c r="Z100" s="1552" t="s">
        <v>5314</v>
      </c>
      <c r="AA100" s="1550" t="s">
        <v>5315</v>
      </c>
      <c r="AB100" s="1552" t="s">
        <v>5316</v>
      </c>
      <c r="AC100" s="1550" t="s">
        <v>5317</v>
      </c>
      <c r="AD100" s="1525" t="s">
        <v>5318</v>
      </c>
      <c r="AE100" s="1550" t="s">
        <v>5319</v>
      </c>
      <c r="AF100" s="1552" t="s">
        <v>5320</v>
      </c>
      <c r="AG100" s="1550" t="s">
        <v>5321</v>
      </c>
      <c r="AH100" s="1552" t="s">
        <v>5322</v>
      </c>
      <c r="AI100" s="1550" t="s">
        <v>5323</v>
      </c>
      <c r="AJ100" s="1552" t="s">
        <v>5324</v>
      </c>
      <c r="AK100" s="1550" t="s">
        <v>5325</v>
      </c>
      <c r="AL100" s="1552" t="s">
        <v>5326</v>
      </c>
      <c r="AM100" s="1550" t="s">
        <v>5327</v>
      </c>
      <c r="AN100" s="1527" t="s">
        <v>5328</v>
      </c>
      <c r="AO100" s="1573" t="s">
        <v>5329</v>
      </c>
      <c r="AP100" s="1275" t="s">
        <v>5330</v>
      </c>
      <c r="AQ100" s="2239" t="s">
        <v>5331</v>
      </c>
      <c r="AR100" s="1693" t="s">
        <v>5332</v>
      </c>
      <c r="AS100" s="2239" t="s">
        <v>5333</v>
      </c>
      <c r="AT100" s="1693" t="s">
        <v>5334</v>
      </c>
      <c r="AU100" s="1273" t="s">
        <v>5335</v>
      </c>
      <c r="AV100" s="1273" t="s">
        <v>5336</v>
      </c>
      <c r="AW100" s="170" t="str">
        <f t="shared" ref="AW100:AW107" si="31">CD100&amp;CE100&amp;CF100&amp;CG100&amp;CH100&amp;CI100&amp;CJ100</f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0" s="2465" t="str">
        <f t="shared" ref="CD100:CD107" si="32">IF(AND(AQ100="",D100&gt;0)," * No olvide digitar la columna Beneficiarios",IF(AQ100&gt;D100," * La variable Beneficiarios no puede ser mayor al Total.",""))</f>
        <v xml:space="preserve"> * La variable Beneficiarios no puede ser mayor al Total.</v>
      </c>
      <c r="CE100" s="2465" t="str">
        <f t="shared" ref="CE100:CE107" si="33">IF(AR100&gt;D100," * El total de Controles No puede ser mayor que el Total.","")</f>
        <v xml:space="preserve"> * El total de Controles No puede ser mayor que el Total.</v>
      </c>
      <c r="CF100" s="2465" t="str">
        <f t="shared" ref="CF100:CF107" si="34">IF(AND(D100&gt;0,AS100="")," * No olvide digitar la variable Pueblos originarios. Digite cero si no tiene.",IF(AS100&gt;D100," * La variable Pueblos originarios no puede ser mayor al Total.",""))</f>
        <v xml:space="preserve"> * La variable Pueblos originarios no puede ser mayor al Total.</v>
      </c>
      <c r="CG100" s="2465" t="str">
        <f t="shared" ref="CG100:CG107" si="35">IF(AND(D100&gt;0,AT100="")," * No olvide digitar la variable Migrantes. Digite cero si no tiene.",IF(AT100&gt;D100," * La variable Migrantes no puede ser mayor al Total.",""))</f>
        <v xml:space="preserve"> * La variable Migrantes no puede ser mayor al Total.</v>
      </c>
      <c r="CH100" s="2465"/>
      <c r="CI100" s="2465"/>
      <c r="CJ100" s="5831"/>
      <c r="CL100" s="2466">
        <f t="shared" ref="CL100:CL107" si="36">IF(AND(AQ100="",D100&gt;0),1,IF(AQ100&gt;D100,1,0))</f>
        <v>1</v>
      </c>
      <c r="CM100" s="2466">
        <f t="shared" ref="CM100:CM107" si="37">IF(AR100&gt;D100,1,0)</f>
        <v>1</v>
      </c>
      <c r="CN100" s="2466">
        <f t="shared" ref="CN100:CN107" si="38">IF(AND(D100&gt;0,AS100=""),1,IF(AS100&gt;D100,1,0))</f>
        <v>1</v>
      </c>
      <c r="CO100" s="2466">
        <f t="shared" ref="CO100:CO107" si="39">IF(AND(D100&gt;0,AT100=""),1,IF(AT100&gt;D100,1,0))</f>
        <v>1</v>
      </c>
      <c r="CP100" s="5831"/>
    </row>
    <row r="101" spans="1:94" s="170" customFormat="1" ht="15" customHeight="1" x14ac:dyDescent="0.2">
      <c r="A101" s="6240">
        <v>32100490</v>
      </c>
      <c r="B101" s="1553"/>
      <c r="C101" s="1098" t="s">
        <v>1354</v>
      </c>
      <c r="D101" s="1554" t="s">
        <v>5292</v>
      </c>
      <c r="E101" s="1555" t="s">
        <v>5293</v>
      </c>
      <c r="F101" s="31" t="s">
        <v>5294</v>
      </c>
      <c r="G101" s="1095" t="s">
        <v>5295</v>
      </c>
      <c r="H101" s="8" t="s">
        <v>5296</v>
      </c>
      <c r="I101" s="1095" t="s">
        <v>5297</v>
      </c>
      <c r="J101" s="8" t="s">
        <v>5298</v>
      </c>
      <c r="K101" s="1095" t="s">
        <v>5299</v>
      </c>
      <c r="L101" s="8" t="s">
        <v>5300</v>
      </c>
      <c r="M101" s="1095" t="s">
        <v>5301</v>
      </c>
      <c r="N101" s="8" t="s">
        <v>5302</v>
      </c>
      <c r="O101" s="1095" t="s">
        <v>5303</v>
      </c>
      <c r="P101" s="8" t="s">
        <v>5304</v>
      </c>
      <c r="Q101" s="1095" t="s">
        <v>5305</v>
      </c>
      <c r="R101" s="1099" t="s">
        <v>5306</v>
      </c>
      <c r="S101" s="1095" t="s">
        <v>5307</v>
      </c>
      <c r="T101" s="1099" t="s">
        <v>5308</v>
      </c>
      <c r="U101" s="1095" t="s">
        <v>5309</v>
      </c>
      <c r="V101" s="1099" t="s">
        <v>5310</v>
      </c>
      <c r="W101" s="1095" t="s">
        <v>5311</v>
      </c>
      <c r="X101" s="1099" t="s">
        <v>5312</v>
      </c>
      <c r="Y101" s="1095" t="s">
        <v>5313</v>
      </c>
      <c r="Z101" s="1099" t="s">
        <v>5314</v>
      </c>
      <c r="AA101" s="1095" t="s">
        <v>5315</v>
      </c>
      <c r="AB101" s="1099" t="s">
        <v>5316</v>
      </c>
      <c r="AC101" s="1095" t="s">
        <v>5317</v>
      </c>
      <c r="AD101" s="1099" t="s">
        <v>5318</v>
      </c>
      <c r="AE101" s="1095" t="s">
        <v>5319</v>
      </c>
      <c r="AF101" s="1099" t="s">
        <v>5320</v>
      </c>
      <c r="AG101" s="1095" t="s">
        <v>5321</v>
      </c>
      <c r="AH101" s="1099" t="s">
        <v>5322</v>
      </c>
      <c r="AI101" s="1095" t="s">
        <v>5323</v>
      </c>
      <c r="AJ101" s="1099" t="s">
        <v>5324</v>
      </c>
      <c r="AK101" s="1095" t="s">
        <v>5325</v>
      </c>
      <c r="AL101" s="1099" t="s">
        <v>5326</v>
      </c>
      <c r="AM101" s="1255" t="s">
        <v>5327</v>
      </c>
      <c r="AN101" s="1100" t="s">
        <v>5328</v>
      </c>
      <c r="AO101" s="4371" t="s">
        <v>5329</v>
      </c>
      <c r="AP101" s="3945" t="s">
        <v>5330</v>
      </c>
      <c r="AQ101" s="3943" t="s">
        <v>5331</v>
      </c>
      <c r="AR101" s="1092" t="s">
        <v>5332</v>
      </c>
      <c r="AS101" s="1697" t="s">
        <v>5333</v>
      </c>
      <c r="AT101" s="1092" t="s">
        <v>5334</v>
      </c>
      <c r="AU101" s="1099" t="s">
        <v>5335</v>
      </c>
      <c r="AV101" s="1099" t="s">
        <v>5336</v>
      </c>
      <c r="AW101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1" s="2465" t="str">
        <f t="shared" si="32"/>
        <v xml:space="preserve"> * La variable Beneficiarios no puede ser mayor al Total.</v>
      </c>
      <c r="CE101" s="2465" t="str">
        <f t="shared" si="33"/>
        <v xml:space="preserve"> * El total de Controles No puede ser mayor que el Total.</v>
      </c>
      <c r="CF101" s="2465" t="str">
        <f t="shared" si="34"/>
        <v xml:space="preserve"> * La variable Pueblos originarios no puede ser mayor al Total.</v>
      </c>
      <c r="CG101" s="2465" t="str">
        <f t="shared" si="35"/>
        <v xml:space="preserve"> * La variable Migrantes no puede ser mayor al Total.</v>
      </c>
      <c r="CH101" s="2465"/>
      <c r="CI101" s="2465"/>
      <c r="CJ101" s="5831"/>
      <c r="CL101" s="2466">
        <f t="shared" si="36"/>
        <v>1</v>
      </c>
      <c r="CM101" s="2466">
        <f t="shared" si="37"/>
        <v>1</v>
      </c>
      <c r="CN101" s="2466">
        <f t="shared" si="38"/>
        <v>1</v>
      </c>
      <c r="CO101" s="2466">
        <f t="shared" si="39"/>
        <v>1</v>
      </c>
      <c r="CP101" s="5831"/>
    </row>
    <row r="102" spans="1:94" s="170" customFormat="1" ht="15" customHeight="1" x14ac:dyDescent="0.2">
      <c r="A102" s="6240">
        <v>32100500</v>
      </c>
      <c r="B102" s="1415"/>
      <c r="C102" s="1106" t="s">
        <v>244</v>
      </c>
      <c r="D102" s="1556" t="s">
        <v>5292</v>
      </c>
      <c r="E102" s="1557" t="s">
        <v>5293</v>
      </c>
      <c r="F102" s="1558" t="s">
        <v>5294</v>
      </c>
      <c r="G102" s="35" t="s">
        <v>5295</v>
      </c>
      <c r="H102" s="36" t="s">
        <v>5296</v>
      </c>
      <c r="I102" s="35" t="s">
        <v>5297</v>
      </c>
      <c r="J102" s="36" t="s">
        <v>5298</v>
      </c>
      <c r="K102" s="35" t="s">
        <v>5299</v>
      </c>
      <c r="L102" s="36" t="s">
        <v>5300</v>
      </c>
      <c r="M102" s="35" t="s">
        <v>5301</v>
      </c>
      <c r="N102" s="36" t="s">
        <v>5302</v>
      </c>
      <c r="O102" s="3" t="s">
        <v>5303</v>
      </c>
      <c r="P102" s="6" t="s">
        <v>5304</v>
      </c>
      <c r="Q102" s="3" t="s">
        <v>5305</v>
      </c>
      <c r="R102" s="6" t="s">
        <v>5306</v>
      </c>
      <c r="S102" s="3" t="s">
        <v>5307</v>
      </c>
      <c r="T102" s="6" t="s">
        <v>5308</v>
      </c>
      <c r="U102" s="3" t="s">
        <v>5309</v>
      </c>
      <c r="V102" s="6" t="s">
        <v>5310</v>
      </c>
      <c r="W102" s="3" t="s">
        <v>5311</v>
      </c>
      <c r="X102" s="6" t="s">
        <v>5312</v>
      </c>
      <c r="Y102" s="3" t="s">
        <v>5313</v>
      </c>
      <c r="Z102" s="6" t="s">
        <v>5314</v>
      </c>
      <c r="AA102" s="3" t="s">
        <v>5315</v>
      </c>
      <c r="AB102" s="12" t="s">
        <v>5316</v>
      </c>
      <c r="AC102" s="3" t="s">
        <v>5317</v>
      </c>
      <c r="AD102" s="6" t="s">
        <v>5318</v>
      </c>
      <c r="AE102" s="35" t="s">
        <v>5319</v>
      </c>
      <c r="AF102" s="36" t="s">
        <v>5320</v>
      </c>
      <c r="AG102" s="35" t="s">
        <v>5321</v>
      </c>
      <c r="AH102" s="36" t="s">
        <v>5322</v>
      </c>
      <c r="AI102" s="35" t="s">
        <v>5323</v>
      </c>
      <c r="AJ102" s="36" t="s">
        <v>5324</v>
      </c>
      <c r="AK102" s="35" t="s">
        <v>5325</v>
      </c>
      <c r="AL102" s="36" t="s">
        <v>5326</v>
      </c>
      <c r="AM102" s="35" t="s">
        <v>5327</v>
      </c>
      <c r="AN102" s="1559" t="s">
        <v>5328</v>
      </c>
      <c r="AO102" s="4371" t="s">
        <v>5329</v>
      </c>
      <c r="AP102" s="3945" t="s">
        <v>5330</v>
      </c>
      <c r="AQ102" s="3943" t="s">
        <v>5331</v>
      </c>
      <c r="AR102" s="1092" t="s">
        <v>5332</v>
      </c>
      <c r="AS102" s="1697" t="s">
        <v>5333</v>
      </c>
      <c r="AT102" s="1092" t="s">
        <v>5334</v>
      </c>
      <c r="AU102" s="1099" t="s">
        <v>5335</v>
      </c>
      <c r="AV102" s="1099" t="s">
        <v>5336</v>
      </c>
      <c r="AW102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2" s="2465" t="str">
        <f t="shared" si="32"/>
        <v xml:space="preserve"> * La variable Beneficiarios no puede ser mayor al Total.</v>
      </c>
      <c r="CE102" s="2465" t="str">
        <f t="shared" si="33"/>
        <v xml:space="preserve"> * El total de Controles No puede ser mayor que el Total.</v>
      </c>
      <c r="CF102" s="2465" t="str">
        <f t="shared" si="34"/>
        <v xml:space="preserve"> * La variable Pueblos originarios no puede ser mayor al Total.</v>
      </c>
      <c r="CG102" s="2465" t="str">
        <f t="shared" si="35"/>
        <v xml:space="preserve"> * La variable Migrantes no puede ser mayor al Total.</v>
      </c>
      <c r="CH102" s="2465"/>
      <c r="CI102" s="2465"/>
      <c r="CJ102" s="5831"/>
      <c r="CL102" s="2466">
        <f t="shared" si="36"/>
        <v>1</v>
      </c>
      <c r="CM102" s="2466">
        <f t="shared" si="37"/>
        <v>1</v>
      </c>
      <c r="CN102" s="2466">
        <f t="shared" si="38"/>
        <v>1</v>
      </c>
      <c r="CO102" s="2466">
        <f t="shared" si="39"/>
        <v>1</v>
      </c>
      <c r="CP102" s="5831"/>
    </row>
    <row r="103" spans="1:94" s="170" customFormat="1" ht="15" customHeight="1" x14ac:dyDescent="0.2">
      <c r="A103" s="6240">
        <v>32100510</v>
      </c>
      <c r="B103" s="1221" t="s">
        <v>247</v>
      </c>
      <c r="C103" s="1560"/>
      <c r="D103" s="1561" t="s">
        <v>5292</v>
      </c>
      <c r="E103" s="1562" t="s">
        <v>5293</v>
      </c>
      <c r="F103" s="33" t="s">
        <v>5294</v>
      </c>
      <c r="G103" s="1271" t="s">
        <v>5295</v>
      </c>
      <c r="H103" s="1089" t="s">
        <v>5296</v>
      </c>
      <c r="I103" s="1271" t="s">
        <v>5297</v>
      </c>
      <c r="J103" s="1089" t="s">
        <v>5298</v>
      </c>
      <c r="K103" s="1271" t="s">
        <v>5299</v>
      </c>
      <c r="L103" s="1273" t="s">
        <v>5300</v>
      </c>
      <c r="M103" s="1271" t="s">
        <v>5301</v>
      </c>
      <c r="N103" s="1273" t="s">
        <v>5302</v>
      </c>
      <c r="O103" s="1271" t="s">
        <v>5303</v>
      </c>
      <c r="P103" s="1273" t="s">
        <v>5304</v>
      </c>
      <c r="Q103" s="1271" t="s">
        <v>5305</v>
      </c>
      <c r="R103" s="1273" t="s">
        <v>5306</v>
      </c>
      <c r="S103" s="1271" t="s">
        <v>5307</v>
      </c>
      <c r="T103" s="1273" t="s">
        <v>5308</v>
      </c>
      <c r="U103" s="1271" t="s">
        <v>5309</v>
      </c>
      <c r="V103" s="1273" t="s">
        <v>5310</v>
      </c>
      <c r="W103" s="1271" t="s">
        <v>5311</v>
      </c>
      <c r="X103" s="1273" t="s">
        <v>5312</v>
      </c>
      <c r="Y103" s="1271" t="s">
        <v>5313</v>
      </c>
      <c r="Z103" s="1273" t="s">
        <v>5314</v>
      </c>
      <c r="AA103" s="1271" t="s">
        <v>5315</v>
      </c>
      <c r="AB103" s="1273" t="s">
        <v>5316</v>
      </c>
      <c r="AC103" s="1271" t="s">
        <v>5317</v>
      </c>
      <c r="AD103" s="1273" t="s">
        <v>5318</v>
      </c>
      <c r="AE103" s="1271" t="s">
        <v>5319</v>
      </c>
      <c r="AF103" s="1273" t="s">
        <v>5320</v>
      </c>
      <c r="AG103" s="1271" t="s">
        <v>5321</v>
      </c>
      <c r="AH103" s="1273" t="s">
        <v>5322</v>
      </c>
      <c r="AI103" s="1271" t="s">
        <v>5323</v>
      </c>
      <c r="AJ103" s="1089" t="s">
        <v>5324</v>
      </c>
      <c r="AK103" s="1271" t="s">
        <v>5325</v>
      </c>
      <c r="AL103" s="1089" t="s">
        <v>5326</v>
      </c>
      <c r="AM103" s="1274" t="s">
        <v>5327</v>
      </c>
      <c r="AN103" s="1275" t="s">
        <v>5328</v>
      </c>
      <c r="AO103" s="4371" t="s">
        <v>5329</v>
      </c>
      <c r="AP103" s="3945" t="s">
        <v>5330</v>
      </c>
      <c r="AQ103" s="3943" t="s">
        <v>5331</v>
      </c>
      <c r="AR103" s="1092" t="s">
        <v>5332</v>
      </c>
      <c r="AS103" s="1697" t="s">
        <v>5333</v>
      </c>
      <c r="AT103" s="1092" t="s">
        <v>5334</v>
      </c>
      <c r="AU103" s="1099" t="s">
        <v>5335</v>
      </c>
      <c r="AV103" s="1099" t="s">
        <v>5336</v>
      </c>
      <c r="AW103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3" s="2465" t="str">
        <f t="shared" si="32"/>
        <v xml:space="preserve"> * La variable Beneficiarios no puede ser mayor al Total.</v>
      </c>
      <c r="CE103" s="2465" t="str">
        <f t="shared" si="33"/>
        <v xml:space="preserve"> * El total de Controles No puede ser mayor que el Total.</v>
      </c>
      <c r="CF103" s="2465" t="str">
        <f t="shared" si="34"/>
        <v xml:space="preserve"> * La variable Pueblos originarios no puede ser mayor al Total.</v>
      </c>
      <c r="CG103" s="2465" t="str">
        <f t="shared" si="35"/>
        <v xml:space="preserve"> * La variable Migrantes no puede ser mayor al Total.</v>
      </c>
      <c r="CH103" s="2465"/>
      <c r="CI103" s="2465"/>
      <c r="CJ103" s="5831"/>
      <c r="CL103" s="2466">
        <f t="shared" si="36"/>
        <v>1</v>
      </c>
      <c r="CM103" s="2466">
        <f t="shared" si="37"/>
        <v>1</v>
      </c>
      <c r="CN103" s="2466">
        <f t="shared" si="38"/>
        <v>1</v>
      </c>
      <c r="CO103" s="2466">
        <f t="shared" si="39"/>
        <v>1</v>
      </c>
      <c r="CP103" s="5831"/>
    </row>
    <row r="104" spans="1:94" s="170" customFormat="1" ht="15" customHeight="1" x14ac:dyDescent="0.2">
      <c r="A104" s="6240">
        <v>32100520</v>
      </c>
      <c r="B104" s="1091" t="s">
        <v>248</v>
      </c>
      <c r="C104" s="1333"/>
      <c r="D104" s="1563" t="s">
        <v>5292</v>
      </c>
      <c r="E104" s="1555" t="s">
        <v>5293</v>
      </c>
      <c r="F104" s="31" t="s">
        <v>5294</v>
      </c>
      <c r="G104" s="1095" t="s">
        <v>5295</v>
      </c>
      <c r="H104" s="8" t="s">
        <v>5296</v>
      </c>
      <c r="I104" s="1095" t="s">
        <v>5297</v>
      </c>
      <c r="J104" s="8" t="s">
        <v>5298</v>
      </c>
      <c r="K104" s="1095" t="s">
        <v>5299</v>
      </c>
      <c r="L104" s="1099" t="s">
        <v>5300</v>
      </c>
      <c r="M104" s="1095" t="s">
        <v>5301</v>
      </c>
      <c r="N104" s="1099" t="s">
        <v>5302</v>
      </c>
      <c r="O104" s="1095" t="s">
        <v>5303</v>
      </c>
      <c r="P104" s="1099" t="s">
        <v>5304</v>
      </c>
      <c r="Q104" s="1095" t="s">
        <v>5305</v>
      </c>
      <c r="R104" s="1099" t="s">
        <v>5306</v>
      </c>
      <c r="S104" s="1095" t="s">
        <v>5307</v>
      </c>
      <c r="T104" s="1099" t="s">
        <v>5308</v>
      </c>
      <c r="U104" s="1095" t="s">
        <v>5309</v>
      </c>
      <c r="V104" s="1099" t="s">
        <v>5310</v>
      </c>
      <c r="W104" s="1095" t="s">
        <v>5311</v>
      </c>
      <c r="X104" s="1099" t="s">
        <v>5312</v>
      </c>
      <c r="Y104" s="1095" t="s">
        <v>5313</v>
      </c>
      <c r="Z104" s="1099" t="s">
        <v>5314</v>
      </c>
      <c r="AA104" s="1095" t="s">
        <v>5315</v>
      </c>
      <c r="AB104" s="1099" t="s">
        <v>5316</v>
      </c>
      <c r="AC104" s="1095" t="s">
        <v>5317</v>
      </c>
      <c r="AD104" s="8" t="s">
        <v>5318</v>
      </c>
      <c r="AE104" s="1095" t="s">
        <v>5319</v>
      </c>
      <c r="AF104" s="8" t="s">
        <v>5320</v>
      </c>
      <c r="AG104" s="1095" t="s">
        <v>5321</v>
      </c>
      <c r="AH104" s="8" t="s">
        <v>5322</v>
      </c>
      <c r="AI104" s="1095" t="s">
        <v>5323</v>
      </c>
      <c r="AJ104" s="8" t="s">
        <v>5324</v>
      </c>
      <c r="AK104" s="1095" t="s">
        <v>5325</v>
      </c>
      <c r="AL104" s="8" t="s">
        <v>5326</v>
      </c>
      <c r="AM104" s="1255" t="s">
        <v>5327</v>
      </c>
      <c r="AN104" s="1100" t="s">
        <v>5328</v>
      </c>
      <c r="AO104" s="4371" t="s">
        <v>5329</v>
      </c>
      <c r="AP104" s="3945" t="s">
        <v>5330</v>
      </c>
      <c r="AQ104" s="3943" t="s">
        <v>5331</v>
      </c>
      <c r="AR104" s="1092" t="s">
        <v>5332</v>
      </c>
      <c r="AS104" s="1697" t="s">
        <v>5333</v>
      </c>
      <c r="AT104" s="1092" t="s">
        <v>5334</v>
      </c>
      <c r="AU104" s="1099" t="s">
        <v>5335</v>
      </c>
      <c r="AV104" s="1099" t="s">
        <v>5336</v>
      </c>
      <c r="AW104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4" s="2465" t="str">
        <f t="shared" si="32"/>
        <v xml:space="preserve"> * La variable Beneficiarios no puede ser mayor al Total.</v>
      </c>
      <c r="CE104" s="2465" t="str">
        <f t="shared" si="33"/>
        <v xml:space="preserve"> * El total de Controles No puede ser mayor que el Total.</v>
      </c>
      <c r="CF104" s="2465" t="str">
        <f t="shared" si="34"/>
        <v xml:space="preserve"> * La variable Pueblos originarios no puede ser mayor al Total.</v>
      </c>
      <c r="CG104" s="2465" t="str">
        <f t="shared" si="35"/>
        <v xml:space="preserve"> * La variable Migrantes no puede ser mayor al Total.</v>
      </c>
      <c r="CH104" s="2465"/>
      <c r="CI104" s="2465"/>
      <c r="CJ104" s="5831"/>
      <c r="CL104" s="2466">
        <f t="shared" si="36"/>
        <v>1</v>
      </c>
      <c r="CM104" s="2466">
        <f t="shared" si="37"/>
        <v>1</v>
      </c>
      <c r="CN104" s="2466">
        <f t="shared" si="38"/>
        <v>1</v>
      </c>
      <c r="CO104" s="2466">
        <f t="shared" si="39"/>
        <v>1</v>
      </c>
      <c r="CP104" s="5831"/>
    </row>
    <row r="105" spans="1:94" s="170" customFormat="1" ht="15" customHeight="1" x14ac:dyDescent="0.2">
      <c r="A105" s="6240">
        <v>32100530</v>
      </c>
      <c r="B105" s="1564" t="s">
        <v>249</v>
      </c>
      <c r="C105" s="1565"/>
      <c r="D105" s="1566" t="s">
        <v>5292</v>
      </c>
      <c r="E105" s="1567" t="s">
        <v>5293</v>
      </c>
      <c r="F105" s="31" t="s">
        <v>5294</v>
      </c>
      <c r="G105" s="1095" t="s">
        <v>5295</v>
      </c>
      <c r="H105" s="8" t="s">
        <v>5296</v>
      </c>
      <c r="I105" s="1095" t="s">
        <v>5297</v>
      </c>
      <c r="J105" s="8" t="s">
        <v>5298</v>
      </c>
      <c r="K105" s="1095" t="s">
        <v>5299</v>
      </c>
      <c r="L105" s="1099" t="s">
        <v>5300</v>
      </c>
      <c r="M105" s="1095" t="s">
        <v>5301</v>
      </c>
      <c r="N105" s="1099" t="s">
        <v>5302</v>
      </c>
      <c r="O105" s="1095" t="s">
        <v>5303</v>
      </c>
      <c r="P105" s="1099" t="s">
        <v>5304</v>
      </c>
      <c r="Q105" s="1095" t="s">
        <v>5305</v>
      </c>
      <c r="R105" s="1099" t="s">
        <v>5306</v>
      </c>
      <c r="S105" s="1095" t="s">
        <v>5307</v>
      </c>
      <c r="T105" s="1099" t="s">
        <v>5308</v>
      </c>
      <c r="U105" s="1095" t="s">
        <v>5309</v>
      </c>
      <c r="V105" s="1099" t="s">
        <v>5310</v>
      </c>
      <c r="W105" s="1095" t="s">
        <v>5311</v>
      </c>
      <c r="X105" s="1099" t="s">
        <v>5312</v>
      </c>
      <c r="Y105" s="1095" t="s">
        <v>5313</v>
      </c>
      <c r="Z105" s="1099" t="s">
        <v>5314</v>
      </c>
      <c r="AA105" s="1095" t="s">
        <v>5315</v>
      </c>
      <c r="AB105" s="1099" t="s">
        <v>5316</v>
      </c>
      <c r="AC105" s="1095" t="s">
        <v>5317</v>
      </c>
      <c r="AD105" s="8" t="s">
        <v>5318</v>
      </c>
      <c r="AE105" s="1095" t="s">
        <v>5319</v>
      </c>
      <c r="AF105" s="8" t="s">
        <v>5320</v>
      </c>
      <c r="AG105" s="1095" t="s">
        <v>5321</v>
      </c>
      <c r="AH105" s="8" t="s">
        <v>5322</v>
      </c>
      <c r="AI105" s="1095" t="s">
        <v>5323</v>
      </c>
      <c r="AJ105" s="8" t="s">
        <v>5324</v>
      </c>
      <c r="AK105" s="1095" t="s">
        <v>5325</v>
      </c>
      <c r="AL105" s="8" t="s">
        <v>5326</v>
      </c>
      <c r="AM105" s="1255" t="s">
        <v>5327</v>
      </c>
      <c r="AN105" s="1100" t="s">
        <v>5328</v>
      </c>
      <c r="AO105" s="4371" t="s">
        <v>5329</v>
      </c>
      <c r="AP105" s="3945" t="s">
        <v>5330</v>
      </c>
      <c r="AQ105" s="3943" t="s">
        <v>5331</v>
      </c>
      <c r="AR105" s="1092" t="s">
        <v>5332</v>
      </c>
      <c r="AS105" s="1697" t="s">
        <v>5333</v>
      </c>
      <c r="AT105" s="1092" t="s">
        <v>5334</v>
      </c>
      <c r="AU105" s="1099" t="s">
        <v>5335</v>
      </c>
      <c r="AV105" s="1099" t="s">
        <v>5336</v>
      </c>
      <c r="AW105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5" s="2465" t="str">
        <f t="shared" si="32"/>
        <v xml:space="preserve"> * La variable Beneficiarios no puede ser mayor al Total.</v>
      </c>
      <c r="CE105" s="2465" t="str">
        <f t="shared" si="33"/>
        <v xml:space="preserve"> * El total de Controles No puede ser mayor que el Total.</v>
      </c>
      <c r="CF105" s="2465" t="str">
        <f t="shared" si="34"/>
        <v xml:space="preserve"> * La variable Pueblos originarios no puede ser mayor al Total.</v>
      </c>
      <c r="CG105" s="2465" t="str">
        <f t="shared" si="35"/>
        <v xml:space="preserve"> * La variable Migrantes no puede ser mayor al Total.</v>
      </c>
      <c r="CH105" s="2465"/>
      <c r="CI105" s="2465"/>
      <c r="CJ105" s="5831"/>
      <c r="CL105" s="2466">
        <f t="shared" si="36"/>
        <v>1</v>
      </c>
      <c r="CM105" s="2466">
        <f t="shared" si="37"/>
        <v>1</v>
      </c>
      <c r="CN105" s="2466">
        <f t="shared" si="38"/>
        <v>1</v>
      </c>
      <c r="CO105" s="2466">
        <f t="shared" si="39"/>
        <v>1</v>
      </c>
      <c r="CP105" s="5831"/>
    </row>
    <row r="106" spans="1:94" s="170" customFormat="1" ht="15" customHeight="1" x14ac:dyDescent="0.2">
      <c r="A106" s="6240">
        <v>32100540</v>
      </c>
      <c r="B106" s="1091" t="s">
        <v>1355</v>
      </c>
      <c r="C106" s="1333"/>
      <c r="D106" s="1563" t="s">
        <v>5292</v>
      </c>
      <c r="E106" s="1555" t="s">
        <v>5293</v>
      </c>
      <c r="F106" s="31" t="s">
        <v>5294</v>
      </c>
      <c r="G106" s="1095" t="s">
        <v>5295</v>
      </c>
      <c r="H106" s="8" t="s">
        <v>5296</v>
      </c>
      <c r="I106" s="1095" t="s">
        <v>5297</v>
      </c>
      <c r="J106" s="8" t="s">
        <v>5298</v>
      </c>
      <c r="K106" s="1095" t="s">
        <v>5299</v>
      </c>
      <c r="L106" s="1099" t="s">
        <v>5300</v>
      </c>
      <c r="M106" s="1095" t="s">
        <v>5301</v>
      </c>
      <c r="N106" s="1099" t="s">
        <v>5302</v>
      </c>
      <c r="O106" s="1095" t="s">
        <v>5303</v>
      </c>
      <c r="P106" s="1099" t="s">
        <v>5304</v>
      </c>
      <c r="Q106" s="1095" t="s">
        <v>5305</v>
      </c>
      <c r="R106" s="1099" t="s">
        <v>5306</v>
      </c>
      <c r="S106" s="1095" t="s">
        <v>5307</v>
      </c>
      <c r="T106" s="1099" t="s">
        <v>5308</v>
      </c>
      <c r="U106" s="1095" t="s">
        <v>5309</v>
      </c>
      <c r="V106" s="1099" t="s">
        <v>5310</v>
      </c>
      <c r="W106" s="1095" t="s">
        <v>5311</v>
      </c>
      <c r="X106" s="1099" t="s">
        <v>5312</v>
      </c>
      <c r="Y106" s="1095" t="s">
        <v>5313</v>
      </c>
      <c r="Z106" s="1099" t="s">
        <v>5314</v>
      </c>
      <c r="AA106" s="1095" t="s">
        <v>5315</v>
      </c>
      <c r="AB106" s="1099" t="s">
        <v>5316</v>
      </c>
      <c r="AC106" s="1095" t="s">
        <v>5317</v>
      </c>
      <c r="AD106" s="1099" t="s">
        <v>5318</v>
      </c>
      <c r="AE106" s="1095" t="s">
        <v>5319</v>
      </c>
      <c r="AF106" s="1099" t="s">
        <v>5320</v>
      </c>
      <c r="AG106" s="1095" t="s">
        <v>5321</v>
      </c>
      <c r="AH106" s="1099" t="s">
        <v>5322</v>
      </c>
      <c r="AI106" s="1095" t="s">
        <v>5323</v>
      </c>
      <c r="AJ106" s="8" t="s">
        <v>5324</v>
      </c>
      <c r="AK106" s="1095" t="s">
        <v>5325</v>
      </c>
      <c r="AL106" s="8" t="s">
        <v>5326</v>
      </c>
      <c r="AM106" s="1255" t="s">
        <v>5327</v>
      </c>
      <c r="AN106" s="1100" t="s">
        <v>5328</v>
      </c>
      <c r="AO106" s="4371" t="s">
        <v>5329</v>
      </c>
      <c r="AP106" s="3945" t="s">
        <v>5330</v>
      </c>
      <c r="AQ106" s="3943" t="s">
        <v>5331</v>
      </c>
      <c r="AR106" s="1092" t="s">
        <v>5332</v>
      </c>
      <c r="AS106" s="1697" t="s">
        <v>5333</v>
      </c>
      <c r="AT106" s="1092" t="s">
        <v>5334</v>
      </c>
      <c r="AU106" s="1099" t="s">
        <v>5335</v>
      </c>
      <c r="AV106" s="1099" t="s">
        <v>5336</v>
      </c>
      <c r="AW106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6" s="2465" t="str">
        <f t="shared" si="32"/>
        <v xml:space="preserve"> * La variable Beneficiarios no puede ser mayor al Total.</v>
      </c>
      <c r="CE106" s="2465" t="str">
        <f t="shared" si="33"/>
        <v xml:space="preserve"> * El total de Controles No puede ser mayor que el Total.</v>
      </c>
      <c r="CF106" s="2465" t="str">
        <f t="shared" si="34"/>
        <v xml:space="preserve"> * La variable Pueblos originarios no puede ser mayor al Total.</v>
      </c>
      <c r="CG106" s="2465" t="str">
        <f t="shared" si="35"/>
        <v xml:space="preserve"> * La variable Migrantes no puede ser mayor al Total.</v>
      </c>
      <c r="CH106" s="2465"/>
      <c r="CI106" s="2465"/>
      <c r="CJ106" s="5831"/>
      <c r="CL106" s="2466">
        <f t="shared" si="36"/>
        <v>1</v>
      </c>
      <c r="CM106" s="2466">
        <f t="shared" si="37"/>
        <v>1</v>
      </c>
      <c r="CN106" s="2466">
        <f t="shared" si="38"/>
        <v>1</v>
      </c>
      <c r="CO106" s="2466">
        <f t="shared" si="39"/>
        <v>1</v>
      </c>
      <c r="CP106" s="5831"/>
    </row>
    <row r="107" spans="1:94" s="170" customFormat="1" ht="15" customHeight="1" x14ac:dyDescent="0.2">
      <c r="A107" s="6240">
        <v>32100550</v>
      </c>
      <c r="B107" s="1110" t="s">
        <v>566</v>
      </c>
      <c r="C107" s="1568"/>
      <c r="D107" s="1569" t="s">
        <v>5292</v>
      </c>
      <c r="E107" s="1570" t="s">
        <v>5293</v>
      </c>
      <c r="F107" s="37" t="s">
        <v>5294</v>
      </c>
      <c r="G107" s="3" t="s">
        <v>5295</v>
      </c>
      <c r="H107" s="12" t="s">
        <v>5296</v>
      </c>
      <c r="I107" s="3" t="s">
        <v>5297</v>
      </c>
      <c r="J107" s="12" t="s">
        <v>5298</v>
      </c>
      <c r="K107" s="3" t="s">
        <v>5299</v>
      </c>
      <c r="L107" s="6" t="s">
        <v>5300</v>
      </c>
      <c r="M107" s="3" t="s">
        <v>5301</v>
      </c>
      <c r="N107" s="6" t="s">
        <v>5302</v>
      </c>
      <c r="O107" s="3" t="s">
        <v>5303</v>
      </c>
      <c r="P107" s="6" t="s">
        <v>5304</v>
      </c>
      <c r="Q107" s="3" t="s">
        <v>5305</v>
      </c>
      <c r="R107" s="6" t="s">
        <v>5306</v>
      </c>
      <c r="S107" s="3" t="s">
        <v>5307</v>
      </c>
      <c r="T107" s="6" t="s">
        <v>5308</v>
      </c>
      <c r="U107" s="3" t="s">
        <v>5309</v>
      </c>
      <c r="V107" s="6" t="s">
        <v>5310</v>
      </c>
      <c r="W107" s="3" t="s">
        <v>5311</v>
      </c>
      <c r="X107" s="6" t="s">
        <v>5312</v>
      </c>
      <c r="Y107" s="3" t="s">
        <v>5313</v>
      </c>
      <c r="Z107" s="6" t="s">
        <v>5314</v>
      </c>
      <c r="AA107" s="3" t="s">
        <v>5315</v>
      </c>
      <c r="AB107" s="6" t="s">
        <v>5316</v>
      </c>
      <c r="AC107" s="3" t="s">
        <v>5317</v>
      </c>
      <c r="AD107" s="6" t="s">
        <v>5318</v>
      </c>
      <c r="AE107" s="3" t="s">
        <v>5319</v>
      </c>
      <c r="AF107" s="6" t="s">
        <v>5320</v>
      </c>
      <c r="AG107" s="3" t="s">
        <v>5321</v>
      </c>
      <c r="AH107" s="6" t="s">
        <v>5322</v>
      </c>
      <c r="AI107" s="3" t="s">
        <v>5323</v>
      </c>
      <c r="AJ107" s="6" t="s">
        <v>5324</v>
      </c>
      <c r="AK107" s="3" t="s">
        <v>5325</v>
      </c>
      <c r="AL107" s="6" t="s">
        <v>5326</v>
      </c>
      <c r="AM107" s="22" t="s">
        <v>5327</v>
      </c>
      <c r="AN107" s="5" t="s">
        <v>5328</v>
      </c>
      <c r="AO107" s="4372" t="s">
        <v>5329</v>
      </c>
      <c r="AP107" s="3949" t="s">
        <v>5330</v>
      </c>
      <c r="AQ107" s="2290" t="s">
        <v>5331</v>
      </c>
      <c r="AR107" s="30" t="s">
        <v>5332</v>
      </c>
      <c r="AS107" s="2290" t="s">
        <v>5333</v>
      </c>
      <c r="AT107" s="30" t="s">
        <v>5334</v>
      </c>
      <c r="AU107" s="6" t="s">
        <v>5335</v>
      </c>
      <c r="AV107" s="6" t="s">
        <v>5336</v>
      </c>
      <c r="AW107" s="170" t="str">
        <f t="shared" si="31"/>
        <v xml:space="preserve"> * La variable Beneficiarios no puede ser mayor al Total. * El total de Controles No puede ser mayor que el Total. * La variable Pueblos originarios no puede ser mayor al Total. * La variable Migrantes no puede ser mayor al Total.</v>
      </c>
      <c r="CD107" s="2465" t="str">
        <f t="shared" si="32"/>
        <v xml:space="preserve"> * La variable Beneficiarios no puede ser mayor al Total.</v>
      </c>
      <c r="CE107" s="2465" t="str">
        <f t="shared" si="33"/>
        <v xml:space="preserve"> * El total de Controles No puede ser mayor que el Total.</v>
      </c>
      <c r="CF107" s="2465" t="str">
        <f t="shared" si="34"/>
        <v xml:space="preserve"> * La variable Pueblos originarios no puede ser mayor al Total.</v>
      </c>
      <c r="CG107" s="2465" t="str">
        <f t="shared" si="35"/>
        <v xml:space="preserve"> * La variable Migrantes no puede ser mayor al Total.</v>
      </c>
      <c r="CH107" s="2465"/>
      <c r="CI107" s="2465"/>
      <c r="CJ107" s="5831"/>
      <c r="CL107" s="2466">
        <f t="shared" si="36"/>
        <v>1</v>
      </c>
      <c r="CM107" s="2466">
        <f t="shared" si="37"/>
        <v>1</v>
      </c>
      <c r="CN107" s="2466">
        <f t="shared" si="38"/>
        <v>1</v>
      </c>
      <c r="CO107" s="2466">
        <f t="shared" si="39"/>
        <v>1</v>
      </c>
      <c r="CP107" s="5831"/>
    </row>
    <row r="108" spans="1:94" ht="15" customHeight="1" x14ac:dyDescent="0.3">
      <c r="A108" s="6306"/>
      <c r="B108" s="7819" t="s">
        <v>24</v>
      </c>
      <c r="C108" s="7825"/>
      <c r="D108" s="2529">
        <f t="shared" ref="D108:AV108" si="40">SUM(D99:D107)</f>
        <v>0</v>
      </c>
      <c r="E108" s="2530">
        <f t="shared" si="40"/>
        <v>0</v>
      </c>
      <c r="F108" s="1558">
        <f t="shared" si="40"/>
        <v>0</v>
      </c>
      <c r="G108" s="2531">
        <f t="shared" si="40"/>
        <v>0</v>
      </c>
      <c r="H108" s="2532">
        <f t="shared" si="40"/>
        <v>0</v>
      </c>
      <c r="I108" s="2531">
        <f t="shared" si="40"/>
        <v>0</v>
      </c>
      <c r="J108" s="2532">
        <f t="shared" si="40"/>
        <v>0</v>
      </c>
      <c r="K108" s="1260">
        <f t="shared" si="40"/>
        <v>0</v>
      </c>
      <c r="L108" s="2533">
        <f t="shared" si="40"/>
        <v>0</v>
      </c>
      <c r="M108" s="1260">
        <f t="shared" si="40"/>
        <v>0</v>
      </c>
      <c r="N108" s="2533">
        <f t="shared" si="40"/>
        <v>0</v>
      </c>
      <c r="O108" s="1260">
        <f t="shared" si="40"/>
        <v>0</v>
      </c>
      <c r="P108" s="2533">
        <f t="shared" si="40"/>
        <v>0</v>
      </c>
      <c r="Q108" s="1260">
        <f t="shared" si="40"/>
        <v>0</v>
      </c>
      <c r="R108" s="2533">
        <f t="shared" si="40"/>
        <v>0</v>
      </c>
      <c r="S108" s="1260">
        <f t="shared" si="40"/>
        <v>0</v>
      </c>
      <c r="T108" s="2533">
        <f t="shared" si="40"/>
        <v>0</v>
      </c>
      <c r="U108" s="1260">
        <f t="shared" si="40"/>
        <v>0</v>
      </c>
      <c r="V108" s="2533">
        <f t="shared" si="40"/>
        <v>0</v>
      </c>
      <c r="W108" s="1260">
        <f t="shared" si="40"/>
        <v>0</v>
      </c>
      <c r="X108" s="2533">
        <f t="shared" si="40"/>
        <v>0</v>
      </c>
      <c r="Y108" s="1260">
        <f t="shared" si="40"/>
        <v>0</v>
      </c>
      <c r="Z108" s="2533">
        <f t="shared" si="40"/>
        <v>0</v>
      </c>
      <c r="AA108" s="1260">
        <f t="shared" si="40"/>
        <v>0</v>
      </c>
      <c r="AB108" s="2533">
        <f t="shared" si="40"/>
        <v>0</v>
      </c>
      <c r="AC108" s="1260">
        <f t="shared" si="40"/>
        <v>0</v>
      </c>
      <c r="AD108" s="2533">
        <f t="shared" si="40"/>
        <v>0</v>
      </c>
      <c r="AE108" s="1260">
        <f t="shared" si="40"/>
        <v>0</v>
      </c>
      <c r="AF108" s="2533">
        <f t="shared" si="40"/>
        <v>0</v>
      </c>
      <c r="AG108" s="1260">
        <f t="shared" si="40"/>
        <v>0</v>
      </c>
      <c r="AH108" s="2533">
        <f t="shared" si="40"/>
        <v>0</v>
      </c>
      <c r="AI108" s="1260">
        <f t="shared" si="40"/>
        <v>0</v>
      </c>
      <c r="AJ108" s="2533">
        <f t="shared" si="40"/>
        <v>0</v>
      </c>
      <c r="AK108" s="1260">
        <f t="shared" si="40"/>
        <v>0</v>
      </c>
      <c r="AL108" s="2533">
        <f t="shared" si="40"/>
        <v>0</v>
      </c>
      <c r="AM108" s="1265">
        <f t="shared" si="40"/>
        <v>0</v>
      </c>
      <c r="AN108" s="2534">
        <f t="shared" si="40"/>
        <v>0</v>
      </c>
      <c r="AO108" s="4373">
        <f>SUM(AO99:AO107)</f>
        <v>0</v>
      </c>
      <c r="AP108" s="4374">
        <f>SUM(AP99:AP107)</f>
        <v>0</v>
      </c>
      <c r="AQ108" s="4366">
        <f t="shared" si="40"/>
        <v>0</v>
      </c>
      <c r="AR108" s="2370">
        <f t="shared" si="40"/>
        <v>0</v>
      </c>
      <c r="AS108" s="2535">
        <f t="shared" si="40"/>
        <v>0</v>
      </c>
      <c r="AT108" s="2370">
        <f t="shared" si="40"/>
        <v>0</v>
      </c>
      <c r="AU108" s="2532">
        <f t="shared" si="40"/>
        <v>0</v>
      </c>
      <c r="AV108" s="2532">
        <f t="shared" si="40"/>
        <v>0</v>
      </c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  <c r="CN108" s="170"/>
    </row>
    <row r="109" spans="1:94" s="1116" customFormat="1" ht="18" customHeight="1" x14ac:dyDescent="0.2">
      <c r="A109" s="6305"/>
      <c r="B109" s="2526" t="s">
        <v>1356</v>
      </c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  <c r="CN109" s="170"/>
    </row>
    <row r="110" spans="1:94" s="1116" customFormat="1" ht="18" customHeight="1" x14ac:dyDescent="0.2">
      <c r="A110" s="6307"/>
      <c r="B110" s="8522" t="s">
        <v>1357</v>
      </c>
      <c r="C110" s="8522"/>
      <c r="D110" s="8522"/>
      <c r="E110" s="8522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  <c r="CN110" s="170"/>
    </row>
    <row r="111" spans="1:94" s="170" customFormat="1" ht="15" customHeight="1" x14ac:dyDescent="0.2">
      <c r="A111" s="6307"/>
      <c r="B111" s="7671" t="s">
        <v>1358</v>
      </c>
      <c r="C111" s="7819" t="s">
        <v>24</v>
      </c>
      <c r="D111" s="7802"/>
      <c r="E111" s="7825"/>
      <c r="F111" s="7819" t="s">
        <v>12</v>
      </c>
      <c r="G111" s="7802"/>
      <c r="H111" s="7802"/>
      <c r="I111" s="7802"/>
      <c r="J111" s="7802"/>
      <c r="K111" s="7802"/>
      <c r="L111" s="7802"/>
      <c r="M111" s="7802"/>
      <c r="N111" s="7802"/>
      <c r="O111" s="7802"/>
      <c r="P111" s="7802"/>
      <c r="Q111" s="8512"/>
      <c r="R111" s="8511" t="s">
        <v>327</v>
      </c>
      <c r="S111" s="6399" t="s">
        <v>1359</v>
      </c>
      <c r="T111" s="6399" t="s">
        <v>1360</v>
      </c>
      <c r="U111" s="6399" t="s">
        <v>49</v>
      </c>
      <c r="V111" s="6399" t="s">
        <v>45</v>
      </c>
      <c r="W111" s="6399" t="s">
        <v>2</v>
      </c>
      <c r="X111" s="6399" t="s">
        <v>3</v>
      </c>
    </row>
    <row r="112" spans="1:94" s="170" customFormat="1" ht="27.75" customHeight="1" x14ac:dyDescent="0.2">
      <c r="A112" s="6307"/>
      <c r="B112" s="8498"/>
      <c r="C112" s="6186" t="s">
        <v>50</v>
      </c>
      <c r="D112" s="4296" t="s">
        <v>22</v>
      </c>
      <c r="E112" s="4411" t="s">
        <v>27</v>
      </c>
      <c r="F112" s="1266" t="s">
        <v>1361</v>
      </c>
      <c r="G112" s="1571" t="s">
        <v>1362</v>
      </c>
      <c r="H112" s="1571" t="s">
        <v>1363</v>
      </c>
      <c r="I112" s="1571" t="s">
        <v>1364</v>
      </c>
      <c r="J112" s="1571" t="s">
        <v>1365</v>
      </c>
      <c r="K112" s="1571" t="s">
        <v>1366</v>
      </c>
      <c r="L112" s="1571" t="s">
        <v>1367</v>
      </c>
      <c r="M112" s="1571" t="s">
        <v>1368</v>
      </c>
      <c r="N112" s="1571" t="s">
        <v>1369</v>
      </c>
      <c r="O112" s="1571" t="s">
        <v>1370</v>
      </c>
      <c r="P112" s="1571" t="s">
        <v>1371</v>
      </c>
      <c r="Q112" s="2536" t="s">
        <v>1372</v>
      </c>
      <c r="R112" s="6905"/>
      <c r="S112" s="8493"/>
      <c r="T112" s="8493"/>
      <c r="U112" s="8493"/>
      <c r="V112" s="8493"/>
      <c r="W112" s="8493"/>
      <c r="X112" s="8493"/>
    </row>
    <row r="113" spans="1:97" s="170" customFormat="1" ht="15" customHeight="1" x14ac:dyDescent="0.2">
      <c r="A113" s="6240">
        <v>32100570</v>
      </c>
      <c r="B113" s="1091" t="s">
        <v>1373</v>
      </c>
      <c r="C113" s="1572" t="s">
        <v>5292</v>
      </c>
      <c r="D113" s="1274" t="s">
        <v>5293</v>
      </c>
      <c r="E113" s="1273" t="s">
        <v>5294</v>
      </c>
      <c r="F113" s="1271" t="s">
        <v>5295</v>
      </c>
      <c r="G113" s="1437" t="s">
        <v>5296</v>
      </c>
      <c r="H113" s="1437" t="s">
        <v>5297</v>
      </c>
      <c r="I113" s="1437" t="s">
        <v>5298</v>
      </c>
      <c r="J113" s="1437" t="s">
        <v>5299</v>
      </c>
      <c r="K113" s="1437" t="s">
        <v>5300</v>
      </c>
      <c r="L113" s="1437" t="s">
        <v>5301</v>
      </c>
      <c r="M113" s="1437" t="s">
        <v>5302</v>
      </c>
      <c r="N113" s="1437" t="s">
        <v>5303</v>
      </c>
      <c r="O113" s="1437" t="s">
        <v>5304</v>
      </c>
      <c r="P113" s="1437" t="s">
        <v>5305</v>
      </c>
      <c r="Q113" s="1275" t="s">
        <v>5306</v>
      </c>
      <c r="R113" s="1430" t="s">
        <v>5307</v>
      </c>
      <c r="S113" s="4407" t="s">
        <v>5308</v>
      </c>
      <c r="T113" s="4407" t="s">
        <v>5309</v>
      </c>
      <c r="U113" s="4407" t="s">
        <v>5310</v>
      </c>
      <c r="V113" s="4407" t="s">
        <v>5311</v>
      </c>
      <c r="W113" s="4407" t="s">
        <v>5312</v>
      </c>
      <c r="X113" s="4407" t="s">
        <v>5313</v>
      </c>
      <c r="Y113" s="170" t="e">
        <f>CC113&amp;CD113&amp;CE113&amp;CF113&amp;CG113&amp;CH113&amp;CI113&amp;CJ113</f>
        <v>#VALUE!</v>
      </c>
      <c r="CC113" s="2465" t="e">
        <f>IF((D113+E113)&lt;&gt;C113,"  * Las atenciones según Sexo (Hombres/Mujeres) deben ser igual al Total de atenciones","")</f>
        <v>#VALUE!</v>
      </c>
      <c r="CD113" s="2465" t="str">
        <f>IF(AND(E113&gt;0,R113="")," * No olvide digitar Embarazadas. Digite cero si no tiene.",IF(R113&gt;E113," * La variable Embarazadas no puede ser mayor al Total.",""))</f>
        <v xml:space="preserve"> * La variable Embarazadas no puede ser mayor al Total.</v>
      </c>
      <c r="CE113" s="2465" t="str">
        <f>IF(AND(P113&gt;0,S113="")," * No olvide digitar la variable 60 años (incluído en grupos de 20-64 años). Digite cero si no tiene.",IF(S113&gt;P113,"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F113" s="2465" t="str">
        <f>IF(AND(C113&gt;0,T113="")," * No olvide digitar Usuarios en situación de discapacidad. Digite cero si no tiene.",IF(T113&gt;C113," * La variable Usuarios en situación de discapacidad no puede ser mayor al Total.",""))</f>
        <v xml:space="preserve"> * La variable Usuarios en situación de discapacidad no puede ser mayor al Total.</v>
      </c>
      <c r="CG113" s="2465" t="str">
        <f>IF(AND(C113&gt;0,U113="")," * No olvide digitar Niños, niñas, adolescentes y jóvenes SENAME. Digite cero si no tiene.",IF(U113&gt;C113," * La variable Niños, niñas, adolescentes y jóvenes SENAME no puede ser mayor al Total.",""))</f>
        <v xml:space="preserve"> * La variable Niños, niñas, adolescentes y jóvenes SENAME no puede ser mayor al Total.</v>
      </c>
      <c r="CH113" s="2465" t="str">
        <f>IF(AND(C113&gt;0,V113="")," * No olvide digitar Niños, niñas, adolescentes y jóvenes Mejor niñez. Digite cero si no tiene.",IF(V113&gt;C113," * La variable Niños, niñas, adolescentes y jóvenes Mejor niñez no puede ser mayor al Total.",""))</f>
        <v xml:space="preserve"> * La variable Niños, niñas, adolescentes y jóvenes Mejor niñez no puede ser mayor al Total.</v>
      </c>
      <c r="CI113" s="2465" t="str">
        <f>IF(AND(C113&gt;0,W113="")," * No olvide digitar Pueblos originarios. Digite cero si no tiene.",IF(W113&gt;C113," * La variable Pueblos originarios no puede ser mayor al Total.",""))</f>
        <v xml:space="preserve"> * La variable Pueblos originarios no puede ser mayor al Total.</v>
      </c>
      <c r="CJ113" s="2465" t="str">
        <f>IF(AND(C113&gt;0,X113="")," * No olvide digitar Migrantes. Digite cero si no tiene.",IF(X113&gt;C113," * La variable Migrantes no puede ser mayor al Total.",""))</f>
        <v xml:space="preserve"> * La variable Migrantes no puede ser mayor al Total.</v>
      </c>
      <c r="CL113" s="2466">
        <f>IF(AND(E113&gt;0,R113=""),1,IF(R113&gt;E113,1,0))</f>
        <v>1</v>
      </c>
      <c r="CM113" s="2466">
        <f>IF(AND(P113&gt;0,S113=""),1,IF(S113&gt;P113,1,0))</f>
        <v>1</v>
      </c>
      <c r="CN113" s="2466">
        <f>IF(AND(C113&gt;0,T113=""),1,IF(T113&gt;C113,1,0))</f>
        <v>1</v>
      </c>
      <c r="CO113" s="2466">
        <f>IF(AND(C113&gt;0,U113=""),1,IF(U113&gt;C113,1,0))</f>
        <v>1</v>
      </c>
      <c r="CP113" s="2466">
        <f>IF(AND(C113&gt;0,V113=""),1,IF(V113&gt;C113,1,0))</f>
        <v>1</v>
      </c>
      <c r="CQ113" s="2466">
        <f>IF(AND(C113&gt;0,W113=""),1,IF(W113&gt;C113,1,0))</f>
        <v>1</v>
      </c>
      <c r="CR113" s="2466">
        <f>IF(AND(C113&gt;0,X113=""),1,IF(X113&gt;C113,1,0))</f>
        <v>1</v>
      </c>
      <c r="CS113" s="2466" t="e">
        <f>IF((D113+E113)&lt;&gt;C113,1,0)</f>
        <v>#VALUE!</v>
      </c>
    </row>
    <row r="114" spans="1:97" s="170" customFormat="1" ht="15" customHeight="1" x14ac:dyDescent="0.2">
      <c r="A114" s="6240">
        <v>32100580</v>
      </c>
      <c r="B114" s="1091" t="s">
        <v>1374</v>
      </c>
      <c r="C114" s="1563" t="s">
        <v>5292</v>
      </c>
      <c r="D114" s="1274" t="s">
        <v>5293</v>
      </c>
      <c r="E114" s="1273" t="s">
        <v>5294</v>
      </c>
      <c r="F114" s="1271" t="s">
        <v>5295</v>
      </c>
      <c r="G114" s="1437" t="s">
        <v>5296</v>
      </c>
      <c r="H114" s="1437" t="s">
        <v>5297</v>
      </c>
      <c r="I114" s="1437" t="s">
        <v>5298</v>
      </c>
      <c r="J114" s="1437" t="s">
        <v>5299</v>
      </c>
      <c r="K114" s="1437" t="s">
        <v>5300</v>
      </c>
      <c r="L114" s="1437" t="s">
        <v>5301</v>
      </c>
      <c r="M114" s="1437" t="s">
        <v>5302</v>
      </c>
      <c r="N114" s="1437" t="s">
        <v>5303</v>
      </c>
      <c r="O114" s="1437" t="s">
        <v>5304</v>
      </c>
      <c r="P114" s="1437" t="s">
        <v>5305</v>
      </c>
      <c r="Q114" s="1275" t="s">
        <v>5306</v>
      </c>
      <c r="R114" s="1430" t="s">
        <v>5307</v>
      </c>
      <c r="S114" s="4407" t="s">
        <v>5308</v>
      </c>
      <c r="T114" s="4407" t="s">
        <v>5309</v>
      </c>
      <c r="U114" s="4407" t="s">
        <v>5310</v>
      </c>
      <c r="V114" s="4407" t="s">
        <v>5311</v>
      </c>
      <c r="W114" s="4407" t="s">
        <v>5312</v>
      </c>
      <c r="X114" s="4407" t="s">
        <v>5313</v>
      </c>
      <c r="Y114" s="170" t="e">
        <f t="shared" ref="Y114:Y115" si="41">CC114&amp;CD114&amp;CE114&amp;CF114&amp;CG114&amp;CH114&amp;CI114&amp;CJ114</f>
        <v>#VALUE!</v>
      </c>
      <c r="CC114" s="2465" t="e">
        <f t="shared" ref="CC114:CC115" si="42">IF((D114+E114)&lt;&gt;C114,"  * Las atenciones según Sexo (Hombres/Mujeres) deben ser igual al Total de atenciones","")</f>
        <v>#VALUE!</v>
      </c>
      <c r="CD114" s="2465" t="str">
        <f t="shared" ref="CD114:CD115" si="43">IF(AND(E114&gt;0,R114="")," * No olvide digitar Embarazadas. Digite cero si no tiene.",IF(R114&gt;E114," * La variable Embarazadas no puede ser mayor al Total.",""))</f>
        <v xml:space="preserve"> * La variable Embarazadas no puede ser mayor al Total.</v>
      </c>
      <c r="CE114" s="2465" t="str">
        <f t="shared" ref="CE114:CE115" si="44">IF(AND(P114&gt;0,S114="")," * No olvide digitar la variable 60 años (incluído en grupos de 20-64 años). Digite cero si no tiene.",IF(S114&gt;P114,"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F114" s="2465" t="str">
        <f t="shared" ref="CF114:CF115" si="45">IF(AND(C114&gt;0,T114="")," * No olvide digitar Usuarios en situación de discapacidad. Digite cero si no tiene.",IF(T114&gt;C114," * La variable Usuarios en situación de discapacidad no puede ser mayor al Total.",""))</f>
        <v xml:space="preserve"> * La variable Usuarios en situación de discapacidad no puede ser mayor al Total.</v>
      </c>
      <c r="CG114" s="2465" t="str">
        <f t="shared" ref="CG114:CG115" si="46">IF(AND(C114&gt;0,U114="")," * No olvide digitar Niños, niñas, adolescentes y jóvenes SENAME. Digite cero si no tiene.",IF(U114&gt;C114," * La variable Niños, niñas, adolescentes y jóvenes SENAME no puede ser mayor al Total.",""))</f>
        <v xml:space="preserve"> * La variable Niños, niñas, adolescentes y jóvenes SENAME no puede ser mayor al Total.</v>
      </c>
      <c r="CH114" s="2465" t="str">
        <f t="shared" ref="CH114:CH115" si="47">IF(AND(C114&gt;0,V114="")," * No olvide digitar Niños, niñas, adolescentes y jóvenes Mejor niñez. Digite cero si no tiene.",IF(V114&gt;C114," * La variable Niños, niñas, adolescentes y jóvenes Mejor niñez no puede ser mayor al Total.",""))</f>
        <v xml:space="preserve"> * La variable Niños, niñas, adolescentes y jóvenes Mejor niñez no puede ser mayor al Total.</v>
      </c>
      <c r="CI114" s="2465" t="str">
        <f t="shared" ref="CI114:CI115" si="48">IF(AND(C114&gt;0,W114="")," * No olvide digitar Pueblos originarios. Digite cero si no tiene.",IF(W114&gt;C114," * La variable Pueblos originarios no puede ser mayor al Total.",""))</f>
        <v xml:space="preserve"> * La variable Pueblos originarios no puede ser mayor al Total.</v>
      </c>
      <c r="CJ114" s="2465" t="str">
        <f t="shared" ref="CJ114:CJ115" si="49">IF(AND(C114&gt;0,X114="")," * No olvide digitar Migrantes. Digite cero si no tiene.",IF(X114&gt;C114," * La variable Migrantes no puede ser mayor al Total.",""))</f>
        <v xml:space="preserve"> * La variable Migrantes no puede ser mayor al Total.</v>
      </c>
      <c r="CL114" s="2466">
        <f t="shared" ref="CL114:CL115" si="50">IF(AND(E114&gt;0,R114=""),1,IF(R114&gt;E114,1,0))</f>
        <v>1</v>
      </c>
      <c r="CM114" s="2466">
        <f t="shared" ref="CM114:CM115" si="51">IF(AND(P114&gt;0,S114=""),1,IF(S114&gt;P114,1,0))</f>
        <v>1</v>
      </c>
      <c r="CN114" s="2466">
        <f t="shared" ref="CN114:CN115" si="52">IF(AND(C114&gt;0,T114=""),1,IF(T114&gt;C114,1,0))</f>
        <v>1</v>
      </c>
      <c r="CO114" s="2466">
        <f t="shared" ref="CO114:CO115" si="53">IF(AND(C114&gt;0,U114=""),1,IF(U114&gt;C114,1,0))</f>
        <v>1</v>
      </c>
      <c r="CP114" s="2466">
        <f t="shared" ref="CP114:CP115" si="54">IF(AND(C114&gt;0,V114=""),1,IF(V114&gt;C114,1,0))</f>
        <v>1</v>
      </c>
      <c r="CQ114" s="2466">
        <f t="shared" ref="CQ114:CQ115" si="55">IF(AND(C114&gt;0,W114=""),1,IF(W114&gt;C114,1,0))</f>
        <v>1</v>
      </c>
      <c r="CR114" s="2466">
        <f t="shared" ref="CR114:CR115" si="56">IF(AND(C114&gt;0,X114=""),1,IF(X114&gt;C114,1,0))</f>
        <v>1</v>
      </c>
      <c r="CS114" s="2466" t="e">
        <f t="shared" ref="CS114:CS115" si="57">IF((D114+E114)&lt;&gt;C114,1,0)</f>
        <v>#VALUE!</v>
      </c>
    </row>
    <row r="115" spans="1:97" s="170" customFormat="1" ht="15" customHeight="1" x14ac:dyDescent="0.2">
      <c r="A115" s="6240">
        <v>32100610</v>
      </c>
      <c r="B115" s="1091" t="s">
        <v>1375</v>
      </c>
      <c r="C115" s="1569" t="s">
        <v>5292</v>
      </c>
      <c r="D115" s="1274" t="s">
        <v>5293</v>
      </c>
      <c r="E115" s="1273" t="s">
        <v>5294</v>
      </c>
      <c r="F115" s="1271" t="s">
        <v>5295</v>
      </c>
      <c r="G115" s="1437" t="s">
        <v>5296</v>
      </c>
      <c r="H115" s="1437" t="s">
        <v>5297</v>
      </c>
      <c r="I115" s="1437" t="s">
        <v>5298</v>
      </c>
      <c r="J115" s="1437" t="s">
        <v>5299</v>
      </c>
      <c r="K115" s="1437" t="s">
        <v>5300</v>
      </c>
      <c r="L115" s="1437" t="s">
        <v>5301</v>
      </c>
      <c r="M115" s="1437" t="s">
        <v>5302</v>
      </c>
      <c r="N115" s="1437" t="s">
        <v>5303</v>
      </c>
      <c r="O115" s="1437" t="s">
        <v>5304</v>
      </c>
      <c r="P115" s="1437" t="s">
        <v>5305</v>
      </c>
      <c r="Q115" s="1275" t="s">
        <v>5306</v>
      </c>
      <c r="R115" s="1430" t="s">
        <v>5307</v>
      </c>
      <c r="S115" s="4407" t="s">
        <v>5308</v>
      </c>
      <c r="T115" s="4407" t="s">
        <v>5309</v>
      </c>
      <c r="U115" s="4407" t="s">
        <v>5310</v>
      </c>
      <c r="V115" s="4407" t="s">
        <v>5311</v>
      </c>
      <c r="W115" s="4407" t="s">
        <v>5312</v>
      </c>
      <c r="X115" s="4407" t="s">
        <v>5313</v>
      </c>
      <c r="Y115" s="170" t="e">
        <f t="shared" si="41"/>
        <v>#VALUE!</v>
      </c>
      <c r="CC115" s="2465" t="e">
        <f t="shared" si="42"/>
        <v>#VALUE!</v>
      </c>
      <c r="CD115" s="2465" t="str">
        <f t="shared" si="43"/>
        <v xml:space="preserve"> * La variable Embarazadas no puede ser mayor al Total.</v>
      </c>
      <c r="CE115" s="2465" t="str">
        <f t="shared" si="44"/>
        <v xml:space="preserve"> * La variable 60 años (incluído en grupos de 20-64 años) no puede ser mayor al rango etario 20-64 años.</v>
      </c>
      <c r="CF115" s="2465" t="str">
        <f t="shared" si="45"/>
        <v xml:space="preserve"> * La variable Usuarios en situación de discapacidad no puede ser mayor al Total.</v>
      </c>
      <c r="CG115" s="2465" t="str">
        <f t="shared" si="46"/>
        <v xml:space="preserve"> * La variable Niños, niñas, adolescentes y jóvenes SENAME no puede ser mayor al Total.</v>
      </c>
      <c r="CH115" s="2465" t="str">
        <f t="shared" si="47"/>
        <v xml:space="preserve"> * La variable Niños, niñas, adolescentes y jóvenes Mejor niñez no puede ser mayor al Total.</v>
      </c>
      <c r="CI115" s="2465" t="str">
        <f t="shared" si="48"/>
        <v xml:space="preserve"> * La variable Pueblos originarios no puede ser mayor al Total.</v>
      </c>
      <c r="CJ115" s="2465" t="str">
        <f t="shared" si="49"/>
        <v xml:space="preserve"> * La variable Migrantes no puede ser mayor al Total.</v>
      </c>
      <c r="CL115" s="2466">
        <f t="shared" si="50"/>
        <v>1</v>
      </c>
      <c r="CM115" s="2466">
        <f t="shared" si="51"/>
        <v>1</v>
      </c>
      <c r="CN115" s="2466">
        <f t="shared" si="52"/>
        <v>1</v>
      </c>
      <c r="CO115" s="2466">
        <f t="shared" si="53"/>
        <v>1</v>
      </c>
      <c r="CP115" s="2466">
        <f t="shared" si="54"/>
        <v>1</v>
      </c>
      <c r="CQ115" s="2466">
        <f t="shared" si="55"/>
        <v>1</v>
      </c>
      <c r="CR115" s="2466">
        <f t="shared" si="56"/>
        <v>1</v>
      </c>
      <c r="CS115" s="2466" t="e">
        <f t="shared" si="57"/>
        <v>#VALUE!</v>
      </c>
    </row>
    <row r="116" spans="1:97" s="170" customFormat="1" ht="15" customHeight="1" x14ac:dyDescent="0.2">
      <c r="A116" s="6304"/>
      <c r="B116" s="1407" t="s">
        <v>24</v>
      </c>
      <c r="C116" s="2537">
        <f t="shared" ref="C116:X116" si="58">SUM(C113:C115)</f>
        <v>0</v>
      </c>
      <c r="D116" s="4410">
        <f t="shared" si="58"/>
        <v>0</v>
      </c>
      <c r="E116" s="4412">
        <f t="shared" si="58"/>
        <v>0</v>
      </c>
      <c r="F116" s="1159">
        <f t="shared" si="58"/>
        <v>0</v>
      </c>
      <c r="G116" s="2538">
        <f t="shared" si="58"/>
        <v>0</v>
      </c>
      <c r="H116" s="2538">
        <f t="shared" si="58"/>
        <v>0</v>
      </c>
      <c r="I116" s="2538">
        <f t="shared" si="58"/>
        <v>0</v>
      </c>
      <c r="J116" s="2538">
        <f t="shared" si="58"/>
        <v>0</v>
      </c>
      <c r="K116" s="2538">
        <f t="shared" si="58"/>
        <v>0</v>
      </c>
      <c r="L116" s="2538">
        <f t="shared" si="58"/>
        <v>0</v>
      </c>
      <c r="M116" s="2538">
        <f t="shared" si="58"/>
        <v>0</v>
      </c>
      <c r="N116" s="2538">
        <f t="shared" si="58"/>
        <v>0</v>
      </c>
      <c r="O116" s="2538">
        <f t="shared" si="58"/>
        <v>0</v>
      </c>
      <c r="P116" s="2538">
        <f t="shared" si="58"/>
        <v>0</v>
      </c>
      <c r="Q116" s="2539">
        <f t="shared" si="58"/>
        <v>0</v>
      </c>
      <c r="R116" s="4409">
        <f t="shared" si="58"/>
        <v>0</v>
      </c>
      <c r="S116" s="4408">
        <f t="shared" si="58"/>
        <v>0</v>
      </c>
      <c r="T116" s="4408">
        <f t="shared" si="58"/>
        <v>0</v>
      </c>
      <c r="U116" s="4408">
        <f>SUM(U113:U115)</f>
        <v>0</v>
      </c>
      <c r="V116" s="4408">
        <f t="shared" si="58"/>
        <v>0</v>
      </c>
      <c r="W116" s="4408">
        <f t="shared" si="58"/>
        <v>0</v>
      </c>
      <c r="X116" s="4408">
        <f t="shared" si="58"/>
        <v>0</v>
      </c>
    </row>
    <row r="117" spans="1:97" s="1116" customFormat="1" ht="18" customHeight="1" x14ac:dyDescent="0.2">
      <c r="A117" s="6307"/>
      <c r="B117" s="8521" t="s">
        <v>1376</v>
      </c>
      <c r="C117" s="8521"/>
      <c r="D117" s="8521"/>
      <c r="E117" s="8521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  <c r="CN117" s="170"/>
    </row>
    <row r="118" spans="1:97" x14ac:dyDescent="0.3">
      <c r="A118" s="6307"/>
      <c r="B118" s="7671" t="s">
        <v>1358</v>
      </c>
      <c r="C118" s="7819" t="s">
        <v>24</v>
      </c>
      <c r="D118" s="7802"/>
      <c r="E118" s="7825"/>
      <c r="F118" s="7819" t="s">
        <v>12</v>
      </c>
      <c r="G118" s="7802"/>
      <c r="H118" s="7802"/>
      <c r="I118" s="7802"/>
      <c r="J118" s="7802"/>
      <c r="K118" s="7802"/>
      <c r="L118" s="7802"/>
      <c r="M118" s="8512"/>
      <c r="N118" s="8511" t="s">
        <v>1377</v>
      </c>
      <c r="O118" s="6399" t="s">
        <v>327</v>
      </c>
      <c r="P118" s="6399" t="s">
        <v>67</v>
      </c>
      <c r="Q118" s="6399" t="s">
        <v>771</v>
      </c>
      <c r="R118" s="6399" t="s">
        <v>1378</v>
      </c>
      <c r="S118" s="6399" t="s">
        <v>1379</v>
      </c>
      <c r="T118" s="6399" t="s">
        <v>2</v>
      </c>
      <c r="U118" s="6399" t="s">
        <v>3</v>
      </c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  <c r="CN118" s="170"/>
    </row>
    <row r="119" spans="1:97" ht="33" customHeight="1" x14ac:dyDescent="0.3">
      <c r="A119" s="6307"/>
      <c r="B119" s="8498"/>
      <c r="C119" s="6187" t="s">
        <v>50</v>
      </c>
      <c r="D119" s="4413" t="s">
        <v>22</v>
      </c>
      <c r="E119" s="4411" t="s">
        <v>27</v>
      </c>
      <c r="F119" s="1266" t="s">
        <v>3752</v>
      </c>
      <c r="G119" s="1571" t="s">
        <v>688</v>
      </c>
      <c r="H119" s="1571" t="s">
        <v>1380</v>
      </c>
      <c r="I119" s="1571" t="s">
        <v>1381</v>
      </c>
      <c r="J119" s="1571" t="s">
        <v>568</v>
      </c>
      <c r="K119" s="1571" t="s">
        <v>1382</v>
      </c>
      <c r="L119" s="1571" t="s">
        <v>746</v>
      </c>
      <c r="M119" s="2536" t="s">
        <v>1372</v>
      </c>
      <c r="N119" s="6905"/>
      <c r="O119" s="8493"/>
      <c r="P119" s="8493"/>
      <c r="Q119" s="8493"/>
      <c r="R119" s="8493"/>
      <c r="S119" s="8493"/>
      <c r="T119" s="8493"/>
      <c r="U119" s="8493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  <c r="CN119" s="170"/>
    </row>
    <row r="120" spans="1:97" ht="15" customHeight="1" x14ac:dyDescent="0.3">
      <c r="A120" s="6240">
        <v>32101490</v>
      </c>
      <c r="B120" s="1091" t="s">
        <v>1383</v>
      </c>
      <c r="C120" s="1563" t="s">
        <v>5292</v>
      </c>
      <c r="D120" s="1274" t="s">
        <v>5293</v>
      </c>
      <c r="E120" s="1273" t="s">
        <v>5294</v>
      </c>
      <c r="F120" s="1271" t="s">
        <v>5295</v>
      </c>
      <c r="G120" s="1437" t="s">
        <v>5296</v>
      </c>
      <c r="H120" s="1437" t="s">
        <v>5297</v>
      </c>
      <c r="I120" s="1437" t="s">
        <v>5298</v>
      </c>
      <c r="J120" s="1437" t="s">
        <v>5299</v>
      </c>
      <c r="K120" s="1437" t="s">
        <v>5300</v>
      </c>
      <c r="L120" s="1437" t="s">
        <v>5301</v>
      </c>
      <c r="M120" s="1275" t="s">
        <v>5302</v>
      </c>
      <c r="N120" s="1430" t="s">
        <v>5303</v>
      </c>
      <c r="O120" s="4407" t="s">
        <v>5304</v>
      </c>
      <c r="P120" s="4407" t="s">
        <v>5305</v>
      </c>
      <c r="Q120" s="4407" t="s">
        <v>5306</v>
      </c>
      <c r="R120" s="4407" t="s">
        <v>5307</v>
      </c>
      <c r="S120" s="4407" t="s">
        <v>5308</v>
      </c>
      <c r="T120" s="4407" t="s">
        <v>5309</v>
      </c>
      <c r="U120" s="4407" t="s">
        <v>5310</v>
      </c>
      <c r="V120" t="e">
        <f>CD120&amp;CE120&amp;CF120&amp;CG120&amp;CH120&amp;CI120&amp;CJ120&amp;CK120</f>
        <v>#VALUE!</v>
      </c>
      <c r="CD120" s="2465" t="e">
        <f>IF((D120+E120)&lt;&gt;C120,"  * Las atenciones según Sexo (Hombres/Mujeres) deben ser igual al Total de atenciones","")</f>
        <v>#VALUE!</v>
      </c>
      <c r="CE120" s="2465" t="str">
        <f>IF(AND(E120&gt;0,O120="")," * No olvide digitar Embarazadas. Digite cero si no tiene.",IF(O120&gt;E120," * La variable Embarazadas no puede ser mayor al Total.",""))</f>
        <v xml:space="preserve"> * La variable Embarazadas no puede ser mayor al Total.</v>
      </c>
      <c r="CF120" s="2465" t="str">
        <f>IF(AND(C120&gt;0,P120="")," * No olvide digitar Beneficiarios.",IF(P120&gt;C120," * Beneficiarios No puede ser mayor al Total.",""))</f>
        <v xml:space="preserve"> * Beneficiarios No puede ser mayor al Total.</v>
      </c>
      <c r="CG120" s="2465" t="str">
        <f>IF(AND(C120&gt;0,Q120="")," * No olvide digitar Usuarios con discapacidad. Digite cero si no tiene.",IF(Q120&gt;C120," * Usuarios con discapacidad No puede ser mayor al Total.",""))</f>
        <v xml:space="preserve"> * Usuarios con discapacidad No puede ser mayor al Total.</v>
      </c>
      <c r="CH120" s="2465" t="str">
        <f>IF(AND(C120&gt;0,R120="")," * No olvide digitar Niños, niñas, adolescentes y jóvenes SENAME. Digite cero si no tiene.",IF(R120&gt;C120," * Niños, niñas, adolescentes y jóvenes SENAME No puede ser mayor al Total.",""))</f>
        <v xml:space="preserve"> * Niños, niñas, adolescentes y jóvenes SENAME No puede ser mayor al Total.</v>
      </c>
      <c r="CI120" s="2465" t="str">
        <f>IF(AND(C120&gt;0,S120="")," * No olvide digitar Niños, niñas, adolescentes y jóvenes Mejor Niñez. Digite cero si no tiene.",IF(S120&gt;C120," * Niños, niñas, adolescentes y jóvenes Mejor niñez No puede ser mayor al Total.",""))</f>
        <v xml:space="preserve"> * Niños, niñas, adolescentes y jóvenes Mejor niñez No puede ser mayor al Total.</v>
      </c>
      <c r="CJ120" s="2465" t="str">
        <f>IF(AND(C120&gt;0,T120="")," * No olvide digitar Pueblos originarios. Digite cero si no tiene.",IF(T120&gt;C120," * Pueblos originarios No puede ser mayor al Total.",""))</f>
        <v xml:space="preserve"> * Pueblos originarios No puede ser mayor al Total.</v>
      </c>
      <c r="CK120" s="2465" t="str">
        <f>IF(AND(C120&gt;0,U120="")," * No olvide digitar Migrantes. Digite cero si no tiene.",IF(U120&gt;C120," * Migrantes No puede ser mayor al Total.",""))</f>
        <v xml:space="preserve"> * Migrantes No puede ser mayor al Total.</v>
      </c>
      <c r="CL120" s="1725" t="e">
        <f>IF((D120+E120)&lt;&gt;C120,1,0)</f>
        <v>#VALUE!</v>
      </c>
      <c r="CM120" s="2466">
        <f>IF(AND(E120&gt;0,O120=""),1,IF(O120&gt;C120,1,0))</f>
        <v>1</v>
      </c>
      <c r="CN120" s="2466">
        <f>IF(AND(C120&gt;0,P120=""),1,IF(P120&gt;C120,1,0))</f>
        <v>1</v>
      </c>
      <c r="CO120" s="2466">
        <f>IF(AND(C120&gt;0,Q120=""),1,IF(Q120&gt;C120,1,0))</f>
        <v>1</v>
      </c>
      <c r="CP120" s="2466">
        <f>IF(AND(C120&gt;0,R120=""),1,IF(R120&gt;C120,1,0))</f>
        <v>1</v>
      </c>
      <c r="CQ120" s="2466">
        <f>IF(AND(C120&gt;0,S120=""),1,IF(S120&gt;C120,1,0))</f>
        <v>1</v>
      </c>
      <c r="CR120" s="2466">
        <f>IF(AND(C120&gt;0,T120=""),1,IF(T120&gt;C120,1,0))</f>
        <v>1</v>
      </c>
      <c r="CS120" s="2466">
        <f>IF(AND(C120&gt;0,U120=""),1,IF(U120&gt;C120,1,0))</f>
        <v>1</v>
      </c>
    </row>
    <row r="121" spans="1:97" ht="15" customHeight="1" x14ac:dyDescent="0.3">
      <c r="A121" s="6240">
        <v>32101500</v>
      </c>
      <c r="B121" s="1091" t="s">
        <v>1384</v>
      </c>
      <c r="C121" s="1563" t="s">
        <v>5292</v>
      </c>
      <c r="D121" s="4392" t="s">
        <v>5293</v>
      </c>
      <c r="E121" s="3944" t="s">
        <v>5294</v>
      </c>
      <c r="F121" s="1095" t="s">
        <v>5295</v>
      </c>
      <c r="G121" s="1426" t="s">
        <v>5296</v>
      </c>
      <c r="H121" s="1426" t="s">
        <v>5297</v>
      </c>
      <c r="I121" s="1426" t="s">
        <v>5298</v>
      </c>
      <c r="J121" s="1426" t="s">
        <v>5299</v>
      </c>
      <c r="K121" s="1426" t="s">
        <v>5300</v>
      </c>
      <c r="L121" s="1426" t="s">
        <v>5301</v>
      </c>
      <c r="M121" s="1100" t="s">
        <v>5302</v>
      </c>
      <c r="N121" s="1430" t="s">
        <v>5303</v>
      </c>
      <c r="O121" s="4407" t="s">
        <v>5304</v>
      </c>
      <c r="P121" s="4407" t="s">
        <v>5305</v>
      </c>
      <c r="Q121" s="4407" t="s">
        <v>5306</v>
      </c>
      <c r="R121" s="4407" t="s">
        <v>5307</v>
      </c>
      <c r="S121" s="4407" t="s">
        <v>5308</v>
      </c>
      <c r="T121" s="4407" t="s">
        <v>5309</v>
      </c>
      <c r="U121" s="4407" t="s">
        <v>5310</v>
      </c>
      <c r="V121" t="e">
        <f>CD121&amp;CE121&amp;CF121&amp;CG121&amp;CH121&amp;CI121&amp;CJ121&amp;CK121</f>
        <v>#VALUE!</v>
      </c>
      <c r="CD121" s="2465" t="e">
        <f t="shared" ref="CD121" si="59">IF((D121+E121)&lt;&gt;C121,"  * Las atenciones según Sexo (Hombres/Mujeres) deben ser igual al Total de atenciones","")</f>
        <v>#VALUE!</v>
      </c>
      <c r="CE121" s="2465" t="str">
        <f>IF(AND(E121&gt;0,O121="")," * No olvide digitar Embarazadas. Digite cero si no tiene.",IF(O121&gt;E121," * La variable Embarazadas no puede ser mayor al Total.",""))</f>
        <v xml:space="preserve"> * La variable Embarazadas no puede ser mayor al Total.</v>
      </c>
      <c r="CF121" s="2465" t="str">
        <f>IF(AND(C121&gt;0,P121="")," * No olvide digitar Beneficiarios.",IF(P121&gt;C121," * Beneficiarios No puede ser mayor al Total.",""))</f>
        <v xml:space="preserve"> * Beneficiarios No puede ser mayor al Total.</v>
      </c>
      <c r="CG121" s="2465" t="str">
        <f>IF(AND(C121&gt;0,Q121="")," * No olvide digitar Usuarios con discapacidad. Digite cero si no tiene.",IF(Q121&gt;C121," * Usuarios con discapacidad No puede ser mayor al Total.",""))</f>
        <v xml:space="preserve"> * Usuarios con discapacidad No puede ser mayor al Total.</v>
      </c>
      <c r="CH121" s="2465" t="str">
        <f>IF(AND(C121&gt;0,R121="")," * No olvide digitar Niños, niñas, adolescentes y jóvenes SENAME. Digite cero si no tiene.",IF(R121&gt;C121," * Niños, niñas, adolescentes y jóvenes SENAME No puede ser mayor al Total.",""))</f>
        <v xml:space="preserve"> * Niños, niñas, adolescentes y jóvenes SENAME No puede ser mayor al Total.</v>
      </c>
      <c r="CI121" s="2465" t="str">
        <f>IF(AND(C121&gt;0,S121="")," * No olvide digitar Niños, niñas, adolescentes y jóvenes Mejor Niñez. Digite cero si no tiene.",IF(S121&gt;C121," * Niños, niñas, adolescentes y jóvenes Mejor niñez No puede ser mayor al Total.",""))</f>
        <v xml:space="preserve"> * Niños, niñas, adolescentes y jóvenes Mejor niñez No puede ser mayor al Total.</v>
      </c>
      <c r="CJ121" s="2465" t="str">
        <f>IF(AND(C121&gt;0,T121="")," * No olvide digitar Pueblos originarios. Digite cero si no tiene.",IF(T121&gt;C121," * Pueblos originarios No puede ser mayor al Total.",""))</f>
        <v xml:space="preserve"> * Pueblos originarios No puede ser mayor al Total.</v>
      </c>
      <c r="CK121" s="2465" t="str">
        <f>IF(AND(C121&gt;0,U121="")," * No olvide digitar Migrantes. Digite cero si no tiene.",IF(U121&gt;C121," * Migrantes No puede ser mayor al Total.",""))</f>
        <v xml:space="preserve"> * Migrantes No puede ser mayor al Total.</v>
      </c>
      <c r="CL121" s="1725" t="e">
        <f>IF((D121+E121)&lt;&gt;C121,1,0)</f>
        <v>#VALUE!</v>
      </c>
      <c r="CM121" s="2466">
        <f>IF(AND(E121&gt;0,O121=""),1,IF(O121&gt;C121,1,0))</f>
        <v>1</v>
      </c>
      <c r="CN121" s="2466">
        <f>IF(AND(C121&gt;0,P121=""),1,IF(P121&gt;C121,1,0))</f>
        <v>1</v>
      </c>
      <c r="CO121" s="2466">
        <f>IF(AND(C121&gt;0,Q121=""),1,IF(Q121&gt;C121,1,0))</f>
        <v>1</v>
      </c>
      <c r="CP121" s="2466">
        <f>IF(AND(C121&gt;0,R121=""),1,IF(R121&gt;C121,1,0))</f>
        <v>1</v>
      </c>
      <c r="CQ121" s="2466">
        <f>IF(AND(C121&gt;0,S121=""),1,IF(S121&gt;C121,1,0))</f>
        <v>1</v>
      </c>
      <c r="CR121" s="2466">
        <f>IF(AND(C121&gt;0,T121=""),1,IF(T121&gt;C121,1,0))</f>
        <v>1</v>
      </c>
      <c r="CS121" s="2466">
        <f>IF(AND(C121&gt;0,U121=""),1,IF(U121&gt;C121,1,0))</f>
        <v>1</v>
      </c>
    </row>
    <row r="122" spans="1:97" ht="15" customHeight="1" x14ac:dyDescent="0.3">
      <c r="A122" s="6235"/>
      <c r="B122" s="1406" t="s">
        <v>24</v>
      </c>
      <c r="C122" s="2537">
        <f t="shared" ref="C122:U122" si="60">SUM(C120:C121)</f>
        <v>0</v>
      </c>
      <c r="D122" s="4414">
        <f t="shared" si="60"/>
        <v>0</v>
      </c>
      <c r="E122" s="4412">
        <f t="shared" si="60"/>
        <v>0</v>
      </c>
      <c r="F122" s="1159">
        <f t="shared" si="60"/>
        <v>0</v>
      </c>
      <c r="G122" s="2538">
        <f t="shared" si="60"/>
        <v>0</v>
      </c>
      <c r="H122" s="2538">
        <f t="shared" si="60"/>
        <v>0</v>
      </c>
      <c r="I122" s="2538">
        <f t="shared" si="60"/>
        <v>0</v>
      </c>
      <c r="J122" s="2538">
        <f t="shared" si="60"/>
        <v>0</v>
      </c>
      <c r="K122" s="2538">
        <f t="shared" si="60"/>
        <v>0</v>
      </c>
      <c r="L122" s="2538">
        <f t="shared" si="60"/>
        <v>0</v>
      </c>
      <c r="M122" s="2539">
        <f t="shared" si="60"/>
        <v>0</v>
      </c>
      <c r="N122" s="4409">
        <f t="shared" si="60"/>
        <v>0</v>
      </c>
      <c r="O122" s="4408">
        <f t="shared" si="60"/>
        <v>0</v>
      </c>
      <c r="P122" s="4408">
        <f t="shared" si="60"/>
        <v>0</v>
      </c>
      <c r="Q122" s="4408">
        <f t="shared" si="60"/>
        <v>0</v>
      </c>
      <c r="R122" s="4408">
        <f t="shared" si="60"/>
        <v>0</v>
      </c>
      <c r="S122" s="4408">
        <f>SUM(S120:S121)</f>
        <v>0</v>
      </c>
      <c r="T122" s="4408">
        <f t="shared" si="60"/>
        <v>0</v>
      </c>
      <c r="U122" s="4408">
        <f t="shared" si="60"/>
        <v>0</v>
      </c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  <c r="CN122" s="170"/>
    </row>
    <row r="123" spans="1:97" s="1116" customFormat="1" ht="18" customHeight="1" x14ac:dyDescent="0.2">
      <c r="B123" s="8515" t="s">
        <v>1385</v>
      </c>
      <c r="C123" s="8515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  <c r="CN123" s="170"/>
    </row>
    <row r="124" spans="1:97" s="1116" customFormat="1" ht="18" customHeight="1" x14ac:dyDescent="0.2">
      <c r="B124" s="8515" t="s">
        <v>1386</v>
      </c>
      <c r="C124" s="8515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  <c r="CN124" s="170"/>
    </row>
    <row r="125" spans="1:97" s="170" customFormat="1" ht="15" customHeight="1" x14ac:dyDescent="0.2">
      <c r="B125" s="8518" t="s">
        <v>1387</v>
      </c>
      <c r="C125" s="8518" t="s">
        <v>1388</v>
      </c>
      <c r="D125" s="7756" t="s">
        <v>12</v>
      </c>
      <c r="E125" s="7771"/>
      <c r="F125" s="7771"/>
      <c r="G125" s="7771"/>
      <c r="H125" s="7771"/>
      <c r="I125" s="7771"/>
      <c r="J125" s="7771"/>
      <c r="K125" s="7771"/>
      <c r="L125" s="7771"/>
      <c r="M125" s="7771"/>
      <c r="N125" s="7771"/>
      <c r="O125" s="7771"/>
      <c r="P125" s="7771"/>
      <c r="Q125" s="7771"/>
      <c r="R125" s="7771"/>
      <c r="S125" s="7771"/>
      <c r="T125" s="8385"/>
      <c r="U125" s="8519" t="s">
        <v>523</v>
      </c>
      <c r="V125" s="8520"/>
      <c r="W125" s="7803" t="s">
        <v>1389</v>
      </c>
      <c r="X125" s="8513" t="s">
        <v>1390</v>
      </c>
      <c r="Y125" s="8513" t="s">
        <v>2</v>
      </c>
      <c r="Z125" s="8513" t="s">
        <v>3</v>
      </c>
      <c r="AA125" s="6399" t="s">
        <v>68</v>
      </c>
      <c r="AB125" s="8516" t="s">
        <v>17</v>
      </c>
    </row>
    <row r="126" spans="1:97" s="170" customFormat="1" ht="36.75" customHeight="1" x14ac:dyDescent="0.2">
      <c r="B126" s="8518"/>
      <c r="C126" s="8518"/>
      <c r="D126" s="1266" t="s">
        <v>36</v>
      </c>
      <c r="E126" s="1571" t="s">
        <v>37</v>
      </c>
      <c r="F126" s="1268" t="s">
        <v>1316</v>
      </c>
      <c r="G126" s="1571" t="s">
        <v>4</v>
      </c>
      <c r="H126" s="1537" t="s">
        <v>5</v>
      </c>
      <c r="I126" s="1537" t="s">
        <v>6</v>
      </c>
      <c r="J126" s="1537" t="s">
        <v>7</v>
      </c>
      <c r="K126" s="1537" t="s">
        <v>8</v>
      </c>
      <c r="L126" s="1537" t="s">
        <v>9</v>
      </c>
      <c r="M126" s="1537" t="s">
        <v>10</v>
      </c>
      <c r="N126" s="1537" t="s">
        <v>11</v>
      </c>
      <c r="O126" s="1537" t="s">
        <v>18</v>
      </c>
      <c r="P126" s="1537" t="s">
        <v>19</v>
      </c>
      <c r="Q126" s="1537" t="s">
        <v>20</v>
      </c>
      <c r="R126" s="1537" t="s">
        <v>70</v>
      </c>
      <c r="S126" s="1537" t="s">
        <v>71</v>
      </c>
      <c r="T126" s="4393" t="s">
        <v>32</v>
      </c>
      <c r="U126" s="4396" t="s">
        <v>22</v>
      </c>
      <c r="V126" s="4397" t="s">
        <v>27</v>
      </c>
      <c r="W126" s="7804"/>
      <c r="X126" s="8514"/>
      <c r="Y126" s="8514"/>
      <c r="Z126" s="8514"/>
      <c r="AA126" s="8493"/>
      <c r="AB126" s="8517"/>
    </row>
    <row r="127" spans="1:97" s="170" customFormat="1" ht="15" customHeight="1" x14ac:dyDescent="0.2">
      <c r="A127" s="6240">
        <v>32100670</v>
      </c>
      <c r="B127" s="1574" t="s">
        <v>1391</v>
      </c>
      <c r="C127" s="1575" t="s">
        <v>5292</v>
      </c>
      <c r="D127" s="1576" t="s">
        <v>5293</v>
      </c>
      <c r="E127" s="1577" t="s">
        <v>5294</v>
      </c>
      <c r="F127" s="1577" t="s">
        <v>5295</v>
      </c>
      <c r="G127" s="1577" t="s">
        <v>5296</v>
      </c>
      <c r="H127" s="1577" t="s">
        <v>5297</v>
      </c>
      <c r="I127" s="1577" t="s">
        <v>5298</v>
      </c>
      <c r="J127" s="1577" t="s">
        <v>5299</v>
      </c>
      <c r="K127" s="1577" t="s">
        <v>5300</v>
      </c>
      <c r="L127" s="1577" t="s">
        <v>5301</v>
      </c>
      <c r="M127" s="1577" t="s">
        <v>5302</v>
      </c>
      <c r="N127" s="1577" t="s">
        <v>5303</v>
      </c>
      <c r="O127" s="1577" t="s">
        <v>5304</v>
      </c>
      <c r="P127" s="1577" t="s">
        <v>5305</v>
      </c>
      <c r="Q127" s="1577" t="s">
        <v>5306</v>
      </c>
      <c r="R127" s="1577" t="s">
        <v>5307</v>
      </c>
      <c r="S127" s="1577" t="s">
        <v>5308</v>
      </c>
      <c r="T127" s="4394" t="s">
        <v>5309</v>
      </c>
      <c r="U127" s="4398" t="s">
        <v>5310</v>
      </c>
      <c r="V127" s="1580" t="s">
        <v>5311</v>
      </c>
      <c r="W127" s="1581" t="s">
        <v>5312</v>
      </c>
      <c r="X127" s="4403" t="s">
        <v>5313</v>
      </c>
      <c r="Y127" s="4403" t="s">
        <v>5314</v>
      </c>
      <c r="Z127" s="4403" t="s">
        <v>5315</v>
      </c>
      <c r="AA127" s="4405" t="s">
        <v>5316</v>
      </c>
      <c r="AB127" s="1578" t="s">
        <v>5317</v>
      </c>
      <c r="AC127" s="170" t="e">
        <f>CD127&amp;CE127&amp;CF127&amp;CG127&amp;CH127&amp;CI127&amp;CJ127</f>
        <v>#VALUE!</v>
      </c>
      <c r="CD127" s="2465" t="e">
        <f>IF((U127+V127)&lt;&gt;C127,"  * Las acciones según Sexo (Hombres/Mujeres) deben ser igual al Total de acciones","")</f>
        <v>#VALUE!</v>
      </c>
      <c r="CE127" s="2465" t="str">
        <f>IF(AND(C127&gt;0,W127="")," * No olvide digitar Niños, Niñas, adolescentes y jóvenes SENAME. Digite cero si no tiene.",IF(W127&gt;C127," * Niños, Niñas, adolescentes y jóvenes SENAME No puede ser mayor que el Total.",""))</f>
        <v xml:space="preserve"> * Niños, Niñas, adolescentes y jóvenes SENAME No puede ser mayor que el Total.</v>
      </c>
      <c r="CF127" s="2465" t="str">
        <f>IF(AND(C127&gt;0,X127="")," * No olvide digitar Niños, Niñas, adolescentes y jóvenes Mejor Niñez. Digite cero si no tiene.",IF(X127&gt;C127," * Niños, Niñas, adolescentes y jóvenes Mejor Niñez No puede ser mayor que el Total.",""))</f>
        <v xml:space="preserve"> * Niños, Niñas, adolescentes y jóvenes Mejor Niñez No puede ser mayor que el Total.</v>
      </c>
      <c r="CG127" s="2465" t="str">
        <f>IF(AND(C127&gt;0,Y127="")," * No olvide digitar Pueblos Originarios. Digite cero si no tiene.",IF(Y127&gt;C127," * Pueblos originarios No puede ser mayor que el Total.",""))</f>
        <v xml:space="preserve"> * Pueblos originarios No puede ser mayor que el Total.</v>
      </c>
      <c r="CH127" s="2465" t="str">
        <f>IF(AND(C127&gt;0,Z127="")," * No olvide digitar Migrantes. Digite cero si no tiene.",IF(Z127&gt;C127," * Migrantes No puede ser mayor que el Total.",""))</f>
        <v xml:space="preserve"> * Migrantes No puede ser mayor que el Total.</v>
      </c>
      <c r="CI127" s="2465" t="str">
        <f>IF(AND(C127&gt;0,AA127="")," * No olvide digitar el campo  Demencia. Digite cero si no tiene.",IF(AA127&gt;C127," * El campo Demencia No puede ser mayor que el Total.",""))</f>
        <v xml:space="preserve"> * El campo Demencia No puede ser mayor que el Total.</v>
      </c>
      <c r="CJ127" s="2465" t="str">
        <f>IF(AND(C127&gt;0,AB127="")," * No olvide digitar el campo Espacios Amigables/Adolescentes. Digite cero si no tiene.",IF(AB127&gt;C127," * El campo Espacios Amigables/Adolescente No puede ser mayor que el Total.",""))</f>
        <v xml:space="preserve"> * El campo Espacios Amigables/Adolescente No puede ser mayor que el Total.</v>
      </c>
      <c r="CL127" s="2466" t="e">
        <f>IF((U127+V127)&lt;&gt;C127,1,0)</f>
        <v>#VALUE!</v>
      </c>
      <c r="CM127" s="2466">
        <f>IF(AND(C127&gt;0,W127=""),1,IF(W127&gt;C127,1,0))</f>
        <v>1</v>
      </c>
      <c r="CN127" s="2466">
        <f>IF(AND(C127&gt;0,X127=""),1,IF(X127&gt;C127,1,0))</f>
        <v>1</v>
      </c>
      <c r="CO127" s="2466">
        <f>IF(AND(C127&gt;0,Y127=""),1,IF(Y127&gt;C127,1,0))</f>
        <v>1</v>
      </c>
      <c r="CP127" s="2466">
        <f>IF(AND(C127&gt;0,Z127=""),1,IF(Z127&gt;C127,1,0))</f>
        <v>1</v>
      </c>
      <c r="CQ127" s="2466">
        <f>IF(AND(C127&gt;0,AA127=""),1,IF(AA127&gt;C127,1,0))</f>
        <v>1</v>
      </c>
      <c r="CR127" s="2466">
        <f>IF(AND(C127&gt;0,AB127=""),1,IF(AB127&gt;C127,1,0))</f>
        <v>1</v>
      </c>
    </row>
    <row r="128" spans="1:97" s="170" customFormat="1" ht="15" customHeight="1" x14ac:dyDescent="0.2">
      <c r="A128" s="6240">
        <v>32100680</v>
      </c>
      <c r="B128" s="1229" t="s">
        <v>1392</v>
      </c>
      <c r="C128" s="1583" t="s">
        <v>5292</v>
      </c>
      <c r="D128" s="1576" t="s">
        <v>5293</v>
      </c>
      <c r="E128" s="1577" t="s">
        <v>5294</v>
      </c>
      <c r="F128" s="1577" t="s">
        <v>5295</v>
      </c>
      <c r="G128" s="1577" t="s">
        <v>5296</v>
      </c>
      <c r="H128" s="1577" t="s">
        <v>5297</v>
      </c>
      <c r="I128" s="1577" t="s">
        <v>5298</v>
      </c>
      <c r="J128" s="1577" t="s">
        <v>5299</v>
      </c>
      <c r="K128" s="1577" t="s">
        <v>5300</v>
      </c>
      <c r="L128" s="1577" t="s">
        <v>5301</v>
      </c>
      <c r="M128" s="1577" t="s">
        <v>5302</v>
      </c>
      <c r="N128" s="1577" t="s">
        <v>5303</v>
      </c>
      <c r="O128" s="1577" t="s">
        <v>5304</v>
      </c>
      <c r="P128" s="1577" t="s">
        <v>5305</v>
      </c>
      <c r="Q128" s="1577" t="s">
        <v>5306</v>
      </c>
      <c r="R128" s="1577" t="s">
        <v>5307</v>
      </c>
      <c r="S128" s="1577" t="s">
        <v>5308</v>
      </c>
      <c r="T128" s="4394" t="s">
        <v>5309</v>
      </c>
      <c r="U128" s="4399" t="s">
        <v>5310</v>
      </c>
      <c r="V128" s="4400" t="s">
        <v>5311</v>
      </c>
      <c r="W128" s="1581" t="s">
        <v>5312</v>
      </c>
      <c r="X128" s="4403" t="s">
        <v>5313</v>
      </c>
      <c r="Y128" s="4403" t="s">
        <v>5314</v>
      </c>
      <c r="Z128" s="4403" t="s">
        <v>5315</v>
      </c>
      <c r="AA128" s="4405" t="s">
        <v>5316</v>
      </c>
      <c r="AB128" s="1578" t="s">
        <v>5317</v>
      </c>
      <c r="AC128" s="170" t="e">
        <f t="shared" ref="AC128:AC129" si="61">CD128&amp;CE128&amp;CF128&amp;CG128&amp;CH128&amp;CI128&amp;CJ128</f>
        <v>#VALUE!</v>
      </c>
      <c r="CD128" s="2465" t="e">
        <f t="shared" ref="CD128:CD129" si="62">IF((U128+V128)&lt;&gt;C128,"  * Las acciones según Sexo (Hombres/Mujeres) deben ser igual al Total de acciones","")</f>
        <v>#VALUE!</v>
      </c>
      <c r="CE128" s="2465" t="str">
        <f t="shared" ref="CE128:CE129" si="63">IF(AND(C128&gt;0,W128="")," * No olvide digitar Niños, Niñas, adolescentes y jóvenes SENAME. Digite cero si no tiene.",IF(W128&gt;C128," * Niños, Niñas, adolescentes y jóvenes SENAME No puede ser mayor que el Total.",""))</f>
        <v xml:space="preserve"> * Niños, Niñas, adolescentes y jóvenes SENAME No puede ser mayor que el Total.</v>
      </c>
      <c r="CF128" s="2465" t="str">
        <f t="shared" ref="CF128:CF129" si="64">IF(AND(C128&gt;0,X128="")," * No olvide digitar Niños, Niñas, adolescentes y jóvenes Mejor Niñez. Digite cero si no tiene.",IF(X128&gt;C128," * Niños, Niñas, adolescentes y jóvenes Mejor Niñez No puede ser mayor que el Total.",""))</f>
        <v xml:space="preserve"> * Niños, Niñas, adolescentes y jóvenes Mejor Niñez No puede ser mayor que el Total.</v>
      </c>
      <c r="CG128" s="2465" t="str">
        <f t="shared" ref="CG128:CG129" si="65">IF(AND(C128&gt;0,Y128="")," * No olvide digitar Pueblos Originarios. Digite cero si no tiene.",IF(Y128&gt;C128," * Pueblos originarios No puede ser mayor que el Total.",""))</f>
        <v xml:space="preserve"> * Pueblos originarios No puede ser mayor que el Total.</v>
      </c>
      <c r="CH128" s="2465" t="str">
        <f t="shared" ref="CH128:CH129" si="66">IF(AND(C128&gt;0,Z128="")," * No olvide digitar Migrantes. Digite cero si no tiene.",IF(Z128&gt;C128," * Migrantes No puede ser mayor que el Total.",""))</f>
        <v xml:space="preserve"> * Migrantes No puede ser mayor que el Total.</v>
      </c>
      <c r="CI128" s="2465" t="str">
        <f t="shared" ref="CI128:CI129" si="67">IF(AND(C128&gt;0,AA128="")," * No olvide digitar el campo  Demencia. Digite cero si no tiene.",IF(AA128&gt;C128," * El campo Demencia No puede ser mayor que el Total.",""))</f>
        <v xml:space="preserve"> * El campo Demencia No puede ser mayor que el Total.</v>
      </c>
      <c r="CJ128" s="2465" t="str">
        <f t="shared" ref="CJ128:CJ129" si="68">IF(AND(C128&gt;0,AB128="")," * No olvide digitar el campo Espacios Amigables/Adolescentes. Digite cero si no tiene.",IF(AB128&gt;C128," * El campo Espacios Amigables/Adolescente No puede ser mayor que el Total.",""))</f>
        <v xml:space="preserve"> * El campo Espacios Amigables/Adolescente No puede ser mayor que el Total.</v>
      </c>
      <c r="CL128" s="2466" t="e">
        <f t="shared" ref="CL128:CL129" si="69">IF((U128+V128)&lt;&gt;C128,1,0)</f>
        <v>#VALUE!</v>
      </c>
      <c r="CM128" s="2466">
        <f t="shared" ref="CM128:CM129" si="70">IF(AND(C128&gt;0,W128=""),1,IF(W128&gt;C128,1,0))</f>
        <v>1</v>
      </c>
      <c r="CN128" s="2466">
        <f t="shared" ref="CN128:CN129" si="71">IF(AND(C128&gt;0,X128=""),1,IF(X128&gt;C128,1,0))</f>
        <v>1</v>
      </c>
      <c r="CO128" s="2466">
        <f t="shared" ref="CO128:CO129" si="72">IF(AND(C128&gt;0,Y128=""),1,IF(Y128&gt;C128,1,0))</f>
        <v>1</v>
      </c>
      <c r="CP128" s="2466">
        <f t="shared" ref="CP128:CP129" si="73">IF(AND(C128&gt;0,Z128=""),1,IF(Z128&gt;C128,1,0))</f>
        <v>1</v>
      </c>
      <c r="CQ128" s="2466">
        <f t="shared" ref="CQ128:CQ129" si="74">IF(AND(C128&gt;0,AA128=""),1,IF(AA128&gt;C128,1,0))</f>
        <v>1</v>
      </c>
      <c r="CR128" s="2466">
        <f t="shared" ref="CR128:CR129" si="75">IF(AND(C128&gt;0,AB128=""),1,IF(AB128&gt;C128,1,0))</f>
        <v>1</v>
      </c>
    </row>
    <row r="129" spans="1:96" s="170" customFormat="1" ht="15" customHeight="1" x14ac:dyDescent="0.2">
      <c r="A129" s="6240">
        <v>32100690</v>
      </c>
      <c r="B129" s="1584" t="s">
        <v>1393</v>
      </c>
      <c r="C129" s="1585" t="s">
        <v>5292</v>
      </c>
      <c r="D129" s="1586" t="s">
        <v>5293</v>
      </c>
      <c r="E129" s="1587" t="s">
        <v>5294</v>
      </c>
      <c r="F129" s="1587" t="s">
        <v>5295</v>
      </c>
      <c r="G129" s="1587" t="s">
        <v>5296</v>
      </c>
      <c r="H129" s="1587" t="s">
        <v>5297</v>
      </c>
      <c r="I129" s="1587" t="s">
        <v>5298</v>
      </c>
      <c r="J129" s="1587" t="s">
        <v>5299</v>
      </c>
      <c r="K129" s="1587" t="s">
        <v>5300</v>
      </c>
      <c r="L129" s="1587" t="s">
        <v>5301</v>
      </c>
      <c r="M129" s="1587" t="s">
        <v>5302</v>
      </c>
      <c r="N129" s="1587" t="s">
        <v>5303</v>
      </c>
      <c r="O129" s="1587" t="s">
        <v>5304</v>
      </c>
      <c r="P129" s="1587" t="s">
        <v>5305</v>
      </c>
      <c r="Q129" s="1587" t="s">
        <v>5306</v>
      </c>
      <c r="R129" s="1587" t="s">
        <v>5307</v>
      </c>
      <c r="S129" s="1587" t="s">
        <v>5308</v>
      </c>
      <c r="T129" s="4395" t="s">
        <v>5309</v>
      </c>
      <c r="U129" s="4401" t="s">
        <v>5310</v>
      </c>
      <c r="V129" s="4402" t="s">
        <v>5311</v>
      </c>
      <c r="W129" s="1589" t="s">
        <v>5312</v>
      </c>
      <c r="X129" s="4404" t="s">
        <v>5313</v>
      </c>
      <c r="Y129" s="4404" t="s">
        <v>5314</v>
      </c>
      <c r="Z129" s="4404" t="s">
        <v>5315</v>
      </c>
      <c r="AA129" s="4406" t="s">
        <v>5316</v>
      </c>
      <c r="AB129" s="1588" t="s">
        <v>5317</v>
      </c>
      <c r="AC129" s="170" t="e">
        <f t="shared" si="61"/>
        <v>#VALUE!</v>
      </c>
      <c r="CD129" s="2465" t="e">
        <f t="shared" si="62"/>
        <v>#VALUE!</v>
      </c>
      <c r="CE129" s="2465" t="str">
        <f t="shared" si="63"/>
        <v xml:space="preserve"> * Niños, Niñas, adolescentes y jóvenes SENAME No puede ser mayor que el Total.</v>
      </c>
      <c r="CF129" s="2465" t="str">
        <f t="shared" si="64"/>
        <v xml:space="preserve"> * Niños, Niñas, adolescentes y jóvenes Mejor Niñez No puede ser mayor que el Total.</v>
      </c>
      <c r="CG129" s="2465" t="str">
        <f t="shared" si="65"/>
        <v xml:space="preserve"> * Pueblos originarios No puede ser mayor que el Total.</v>
      </c>
      <c r="CH129" s="2465" t="str">
        <f t="shared" si="66"/>
        <v xml:space="preserve"> * Migrantes No puede ser mayor que el Total.</v>
      </c>
      <c r="CI129" s="2465" t="str">
        <f t="shared" si="67"/>
        <v xml:space="preserve"> * El campo Demencia No puede ser mayor que el Total.</v>
      </c>
      <c r="CJ129" s="2465" t="str">
        <f t="shared" si="68"/>
        <v xml:space="preserve"> * El campo Espacios Amigables/Adolescente No puede ser mayor que el Total.</v>
      </c>
      <c r="CL129" s="2466" t="e">
        <f t="shared" si="69"/>
        <v>#VALUE!</v>
      </c>
      <c r="CM129" s="2466">
        <f t="shared" si="70"/>
        <v>1</v>
      </c>
      <c r="CN129" s="2466">
        <f t="shared" si="71"/>
        <v>1</v>
      </c>
      <c r="CO129" s="2466">
        <f t="shared" si="72"/>
        <v>1</v>
      </c>
      <c r="CP129" s="2466">
        <f t="shared" si="73"/>
        <v>1</v>
      </c>
      <c r="CQ129" s="2466">
        <f t="shared" si="74"/>
        <v>1</v>
      </c>
      <c r="CR129" s="2466">
        <f t="shared" si="75"/>
        <v>1</v>
      </c>
    </row>
    <row r="130" spans="1:96" s="1116" customFormat="1" ht="18" customHeight="1" x14ac:dyDescent="0.2">
      <c r="A130" s="6307"/>
      <c r="B130" s="8515" t="s">
        <v>1394</v>
      </c>
      <c r="C130" s="8515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</row>
    <row r="131" spans="1:96" s="170" customFormat="1" ht="15" customHeight="1" x14ac:dyDescent="0.2">
      <c r="A131" s="6307"/>
      <c r="B131" s="7798" t="s">
        <v>137</v>
      </c>
      <c r="C131" s="7798" t="s">
        <v>61</v>
      </c>
      <c r="D131" s="7770" t="s">
        <v>24</v>
      </c>
      <c r="E131" s="6891"/>
      <c r="F131" s="7820"/>
      <c r="G131" s="7756" t="s">
        <v>30</v>
      </c>
      <c r="H131" s="7771"/>
      <c r="I131" s="7771"/>
      <c r="J131" s="7771"/>
      <c r="K131" s="7771"/>
      <c r="L131" s="7771"/>
      <c r="M131" s="7771"/>
      <c r="N131" s="7771"/>
      <c r="O131" s="7771"/>
      <c r="P131" s="7771"/>
      <c r="Q131" s="7771"/>
      <c r="R131" s="7771"/>
      <c r="S131" s="7771"/>
      <c r="T131" s="7771"/>
      <c r="U131" s="7771"/>
      <c r="V131" s="7771"/>
      <c r="W131" s="7771"/>
      <c r="X131" s="7771"/>
      <c r="Y131" s="7771"/>
      <c r="Z131" s="7771"/>
      <c r="AA131" s="7771"/>
      <c r="AB131" s="7771"/>
      <c r="AC131" s="7771"/>
      <c r="AD131" s="7771"/>
      <c r="AE131" s="7771"/>
      <c r="AF131" s="7771"/>
      <c r="AG131" s="7771"/>
      <c r="AH131" s="7771"/>
      <c r="AI131" s="7771"/>
      <c r="AJ131" s="7771"/>
      <c r="AK131" s="7771"/>
      <c r="AL131" s="7771"/>
      <c r="AM131" s="7771"/>
      <c r="AN131" s="8385"/>
      <c r="AO131" s="8511" t="s">
        <v>45</v>
      </c>
      <c r="AP131" s="8513" t="s">
        <v>2</v>
      </c>
      <c r="AQ131" s="8513" t="s">
        <v>3</v>
      </c>
      <c r="AR131" s="8513" t="s">
        <v>68</v>
      </c>
      <c r="AS131" s="8513" t="s">
        <v>17</v>
      </c>
    </row>
    <row r="132" spans="1:96" s="170" customFormat="1" ht="15" customHeight="1" x14ac:dyDescent="0.2">
      <c r="A132" s="6307"/>
      <c r="B132" s="7799"/>
      <c r="C132" s="7799"/>
      <c r="D132" s="8509"/>
      <c r="E132" s="8510"/>
      <c r="F132" s="7821"/>
      <c r="G132" s="7819" t="s">
        <v>36</v>
      </c>
      <c r="H132" s="7825"/>
      <c r="I132" s="7819" t="s">
        <v>37</v>
      </c>
      <c r="J132" s="7825"/>
      <c r="K132" s="7819" t="s">
        <v>38</v>
      </c>
      <c r="L132" s="7825"/>
      <c r="M132" s="7819" t="s">
        <v>4</v>
      </c>
      <c r="N132" s="7802"/>
      <c r="O132" s="7819" t="s">
        <v>5</v>
      </c>
      <c r="P132" s="7825"/>
      <c r="Q132" s="7756" t="s">
        <v>6</v>
      </c>
      <c r="R132" s="7757"/>
      <c r="S132" s="7756" t="s">
        <v>7</v>
      </c>
      <c r="T132" s="7757"/>
      <c r="U132" s="7756" t="s">
        <v>8</v>
      </c>
      <c r="V132" s="7757"/>
      <c r="W132" s="7756" t="s">
        <v>9</v>
      </c>
      <c r="X132" s="7757"/>
      <c r="Y132" s="7756" t="s">
        <v>10</v>
      </c>
      <c r="Z132" s="7757"/>
      <c r="AA132" s="7756" t="s">
        <v>11</v>
      </c>
      <c r="AB132" s="7757"/>
      <c r="AC132" s="7756" t="s">
        <v>18</v>
      </c>
      <c r="AD132" s="7757"/>
      <c r="AE132" s="7756" t="s">
        <v>19</v>
      </c>
      <c r="AF132" s="7757"/>
      <c r="AG132" s="7756" t="s">
        <v>20</v>
      </c>
      <c r="AH132" s="7757"/>
      <c r="AI132" s="7756" t="s">
        <v>70</v>
      </c>
      <c r="AJ132" s="7757"/>
      <c r="AK132" s="7756" t="s">
        <v>71</v>
      </c>
      <c r="AL132" s="7757"/>
      <c r="AM132" s="7756" t="s">
        <v>32</v>
      </c>
      <c r="AN132" s="8385"/>
      <c r="AO132" s="6904"/>
      <c r="AP132" s="7005"/>
      <c r="AQ132" s="7005"/>
      <c r="AR132" s="7005"/>
      <c r="AS132" s="7005"/>
    </row>
    <row r="133" spans="1:96" s="170" customFormat="1" ht="15" customHeight="1" x14ac:dyDescent="0.2">
      <c r="A133" s="6307"/>
      <c r="B133" s="8449"/>
      <c r="C133" s="8449"/>
      <c r="D133" s="1165" t="s">
        <v>26</v>
      </c>
      <c r="E133" s="1268" t="s">
        <v>22</v>
      </c>
      <c r="F133" s="1267" t="s">
        <v>27</v>
      </c>
      <c r="G133" s="1266" t="s">
        <v>22</v>
      </c>
      <c r="H133" s="1267" t="s">
        <v>27</v>
      </c>
      <c r="I133" s="1266" t="s">
        <v>22</v>
      </c>
      <c r="J133" s="1267" t="s">
        <v>27</v>
      </c>
      <c r="K133" s="1266" t="s">
        <v>22</v>
      </c>
      <c r="L133" s="1267" t="s">
        <v>27</v>
      </c>
      <c r="M133" s="1268" t="s">
        <v>22</v>
      </c>
      <c r="N133" s="2540" t="s">
        <v>27</v>
      </c>
      <c r="O133" s="1266" t="s">
        <v>22</v>
      </c>
      <c r="P133" s="2541" t="s">
        <v>27</v>
      </c>
      <c r="Q133" s="1266" t="s">
        <v>22</v>
      </c>
      <c r="R133" s="2541" t="s">
        <v>27</v>
      </c>
      <c r="S133" s="1268" t="s">
        <v>22</v>
      </c>
      <c r="T133" s="2541" t="s">
        <v>27</v>
      </c>
      <c r="U133" s="1268" t="s">
        <v>22</v>
      </c>
      <c r="V133" s="2541" t="s">
        <v>27</v>
      </c>
      <c r="W133" s="1266" t="s">
        <v>22</v>
      </c>
      <c r="X133" s="2541" t="s">
        <v>27</v>
      </c>
      <c r="Y133" s="1268" t="s">
        <v>22</v>
      </c>
      <c r="Z133" s="2541" t="s">
        <v>27</v>
      </c>
      <c r="AA133" s="1268" t="s">
        <v>22</v>
      </c>
      <c r="AB133" s="2541" t="s">
        <v>27</v>
      </c>
      <c r="AC133" s="1268" t="s">
        <v>22</v>
      </c>
      <c r="AD133" s="2541" t="s">
        <v>27</v>
      </c>
      <c r="AE133" s="1268" t="s">
        <v>22</v>
      </c>
      <c r="AF133" s="2541" t="s">
        <v>27</v>
      </c>
      <c r="AG133" s="1268" t="s">
        <v>22</v>
      </c>
      <c r="AH133" s="2541" t="s">
        <v>27</v>
      </c>
      <c r="AI133" s="1268" t="s">
        <v>22</v>
      </c>
      <c r="AJ133" s="2541" t="s">
        <v>27</v>
      </c>
      <c r="AK133" s="1268" t="s">
        <v>22</v>
      </c>
      <c r="AL133" s="2541" t="s">
        <v>27</v>
      </c>
      <c r="AM133" s="1268" t="s">
        <v>22</v>
      </c>
      <c r="AN133" s="4323" t="s">
        <v>27</v>
      </c>
      <c r="AO133" s="6905"/>
      <c r="AP133" s="8514"/>
      <c r="AQ133" s="8514"/>
      <c r="AR133" s="8514"/>
      <c r="AS133" s="8514"/>
    </row>
    <row r="134" spans="1:96" s="170" customFormat="1" ht="15" customHeight="1" x14ac:dyDescent="0.2">
      <c r="A134" s="6240">
        <v>32100700</v>
      </c>
      <c r="B134" s="6862" t="s">
        <v>1395</v>
      </c>
      <c r="C134" s="5622" t="s">
        <v>74</v>
      </c>
      <c r="D134" s="5623" t="s">
        <v>5292</v>
      </c>
      <c r="E134" s="5624" t="s">
        <v>5293</v>
      </c>
      <c r="F134" s="5625" t="s">
        <v>5294</v>
      </c>
      <c r="G134" s="5626" t="s">
        <v>5295</v>
      </c>
      <c r="H134" s="5627" t="s">
        <v>5296</v>
      </c>
      <c r="I134" s="5626" t="s">
        <v>5297</v>
      </c>
      <c r="J134" s="5627" t="s">
        <v>5298</v>
      </c>
      <c r="K134" s="5626" t="s">
        <v>5299</v>
      </c>
      <c r="L134" s="5627" t="s">
        <v>5300</v>
      </c>
      <c r="M134" s="5628" t="s">
        <v>5301</v>
      </c>
      <c r="N134" s="5629" t="s">
        <v>5302</v>
      </c>
      <c r="O134" s="5626" t="s">
        <v>5303</v>
      </c>
      <c r="P134" s="5630" t="s">
        <v>5304</v>
      </c>
      <c r="Q134" s="5626" t="s">
        <v>5305</v>
      </c>
      <c r="R134" s="5630" t="s">
        <v>5306</v>
      </c>
      <c r="S134" s="5628" t="s">
        <v>5307</v>
      </c>
      <c r="T134" s="5630" t="s">
        <v>5308</v>
      </c>
      <c r="U134" s="5628" t="s">
        <v>5309</v>
      </c>
      <c r="V134" s="5630" t="s">
        <v>5310</v>
      </c>
      <c r="W134" s="5626" t="s">
        <v>5311</v>
      </c>
      <c r="X134" s="5627" t="s">
        <v>5312</v>
      </c>
      <c r="Y134" s="5628" t="s">
        <v>5313</v>
      </c>
      <c r="Z134" s="5627" t="s">
        <v>5314</v>
      </c>
      <c r="AA134" s="5628" t="s">
        <v>5315</v>
      </c>
      <c r="AB134" s="5630" t="s">
        <v>5316</v>
      </c>
      <c r="AC134" s="5628" t="s">
        <v>5317</v>
      </c>
      <c r="AD134" s="5630" t="s">
        <v>5318</v>
      </c>
      <c r="AE134" s="5628" t="s">
        <v>5319</v>
      </c>
      <c r="AF134" s="5630" t="s">
        <v>5320</v>
      </c>
      <c r="AG134" s="5628" t="s">
        <v>5321</v>
      </c>
      <c r="AH134" s="5630" t="s">
        <v>5322</v>
      </c>
      <c r="AI134" s="5628" t="s">
        <v>5323</v>
      </c>
      <c r="AJ134" s="5630" t="s">
        <v>5324</v>
      </c>
      <c r="AK134" s="5628" t="s">
        <v>5325</v>
      </c>
      <c r="AL134" s="5630" t="s">
        <v>5326</v>
      </c>
      <c r="AM134" s="5628" t="s">
        <v>5327</v>
      </c>
      <c r="AN134" s="5629" t="s">
        <v>5328</v>
      </c>
      <c r="AO134" s="5631" t="s">
        <v>5329</v>
      </c>
      <c r="AP134" s="5630" t="s">
        <v>5330</v>
      </c>
      <c r="AQ134" s="5630" t="s">
        <v>5331</v>
      </c>
      <c r="AR134" s="5630" t="s">
        <v>5332</v>
      </c>
      <c r="AS134" s="5630" t="s">
        <v>5333</v>
      </c>
      <c r="AT134" s="170" t="str">
        <f>CD134&amp;CE134&amp;CF134&amp;CG134&amp;CH134</f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4" s="2465" t="str">
        <f t="shared" ref="CD134:CD143" si="76">IF(AND(D134&gt;0,AO134="")," * No olvide digitar Niños, Niñas, Adolescentes y Jóvenes Mejor Niñez. Digite Cero si no tiene",IF(AO134&gt;D134," * Niños, Niñas, Adolescentes y Jóvenes Mejor Niñez No puede ser mayor al Total.",""))</f>
        <v xml:space="preserve"> * Niños, Niñas, Adolescentes y Jóvenes Mejor Niñez No puede ser mayor al Total.</v>
      </c>
      <c r="CE134" s="2465" t="str">
        <f>IF(AND(D134&gt;0,AP134="")," * No olvide digitar la variable Pueblos originarios. Digite cero si no tiene",IF(AP134&gt;D134," * La variable Pueblos Originarios No puede ser mayor al Total.",""))</f>
        <v xml:space="preserve"> * La variable Pueblos Originarios No puede ser mayor al Total.</v>
      </c>
      <c r="CF134" s="2465" t="str">
        <f>IF(AND(D134&gt;0,AQ134="")," * No olvide digitar la variable Migrantes. Digite cero si no tiene.",IF(AQ134&gt;D134," * La variable Migrantes No puede ser mayor al Total.",""))</f>
        <v xml:space="preserve"> * La variable Migrantes No puede ser mayor al Total.</v>
      </c>
      <c r="CG134" s="2465" t="str">
        <f>IF(AND(D134&gt;0,AR134="")," * No olvide digitar la variable Demencia. Digite cero si no tiene.",IF(AR134&gt;D134," * La variable Demencia No puede ser mayor al Total.",""))</f>
        <v xml:space="preserve"> * La variable Demencia No puede ser mayor al Total.</v>
      </c>
      <c r="CH134" s="2465" t="str">
        <f>IF(AND(D134&gt;0,AS134="")," * No olvide digitar la variable Espacios Amigables/Adolescentes. Digite cero si no tiene.",IF(AS134&gt;D134," * La variable Espacios Amigables/adolescentes No puede ser mayor al Total.",""))</f>
        <v xml:space="preserve"> * La variable Espacios Amigables/adolescentes No puede ser mayor al Total.</v>
      </c>
      <c r="CI134" s="5831"/>
      <c r="CJ134" s="5831"/>
      <c r="CL134" s="2466">
        <f>IF(AND(D134&gt;0,AO134=""),1,IF(AO134&gt;D134,1,0))</f>
        <v>1</v>
      </c>
      <c r="CM134" s="2466">
        <f>IF(AND(D134&gt;0,AP134=""),1,IF(AP134&gt;D134,1,0))</f>
        <v>1</v>
      </c>
      <c r="CN134" s="2466">
        <f>IF(AND(D134&gt;0,AQ134=""),1,IF(AQ134&gt;D134,1,0))</f>
        <v>1</v>
      </c>
      <c r="CO134" s="2466">
        <f>IF(AND(D134&gt;0,AR134=""),1,IF(AR134&gt;D134,1,0))</f>
        <v>1</v>
      </c>
      <c r="CP134" s="2466">
        <f>IF(AND(D134&gt;0,AS134=""),1,IF(AS134&gt;D134,1,0))</f>
        <v>1</v>
      </c>
    </row>
    <row r="135" spans="1:96" s="170" customFormat="1" ht="15" customHeight="1" x14ac:dyDescent="0.2">
      <c r="A135" s="6240">
        <v>32100710</v>
      </c>
      <c r="B135" s="6925"/>
      <c r="C135" s="4819" t="s">
        <v>75</v>
      </c>
      <c r="D135" s="1592" t="s">
        <v>5292</v>
      </c>
      <c r="E135" s="5632" t="s">
        <v>5293</v>
      </c>
      <c r="F135" s="5633" t="s">
        <v>5294</v>
      </c>
      <c r="G135" s="1576" t="s">
        <v>5295</v>
      </c>
      <c r="H135" s="4405" t="s">
        <v>5296</v>
      </c>
      <c r="I135" s="1576" t="s">
        <v>5297</v>
      </c>
      <c r="J135" s="4405" t="s">
        <v>5298</v>
      </c>
      <c r="K135" s="1576" t="s">
        <v>5299</v>
      </c>
      <c r="L135" s="4405" t="s">
        <v>5300</v>
      </c>
      <c r="M135" s="5634" t="s">
        <v>5301</v>
      </c>
      <c r="N135" s="5635" t="s">
        <v>5302</v>
      </c>
      <c r="O135" s="1576" t="s">
        <v>5303</v>
      </c>
      <c r="P135" s="4379" t="s">
        <v>5304</v>
      </c>
      <c r="Q135" s="1576" t="s">
        <v>5305</v>
      </c>
      <c r="R135" s="4379" t="s">
        <v>5306</v>
      </c>
      <c r="S135" s="5634" t="s">
        <v>5307</v>
      </c>
      <c r="T135" s="4379" t="s">
        <v>5308</v>
      </c>
      <c r="U135" s="5634" t="s">
        <v>5309</v>
      </c>
      <c r="V135" s="4379" t="s">
        <v>5310</v>
      </c>
      <c r="W135" s="1576" t="s">
        <v>5311</v>
      </c>
      <c r="X135" s="4405" t="s">
        <v>5312</v>
      </c>
      <c r="Y135" s="5634" t="s">
        <v>5313</v>
      </c>
      <c r="Z135" s="4405" t="s">
        <v>5314</v>
      </c>
      <c r="AA135" s="5634" t="s">
        <v>5315</v>
      </c>
      <c r="AB135" s="4379" t="s">
        <v>5316</v>
      </c>
      <c r="AC135" s="5634" t="s">
        <v>5317</v>
      </c>
      <c r="AD135" s="4379" t="s">
        <v>5318</v>
      </c>
      <c r="AE135" s="5634" t="s">
        <v>5319</v>
      </c>
      <c r="AF135" s="4379" t="s">
        <v>5320</v>
      </c>
      <c r="AG135" s="5634" t="s">
        <v>5321</v>
      </c>
      <c r="AH135" s="4379" t="s">
        <v>5322</v>
      </c>
      <c r="AI135" s="5634" t="s">
        <v>5323</v>
      </c>
      <c r="AJ135" s="4379" t="s">
        <v>5324</v>
      </c>
      <c r="AK135" s="5634" t="s">
        <v>5325</v>
      </c>
      <c r="AL135" s="4379" t="s">
        <v>5326</v>
      </c>
      <c r="AM135" s="5634" t="s">
        <v>5327</v>
      </c>
      <c r="AN135" s="5635" t="s">
        <v>5328</v>
      </c>
      <c r="AO135" s="4378" t="s">
        <v>5329</v>
      </c>
      <c r="AP135" s="4379" t="s">
        <v>5330</v>
      </c>
      <c r="AQ135" s="4379" t="s">
        <v>5331</v>
      </c>
      <c r="AR135" s="4379" t="s">
        <v>5332</v>
      </c>
      <c r="AS135" s="4379" t="s">
        <v>5333</v>
      </c>
      <c r="AT135" s="170" t="str">
        <f t="shared" ref="AT135:AT154" si="77">CD135&amp;CE135&amp;CF135&amp;CG135&amp;CH135</f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5" s="2465" t="str">
        <f t="shared" si="76"/>
        <v xml:space="preserve"> * Niños, Niñas, Adolescentes y Jóvenes Mejor Niñez No puede ser mayor al Total.</v>
      </c>
      <c r="CE135" s="2465" t="str">
        <f t="shared" ref="CE135:CE143" si="78">IF(AND(D135&gt;0,AP135="")," * No olvide digitar la variable Pueblos originarios. Digite cero si no tiene",IF(AP135&gt;D135," * La variable Pueblos Originarios No puede ser mayor al Total.",""))</f>
        <v xml:space="preserve"> * La variable Pueblos Originarios No puede ser mayor al Total.</v>
      </c>
      <c r="CF135" s="2465" t="str">
        <f t="shared" ref="CF135:CF143" si="79">IF(AND(D135&gt;0,AQ135="")," * No olvide digitar la variable Migrantes. Digite cero si no tiene.",IF(AQ135&gt;D135," * La variable Migrantes No puede ser mayor al Total.",""))</f>
        <v xml:space="preserve"> * La variable Migrantes No puede ser mayor al Total.</v>
      </c>
      <c r="CG135" s="2465" t="str">
        <f t="shared" ref="CG135:CG143" si="80">IF(AND(D135&gt;0,AR135="")," * No olvide digitar la variable Demencia. Digite cero si no tiene.",IF(AR135&gt;D135," * La variable Demencia No puede ser mayor al Total.",""))</f>
        <v xml:space="preserve"> * La variable Demencia No puede ser mayor al Total.</v>
      </c>
      <c r="CH135" s="2465" t="str">
        <f t="shared" ref="CH135:CH143" si="81">IF(AND(D135&gt;0,AS135="")," * No olvide digitar la variable Espacios Amigables/Adolescentes. Digite cero si no tiene.",IF(AS135&gt;D135," * La variable Espacios Amigables/adolescentes No puede ser mayor al Total.",""))</f>
        <v xml:space="preserve"> * La variable Espacios Amigables/adolescentes No puede ser mayor al Total.</v>
      </c>
      <c r="CI135" s="5831"/>
      <c r="CJ135" s="5831"/>
      <c r="CL135" s="2466">
        <f t="shared" ref="CL135:CL154" si="82">IF(AND(D135&gt;0,AO135=""),1,IF(AO135&gt;D135,1,0))</f>
        <v>1</v>
      </c>
      <c r="CM135" s="2466">
        <f t="shared" ref="CM135:CM154" si="83">IF(AND(D135&gt;0,AP135=""),1,IF(AP135&gt;D135,1,0))</f>
        <v>1</v>
      </c>
      <c r="CN135" s="2466">
        <f t="shared" ref="CN135:CN154" si="84">IF(AND(D135&gt;0,AQ135=""),1,IF(AQ135&gt;D135,1,0))</f>
        <v>1</v>
      </c>
      <c r="CO135" s="2466">
        <f t="shared" ref="CO135:CO154" si="85">IF(AND(D135&gt;0,AR135=""),1,IF(AR135&gt;D135,1,0))</f>
        <v>1</v>
      </c>
      <c r="CP135" s="2466">
        <f t="shared" ref="CP135:CP154" si="86">IF(AND(D135&gt;0,AS135=""),1,IF(AS135&gt;D135,1,0))</f>
        <v>1</v>
      </c>
    </row>
    <row r="136" spans="1:96" s="170" customFormat="1" ht="15" customHeight="1" x14ac:dyDescent="0.2">
      <c r="A136" s="6240">
        <v>32100720</v>
      </c>
      <c r="B136" s="6925"/>
      <c r="C136" s="4819" t="s">
        <v>76</v>
      </c>
      <c r="D136" s="1592" t="s">
        <v>5292</v>
      </c>
      <c r="E136" s="5632" t="s">
        <v>5293</v>
      </c>
      <c r="F136" s="5633" t="s">
        <v>5294</v>
      </c>
      <c r="G136" s="1576" t="s">
        <v>5295</v>
      </c>
      <c r="H136" s="4405" t="s">
        <v>5296</v>
      </c>
      <c r="I136" s="1576" t="s">
        <v>5297</v>
      </c>
      <c r="J136" s="4405" t="s">
        <v>5298</v>
      </c>
      <c r="K136" s="1576" t="s">
        <v>5299</v>
      </c>
      <c r="L136" s="4405" t="s">
        <v>5300</v>
      </c>
      <c r="M136" s="5634" t="s">
        <v>5301</v>
      </c>
      <c r="N136" s="5635" t="s">
        <v>5302</v>
      </c>
      <c r="O136" s="1576" t="s">
        <v>5303</v>
      </c>
      <c r="P136" s="4379" t="s">
        <v>5304</v>
      </c>
      <c r="Q136" s="1576" t="s">
        <v>5305</v>
      </c>
      <c r="R136" s="4379" t="s">
        <v>5306</v>
      </c>
      <c r="S136" s="5634" t="s">
        <v>5307</v>
      </c>
      <c r="T136" s="4379" t="s">
        <v>5308</v>
      </c>
      <c r="U136" s="5634" t="s">
        <v>5309</v>
      </c>
      <c r="V136" s="4379" t="s">
        <v>5310</v>
      </c>
      <c r="W136" s="1576" t="s">
        <v>5311</v>
      </c>
      <c r="X136" s="4405" t="s">
        <v>5312</v>
      </c>
      <c r="Y136" s="5634" t="s">
        <v>5313</v>
      </c>
      <c r="Z136" s="4405" t="s">
        <v>5314</v>
      </c>
      <c r="AA136" s="5634" t="s">
        <v>5315</v>
      </c>
      <c r="AB136" s="4379" t="s">
        <v>5316</v>
      </c>
      <c r="AC136" s="5634" t="s">
        <v>5317</v>
      </c>
      <c r="AD136" s="4379" t="s">
        <v>5318</v>
      </c>
      <c r="AE136" s="5634" t="s">
        <v>5319</v>
      </c>
      <c r="AF136" s="4379" t="s">
        <v>5320</v>
      </c>
      <c r="AG136" s="5634" t="s">
        <v>5321</v>
      </c>
      <c r="AH136" s="4379" t="s">
        <v>5322</v>
      </c>
      <c r="AI136" s="5634" t="s">
        <v>5323</v>
      </c>
      <c r="AJ136" s="4379" t="s">
        <v>5324</v>
      </c>
      <c r="AK136" s="5634" t="s">
        <v>5325</v>
      </c>
      <c r="AL136" s="4379" t="s">
        <v>5326</v>
      </c>
      <c r="AM136" s="5634" t="s">
        <v>5327</v>
      </c>
      <c r="AN136" s="5635" t="s">
        <v>5328</v>
      </c>
      <c r="AO136" s="4378" t="s">
        <v>5329</v>
      </c>
      <c r="AP136" s="4379" t="s">
        <v>5330</v>
      </c>
      <c r="AQ136" s="4379" t="s">
        <v>5331</v>
      </c>
      <c r="AR136" s="4379" t="s">
        <v>5332</v>
      </c>
      <c r="AS136" s="4379" t="s">
        <v>5333</v>
      </c>
      <c r="AT136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6" s="2465" t="str">
        <f t="shared" si="76"/>
        <v xml:space="preserve"> * Niños, Niñas, Adolescentes y Jóvenes Mejor Niñez No puede ser mayor al Total.</v>
      </c>
      <c r="CE136" s="2465" t="str">
        <f t="shared" si="78"/>
        <v xml:space="preserve"> * La variable Pueblos Originarios No puede ser mayor al Total.</v>
      </c>
      <c r="CF136" s="2465" t="str">
        <f t="shared" si="79"/>
        <v xml:space="preserve"> * La variable Migrantes No puede ser mayor al Total.</v>
      </c>
      <c r="CG136" s="2465" t="str">
        <f t="shared" si="80"/>
        <v xml:space="preserve"> * La variable Demencia No puede ser mayor al Total.</v>
      </c>
      <c r="CH136" s="2465" t="str">
        <f t="shared" si="81"/>
        <v xml:space="preserve"> * La variable Espacios Amigables/adolescentes No puede ser mayor al Total.</v>
      </c>
      <c r="CI136" s="5831"/>
      <c r="CJ136" s="5831"/>
      <c r="CL136" s="2466">
        <f t="shared" si="82"/>
        <v>1</v>
      </c>
      <c r="CM136" s="2466">
        <f t="shared" si="83"/>
        <v>1</v>
      </c>
      <c r="CN136" s="2466">
        <f t="shared" si="84"/>
        <v>1</v>
      </c>
      <c r="CO136" s="2466">
        <f t="shared" si="85"/>
        <v>1</v>
      </c>
      <c r="CP136" s="2466">
        <f t="shared" si="86"/>
        <v>1</v>
      </c>
    </row>
    <row r="137" spans="1:96" s="170" customFormat="1" ht="15" customHeight="1" x14ac:dyDescent="0.2">
      <c r="A137" s="6240">
        <v>32100730</v>
      </c>
      <c r="B137" s="6925"/>
      <c r="C137" s="4819" t="s">
        <v>1317</v>
      </c>
      <c r="D137" s="1592" t="s">
        <v>5292</v>
      </c>
      <c r="E137" s="5632" t="s">
        <v>5293</v>
      </c>
      <c r="F137" s="5633" t="s">
        <v>5294</v>
      </c>
      <c r="G137" s="1576" t="s">
        <v>5295</v>
      </c>
      <c r="H137" s="4405" t="s">
        <v>5296</v>
      </c>
      <c r="I137" s="1576" t="s">
        <v>5297</v>
      </c>
      <c r="J137" s="4405" t="s">
        <v>5298</v>
      </c>
      <c r="K137" s="1576" t="s">
        <v>5299</v>
      </c>
      <c r="L137" s="4405" t="s">
        <v>5300</v>
      </c>
      <c r="M137" s="5634" t="s">
        <v>5301</v>
      </c>
      <c r="N137" s="5635" t="s">
        <v>5302</v>
      </c>
      <c r="O137" s="1576" t="s">
        <v>5303</v>
      </c>
      <c r="P137" s="4379" t="s">
        <v>5304</v>
      </c>
      <c r="Q137" s="1576" t="s">
        <v>5305</v>
      </c>
      <c r="R137" s="4379" t="s">
        <v>5306</v>
      </c>
      <c r="S137" s="5634" t="s">
        <v>5307</v>
      </c>
      <c r="T137" s="4379" t="s">
        <v>5308</v>
      </c>
      <c r="U137" s="5634" t="s">
        <v>5309</v>
      </c>
      <c r="V137" s="4379" t="s">
        <v>5310</v>
      </c>
      <c r="W137" s="1576" t="s">
        <v>5311</v>
      </c>
      <c r="X137" s="4405" t="s">
        <v>5312</v>
      </c>
      <c r="Y137" s="5634" t="s">
        <v>5313</v>
      </c>
      <c r="Z137" s="4405" t="s">
        <v>5314</v>
      </c>
      <c r="AA137" s="5634" t="s">
        <v>5315</v>
      </c>
      <c r="AB137" s="4379" t="s">
        <v>5316</v>
      </c>
      <c r="AC137" s="5634" t="s">
        <v>5317</v>
      </c>
      <c r="AD137" s="4379" t="s">
        <v>5318</v>
      </c>
      <c r="AE137" s="5634" t="s">
        <v>5319</v>
      </c>
      <c r="AF137" s="4379" t="s">
        <v>5320</v>
      </c>
      <c r="AG137" s="5634" t="s">
        <v>5321</v>
      </c>
      <c r="AH137" s="4379" t="s">
        <v>5322</v>
      </c>
      <c r="AI137" s="5634" t="s">
        <v>5323</v>
      </c>
      <c r="AJ137" s="4379" t="s">
        <v>5324</v>
      </c>
      <c r="AK137" s="5634" t="s">
        <v>5325</v>
      </c>
      <c r="AL137" s="4379" t="s">
        <v>5326</v>
      </c>
      <c r="AM137" s="5634" t="s">
        <v>5327</v>
      </c>
      <c r="AN137" s="5635" t="s">
        <v>5328</v>
      </c>
      <c r="AO137" s="4378" t="s">
        <v>5329</v>
      </c>
      <c r="AP137" s="4379" t="s">
        <v>5330</v>
      </c>
      <c r="AQ137" s="4379" t="s">
        <v>5331</v>
      </c>
      <c r="AR137" s="4379" t="s">
        <v>5332</v>
      </c>
      <c r="AS137" s="4379" t="s">
        <v>5333</v>
      </c>
      <c r="AT137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7" s="2465" t="str">
        <f t="shared" si="76"/>
        <v xml:space="preserve"> * Niños, Niñas, Adolescentes y Jóvenes Mejor Niñez No puede ser mayor al Total.</v>
      </c>
      <c r="CE137" s="2465" t="str">
        <f t="shared" si="78"/>
        <v xml:space="preserve"> * La variable Pueblos Originarios No puede ser mayor al Total.</v>
      </c>
      <c r="CF137" s="2465" t="str">
        <f t="shared" si="79"/>
        <v xml:space="preserve"> * La variable Migrantes No puede ser mayor al Total.</v>
      </c>
      <c r="CG137" s="2465" t="str">
        <f t="shared" si="80"/>
        <v xml:space="preserve"> * La variable Demencia No puede ser mayor al Total.</v>
      </c>
      <c r="CH137" s="2465" t="str">
        <f t="shared" si="81"/>
        <v xml:space="preserve"> * La variable Espacios Amigables/adolescentes No puede ser mayor al Total.</v>
      </c>
      <c r="CI137" s="5831"/>
      <c r="CJ137" s="5831"/>
      <c r="CL137" s="2466">
        <f t="shared" si="82"/>
        <v>1</v>
      </c>
      <c r="CM137" s="2466">
        <f t="shared" si="83"/>
        <v>1</v>
      </c>
      <c r="CN137" s="2466">
        <f t="shared" si="84"/>
        <v>1</v>
      </c>
      <c r="CO137" s="2466">
        <f t="shared" si="85"/>
        <v>1</v>
      </c>
      <c r="CP137" s="2466">
        <f t="shared" si="86"/>
        <v>1</v>
      </c>
    </row>
    <row r="138" spans="1:96" s="170" customFormat="1" ht="15" customHeight="1" x14ac:dyDescent="0.2">
      <c r="A138" s="6240">
        <v>32100740</v>
      </c>
      <c r="B138" s="6925"/>
      <c r="C138" s="4819" t="s">
        <v>62</v>
      </c>
      <c r="D138" s="1592" t="s">
        <v>5292</v>
      </c>
      <c r="E138" s="5632" t="s">
        <v>5293</v>
      </c>
      <c r="F138" s="5633" t="s">
        <v>5294</v>
      </c>
      <c r="G138" s="1576" t="s">
        <v>5295</v>
      </c>
      <c r="H138" s="4405" t="s">
        <v>5296</v>
      </c>
      <c r="I138" s="1576" t="s">
        <v>5297</v>
      </c>
      <c r="J138" s="4405" t="s">
        <v>5298</v>
      </c>
      <c r="K138" s="1576" t="s">
        <v>5299</v>
      </c>
      <c r="L138" s="4405" t="s">
        <v>5300</v>
      </c>
      <c r="M138" s="5634" t="s">
        <v>5301</v>
      </c>
      <c r="N138" s="5635" t="s">
        <v>5302</v>
      </c>
      <c r="O138" s="1576" t="s">
        <v>5303</v>
      </c>
      <c r="P138" s="4379" t="s">
        <v>5304</v>
      </c>
      <c r="Q138" s="1576" t="s">
        <v>5305</v>
      </c>
      <c r="R138" s="4379" t="s">
        <v>5306</v>
      </c>
      <c r="S138" s="5634" t="s">
        <v>5307</v>
      </c>
      <c r="T138" s="4379" t="s">
        <v>5308</v>
      </c>
      <c r="U138" s="5634" t="s">
        <v>5309</v>
      </c>
      <c r="V138" s="4379" t="s">
        <v>5310</v>
      </c>
      <c r="W138" s="1576" t="s">
        <v>5311</v>
      </c>
      <c r="X138" s="4405" t="s">
        <v>5312</v>
      </c>
      <c r="Y138" s="5634" t="s">
        <v>5313</v>
      </c>
      <c r="Z138" s="4405" t="s">
        <v>5314</v>
      </c>
      <c r="AA138" s="5634" t="s">
        <v>5315</v>
      </c>
      <c r="AB138" s="4379" t="s">
        <v>5316</v>
      </c>
      <c r="AC138" s="5634" t="s">
        <v>5317</v>
      </c>
      <c r="AD138" s="4379" t="s">
        <v>5318</v>
      </c>
      <c r="AE138" s="5634" t="s">
        <v>5319</v>
      </c>
      <c r="AF138" s="4379" t="s">
        <v>5320</v>
      </c>
      <c r="AG138" s="5634" t="s">
        <v>5321</v>
      </c>
      <c r="AH138" s="4379" t="s">
        <v>5322</v>
      </c>
      <c r="AI138" s="5634" t="s">
        <v>5323</v>
      </c>
      <c r="AJ138" s="4379" t="s">
        <v>5324</v>
      </c>
      <c r="AK138" s="5634" t="s">
        <v>5325</v>
      </c>
      <c r="AL138" s="4379" t="s">
        <v>5326</v>
      </c>
      <c r="AM138" s="5634" t="s">
        <v>5327</v>
      </c>
      <c r="AN138" s="5635" t="s">
        <v>5328</v>
      </c>
      <c r="AO138" s="4378" t="s">
        <v>5329</v>
      </c>
      <c r="AP138" s="4379" t="s">
        <v>5330</v>
      </c>
      <c r="AQ138" s="4379" t="s">
        <v>5331</v>
      </c>
      <c r="AR138" s="4379" t="s">
        <v>5332</v>
      </c>
      <c r="AS138" s="4379" t="s">
        <v>5333</v>
      </c>
      <c r="AT138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8" s="2465" t="str">
        <f t="shared" si="76"/>
        <v xml:space="preserve"> * Niños, Niñas, Adolescentes y Jóvenes Mejor Niñez No puede ser mayor al Total.</v>
      </c>
      <c r="CE138" s="2465" t="str">
        <f t="shared" si="78"/>
        <v xml:space="preserve"> * La variable Pueblos Originarios No puede ser mayor al Total.</v>
      </c>
      <c r="CF138" s="2465" t="str">
        <f t="shared" si="79"/>
        <v xml:space="preserve"> * La variable Migrantes No puede ser mayor al Total.</v>
      </c>
      <c r="CG138" s="2465" t="str">
        <f t="shared" si="80"/>
        <v xml:space="preserve"> * La variable Demencia No puede ser mayor al Total.</v>
      </c>
      <c r="CH138" s="2465" t="str">
        <f t="shared" si="81"/>
        <v xml:space="preserve"> * La variable Espacios Amigables/adolescentes No puede ser mayor al Total.</v>
      </c>
      <c r="CI138" s="5831"/>
      <c r="CJ138" s="5831"/>
      <c r="CL138" s="2466">
        <f t="shared" si="82"/>
        <v>1</v>
      </c>
      <c r="CM138" s="2466">
        <f t="shared" si="83"/>
        <v>1</v>
      </c>
      <c r="CN138" s="2466">
        <f t="shared" si="84"/>
        <v>1</v>
      </c>
      <c r="CO138" s="2466">
        <f t="shared" si="85"/>
        <v>1</v>
      </c>
      <c r="CP138" s="2466">
        <f t="shared" si="86"/>
        <v>1</v>
      </c>
    </row>
    <row r="139" spans="1:96" s="170" customFormat="1" ht="15" customHeight="1" x14ac:dyDescent="0.2">
      <c r="A139" s="6240">
        <v>32100750</v>
      </c>
      <c r="B139" s="6925"/>
      <c r="C139" s="4819" t="s">
        <v>123</v>
      </c>
      <c r="D139" s="1592" t="s">
        <v>5292</v>
      </c>
      <c r="E139" s="5632" t="s">
        <v>5293</v>
      </c>
      <c r="F139" s="5633" t="s">
        <v>5294</v>
      </c>
      <c r="G139" s="1576" t="s">
        <v>5295</v>
      </c>
      <c r="H139" s="4405" t="s">
        <v>5296</v>
      </c>
      <c r="I139" s="1576" t="s">
        <v>5297</v>
      </c>
      <c r="J139" s="4405" t="s">
        <v>5298</v>
      </c>
      <c r="K139" s="1576" t="s">
        <v>5299</v>
      </c>
      <c r="L139" s="4405" t="s">
        <v>5300</v>
      </c>
      <c r="M139" s="5634" t="s">
        <v>5301</v>
      </c>
      <c r="N139" s="5635" t="s">
        <v>5302</v>
      </c>
      <c r="O139" s="1576" t="s">
        <v>5303</v>
      </c>
      <c r="P139" s="4379" t="s">
        <v>5304</v>
      </c>
      <c r="Q139" s="1576" t="s">
        <v>5305</v>
      </c>
      <c r="R139" s="4379" t="s">
        <v>5306</v>
      </c>
      <c r="S139" s="5634" t="s">
        <v>5307</v>
      </c>
      <c r="T139" s="4379" t="s">
        <v>5308</v>
      </c>
      <c r="U139" s="5634" t="s">
        <v>5309</v>
      </c>
      <c r="V139" s="4379" t="s">
        <v>5310</v>
      </c>
      <c r="W139" s="1576" t="s">
        <v>5311</v>
      </c>
      <c r="X139" s="4405" t="s">
        <v>5312</v>
      </c>
      <c r="Y139" s="5634" t="s">
        <v>5313</v>
      </c>
      <c r="Z139" s="4405" t="s">
        <v>5314</v>
      </c>
      <c r="AA139" s="5634" t="s">
        <v>5315</v>
      </c>
      <c r="AB139" s="4379" t="s">
        <v>5316</v>
      </c>
      <c r="AC139" s="5634" t="s">
        <v>5317</v>
      </c>
      <c r="AD139" s="4379" t="s">
        <v>5318</v>
      </c>
      <c r="AE139" s="5634" t="s">
        <v>5319</v>
      </c>
      <c r="AF139" s="4379" t="s">
        <v>5320</v>
      </c>
      <c r="AG139" s="5634" t="s">
        <v>5321</v>
      </c>
      <c r="AH139" s="4379" t="s">
        <v>5322</v>
      </c>
      <c r="AI139" s="5634" t="s">
        <v>5323</v>
      </c>
      <c r="AJ139" s="4379" t="s">
        <v>5324</v>
      </c>
      <c r="AK139" s="5634" t="s">
        <v>5325</v>
      </c>
      <c r="AL139" s="4379" t="s">
        <v>5326</v>
      </c>
      <c r="AM139" s="5634" t="s">
        <v>5327</v>
      </c>
      <c r="AN139" s="5635" t="s">
        <v>5328</v>
      </c>
      <c r="AO139" s="4378" t="s">
        <v>5329</v>
      </c>
      <c r="AP139" s="4379" t="s">
        <v>5330</v>
      </c>
      <c r="AQ139" s="4379" t="s">
        <v>5331</v>
      </c>
      <c r="AR139" s="4379" t="s">
        <v>5332</v>
      </c>
      <c r="AS139" s="4379" t="s">
        <v>5333</v>
      </c>
      <c r="AT139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39" s="2465" t="str">
        <f t="shared" si="76"/>
        <v xml:space="preserve"> * Niños, Niñas, Adolescentes y Jóvenes Mejor Niñez No puede ser mayor al Total.</v>
      </c>
      <c r="CE139" s="2465" t="str">
        <f t="shared" si="78"/>
        <v xml:space="preserve"> * La variable Pueblos Originarios No puede ser mayor al Total.</v>
      </c>
      <c r="CF139" s="2465" t="str">
        <f t="shared" si="79"/>
        <v xml:space="preserve"> * La variable Migrantes No puede ser mayor al Total.</v>
      </c>
      <c r="CG139" s="2465" t="str">
        <f t="shared" si="80"/>
        <v xml:space="preserve"> * La variable Demencia No puede ser mayor al Total.</v>
      </c>
      <c r="CH139" s="2465" t="str">
        <f t="shared" si="81"/>
        <v xml:space="preserve"> * La variable Espacios Amigables/adolescentes No puede ser mayor al Total.</v>
      </c>
      <c r="CI139" s="5831"/>
      <c r="CJ139" s="5831"/>
      <c r="CL139" s="2466">
        <f t="shared" si="82"/>
        <v>1</v>
      </c>
      <c r="CM139" s="2466">
        <f t="shared" si="83"/>
        <v>1</v>
      </c>
      <c r="CN139" s="2466">
        <f t="shared" si="84"/>
        <v>1</v>
      </c>
      <c r="CO139" s="2466">
        <f t="shared" si="85"/>
        <v>1</v>
      </c>
      <c r="CP139" s="2466">
        <f t="shared" si="86"/>
        <v>1</v>
      </c>
    </row>
    <row r="140" spans="1:96" s="170" customFormat="1" ht="15" customHeight="1" x14ac:dyDescent="0.2">
      <c r="A140" s="6240">
        <v>32100760</v>
      </c>
      <c r="B140" s="6925"/>
      <c r="C140" s="4819" t="s">
        <v>79</v>
      </c>
      <c r="D140" s="1592" t="s">
        <v>5292</v>
      </c>
      <c r="E140" s="5632" t="s">
        <v>5293</v>
      </c>
      <c r="F140" s="5633" t="s">
        <v>5294</v>
      </c>
      <c r="G140" s="1576" t="s">
        <v>5295</v>
      </c>
      <c r="H140" s="4405" t="s">
        <v>5296</v>
      </c>
      <c r="I140" s="1576" t="s">
        <v>5297</v>
      </c>
      <c r="J140" s="4405" t="s">
        <v>5298</v>
      </c>
      <c r="K140" s="1576" t="s">
        <v>5299</v>
      </c>
      <c r="L140" s="4405" t="s">
        <v>5300</v>
      </c>
      <c r="M140" s="5634" t="s">
        <v>5301</v>
      </c>
      <c r="N140" s="5635" t="s">
        <v>5302</v>
      </c>
      <c r="O140" s="1576" t="s">
        <v>5303</v>
      </c>
      <c r="P140" s="4379" t="s">
        <v>5304</v>
      </c>
      <c r="Q140" s="1576" t="s">
        <v>5305</v>
      </c>
      <c r="R140" s="4379" t="s">
        <v>5306</v>
      </c>
      <c r="S140" s="5634" t="s">
        <v>5307</v>
      </c>
      <c r="T140" s="4379" t="s">
        <v>5308</v>
      </c>
      <c r="U140" s="5634" t="s">
        <v>5309</v>
      </c>
      <c r="V140" s="4379" t="s">
        <v>5310</v>
      </c>
      <c r="W140" s="1576" t="s">
        <v>5311</v>
      </c>
      <c r="X140" s="4405" t="s">
        <v>5312</v>
      </c>
      <c r="Y140" s="5634" t="s">
        <v>5313</v>
      </c>
      <c r="Z140" s="4405" t="s">
        <v>5314</v>
      </c>
      <c r="AA140" s="5634" t="s">
        <v>5315</v>
      </c>
      <c r="AB140" s="4379" t="s">
        <v>5316</v>
      </c>
      <c r="AC140" s="5634" t="s">
        <v>5317</v>
      </c>
      <c r="AD140" s="4379" t="s">
        <v>5318</v>
      </c>
      <c r="AE140" s="5634" t="s">
        <v>5319</v>
      </c>
      <c r="AF140" s="4379" t="s">
        <v>5320</v>
      </c>
      <c r="AG140" s="5634" t="s">
        <v>5321</v>
      </c>
      <c r="AH140" s="4379" t="s">
        <v>5322</v>
      </c>
      <c r="AI140" s="5634" t="s">
        <v>5323</v>
      </c>
      <c r="AJ140" s="4379" t="s">
        <v>5324</v>
      </c>
      <c r="AK140" s="5634" t="s">
        <v>5325</v>
      </c>
      <c r="AL140" s="4379" t="s">
        <v>5326</v>
      </c>
      <c r="AM140" s="5634" t="s">
        <v>5327</v>
      </c>
      <c r="AN140" s="5635" t="s">
        <v>5328</v>
      </c>
      <c r="AO140" s="4378" t="s">
        <v>5329</v>
      </c>
      <c r="AP140" s="4379" t="s">
        <v>5330</v>
      </c>
      <c r="AQ140" s="4379" t="s">
        <v>5331</v>
      </c>
      <c r="AR140" s="4379" t="s">
        <v>5332</v>
      </c>
      <c r="AS140" s="4379" t="s">
        <v>5333</v>
      </c>
      <c r="AT140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0" s="2465" t="str">
        <f t="shared" si="76"/>
        <v xml:space="preserve"> * Niños, Niñas, Adolescentes y Jóvenes Mejor Niñez No puede ser mayor al Total.</v>
      </c>
      <c r="CE140" s="2465" t="str">
        <f t="shared" si="78"/>
        <v xml:space="preserve"> * La variable Pueblos Originarios No puede ser mayor al Total.</v>
      </c>
      <c r="CF140" s="2465" t="str">
        <f t="shared" si="79"/>
        <v xml:space="preserve"> * La variable Migrantes No puede ser mayor al Total.</v>
      </c>
      <c r="CG140" s="2465" t="str">
        <f t="shared" si="80"/>
        <v xml:space="preserve"> * La variable Demencia No puede ser mayor al Total.</v>
      </c>
      <c r="CH140" s="2465" t="str">
        <f t="shared" si="81"/>
        <v xml:space="preserve"> * La variable Espacios Amigables/adolescentes No puede ser mayor al Total.</v>
      </c>
      <c r="CI140" s="5831"/>
      <c r="CJ140" s="5831"/>
      <c r="CL140" s="2466">
        <f t="shared" si="82"/>
        <v>1</v>
      </c>
      <c r="CM140" s="2466">
        <f t="shared" si="83"/>
        <v>1</v>
      </c>
      <c r="CN140" s="2466">
        <f t="shared" si="84"/>
        <v>1</v>
      </c>
      <c r="CO140" s="2466">
        <f t="shared" si="85"/>
        <v>1</v>
      </c>
      <c r="CP140" s="2466">
        <f t="shared" si="86"/>
        <v>1</v>
      </c>
    </row>
    <row r="141" spans="1:96" s="170" customFormat="1" ht="20.399999999999999" x14ac:dyDescent="0.2">
      <c r="A141" s="6240">
        <v>32100770</v>
      </c>
      <c r="B141" s="6925"/>
      <c r="C141" s="4819" t="s">
        <v>1396</v>
      </c>
      <c r="D141" s="1592" t="s">
        <v>5292</v>
      </c>
      <c r="E141" s="5632" t="s">
        <v>5293</v>
      </c>
      <c r="F141" s="5633" t="s">
        <v>5294</v>
      </c>
      <c r="G141" s="1576" t="s">
        <v>5295</v>
      </c>
      <c r="H141" s="4405" t="s">
        <v>5296</v>
      </c>
      <c r="I141" s="1576" t="s">
        <v>5297</v>
      </c>
      <c r="J141" s="4405" t="s">
        <v>5298</v>
      </c>
      <c r="K141" s="1576" t="s">
        <v>5299</v>
      </c>
      <c r="L141" s="4405" t="s">
        <v>5300</v>
      </c>
      <c r="M141" s="5634" t="s">
        <v>5301</v>
      </c>
      <c r="N141" s="5635" t="s">
        <v>5302</v>
      </c>
      <c r="O141" s="1576" t="s">
        <v>5303</v>
      </c>
      <c r="P141" s="4379" t="s">
        <v>5304</v>
      </c>
      <c r="Q141" s="1576" t="s">
        <v>5305</v>
      </c>
      <c r="R141" s="4379" t="s">
        <v>5306</v>
      </c>
      <c r="S141" s="5634" t="s">
        <v>5307</v>
      </c>
      <c r="T141" s="4379" t="s">
        <v>5308</v>
      </c>
      <c r="U141" s="5634" t="s">
        <v>5309</v>
      </c>
      <c r="V141" s="4379" t="s">
        <v>5310</v>
      </c>
      <c r="W141" s="1576" t="s">
        <v>5311</v>
      </c>
      <c r="X141" s="4405" t="s">
        <v>5312</v>
      </c>
      <c r="Y141" s="5634" t="s">
        <v>5313</v>
      </c>
      <c r="Z141" s="4405" t="s">
        <v>5314</v>
      </c>
      <c r="AA141" s="5634" t="s">
        <v>5315</v>
      </c>
      <c r="AB141" s="4379" t="s">
        <v>5316</v>
      </c>
      <c r="AC141" s="5634" t="s">
        <v>5317</v>
      </c>
      <c r="AD141" s="4379" t="s">
        <v>5318</v>
      </c>
      <c r="AE141" s="5634" t="s">
        <v>5319</v>
      </c>
      <c r="AF141" s="4379" t="s">
        <v>5320</v>
      </c>
      <c r="AG141" s="5634" t="s">
        <v>5321</v>
      </c>
      <c r="AH141" s="4379" t="s">
        <v>5322</v>
      </c>
      <c r="AI141" s="5634" t="s">
        <v>5323</v>
      </c>
      <c r="AJ141" s="4379" t="s">
        <v>5324</v>
      </c>
      <c r="AK141" s="5634" t="s">
        <v>5325</v>
      </c>
      <c r="AL141" s="4379" t="s">
        <v>5326</v>
      </c>
      <c r="AM141" s="5634" t="s">
        <v>5327</v>
      </c>
      <c r="AN141" s="5635" t="s">
        <v>5328</v>
      </c>
      <c r="AO141" s="4378" t="s">
        <v>5329</v>
      </c>
      <c r="AP141" s="4379" t="s">
        <v>5330</v>
      </c>
      <c r="AQ141" s="4379" t="s">
        <v>5331</v>
      </c>
      <c r="AR141" s="4379" t="s">
        <v>5332</v>
      </c>
      <c r="AS141" s="4379" t="s">
        <v>5333</v>
      </c>
      <c r="AT141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1" s="2465" t="str">
        <f t="shared" si="76"/>
        <v xml:space="preserve"> * Niños, Niñas, Adolescentes y Jóvenes Mejor Niñez No puede ser mayor al Total.</v>
      </c>
      <c r="CE141" s="2465" t="str">
        <f t="shared" si="78"/>
        <v xml:space="preserve"> * La variable Pueblos Originarios No puede ser mayor al Total.</v>
      </c>
      <c r="CF141" s="2465" t="str">
        <f t="shared" si="79"/>
        <v xml:space="preserve"> * La variable Migrantes No puede ser mayor al Total.</v>
      </c>
      <c r="CG141" s="2465" t="str">
        <f t="shared" si="80"/>
        <v xml:space="preserve"> * La variable Demencia No puede ser mayor al Total.</v>
      </c>
      <c r="CH141" s="2465" t="str">
        <f t="shared" si="81"/>
        <v xml:space="preserve"> * La variable Espacios Amigables/adolescentes No puede ser mayor al Total.</v>
      </c>
      <c r="CI141" s="5831"/>
      <c r="CJ141" s="5831"/>
      <c r="CL141" s="2466">
        <f t="shared" si="82"/>
        <v>1</v>
      </c>
      <c r="CM141" s="2466">
        <f t="shared" si="83"/>
        <v>1</v>
      </c>
      <c r="CN141" s="2466">
        <f t="shared" si="84"/>
        <v>1</v>
      </c>
      <c r="CO141" s="2466">
        <f t="shared" si="85"/>
        <v>1</v>
      </c>
      <c r="CP141" s="2466">
        <f t="shared" si="86"/>
        <v>1</v>
      </c>
    </row>
    <row r="142" spans="1:96" s="170" customFormat="1" ht="15" customHeight="1" x14ac:dyDescent="0.2">
      <c r="A142" s="6240">
        <v>32100780</v>
      </c>
      <c r="B142" s="6925"/>
      <c r="C142" s="4819" t="s">
        <v>81</v>
      </c>
      <c r="D142" s="1592" t="s">
        <v>5292</v>
      </c>
      <c r="E142" s="5632" t="s">
        <v>5293</v>
      </c>
      <c r="F142" s="5633" t="s">
        <v>5294</v>
      </c>
      <c r="G142" s="1576" t="s">
        <v>5295</v>
      </c>
      <c r="H142" s="4405" t="s">
        <v>5296</v>
      </c>
      <c r="I142" s="1576" t="s">
        <v>5297</v>
      </c>
      <c r="J142" s="4405" t="s">
        <v>5298</v>
      </c>
      <c r="K142" s="1576" t="s">
        <v>5299</v>
      </c>
      <c r="L142" s="4405" t="s">
        <v>5300</v>
      </c>
      <c r="M142" s="5634" t="s">
        <v>5301</v>
      </c>
      <c r="N142" s="5635" t="s">
        <v>5302</v>
      </c>
      <c r="O142" s="1576" t="s">
        <v>5303</v>
      </c>
      <c r="P142" s="4379" t="s">
        <v>5304</v>
      </c>
      <c r="Q142" s="1576" t="s">
        <v>5305</v>
      </c>
      <c r="R142" s="4379" t="s">
        <v>5306</v>
      </c>
      <c r="S142" s="5634" t="s">
        <v>5307</v>
      </c>
      <c r="T142" s="4379" t="s">
        <v>5308</v>
      </c>
      <c r="U142" s="5634" t="s">
        <v>5309</v>
      </c>
      <c r="V142" s="4379" t="s">
        <v>5310</v>
      </c>
      <c r="W142" s="1576" t="s">
        <v>5311</v>
      </c>
      <c r="X142" s="4405" t="s">
        <v>5312</v>
      </c>
      <c r="Y142" s="5634" t="s">
        <v>5313</v>
      </c>
      <c r="Z142" s="4405" t="s">
        <v>5314</v>
      </c>
      <c r="AA142" s="5634" t="s">
        <v>5315</v>
      </c>
      <c r="AB142" s="4379" t="s">
        <v>5316</v>
      </c>
      <c r="AC142" s="5634" t="s">
        <v>5317</v>
      </c>
      <c r="AD142" s="4379" t="s">
        <v>5318</v>
      </c>
      <c r="AE142" s="5634" t="s">
        <v>5319</v>
      </c>
      <c r="AF142" s="4379" t="s">
        <v>5320</v>
      </c>
      <c r="AG142" s="5634" t="s">
        <v>5321</v>
      </c>
      <c r="AH142" s="4379" t="s">
        <v>5322</v>
      </c>
      <c r="AI142" s="5634" t="s">
        <v>5323</v>
      </c>
      <c r="AJ142" s="4379" t="s">
        <v>5324</v>
      </c>
      <c r="AK142" s="5634" t="s">
        <v>5325</v>
      </c>
      <c r="AL142" s="4379" t="s">
        <v>5326</v>
      </c>
      <c r="AM142" s="5634" t="s">
        <v>5327</v>
      </c>
      <c r="AN142" s="5635" t="s">
        <v>5328</v>
      </c>
      <c r="AO142" s="4378" t="s">
        <v>5329</v>
      </c>
      <c r="AP142" s="4379" t="s">
        <v>5330</v>
      </c>
      <c r="AQ142" s="4379" t="s">
        <v>5331</v>
      </c>
      <c r="AR142" s="4379" t="s">
        <v>5332</v>
      </c>
      <c r="AS142" s="4379" t="s">
        <v>5333</v>
      </c>
      <c r="AT142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2" s="2465" t="str">
        <f t="shared" si="76"/>
        <v xml:space="preserve"> * Niños, Niñas, Adolescentes y Jóvenes Mejor Niñez No puede ser mayor al Total.</v>
      </c>
      <c r="CE142" s="2465" t="str">
        <f t="shared" si="78"/>
        <v xml:space="preserve"> * La variable Pueblos Originarios No puede ser mayor al Total.</v>
      </c>
      <c r="CF142" s="2465" t="str">
        <f t="shared" si="79"/>
        <v xml:space="preserve"> * La variable Migrantes No puede ser mayor al Total.</v>
      </c>
      <c r="CG142" s="2465" t="str">
        <f t="shared" si="80"/>
        <v xml:space="preserve"> * La variable Demencia No puede ser mayor al Total.</v>
      </c>
      <c r="CH142" s="2465" t="str">
        <f t="shared" si="81"/>
        <v xml:space="preserve"> * La variable Espacios Amigables/adolescentes No puede ser mayor al Total.</v>
      </c>
      <c r="CI142" s="5831"/>
      <c r="CJ142" s="5831"/>
      <c r="CL142" s="2466">
        <f t="shared" si="82"/>
        <v>1</v>
      </c>
      <c r="CM142" s="2466">
        <f t="shared" si="83"/>
        <v>1</v>
      </c>
      <c r="CN142" s="2466">
        <f t="shared" si="84"/>
        <v>1</v>
      </c>
      <c r="CO142" s="2466">
        <f t="shared" si="85"/>
        <v>1</v>
      </c>
      <c r="CP142" s="2466">
        <f t="shared" si="86"/>
        <v>1</v>
      </c>
    </row>
    <row r="143" spans="1:96" s="170" customFormat="1" ht="20.399999999999999" x14ac:dyDescent="0.2">
      <c r="A143" s="6240">
        <v>32100790</v>
      </c>
      <c r="B143" s="6925"/>
      <c r="C143" s="1200" t="s">
        <v>82</v>
      </c>
      <c r="D143" s="5636" t="s">
        <v>5292</v>
      </c>
      <c r="E143" s="5637" t="s">
        <v>5293</v>
      </c>
      <c r="F143" s="5638" t="s">
        <v>5294</v>
      </c>
      <c r="G143" s="5639" t="s">
        <v>5295</v>
      </c>
      <c r="H143" s="5640" t="s">
        <v>5296</v>
      </c>
      <c r="I143" s="5639" t="s">
        <v>5297</v>
      </c>
      <c r="J143" s="5640" t="s">
        <v>5298</v>
      </c>
      <c r="K143" s="5639" t="s">
        <v>5299</v>
      </c>
      <c r="L143" s="5640" t="s">
        <v>5300</v>
      </c>
      <c r="M143" s="1602" t="s">
        <v>5301</v>
      </c>
      <c r="N143" s="4376" t="s">
        <v>5302</v>
      </c>
      <c r="O143" s="5639" t="s">
        <v>5303</v>
      </c>
      <c r="P143" s="4381" t="s">
        <v>5304</v>
      </c>
      <c r="Q143" s="5639" t="s">
        <v>5305</v>
      </c>
      <c r="R143" s="4381" t="s">
        <v>5306</v>
      </c>
      <c r="S143" s="1602" t="s">
        <v>5307</v>
      </c>
      <c r="T143" s="4381" t="s">
        <v>5308</v>
      </c>
      <c r="U143" s="1602" t="s">
        <v>5309</v>
      </c>
      <c r="V143" s="4381" t="s">
        <v>5310</v>
      </c>
      <c r="W143" s="5639" t="s">
        <v>5311</v>
      </c>
      <c r="X143" s="5640" t="s">
        <v>5312</v>
      </c>
      <c r="Y143" s="1602" t="s">
        <v>5313</v>
      </c>
      <c r="Z143" s="5640" t="s">
        <v>5314</v>
      </c>
      <c r="AA143" s="1602" t="s">
        <v>5315</v>
      </c>
      <c r="AB143" s="4381" t="s">
        <v>5316</v>
      </c>
      <c r="AC143" s="1602" t="s">
        <v>5317</v>
      </c>
      <c r="AD143" s="4381" t="s">
        <v>5318</v>
      </c>
      <c r="AE143" s="1602" t="s">
        <v>5319</v>
      </c>
      <c r="AF143" s="4381" t="s">
        <v>5320</v>
      </c>
      <c r="AG143" s="1602" t="s">
        <v>5321</v>
      </c>
      <c r="AH143" s="4381" t="s">
        <v>5322</v>
      </c>
      <c r="AI143" s="1602" t="s">
        <v>5323</v>
      </c>
      <c r="AJ143" s="4381" t="s">
        <v>5324</v>
      </c>
      <c r="AK143" s="1602" t="s">
        <v>5325</v>
      </c>
      <c r="AL143" s="4381" t="s">
        <v>5326</v>
      </c>
      <c r="AM143" s="1602" t="s">
        <v>5327</v>
      </c>
      <c r="AN143" s="4376" t="s">
        <v>5328</v>
      </c>
      <c r="AO143" s="4380" t="s">
        <v>5329</v>
      </c>
      <c r="AP143" s="4381" t="s">
        <v>5330</v>
      </c>
      <c r="AQ143" s="4381" t="s">
        <v>5331</v>
      </c>
      <c r="AR143" s="4381" t="s">
        <v>5332</v>
      </c>
      <c r="AS143" s="4381" t="s">
        <v>5333</v>
      </c>
      <c r="AT143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3" s="2465" t="str">
        <f t="shared" si="76"/>
        <v xml:space="preserve"> * Niños, Niñas, Adolescentes y Jóvenes Mejor Niñez No puede ser mayor al Total.</v>
      </c>
      <c r="CE143" s="2465" t="str">
        <f t="shared" si="78"/>
        <v xml:space="preserve"> * La variable Pueblos Originarios No puede ser mayor al Total.</v>
      </c>
      <c r="CF143" s="2465" t="str">
        <f t="shared" si="79"/>
        <v xml:space="preserve"> * La variable Migrantes No puede ser mayor al Total.</v>
      </c>
      <c r="CG143" s="2465" t="str">
        <f t="shared" si="80"/>
        <v xml:space="preserve"> * La variable Demencia No puede ser mayor al Total.</v>
      </c>
      <c r="CH143" s="2465" t="str">
        <f t="shared" si="81"/>
        <v xml:space="preserve"> * La variable Espacios Amigables/adolescentes No puede ser mayor al Total.</v>
      </c>
      <c r="CI143" s="5831"/>
      <c r="CJ143" s="5831"/>
      <c r="CL143" s="2466">
        <f t="shared" si="82"/>
        <v>1</v>
      </c>
      <c r="CM143" s="2466">
        <f t="shared" si="83"/>
        <v>1</v>
      </c>
      <c r="CN143" s="2466">
        <f t="shared" si="84"/>
        <v>1</v>
      </c>
      <c r="CO143" s="2466">
        <f t="shared" si="85"/>
        <v>1</v>
      </c>
      <c r="CP143" s="2466">
        <f t="shared" si="86"/>
        <v>1</v>
      </c>
    </row>
    <row r="144" spans="1:96" s="170" customFormat="1" ht="15" customHeight="1" x14ac:dyDescent="0.2">
      <c r="A144" s="6304"/>
      <c r="B144" s="6926"/>
      <c r="C144" s="5641" t="s">
        <v>24</v>
      </c>
      <c r="D144" s="5642">
        <v>0</v>
      </c>
      <c r="E144" s="5643">
        <v>0</v>
      </c>
      <c r="F144" s="5644">
        <v>0</v>
      </c>
      <c r="G144" s="5645">
        <v>0</v>
      </c>
      <c r="H144" s="5646">
        <v>0</v>
      </c>
      <c r="I144" s="5645">
        <v>0</v>
      </c>
      <c r="J144" s="5646">
        <v>0</v>
      </c>
      <c r="K144" s="5645">
        <v>0</v>
      </c>
      <c r="L144" s="5646">
        <v>0</v>
      </c>
      <c r="M144" s="5647">
        <v>0</v>
      </c>
      <c r="N144" s="5648">
        <v>0</v>
      </c>
      <c r="O144" s="5645">
        <v>0</v>
      </c>
      <c r="P144" s="5649">
        <v>0</v>
      </c>
      <c r="Q144" s="5645">
        <v>0</v>
      </c>
      <c r="R144" s="5649">
        <v>0</v>
      </c>
      <c r="S144" s="5650">
        <v>0</v>
      </c>
      <c r="T144" s="5649">
        <v>0</v>
      </c>
      <c r="U144" s="5645">
        <v>0</v>
      </c>
      <c r="V144" s="5646">
        <v>0</v>
      </c>
      <c r="W144" s="5651">
        <v>0</v>
      </c>
      <c r="X144" s="5649">
        <v>0</v>
      </c>
      <c r="Y144" s="5647">
        <v>0</v>
      </c>
      <c r="Z144" s="5646">
        <v>0</v>
      </c>
      <c r="AA144" s="5651">
        <v>0</v>
      </c>
      <c r="AB144" s="5646">
        <v>0</v>
      </c>
      <c r="AC144" s="5651">
        <v>0</v>
      </c>
      <c r="AD144" s="5646">
        <v>0</v>
      </c>
      <c r="AE144" s="5651">
        <v>0</v>
      </c>
      <c r="AF144" s="5646">
        <v>0</v>
      </c>
      <c r="AG144" s="5651">
        <v>0</v>
      </c>
      <c r="AH144" s="5646">
        <v>0</v>
      </c>
      <c r="AI144" s="5651">
        <v>0</v>
      </c>
      <c r="AJ144" s="5646">
        <v>0</v>
      </c>
      <c r="AK144" s="5651">
        <v>0</v>
      </c>
      <c r="AL144" s="5646">
        <v>0</v>
      </c>
      <c r="AM144" s="5651">
        <v>0</v>
      </c>
      <c r="AN144" s="5650">
        <v>0</v>
      </c>
      <c r="AO144" s="5652">
        <v>0</v>
      </c>
      <c r="AP144" s="5646">
        <v>0</v>
      </c>
      <c r="AQ144" s="5646">
        <v>0</v>
      </c>
      <c r="AR144" s="5646">
        <v>0</v>
      </c>
      <c r="AS144" s="5646">
        <v>0</v>
      </c>
    </row>
    <row r="145" spans="1:94" s="170" customFormat="1" ht="15" customHeight="1" x14ac:dyDescent="0.2">
      <c r="A145" s="6240">
        <v>32100810</v>
      </c>
      <c r="B145" s="6925" t="s">
        <v>1397</v>
      </c>
      <c r="C145" s="1347" t="s">
        <v>74</v>
      </c>
      <c r="D145" s="1605" t="s">
        <v>5292</v>
      </c>
      <c r="E145" s="5616" t="s">
        <v>5293</v>
      </c>
      <c r="F145" s="5617" t="s">
        <v>5294</v>
      </c>
      <c r="G145" s="1579" t="s">
        <v>5295</v>
      </c>
      <c r="H145" s="5618" t="s">
        <v>5296</v>
      </c>
      <c r="I145" s="1579" t="s">
        <v>5297</v>
      </c>
      <c r="J145" s="5618" t="s">
        <v>5298</v>
      </c>
      <c r="K145" s="1579" t="s">
        <v>5299</v>
      </c>
      <c r="L145" s="5618" t="s">
        <v>5300</v>
      </c>
      <c r="M145" s="1606" t="s">
        <v>5301</v>
      </c>
      <c r="N145" s="5619" t="s">
        <v>5302</v>
      </c>
      <c r="O145" s="1579" t="s">
        <v>5303</v>
      </c>
      <c r="P145" s="5620" t="s">
        <v>5304</v>
      </c>
      <c r="Q145" s="1579" t="s">
        <v>5305</v>
      </c>
      <c r="R145" s="5620" t="s">
        <v>5306</v>
      </c>
      <c r="S145" s="1606" t="s">
        <v>5307</v>
      </c>
      <c r="T145" s="5620" t="s">
        <v>5308</v>
      </c>
      <c r="U145" s="1606" t="s">
        <v>5309</v>
      </c>
      <c r="V145" s="5620" t="s">
        <v>5310</v>
      </c>
      <c r="W145" s="1579" t="s">
        <v>5311</v>
      </c>
      <c r="X145" s="5618" t="s">
        <v>5312</v>
      </c>
      <c r="Y145" s="1606" t="s">
        <v>5313</v>
      </c>
      <c r="Z145" s="5618" t="s">
        <v>5314</v>
      </c>
      <c r="AA145" s="1606" t="s">
        <v>5315</v>
      </c>
      <c r="AB145" s="5620" t="s">
        <v>5316</v>
      </c>
      <c r="AC145" s="1606" t="s">
        <v>5317</v>
      </c>
      <c r="AD145" s="5620" t="s">
        <v>5318</v>
      </c>
      <c r="AE145" s="1606" t="s">
        <v>5319</v>
      </c>
      <c r="AF145" s="5620" t="s">
        <v>5320</v>
      </c>
      <c r="AG145" s="1606" t="s">
        <v>5321</v>
      </c>
      <c r="AH145" s="5620" t="s">
        <v>5322</v>
      </c>
      <c r="AI145" s="1606" t="s">
        <v>5323</v>
      </c>
      <c r="AJ145" s="5620" t="s">
        <v>5324</v>
      </c>
      <c r="AK145" s="1606" t="s">
        <v>5325</v>
      </c>
      <c r="AL145" s="5620" t="s">
        <v>5326</v>
      </c>
      <c r="AM145" s="1606" t="s">
        <v>5327</v>
      </c>
      <c r="AN145" s="5619" t="s">
        <v>5328</v>
      </c>
      <c r="AO145" s="5621" t="s">
        <v>5329</v>
      </c>
      <c r="AP145" s="5620" t="s">
        <v>5330</v>
      </c>
      <c r="AQ145" s="5620" t="s">
        <v>5331</v>
      </c>
      <c r="AR145" s="5620" t="s">
        <v>5332</v>
      </c>
      <c r="AS145" s="5620" t="s">
        <v>5333</v>
      </c>
      <c r="AT145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5" s="2465" t="str">
        <f>IF(AND(D145&gt;0,AO145="")," * No olvide digitar Niños, Niñas, Adolescentes y Jóvenes Mejor Niñez. Digite Cero si no tiene",IF(AO145&gt;D145," * Niños, Niñas, Adolescentes y Jóvenes Mejor Niñez No puede ser mayor al Total.",""))</f>
        <v xml:space="preserve"> * Niños, Niñas, Adolescentes y Jóvenes Mejor Niñez No puede ser mayor al Total.</v>
      </c>
      <c r="CE145" s="2465" t="str">
        <f>IF(AND(D145&gt;0,AP145="")," * No olvide digitar la variable Pueblos originarios. Digite cero si no tiene",IF(AP145&gt;D145," * La variable Pueblos Originarios No puede ser mayor al Total.",""))</f>
        <v xml:space="preserve"> * La variable Pueblos Originarios No puede ser mayor al Total.</v>
      </c>
      <c r="CF145" s="2465" t="str">
        <f>IF(AND(D145&gt;0,AQ145="")," * No olvide digitar la variable Migrantes. Digite cero si no tiene.",IF(AQ145&gt;D145," * La variable Migrantes No puede ser mayor al Total.",""))</f>
        <v xml:space="preserve"> * La variable Migrantes No puede ser mayor al Total.</v>
      </c>
      <c r="CG145" s="2465" t="str">
        <f>IF(AND(D145&gt;0,AR145="")," * No olvide digitar la variable Demencia. Digite cero si no tiene.",IF(AR145&gt;D145," * La variable Demencia No puede ser mayor al Total.",""))</f>
        <v xml:space="preserve"> * La variable Demencia No puede ser mayor al Total.</v>
      </c>
      <c r="CH145" s="2465" t="str">
        <f>IF(AND(D145&gt;0,AS145="")," * No olvide digitar la variable Espacios Amigables/Adolescentes. Digite cero si no tiene.",IF(AS145&gt;D145," * La variable Espacios Amigables/adolescentes No puede ser mayor al Total.",""))</f>
        <v xml:space="preserve"> * La variable Espacios Amigables/adolescentes No puede ser mayor al Total.</v>
      </c>
      <c r="CI145" s="5831"/>
      <c r="CJ145" s="5831"/>
      <c r="CL145" s="2466">
        <f t="shared" si="82"/>
        <v>1</v>
      </c>
      <c r="CM145" s="2466">
        <f t="shared" si="83"/>
        <v>1</v>
      </c>
      <c r="CN145" s="2466">
        <f t="shared" si="84"/>
        <v>1</v>
      </c>
      <c r="CO145" s="2466">
        <f t="shared" si="85"/>
        <v>1</v>
      </c>
      <c r="CP145" s="2466">
        <f t="shared" si="86"/>
        <v>1</v>
      </c>
    </row>
    <row r="146" spans="1:94" s="170" customFormat="1" ht="15" customHeight="1" x14ac:dyDescent="0.2">
      <c r="A146" s="6240">
        <v>32100820</v>
      </c>
      <c r="B146" s="7781"/>
      <c r="C146" s="1139" t="s">
        <v>75</v>
      </c>
      <c r="D146" s="1592" t="s">
        <v>5292</v>
      </c>
      <c r="E146" s="1593" t="s">
        <v>5293</v>
      </c>
      <c r="F146" s="1594" t="s">
        <v>5294</v>
      </c>
      <c r="G146" s="1576" t="s">
        <v>5295</v>
      </c>
      <c r="H146" s="1578" t="s">
        <v>5296</v>
      </c>
      <c r="I146" s="1576" t="s">
        <v>5297</v>
      </c>
      <c r="J146" s="1578" t="s">
        <v>5298</v>
      </c>
      <c r="K146" s="1576" t="s">
        <v>5299</v>
      </c>
      <c r="L146" s="1578" t="s">
        <v>5300</v>
      </c>
      <c r="M146" s="1582" t="s">
        <v>5301</v>
      </c>
      <c r="N146" s="1595" t="s">
        <v>5302</v>
      </c>
      <c r="O146" s="1576" t="s">
        <v>5303</v>
      </c>
      <c r="P146" s="1596" t="s">
        <v>5304</v>
      </c>
      <c r="Q146" s="1576" t="s">
        <v>5305</v>
      </c>
      <c r="R146" s="1596" t="s">
        <v>5306</v>
      </c>
      <c r="S146" s="1582" t="s">
        <v>5307</v>
      </c>
      <c r="T146" s="1596" t="s">
        <v>5308</v>
      </c>
      <c r="U146" s="1582" t="s">
        <v>5309</v>
      </c>
      <c r="V146" s="1596" t="s">
        <v>5310</v>
      </c>
      <c r="W146" s="1576" t="s">
        <v>5311</v>
      </c>
      <c r="X146" s="1578" t="s">
        <v>5312</v>
      </c>
      <c r="Y146" s="1582" t="s">
        <v>5313</v>
      </c>
      <c r="Z146" s="1578" t="s">
        <v>5314</v>
      </c>
      <c r="AA146" s="1582" t="s">
        <v>5315</v>
      </c>
      <c r="AB146" s="1596" t="s">
        <v>5316</v>
      </c>
      <c r="AC146" s="1582" t="s">
        <v>5317</v>
      </c>
      <c r="AD146" s="1596" t="s">
        <v>5318</v>
      </c>
      <c r="AE146" s="1582" t="s">
        <v>5319</v>
      </c>
      <c r="AF146" s="1596" t="s">
        <v>5320</v>
      </c>
      <c r="AG146" s="1582" t="s">
        <v>5321</v>
      </c>
      <c r="AH146" s="1596" t="s">
        <v>5322</v>
      </c>
      <c r="AI146" s="1582" t="s">
        <v>5323</v>
      </c>
      <c r="AJ146" s="1596" t="s">
        <v>5324</v>
      </c>
      <c r="AK146" s="1582" t="s">
        <v>5325</v>
      </c>
      <c r="AL146" s="1596" t="s">
        <v>5326</v>
      </c>
      <c r="AM146" s="1582" t="s">
        <v>5327</v>
      </c>
      <c r="AN146" s="4375" t="s">
        <v>5328</v>
      </c>
      <c r="AO146" s="4378" t="s">
        <v>5329</v>
      </c>
      <c r="AP146" s="4379" t="s">
        <v>5330</v>
      </c>
      <c r="AQ146" s="4379" t="s">
        <v>5331</v>
      </c>
      <c r="AR146" s="4379" t="s">
        <v>5332</v>
      </c>
      <c r="AS146" s="4379" t="s">
        <v>5333</v>
      </c>
      <c r="AT146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6" s="2465" t="str">
        <f t="shared" ref="CD146:CD154" si="87">IF(AND(D146&gt;0,AO146="")," * No olvide digitar Niños, Niñas, Adolescentes y Jóvenes Mejor Niñez. Digite Cero si no tiene",IF(AO146&gt;D146," * Niños, Niñas, Adolescentes y Jóvenes Mejor Niñez No puede ser mayor al Total.",""))</f>
        <v xml:space="preserve"> * Niños, Niñas, Adolescentes y Jóvenes Mejor Niñez No puede ser mayor al Total.</v>
      </c>
      <c r="CE146" s="2465" t="str">
        <f t="shared" ref="CE146:CE154" si="88">IF(AND(D146&gt;0,AP146="")," * No olvide digitar la variable Pueblos originarios. Digite cero si no tiene",IF(AP146&gt;D146," * La variable Pueblos Originarios No puede ser mayor al Total.",""))</f>
        <v xml:space="preserve"> * La variable Pueblos Originarios No puede ser mayor al Total.</v>
      </c>
      <c r="CF146" s="2465" t="str">
        <f t="shared" ref="CF146:CF154" si="89">IF(AND(D146&gt;0,AQ146="")," * No olvide digitar la variable Migrantes. Digite cero si no tiene.",IF(AQ146&gt;D146," * La variable Migrantes No puede ser mayor al Total.",""))</f>
        <v xml:space="preserve"> * La variable Migrantes No puede ser mayor al Total.</v>
      </c>
      <c r="CG146" s="2465" t="str">
        <f t="shared" ref="CG146:CG154" si="90">IF(AND(D146&gt;0,AR146="")," * No olvide digitar la variable Demencia. Digite cero si no tiene.",IF(AR146&gt;D146," * La variable Demencia No puede ser mayor al Total.",""))</f>
        <v xml:space="preserve"> * La variable Demencia No puede ser mayor al Total.</v>
      </c>
      <c r="CH146" s="2465" t="str">
        <f t="shared" ref="CH146:CH154" si="91">IF(AND(D146&gt;0,AS146="")," * No olvide digitar la variable Espacios Amigables/Adolescentes. Digite cero si no tiene.",IF(AS146&gt;D146," * La variable Espacios Amigables/adolescentes No puede ser mayor al Total.",""))</f>
        <v xml:space="preserve"> * La variable Espacios Amigables/adolescentes No puede ser mayor al Total.</v>
      </c>
      <c r="CI146" s="5831"/>
      <c r="CJ146" s="5831"/>
      <c r="CL146" s="2466">
        <f t="shared" si="82"/>
        <v>1</v>
      </c>
      <c r="CM146" s="2466">
        <f t="shared" si="83"/>
        <v>1</v>
      </c>
      <c r="CN146" s="2466">
        <f t="shared" si="84"/>
        <v>1</v>
      </c>
      <c r="CO146" s="2466">
        <f t="shared" si="85"/>
        <v>1</v>
      </c>
      <c r="CP146" s="2466">
        <f t="shared" si="86"/>
        <v>1</v>
      </c>
    </row>
    <row r="147" spans="1:94" s="170" customFormat="1" ht="15" customHeight="1" x14ac:dyDescent="0.2">
      <c r="A147" s="6240">
        <v>32100830</v>
      </c>
      <c r="B147" s="7781"/>
      <c r="C147" s="1139" t="s">
        <v>76</v>
      </c>
      <c r="D147" s="1592" t="s">
        <v>5292</v>
      </c>
      <c r="E147" s="1593" t="s">
        <v>5293</v>
      </c>
      <c r="F147" s="1594" t="s">
        <v>5294</v>
      </c>
      <c r="G147" s="1576" t="s">
        <v>5295</v>
      </c>
      <c r="H147" s="1578" t="s">
        <v>5296</v>
      </c>
      <c r="I147" s="1576" t="s">
        <v>5297</v>
      </c>
      <c r="J147" s="1578" t="s">
        <v>5298</v>
      </c>
      <c r="K147" s="1576" t="s">
        <v>5299</v>
      </c>
      <c r="L147" s="1578" t="s">
        <v>5300</v>
      </c>
      <c r="M147" s="1582" t="s">
        <v>5301</v>
      </c>
      <c r="N147" s="1595" t="s">
        <v>5302</v>
      </c>
      <c r="O147" s="1576" t="s">
        <v>5303</v>
      </c>
      <c r="P147" s="1596" t="s">
        <v>5304</v>
      </c>
      <c r="Q147" s="1576" t="s">
        <v>5305</v>
      </c>
      <c r="R147" s="1596" t="s">
        <v>5306</v>
      </c>
      <c r="S147" s="1582" t="s">
        <v>5307</v>
      </c>
      <c r="T147" s="1596" t="s">
        <v>5308</v>
      </c>
      <c r="U147" s="1582" t="s">
        <v>5309</v>
      </c>
      <c r="V147" s="1596" t="s">
        <v>5310</v>
      </c>
      <c r="W147" s="1576" t="s">
        <v>5311</v>
      </c>
      <c r="X147" s="1578" t="s">
        <v>5312</v>
      </c>
      <c r="Y147" s="1582" t="s">
        <v>5313</v>
      </c>
      <c r="Z147" s="1578" t="s">
        <v>5314</v>
      </c>
      <c r="AA147" s="1582" t="s">
        <v>5315</v>
      </c>
      <c r="AB147" s="1596" t="s">
        <v>5316</v>
      </c>
      <c r="AC147" s="1582" t="s">
        <v>5317</v>
      </c>
      <c r="AD147" s="1596" t="s">
        <v>5318</v>
      </c>
      <c r="AE147" s="1582" t="s">
        <v>5319</v>
      </c>
      <c r="AF147" s="1596" t="s">
        <v>5320</v>
      </c>
      <c r="AG147" s="1582" t="s">
        <v>5321</v>
      </c>
      <c r="AH147" s="1596" t="s">
        <v>5322</v>
      </c>
      <c r="AI147" s="1582" t="s">
        <v>5323</v>
      </c>
      <c r="AJ147" s="1596" t="s">
        <v>5324</v>
      </c>
      <c r="AK147" s="1582" t="s">
        <v>5325</v>
      </c>
      <c r="AL147" s="1596" t="s">
        <v>5326</v>
      </c>
      <c r="AM147" s="1582" t="s">
        <v>5327</v>
      </c>
      <c r="AN147" s="4375" t="s">
        <v>5328</v>
      </c>
      <c r="AO147" s="4378" t="s">
        <v>5329</v>
      </c>
      <c r="AP147" s="4379" t="s">
        <v>5330</v>
      </c>
      <c r="AQ147" s="4379" t="s">
        <v>5331</v>
      </c>
      <c r="AR147" s="4379" t="s">
        <v>5332</v>
      </c>
      <c r="AS147" s="4379" t="s">
        <v>5333</v>
      </c>
      <c r="AT147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7" s="2465" t="str">
        <f t="shared" si="87"/>
        <v xml:space="preserve"> * Niños, Niñas, Adolescentes y Jóvenes Mejor Niñez No puede ser mayor al Total.</v>
      </c>
      <c r="CE147" s="2465" t="str">
        <f t="shared" si="88"/>
        <v xml:space="preserve"> * La variable Pueblos Originarios No puede ser mayor al Total.</v>
      </c>
      <c r="CF147" s="2465" t="str">
        <f t="shared" si="89"/>
        <v xml:space="preserve"> * La variable Migrantes No puede ser mayor al Total.</v>
      </c>
      <c r="CG147" s="2465" t="str">
        <f t="shared" si="90"/>
        <v xml:space="preserve"> * La variable Demencia No puede ser mayor al Total.</v>
      </c>
      <c r="CH147" s="2465" t="str">
        <f t="shared" si="91"/>
        <v xml:space="preserve"> * La variable Espacios Amigables/adolescentes No puede ser mayor al Total.</v>
      </c>
      <c r="CI147" s="5831"/>
      <c r="CJ147" s="5831"/>
      <c r="CL147" s="2466">
        <f t="shared" si="82"/>
        <v>1</v>
      </c>
      <c r="CM147" s="2466">
        <f t="shared" si="83"/>
        <v>1</v>
      </c>
      <c r="CN147" s="2466">
        <f t="shared" si="84"/>
        <v>1</v>
      </c>
      <c r="CO147" s="2466">
        <f t="shared" si="85"/>
        <v>1</v>
      </c>
      <c r="CP147" s="2466">
        <f t="shared" si="86"/>
        <v>1</v>
      </c>
    </row>
    <row r="148" spans="1:94" s="170" customFormat="1" ht="15" customHeight="1" x14ac:dyDescent="0.2">
      <c r="A148" s="6240">
        <v>32100840</v>
      </c>
      <c r="B148" s="7781"/>
      <c r="C148" s="1139" t="s">
        <v>1317</v>
      </c>
      <c r="D148" s="1592" t="s">
        <v>5292</v>
      </c>
      <c r="E148" s="1593" t="s">
        <v>5293</v>
      </c>
      <c r="F148" s="1594" t="s">
        <v>5294</v>
      </c>
      <c r="G148" s="1576" t="s">
        <v>5295</v>
      </c>
      <c r="H148" s="1578" t="s">
        <v>5296</v>
      </c>
      <c r="I148" s="1576" t="s">
        <v>5297</v>
      </c>
      <c r="J148" s="1578" t="s">
        <v>5298</v>
      </c>
      <c r="K148" s="1576" t="s">
        <v>5299</v>
      </c>
      <c r="L148" s="1578" t="s">
        <v>5300</v>
      </c>
      <c r="M148" s="1582" t="s">
        <v>5301</v>
      </c>
      <c r="N148" s="1595" t="s">
        <v>5302</v>
      </c>
      <c r="O148" s="1576" t="s">
        <v>5303</v>
      </c>
      <c r="P148" s="1596" t="s">
        <v>5304</v>
      </c>
      <c r="Q148" s="1576" t="s">
        <v>5305</v>
      </c>
      <c r="R148" s="1596" t="s">
        <v>5306</v>
      </c>
      <c r="S148" s="1582" t="s">
        <v>5307</v>
      </c>
      <c r="T148" s="1596" t="s">
        <v>5308</v>
      </c>
      <c r="U148" s="1582" t="s">
        <v>5309</v>
      </c>
      <c r="V148" s="1596" t="s">
        <v>5310</v>
      </c>
      <c r="W148" s="1576" t="s">
        <v>5311</v>
      </c>
      <c r="X148" s="1578" t="s">
        <v>5312</v>
      </c>
      <c r="Y148" s="1582" t="s">
        <v>5313</v>
      </c>
      <c r="Z148" s="1578" t="s">
        <v>5314</v>
      </c>
      <c r="AA148" s="1582" t="s">
        <v>5315</v>
      </c>
      <c r="AB148" s="1596" t="s">
        <v>5316</v>
      </c>
      <c r="AC148" s="1582" t="s">
        <v>5317</v>
      </c>
      <c r="AD148" s="1596" t="s">
        <v>5318</v>
      </c>
      <c r="AE148" s="1582" t="s">
        <v>5319</v>
      </c>
      <c r="AF148" s="1596" t="s">
        <v>5320</v>
      </c>
      <c r="AG148" s="1582" t="s">
        <v>5321</v>
      </c>
      <c r="AH148" s="1596" t="s">
        <v>5322</v>
      </c>
      <c r="AI148" s="1582" t="s">
        <v>5323</v>
      </c>
      <c r="AJ148" s="1596" t="s">
        <v>5324</v>
      </c>
      <c r="AK148" s="1582" t="s">
        <v>5325</v>
      </c>
      <c r="AL148" s="1596" t="s">
        <v>5326</v>
      </c>
      <c r="AM148" s="1582" t="s">
        <v>5327</v>
      </c>
      <c r="AN148" s="4375" t="s">
        <v>5328</v>
      </c>
      <c r="AO148" s="4378" t="s">
        <v>5329</v>
      </c>
      <c r="AP148" s="4379" t="s">
        <v>5330</v>
      </c>
      <c r="AQ148" s="4379" t="s">
        <v>5331</v>
      </c>
      <c r="AR148" s="4379" t="s">
        <v>5332</v>
      </c>
      <c r="AS148" s="4379" t="s">
        <v>5333</v>
      </c>
      <c r="AT148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8" s="2465" t="str">
        <f t="shared" si="87"/>
        <v xml:space="preserve"> * Niños, Niñas, Adolescentes y Jóvenes Mejor Niñez No puede ser mayor al Total.</v>
      </c>
      <c r="CE148" s="2465" t="str">
        <f t="shared" si="88"/>
        <v xml:space="preserve"> * La variable Pueblos Originarios No puede ser mayor al Total.</v>
      </c>
      <c r="CF148" s="2465" t="str">
        <f t="shared" si="89"/>
        <v xml:space="preserve"> * La variable Migrantes No puede ser mayor al Total.</v>
      </c>
      <c r="CG148" s="2465" t="str">
        <f t="shared" si="90"/>
        <v xml:space="preserve"> * La variable Demencia No puede ser mayor al Total.</v>
      </c>
      <c r="CH148" s="2465" t="str">
        <f t="shared" si="91"/>
        <v xml:space="preserve"> * La variable Espacios Amigables/adolescentes No puede ser mayor al Total.</v>
      </c>
      <c r="CI148" s="5831"/>
      <c r="CJ148" s="5831"/>
      <c r="CL148" s="2466">
        <f t="shared" si="82"/>
        <v>1</v>
      </c>
      <c r="CM148" s="2466">
        <f t="shared" si="83"/>
        <v>1</v>
      </c>
      <c r="CN148" s="2466">
        <f t="shared" si="84"/>
        <v>1</v>
      </c>
      <c r="CO148" s="2466">
        <f t="shared" si="85"/>
        <v>1</v>
      </c>
      <c r="CP148" s="2466">
        <f t="shared" si="86"/>
        <v>1</v>
      </c>
    </row>
    <row r="149" spans="1:94" s="170" customFormat="1" ht="15" customHeight="1" x14ac:dyDescent="0.2">
      <c r="A149" s="6240">
        <v>32100850</v>
      </c>
      <c r="B149" s="7781"/>
      <c r="C149" s="1139" t="s">
        <v>62</v>
      </c>
      <c r="D149" s="1592" t="s">
        <v>5292</v>
      </c>
      <c r="E149" s="1593" t="s">
        <v>5293</v>
      </c>
      <c r="F149" s="1594" t="s">
        <v>5294</v>
      </c>
      <c r="G149" s="1576" t="s">
        <v>5295</v>
      </c>
      <c r="H149" s="1578" t="s">
        <v>5296</v>
      </c>
      <c r="I149" s="1576" t="s">
        <v>5297</v>
      </c>
      <c r="J149" s="1578" t="s">
        <v>5298</v>
      </c>
      <c r="K149" s="1576" t="s">
        <v>5299</v>
      </c>
      <c r="L149" s="1578" t="s">
        <v>5300</v>
      </c>
      <c r="M149" s="1582" t="s">
        <v>5301</v>
      </c>
      <c r="N149" s="1595" t="s">
        <v>5302</v>
      </c>
      <c r="O149" s="1576" t="s">
        <v>5303</v>
      </c>
      <c r="P149" s="1596" t="s">
        <v>5304</v>
      </c>
      <c r="Q149" s="1576" t="s">
        <v>5305</v>
      </c>
      <c r="R149" s="1596" t="s">
        <v>5306</v>
      </c>
      <c r="S149" s="1582" t="s">
        <v>5307</v>
      </c>
      <c r="T149" s="1596" t="s">
        <v>5308</v>
      </c>
      <c r="U149" s="1582" t="s">
        <v>5309</v>
      </c>
      <c r="V149" s="1596" t="s">
        <v>5310</v>
      </c>
      <c r="W149" s="1576" t="s">
        <v>5311</v>
      </c>
      <c r="X149" s="1578" t="s">
        <v>5312</v>
      </c>
      <c r="Y149" s="1582" t="s">
        <v>5313</v>
      </c>
      <c r="Z149" s="1578" t="s">
        <v>5314</v>
      </c>
      <c r="AA149" s="1582" t="s">
        <v>5315</v>
      </c>
      <c r="AB149" s="1596" t="s">
        <v>5316</v>
      </c>
      <c r="AC149" s="1582" t="s">
        <v>5317</v>
      </c>
      <c r="AD149" s="1596" t="s">
        <v>5318</v>
      </c>
      <c r="AE149" s="1582" t="s">
        <v>5319</v>
      </c>
      <c r="AF149" s="1596" t="s">
        <v>5320</v>
      </c>
      <c r="AG149" s="1582" t="s">
        <v>5321</v>
      </c>
      <c r="AH149" s="1596" t="s">
        <v>5322</v>
      </c>
      <c r="AI149" s="1582" t="s">
        <v>5323</v>
      </c>
      <c r="AJ149" s="1596" t="s">
        <v>5324</v>
      </c>
      <c r="AK149" s="1582" t="s">
        <v>5325</v>
      </c>
      <c r="AL149" s="1596" t="s">
        <v>5326</v>
      </c>
      <c r="AM149" s="1582" t="s">
        <v>5327</v>
      </c>
      <c r="AN149" s="4375" t="s">
        <v>5328</v>
      </c>
      <c r="AO149" s="4378" t="s">
        <v>5329</v>
      </c>
      <c r="AP149" s="4379" t="s">
        <v>5330</v>
      </c>
      <c r="AQ149" s="4379" t="s">
        <v>5331</v>
      </c>
      <c r="AR149" s="4379" t="s">
        <v>5332</v>
      </c>
      <c r="AS149" s="4379" t="s">
        <v>5333</v>
      </c>
      <c r="AT149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49" s="2465" t="str">
        <f t="shared" si="87"/>
        <v xml:space="preserve"> * Niños, Niñas, Adolescentes y Jóvenes Mejor Niñez No puede ser mayor al Total.</v>
      </c>
      <c r="CE149" s="2465" t="str">
        <f t="shared" si="88"/>
        <v xml:space="preserve"> * La variable Pueblos Originarios No puede ser mayor al Total.</v>
      </c>
      <c r="CF149" s="2465" t="str">
        <f t="shared" si="89"/>
        <v xml:space="preserve"> * La variable Migrantes No puede ser mayor al Total.</v>
      </c>
      <c r="CG149" s="2465" t="str">
        <f t="shared" si="90"/>
        <v xml:space="preserve"> * La variable Demencia No puede ser mayor al Total.</v>
      </c>
      <c r="CH149" s="2465" t="str">
        <f t="shared" si="91"/>
        <v xml:space="preserve"> * La variable Espacios Amigables/adolescentes No puede ser mayor al Total.</v>
      </c>
      <c r="CI149" s="5831"/>
      <c r="CJ149" s="5831"/>
      <c r="CL149" s="2466">
        <f t="shared" si="82"/>
        <v>1</v>
      </c>
      <c r="CM149" s="2466">
        <f t="shared" si="83"/>
        <v>1</v>
      </c>
      <c r="CN149" s="2466">
        <f t="shared" si="84"/>
        <v>1</v>
      </c>
      <c r="CO149" s="2466">
        <f t="shared" si="85"/>
        <v>1</v>
      </c>
      <c r="CP149" s="2466">
        <f t="shared" si="86"/>
        <v>1</v>
      </c>
    </row>
    <row r="150" spans="1:94" s="170" customFormat="1" ht="15" customHeight="1" x14ac:dyDescent="0.2">
      <c r="A150" s="6240">
        <v>32100860</v>
      </c>
      <c r="B150" s="7781"/>
      <c r="C150" s="1139" t="s">
        <v>123</v>
      </c>
      <c r="D150" s="1592" t="s">
        <v>5292</v>
      </c>
      <c r="E150" s="1593" t="s">
        <v>5293</v>
      </c>
      <c r="F150" s="1594" t="s">
        <v>5294</v>
      </c>
      <c r="G150" s="1576" t="s">
        <v>5295</v>
      </c>
      <c r="H150" s="1578" t="s">
        <v>5296</v>
      </c>
      <c r="I150" s="1576" t="s">
        <v>5297</v>
      </c>
      <c r="J150" s="1578" t="s">
        <v>5298</v>
      </c>
      <c r="K150" s="1576" t="s">
        <v>5299</v>
      </c>
      <c r="L150" s="1578" t="s">
        <v>5300</v>
      </c>
      <c r="M150" s="1582" t="s">
        <v>5301</v>
      </c>
      <c r="N150" s="1595" t="s">
        <v>5302</v>
      </c>
      <c r="O150" s="1576" t="s">
        <v>5303</v>
      </c>
      <c r="P150" s="1596" t="s">
        <v>5304</v>
      </c>
      <c r="Q150" s="1576" t="s">
        <v>5305</v>
      </c>
      <c r="R150" s="1596" t="s">
        <v>5306</v>
      </c>
      <c r="S150" s="1582" t="s">
        <v>5307</v>
      </c>
      <c r="T150" s="1596" t="s">
        <v>5308</v>
      </c>
      <c r="U150" s="1582" t="s">
        <v>5309</v>
      </c>
      <c r="V150" s="1596" t="s">
        <v>5310</v>
      </c>
      <c r="W150" s="1576" t="s">
        <v>5311</v>
      </c>
      <c r="X150" s="1578" t="s">
        <v>5312</v>
      </c>
      <c r="Y150" s="1582" t="s">
        <v>5313</v>
      </c>
      <c r="Z150" s="1578" t="s">
        <v>5314</v>
      </c>
      <c r="AA150" s="1582" t="s">
        <v>5315</v>
      </c>
      <c r="AB150" s="1596" t="s">
        <v>5316</v>
      </c>
      <c r="AC150" s="1582" t="s">
        <v>5317</v>
      </c>
      <c r="AD150" s="1596" t="s">
        <v>5318</v>
      </c>
      <c r="AE150" s="1582" t="s">
        <v>5319</v>
      </c>
      <c r="AF150" s="1596" t="s">
        <v>5320</v>
      </c>
      <c r="AG150" s="1582" t="s">
        <v>5321</v>
      </c>
      <c r="AH150" s="1596" t="s">
        <v>5322</v>
      </c>
      <c r="AI150" s="1582" t="s">
        <v>5323</v>
      </c>
      <c r="AJ150" s="1596" t="s">
        <v>5324</v>
      </c>
      <c r="AK150" s="1582" t="s">
        <v>5325</v>
      </c>
      <c r="AL150" s="1596" t="s">
        <v>5326</v>
      </c>
      <c r="AM150" s="1582" t="s">
        <v>5327</v>
      </c>
      <c r="AN150" s="4375" t="s">
        <v>5328</v>
      </c>
      <c r="AO150" s="4378" t="s">
        <v>5329</v>
      </c>
      <c r="AP150" s="4379" t="s">
        <v>5330</v>
      </c>
      <c r="AQ150" s="4379" t="s">
        <v>5331</v>
      </c>
      <c r="AR150" s="4379" t="s">
        <v>5332</v>
      </c>
      <c r="AS150" s="4379" t="s">
        <v>5333</v>
      </c>
      <c r="AT150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50" s="2465" t="str">
        <f t="shared" si="87"/>
        <v xml:space="preserve"> * Niños, Niñas, Adolescentes y Jóvenes Mejor Niñez No puede ser mayor al Total.</v>
      </c>
      <c r="CE150" s="2465" t="str">
        <f t="shared" si="88"/>
        <v xml:space="preserve"> * La variable Pueblos Originarios No puede ser mayor al Total.</v>
      </c>
      <c r="CF150" s="2465" t="str">
        <f t="shared" si="89"/>
        <v xml:space="preserve"> * La variable Migrantes No puede ser mayor al Total.</v>
      </c>
      <c r="CG150" s="2465" t="str">
        <f t="shared" si="90"/>
        <v xml:space="preserve"> * La variable Demencia No puede ser mayor al Total.</v>
      </c>
      <c r="CH150" s="2465" t="str">
        <f t="shared" si="91"/>
        <v xml:space="preserve"> * La variable Espacios Amigables/adolescentes No puede ser mayor al Total.</v>
      </c>
      <c r="CI150" s="5831"/>
      <c r="CJ150" s="5831"/>
      <c r="CL150" s="2466">
        <f t="shared" si="82"/>
        <v>1</v>
      </c>
      <c r="CM150" s="2466">
        <f t="shared" si="83"/>
        <v>1</v>
      </c>
      <c r="CN150" s="2466">
        <f t="shared" si="84"/>
        <v>1</v>
      </c>
      <c r="CO150" s="2466">
        <f t="shared" si="85"/>
        <v>1</v>
      </c>
      <c r="CP150" s="2466">
        <f t="shared" si="86"/>
        <v>1</v>
      </c>
    </row>
    <row r="151" spans="1:94" s="170" customFormat="1" ht="15" customHeight="1" x14ac:dyDescent="0.2">
      <c r="A151" s="6240">
        <v>32100870</v>
      </c>
      <c r="B151" s="7781"/>
      <c r="C151" s="1139" t="s">
        <v>79</v>
      </c>
      <c r="D151" s="1592" t="s">
        <v>5292</v>
      </c>
      <c r="E151" s="1593" t="s">
        <v>5293</v>
      </c>
      <c r="F151" s="1594" t="s">
        <v>5294</v>
      </c>
      <c r="G151" s="1576" t="s">
        <v>5295</v>
      </c>
      <c r="H151" s="1578" t="s">
        <v>5296</v>
      </c>
      <c r="I151" s="1576" t="s">
        <v>5297</v>
      </c>
      <c r="J151" s="1578" t="s">
        <v>5298</v>
      </c>
      <c r="K151" s="1576" t="s">
        <v>5299</v>
      </c>
      <c r="L151" s="1578" t="s">
        <v>5300</v>
      </c>
      <c r="M151" s="1582" t="s">
        <v>5301</v>
      </c>
      <c r="N151" s="1595" t="s">
        <v>5302</v>
      </c>
      <c r="O151" s="1576" t="s">
        <v>5303</v>
      </c>
      <c r="P151" s="1596" t="s">
        <v>5304</v>
      </c>
      <c r="Q151" s="1576" t="s">
        <v>5305</v>
      </c>
      <c r="R151" s="1596" t="s">
        <v>5306</v>
      </c>
      <c r="S151" s="1582" t="s">
        <v>5307</v>
      </c>
      <c r="T151" s="1596" t="s">
        <v>5308</v>
      </c>
      <c r="U151" s="1582" t="s">
        <v>5309</v>
      </c>
      <c r="V151" s="1596" t="s">
        <v>5310</v>
      </c>
      <c r="W151" s="1576" t="s">
        <v>5311</v>
      </c>
      <c r="X151" s="1578" t="s">
        <v>5312</v>
      </c>
      <c r="Y151" s="1582" t="s">
        <v>5313</v>
      </c>
      <c r="Z151" s="1578" t="s">
        <v>5314</v>
      </c>
      <c r="AA151" s="1582" t="s">
        <v>5315</v>
      </c>
      <c r="AB151" s="1596" t="s">
        <v>5316</v>
      </c>
      <c r="AC151" s="1582" t="s">
        <v>5317</v>
      </c>
      <c r="AD151" s="1596" t="s">
        <v>5318</v>
      </c>
      <c r="AE151" s="1582" t="s">
        <v>5319</v>
      </c>
      <c r="AF151" s="1596" t="s">
        <v>5320</v>
      </c>
      <c r="AG151" s="1582" t="s">
        <v>5321</v>
      </c>
      <c r="AH151" s="1596" t="s">
        <v>5322</v>
      </c>
      <c r="AI151" s="1582" t="s">
        <v>5323</v>
      </c>
      <c r="AJ151" s="1596" t="s">
        <v>5324</v>
      </c>
      <c r="AK151" s="1582" t="s">
        <v>5325</v>
      </c>
      <c r="AL151" s="1596" t="s">
        <v>5326</v>
      </c>
      <c r="AM151" s="1582" t="s">
        <v>5327</v>
      </c>
      <c r="AN151" s="4375" t="s">
        <v>5328</v>
      </c>
      <c r="AO151" s="4378" t="s">
        <v>5329</v>
      </c>
      <c r="AP151" s="4379" t="s">
        <v>5330</v>
      </c>
      <c r="AQ151" s="4379" t="s">
        <v>5331</v>
      </c>
      <c r="AR151" s="4379" t="s">
        <v>5332</v>
      </c>
      <c r="AS151" s="4379" t="s">
        <v>5333</v>
      </c>
      <c r="AT151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51" s="2465" t="str">
        <f t="shared" si="87"/>
        <v xml:space="preserve"> * Niños, Niñas, Adolescentes y Jóvenes Mejor Niñez No puede ser mayor al Total.</v>
      </c>
      <c r="CE151" s="2465" t="str">
        <f t="shared" si="88"/>
        <v xml:space="preserve"> * La variable Pueblos Originarios No puede ser mayor al Total.</v>
      </c>
      <c r="CF151" s="2465" t="str">
        <f t="shared" si="89"/>
        <v xml:space="preserve"> * La variable Migrantes No puede ser mayor al Total.</v>
      </c>
      <c r="CG151" s="2465" t="str">
        <f t="shared" si="90"/>
        <v xml:space="preserve"> * La variable Demencia No puede ser mayor al Total.</v>
      </c>
      <c r="CH151" s="2465" t="str">
        <f t="shared" si="91"/>
        <v xml:space="preserve"> * La variable Espacios Amigables/adolescentes No puede ser mayor al Total.</v>
      </c>
      <c r="CI151" s="5831"/>
      <c r="CJ151" s="5831"/>
      <c r="CL151" s="2466">
        <f t="shared" si="82"/>
        <v>1</v>
      </c>
      <c r="CM151" s="2466">
        <f t="shared" si="83"/>
        <v>1</v>
      </c>
      <c r="CN151" s="2466">
        <f t="shared" si="84"/>
        <v>1</v>
      </c>
      <c r="CO151" s="2466">
        <f t="shared" si="85"/>
        <v>1</v>
      </c>
      <c r="CP151" s="2466">
        <f t="shared" si="86"/>
        <v>1</v>
      </c>
    </row>
    <row r="152" spans="1:94" s="170" customFormat="1" ht="20.399999999999999" x14ac:dyDescent="0.2">
      <c r="A152" s="6240">
        <v>32100880</v>
      </c>
      <c r="B152" s="7781"/>
      <c r="C152" s="1139" t="s">
        <v>1396</v>
      </c>
      <c r="D152" s="1592" t="s">
        <v>5292</v>
      </c>
      <c r="E152" s="1593" t="s">
        <v>5293</v>
      </c>
      <c r="F152" s="1594" t="s">
        <v>5294</v>
      </c>
      <c r="G152" s="1576" t="s">
        <v>5295</v>
      </c>
      <c r="H152" s="1578" t="s">
        <v>5296</v>
      </c>
      <c r="I152" s="1576" t="s">
        <v>5297</v>
      </c>
      <c r="J152" s="1578" t="s">
        <v>5298</v>
      </c>
      <c r="K152" s="1576" t="s">
        <v>5299</v>
      </c>
      <c r="L152" s="1578" t="s">
        <v>5300</v>
      </c>
      <c r="M152" s="1582" t="s">
        <v>5301</v>
      </c>
      <c r="N152" s="1595" t="s">
        <v>5302</v>
      </c>
      <c r="O152" s="1576" t="s">
        <v>5303</v>
      </c>
      <c r="P152" s="1596" t="s">
        <v>5304</v>
      </c>
      <c r="Q152" s="1576" t="s">
        <v>5305</v>
      </c>
      <c r="R152" s="1596" t="s">
        <v>5306</v>
      </c>
      <c r="S152" s="1582" t="s">
        <v>5307</v>
      </c>
      <c r="T152" s="1596" t="s">
        <v>5308</v>
      </c>
      <c r="U152" s="1582" t="s">
        <v>5309</v>
      </c>
      <c r="V152" s="1596" t="s">
        <v>5310</v>
      </c>
      <c r="W152" s="1576" t="s">
        <v>5311</v>
      </c>
      <c r="X152" s="1578" t="s">
        <v>5312</v>
      </c>
      <c r="Y152" s="1582" t="s">
        <v>5313</v>
      </c>
      <c r="Z152" s="1578" t="s">
        <v>5314</v>
      </c>
      <c r="AA152" s="1582" t="s">
        <v>5315</v>
      </c>
      <c r="AB152" s="1596" t="s">
        <v>5316</v>
      </c>
      <c r="AC152" s="1582" t="s">
        <v>5317</v>
      </c>
      <c r="AD152" s="1596" t="s">
        <v>5318</v>
      </c>
      <c r="AE152" s="1582" t="s">
        <v>5319</v>
      </c>
      <c r="AF152" s="1596" t="s">
        <v>5320</v>
      </c>
      <c r="AG152" s="1582" t="s">
        <v>5321</v>
      </c>
      <c r="AH152" s="1596" t="s">
        <v>5322</v>
      </c>
      <c r="AI152" s="1582" t="s">
        <v>5323</v>
      </c>
      <c r="AJ152" s="1596" t="s">
        <v>5324</v>
      </c>
      <c r="AK152" s="1582" t="s">
        <v>5325</v>
      </c>
      <c r="AL152" s="1596" t="s">
        <v>5326</v>
      </c>
      <c r="AM152" s="1582" t="s">
        <v>5327</v>
      </c>
      <c r="AN152" s="4375" t="s">
        <v>5328</v>
      </c>
      <c r="AO152" s="4378" t="s">
        <v>5329</v>
      </c>
      <c r="AP152" s="4379" t="s">
        <v>5330</v>
      </c>
      <c r="AQ152" s="4379" t="s">
        <v>5331</v>
      </c>
      <c r="AR152" s="4379" t="s">
        <v>5332</v>
      </c>
      <c r="AS152" s="4379" t="s">
        <v>5333</v>
      </c>
      <c r="AT152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52" s="2465" t="str">
        <f t="shared" si="87"/>
        <v xml:space="preserve"> * Niños, Niñas, Adolescentes y Jóvenes Mejor Niñez No puede ser mayor al Total.</v>
      </c>
      <c r="CE152" s="2465" t="str">
        <f t="shared" si="88"/>
        <v xml:space="preserve"> * La variable Pueblos Originarios No puede ser mayor al Total.</v>
      </c>
      <c r="CF152" s="2465" t="str">
        <f t="shared" si="89"/>
        <v xml:space="preserve"> * La variable Migrantes No puede ser mayor al Total.</v>
      </c>
      <c r="CG152" s="2465" t="str">
        <f t="shared" si="90"/>
        <v xml:space="preserve"> * La variable Demencia No puede ser mayor al Total.</v>
      </c>
      <c r="CH152" s="2465" t="str">
        <f t="shared" si="91"/>
        <v xml:space="preserve"> * La variable Espacios Amigables/adolescentes No puede ser mayor al Total.</v>
      </c>
      <c r="CI152" s="5831"/>
      <c r="CJ152" s="5831"/>
      <c r="CL152" s="2466">
        <f t="shared" si="82"/>
        <v>1</v>
      </c>
      <c r="CM152" s="2466">
        <f t="shared" si="83"/>
        <v>1</v>
      </c>
      <c r="CN152" s="2466">
        <f t="shared" si="84"/>
        <v>1</v>
      </c>
      <c r="CO152" s="2466">
        <f t="shared" si="85"/>
        <v>1</v>
      </c>
      <c r="CP152" s="2466">
        <f t="shared" si="86"/>
        <v>1</v>
      </c>
    </row>
    <row r="153" spans="1:94" s="170" customFormat="1" ht="15" customHeight="1" x14ac:dyDescent="0.2">
      <c r="A153" s="6240">
        <v>32100890</v>
      </c>
      <c r="B153" s="7781"/>
      <c r="C153" s="1139" t="s">
        <v>81</v>
      </c>
      <c r="D153" s="1592" t="s">
        <v>5292</v>
      </c>
      <c r="E153" s="1593" t="s">
        <v>5293</v>
      </c>
      <c r="F153" s="1594" t="s">
        <v>5294</v>
      </c>
      <c r="G153" s="1576" t="s">
        <v>5295</v>
      </c>
      <c r="H153" s="1578" t="s">
        <v>5296</v>
      </c>
      <c r="I153" s="1576" t="s">
        <v>5297</v>
      </c>
      <c r="J153" s="1578" t="s">
        <v>5298</v>
      </c>
      <c r="K153" s="1576" t="s">
        <v>5299</v>
      </c>
      <c r="L153" s="1578" t="s">
        <v>5300</v>
      </c>
      <c r="M153" s="1582" t="s">
        <v>5301</v>
      </c>
      <c r="N153" s="1595" t="s">
        <v>5302</v>
      </c>
      <c r="O153" s="1576" t="s">
        <v>5303</v>
      </c>
      <c r="P153" s="1596" t="s">
        <v>5304</v>
      </c>
      <c r="Q153" s="1576" t="s">
        <v>5305</v>
      </c>
      <c r="R153" s="1596" t="s">
        <v>5306</v>
      </c>
      <c r="S153" s="1582" t="s">
        <v>5307</v>
      </c>
      <c r="T153" s="1596" t="s">
        <v>5308</v>
      </c>
      <c r="U153" s="1582" t="s">
        <v>5309</v>
      </c>
      <c r="V153" s="1596" t="s">
        <v>5310</v>
      </c>
      <c r="W153" s="1576" t="s">
        <v>5311</v>
      </c>
      <c r="X153" s="1578" t="s">
        <v>5312</v>
      </c>
      <c r="Y153" s="1582" t="s">
        <v>5313</v>
      </c>
      <c r="Z153" s="1578" t="s">
        <v>5314</v>
      </c>
      <c r="AA153" s="1582" t="s">
        <v>5315</v>
      </c>
      <c r="AB153" s="1596" t="s">
        <v>5316</v>
      </c>
      <c r="AC153" s="1582" t="s">
        <v>5317</v>
      </c>
      <c r="AD153" s="1596" t="s">
        <v>5318</v>
      </c>
      <c r="AE153" s="1582" t="s">
        <v>5319</v>
      </c>
      <c r="AF153" s="1596" t="s">
        <v>5320</v>
      </c>
      <c r="AG153" s="1582" t="s">
        <v>5321</v>
      </c>
      <c r="AH153" s="1596" t="s">
        <v>5322</v>
      </c>
      <c r="AI153" s="1582" t="s">
        <v>5323</v>
      </c>
      <c r="AJ153" s="1596" t="s">
        <v>5324</v>
      </c>
      <c r="AK153" s="1582" t="s">
        <v>5325</v>
      </c>
      <c r="AL153" s="1596" t="s">
        <v>5326</v>
      </c>
      <c r="AM153" s="1582" t="s">
        <v>5327</v>
      </c>
      <c r="AN153" s="4375" t="s">
        <v>5328</v>
      </c>
      <c r="AO153" s="4378" t="s">
        <v>5329</v>
      </c>
      <c r="AP153" s="4379" t="s">
        <v>5330</v>
      </c>
      <c r="AQ153" s="4379" t="s">
        <v>5331</v>
      </c>
      <c r="AR153" s="4379" t="s">
        <v>5332</v>
      </c>
      <c r="AS153" s="4379" t="s">
        <v>5333</v>
      </c>
      <c r="AT153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53" s="2465" t="str">
        <f t="shared" si="87"/>
        <v xml:space="preserve"> * Niños, Niñas, Adolescentes y Jóvenes Mejor Niñez No puede ser mayor al Total.</v>
      </c>
      <c r="CE153" s="2465" t="str">
        <f t="shared" si="88"/>
        <v xml:space="preserve"> * La variable Pueblos Originarios No puede ser mayor al Total.</v>
      </c>
      <c r="CF153" s="2465" t="str">
        <f t="shared" si="89"/>
        <v xml:space="preserve"> * La variable Migrantes No puede ser mayor al Total.</v>
      </c>
      <c r="CG153" s="2465" t="str">
        <f t="shared" si="90"/>
        <v xml:space="preserve"> * La variable Demencia No puede ser mayor al Total.</v>
      </c>
      <c r="CH153" s="2465" t="str">
        <f t="shared" si="91"/>
        <v xml:space="preserve"> * La variable Espacios Amigables/adolescentes No puede ser mayor al Total.</v>
      </c>
      <c r="CI153" s="5831"/>
      <c r="CJ153" s="5831"/>
      <c r="CL153" s="2466">
        <f t="shared" si="82"/>
        <v>1</v>
      </c>
      <c r="CM153" s="2466">
        <f t="shared" si="83"/>
        <v>1</v>
      </c>
      <c r="CN153" s="2466">
        <f t="shared" si="84"/>
        <v>1</v>
      </c>
      <c r="CO153" s="2466">
        <f t="shared" si="85"/>
        <v>1</v>
      </c>
      <c r="CP153" s="2466">
        <f t="shared" si="86"/>
        <v>1</v>
      </c>
    </row>
    <row r="154" spans="1:94" s="170" customFormat="1" ht="20.399999999999999" x14ac:dyDescent="0.2">
      <c r="A154" s="6240">
        <v>32100900</v>
      </c>
      <c r="B154" s="7781"/>
      <c r="C154" s="1314" t="s">
        <v>82</v>
      </c>
      <c r="D154" s="1597" t="s">
        <v>5292</v>
      </c>
      <c r="E154" s="1598" t="s">
        <v>5293</v>
      </c>
      <c r="F154" s="1599" t="s">
        <v>5294</v>
      </c>
      <c r="G154" s="1600" t="s">
        <v>5295</v>
      </c>
      <c r="H154" s="1601" t="s">
        <v>5296</v>
      </c>
      <c r="I154" s="1600" t="s">
        <v>5297</v>
      </c>
      <c r="J154" s="1601" t="s">
        <v>5298</v>
      </c>
      <c r="K154" s="1600" t="s">
        <v>5299</v>
      </c>
      <c r="L154" s="1601" t="s">
        <v>5300</v>
      </c>
      <c r="M154" s="1602" t="s">
        <v>5301</v>
      </c>
      <c r="N154" s="1603" t="s">
        <v>5302</v>
      </c>
      <c r="O154" s="1600" t="s">
        <v>5303</v>
      </c>
      <c r="P154" s="1604" t="s">
        <v>5304</v>
      </c>
      <c r="Q154" s="1600" t="s">
        <v>5305</v>
      </c>
      <c r="R154" s="1604" t="s">
        <v>5306</v>
      </c>
      <c r="S154" s="1602" t="s">
        <v>5307</v>
      </c>
      <c r="T154" s="1604" t="s">
        <v>5308</v>
      </c>
      <c r="U154" s="1602" t="s">
        <v>5309</v>
      </c>
      <c r="V154" s="1604" t="s">
        <v>5310</v>
      </c>
      <c r="W154" s="1600" t="s">
        <v>5311</v>
      </c>
      <c r="X154" s="1601" t="s">
        <v>5312</v>
      </c>
      <c r="Y154" s="1602" t="s">
        <v>5313</v>
      </c>
      <c r="Z154" s="1601" t="s">
        <v>5314</v>
      </c>
      <c r="AA154" s="1602" t="s">
        <v>5315</v>
      </c>
      <c r="AB154" s="1604" t="s">
        <v>5316</v>
      </c>
      <c r="AC154" s="1602" t="s">
        <v>5317</v>
      </c>
      <c r="AD154" s="1604" t="s">
        <v>5318</v>
      </c>
      <c r="AE154" s="1602" t="s">
        <v>5319</v>
      </c>
      <c r="AF154" s="1604" t="s">
        <v>5320</v>
      </c>
      <c r="AG154" s="1602" t="s">
        <v>5321</v>
      </c>
      <c r="AH154" s="1604" t="s">
        <v>5322</v>
      </c>
      <c r="AI154" s="1602" t="s">
        <v>5323</v>
      </c>
      <c r="AJ154" s="1604" t="s">
        <v>5324</v>
      </c>
      <c r="AK154" s="1602" t="s">
        <v>5325</v>
      </c>
      <c r="AL154" s="1604" t="s">
        <v>5326</v>
      </c>
      <c r="AM154" s="1602" t="s">
        <v>5327</v>
      </c>
      <c r="AN154" s="4376" t="s">
        <v>5328</v>
      </c>
      <c r="AO154" s="4380" t="s">
        <v>5329</v>
      </c>
      <c r="AP154" s="4381" t="s">
        <v>5330</v>
      </c>
      <c r="AQ154" s="4381" t="s">
        <v>5331</v>
      </c>
      <c r="AR154" s="4381" t="s">
        <v>5332</v>
      </c>
      <c r="AS154" s="4381" t="s">
        <v>5333</v>
      </c>
      <c r="AT154" s="170" t="str">
        <f t="shared" si="77"/>
        <v xml:space="preserve"> * Niños, Niñas, Adolescentes y Jóvenes Mejor Niñez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D154" s="2465" t="str">
        <f t="shared" si="87"/>
        <v xml:space="preserve"> * Niños, Niñas, Adolescentes y Jóvenes Mejor Niñez No puede ser mayor al Total.</v>
      </c>
      <c r="CE154" s="2465" t="str">
        <f t="shared" si="88"/>
        <v xml:space="preserve"> * La variable Pueblos Originarios No puede ser mayor al Total.</v>
      </c>
      <c r="CF154" s="2465" t="str">
        <f t="shared" si="89"/>
        <v xml:space="preserve"> * La variable Migrantes No puede ser mayor al Total.</v>
      </c>
      <c r="CG154" s="2465" t="str">
        <f t="shared" si="90"/>
        <v xml:space="preserve"> * La variable Demencia No puede ser mayor al Total.</v>
      </c>
      <c r="CH154" s="2465" t="str">
        <f t="shared" si="91"/>
        <v xml:space="preserve"> * La variable Espacios Amigables/adolescentes No puede ser mayor al Total.</v>
      </c>
      <c r="CI154" s="5831"/>
      <c r="CJ154" s="5831"/>
      <c r="CL154" s="2466">
        <f t="shared" si="82"/>
        <v>1</v>
      </c>
      <c r="CM154" s="2466">
        <f t="shared" si="83"/>
        <v>1</v>
      </c>
      <c r="CN154" s="2466">
        <f t="shared" si="84"/>
        <v>1</v>
      </c>
      <c r="CO154" s="2466">
        <f t="shared" si="85"/>
        <v>1</v>
      </c>
      <c r="CP154" s="2466">
        <f t="shared" si="86"/>
        <v>1</v>
      </c>
    </row>
    <row r="155" spans="1:94" s="170" customFormat="1" ht="15" customHeight="1" x14ac:dyDescent="0.2">
      <c r="A155" s="6304"/>
      <c r="B155" s="8129"/>
      <c r="C155" s="2523" t="s">
        <v>24</v>
      </c>
      <c r="D155" s="2542">
        <f t="shared" ref="D134:D155" si="92">SUM(E155:F155)</f>
        <v>0</v>
      </c>
      <c r="E155" s="2543">
        <f t="shared" ref="E155:AR155" si="93">SUM(E145:E154)</f>
        <v>0</v>
      </c>
      <c r="F155" s="2544">
        <f t="shared" si="93"/>
        <v>0</v>
      </c>
      <c r="G155" s="2545">
        <f t="shared" si="93"/>
        <v>0</v>
      </c>
      <c r="H155" s="2546">
        <f t="shared" si="93"/>
        <v>0</v>
      </c>
      <c r="I155" s="2545">
        <f t="shared" si="93"/>
        <v>0</v>
      </c>
      <c r="J155" s="2546">
        <f t="shared" si="93"/>
        <v>0</v>
      </c>
      <c r="K155" s="2545">
        <f t="shared" si="93"/>
        <v>0</v>
      </c>
      <c r="L155" s="2546">
        <f t="shared" si="93"/>
        <v>0</v>
      </c>
      <c r="M155" s="2547">
        <f t="shared" si="93"/>
        <v>0</v>
      </c>
      <c r="N155" s="2548">
        <f t="shared" si="93"/>
        <v>0</v>
      </c>
      <c r="O155" s="2545">
        <f t="shared" si="93"/>
        <v>0</v>
      </c>
      <c r="P155" s="2549">
        <f t="shared" si="93"/>
        <v>0</v>
      </c>
      <c r="Q155" s="2545">
        <f t="shared" si="93"/>
        <v>0</v>
      </c>
      <c r="R155" s="2549">
        <f t="shared" si="93"/>
        <v>0</v>
      </c>
      <c r="S155" s="2550">
        <f t="shared" si="93"/>
        <v>0</v>
      </c>
      <c r="T155" s="2549">
        <f t="shared" si="93"/>
        <v>0</v>
      </c>
      <c r="U155" s="2545">
        <f t="shared" si="93"/>
        <v>0</v>
      </c>
      <c r="V155" s="2546">
        <f t="shared" si="93"/>
        <v>0</v>
      </c>
      <c r="W155" s="2551">
        <f t="shared" si="93"/>
        <v>0</v>
      </c>
      <c r="X155" s="2549">
        <f t="shared" si="93"/>
        <v>0</v>
      </c>
      <c r="Y155" s="2547">
        <f t="shared" si="93"/>
        <v>0</v>
      </c>
      <c r="Z155" s="2546">
        <f t="shared" si="93"/>
        <v>0</v>
      </c>
      <c r="AA155" s="2551">
        <f t="shared" si="93"/>
        <v>0</v>
      </c>
      <c r="AB155" s="2546">
        <f t="shared" si="93"/>
        <v>0</v>
      </c>
      <c r="AC155" s="2551">
        <f t="shared" si="93"/>
        <v>0</v>
      </c>
      <c r="AD155" s="2546">
        <f t="shared" si="93"/>
        <v>0</v>
      </c>
      <c r="AE155" s="2551">
        <f t="shared" si="93"/>
        <v>0</v>
      </c>
      <c r="AF155" s="2546">
        <f t="shared" si="93"/>
        <v>0</v>
      </c>
      <c r="AG155" s="2551">
        <f t="shared" si="93"/>
        <v>0</v>
      </c>
      <c r="AH155" s="2546">
        <f t="shared" si="93"/>
        <v>0</v>
      </c>
      <c r="AI155" s="2551">
        <f t="shared" si="93"/>
        <v>0</v>
      </c>
      <c r="AJ155" s="2546">
        <f t="shared" si="93"/>
        <v>0</v>
      </c>
      <c r="AK155" s="2551">
        <f t="shared" si="93"/>
        <v>0</v>
      </c>
      <c r="AL155" s="2546">
        <f t="shared" si="93"/>
        <v>0</v>
      </c>
      <c r="AM155" s="2551">
        <f t="shared" si="93"/>
        <v>0</v>
      </c>
      <c r="AN155" s="4377">
        <f t="shared" si="93"/>
        <v>0</v>
      </c>
      <c r="AO155" s="4382">
        <f t="shared" si="93"/>
        <v>0</v>
      </c>
      <c r="AP155" s="4383">
        <f t="shared" si="93"/>
        <v>0</v>
      </c>
      <c r="AQ155" s="4383">
        <f t="shared" si="93"/>
        <v>0</v>
      </c>
      <c r="AR155" s="4383">
        <f t="shared" si="93"/>
        <v>0</v>
      </c>
      <c r="AS155" s="4383">
        <f>SUM(AS145:AS154)</f>
        <v>0</v>
      </c>
    </row>
    <row r="156" spans="1:94" s="1116" customFormat="1" ht="18" customHeight="1" x14ac:dyDescent="0.2">
      <c r="A156" s="6307"/>
      <c r="B156" s="1626" t="s">
        <v>1398</v>
      </c>
    </row>
    <row r="157" spans="1:94" ht="15" customHeight="1" x14ac:dyDescent="0.3">
      <c r="A157" s="6307"/>
      <c r="B157" s="7798" t="s">
        <v>1399</v>
      </c>
      <c r="C157" s="7798" t="s">
        <v>61</v>
      </c>
      <c r="D157" s="7770" t="s">
        <v>24</v>
      </c>
      <c r="E157" s="6891"/>
      <c r="F157" s="7820"/>
      <c r="G157" s="7819" t="s">
        <v>30</v>
      </c>
      <c r="H157" s="7802"/>
      <c r="I157" s="7802"/>
      <c r="J157" s="7802"/>
      <c r="K157" s="7802"/>
      <c r="L157" s="7802"/>
      <c r="M157" s="7802"/>
      <c r="N157" s="7802"/>
      <c r="O157" s="7802"/>
      <c r="P157" s="7802"/>
      <c r="Q157" s="7802"/>
      <c r="R157" s="7802"/>
      <c r="S157" s="7802"/>
      <c r="T157" s="7802"/>
      <c r="U157" s="7802"/>
      <c r="V157" s="7802"/>
      <c r="W157" s="7802"/>
      <c r="X157" s="7802"/>
      <c r="Y157" s="7802"/>
      <c r="Z157" s="7802"/>
      <c r="AA157" s="7802"/>
      <c r="AB157" s="7802"/>
      <c r="AC157" s="7802"/>
      <c r="AD157" s="7802"/>
      <c r="AE157" s="7802"/>
      <c r="AF157" s="7802"/>
      <c r="AG157" s="7802"/>
      <c r="AH157" s="8512"/>
      <c r="AI157" s="7820" t="s">
        <v>2</v>
      </c>
      <c r="AJ157" s="7820" t="s">
        <v>3</v>
      </c>
    </row>
    <row r="158" spans="1:94" ht="15" customHeight="1" x14ac:dyDescent="0.3">
      <c r="A158" s="6307"/>
      <c r="B158" s="7799"/>
      <c r="C158" s="7799"/>
      <c r="D158" s="8509"/>
      <c r="E158" s="8510"/>
      <c r="F158" s="7821"/>
      <c r="G158" s="7819" t="s">
        <v>4</v>
      </c>
      <c r="H158" s="7825"/>
      <c r="I158" s="7819" t="s">
        <v>5</v>
      </c>
      <c r="J158" s="7825"/>
      <c r="K158" s="7756" t="s">
        <v>6</v>
      </c>
      <c r="L158" s="7757"/>
      <c r="M158" s="7756" t="s">
        <v>7</v>
      </c>
      <c r="N158" s="7757"/>
      <c r="O158" s="7756" t="s">
        <v>8</v>
      </c>
      <c r="P158" s="7757"/>
      <c r="Q158" s="7756" t="s">
        <v>9</v>
      </c>
      <c r="R158" s="7757"/>
      <c r="S158" s="7756" t="s">
        <v>10</v>
      </c>
      <c r="T158" s="7757"/>
      <c r="U158" s="7756" t="s">
        <v>11</v>
      </c>
      <c r="V158" s="7757"/>
      <c r="W158" s="7756" t="s">
        <v>18</v>
      </c>
      <c r="X158" s="7757"/>
      <c r="Y158" s="7756" t="s">
        <v>19</v>
      </c>
      <c r="Z158" s="7757"/>
      <c r="AA158" s="7756" t="s">
        <v>20</v>
      </c>
      <c r="AB158" s="7757"/>
      <c r="AC158" s="7756" t="s">
        <v>70</v>
      </c>
      <c r="AD158" s="7757"/>
      <c r="AE158" s="7756" t="s">
        <v>71</v>
      </c>
      <c r="AF158" s="7757"/>
      <c r="AG158" s="7756" t="s">
        <v>32</v>
      </c>
      <c r="AH158" s="7796"/>
      <c r="AI158" s="6831"/>
      <c r="AJ158" s="6831"/>
    </row>
    <row r="159" spans="1:94" ht="15" customHeight="1" x14ac:dyDescent="0.3">
      <c r="A159" s="6307"/>
      <c r="B159" s="8449"/>
      <c r="C159" s="8449"/>
      <c r="D159" s="1165" t="s">
        <v>26</v>
      </c>
      <c r="E159" s="1268" t="s">
        <v>22</v>
      </c>
      <c r="F159" s="1267" t="s">
        <v>27</v>
      </c>
      <c r="G159" s="1266" t="s">
        <v>22</v>
      </c>
      <c r="H159" s="1267" t="s">
        <v>27</v>
      </c>
      <c r="I159" s="1266" t="s">
        <v>22</v>
      </c>
      <c r="J159" s="1267" t="s">
        <v>27</v>
      </c>
      <c r="K159" s="1266" t="s">
        <v>22</v>
      </c>
      <c r="L159" s="1267" t="s">
        <v>27</v>
      </c>
      <c r="M159" s="1266" t="s">
        <v>22</v>
      </c>
      <c r="N159" s="1267" t="s">
        <v>27</v>
      </c>
      <c r="O159" s="1266" t="s">
        <v>22</v>
      </c>
      <c r="P159" s="1267" t="s">
        <v>27</v>
      </c>
      <c r="Q159" s="1266" t="s">
        <v>22</v>
      </c>
      <c r="R159" s="1267" t="s">
        <v>27</v>
      </c>
      <c r="S159" s="1266" t="s">
        <v>22</v>
      </c>
      <c r="T159" s="1267" t="s">
        <v>27</v>
      </c>
      <c r="U159" s="1266" t="s">
        <v>22</v>
      </c>
      <c r="V159" s="1267" t="s">
        <v>27</v>
      </c>
      <c r="W159" s="1266" t="s">
        <v>22</v>
      </c>
      <c r="X159" s="1267" t="s">
        <v>27</v>
      </c>
      <c r="Y159" s="1266" t="s">
        <v>22</v>
      </c>
      <c r="Z159" s="1267" t="s">
        <v>27</v>
      </c>
      <c r="AA159" s="1266" t="s">
        <v>22</v>
      </c>
      <c r="AB159" s="1267" t="s">
        <v>27</v>
      </c>
      <c r="AC159" s="1266" t="s">
        <v>22</v>
      </c>
      <c r="AD159" s="1267" t="s">
        <v>27</v>
      </c>
      <c r="AE159" s="1266" t="s">
        <v>22</v>
      </c>
      <c r="AF159" s="1267" t="s">
        <v>27</v>
      </c>
      <c r="AG159" s="1266" t="s">
        <v>22</v>
      </c>
      <c r="AH159" s="1269" t="s">
        <v>27</v>
      </c>
      <c r="AI159" s="7821"/>
      <c r="AJ159" s="7821"/>
    </row>
    <row r="160" spans="1:94" ht="15" customHeight="1" x14ac:dyDescent="0.3">
      <c r="A160" s="6240">
        <v>32100920</v>
      </c>
      <c r="B160" s="7669" t="s">
        <v>1400</v>
      </c>
      <c r="C160" s="1547" t="s">
        <v>74</v>
      </c>
      <c r="D160" s="1608" t="s">
        <v>5292</v>
      </c>
      <c r="E160" s="1590" t="s">
        <v>5293</v>
      </c>
      <c r="F160" s="1591" t="s">
        <v>5294</v>
      </c>
      <c r="G160" s="1524" t="s">
        <v>5295</v>
      </c>
      <c r="H160" s="1525" t="s">
        <v>5296</v>
      </c>
      <c r="I160" s="1524" t="s">
        <v>5297</v>
      </c>
      <c r="J160" s="1525" t="s">
        <v>5298</v>
      </c>
      <c r="K160" s="1524" t="s">
        <v>5299</v>
      </c>
      <c r="L160" s="1525" t="s">
        <v>5300</v>
      </c>
      <c r="M160" s="1524" t="s">
        <v>5301</v>
      </c>
      <c r="N160" s="1525" t="s">
        <v>5302</v>
      </c>
      <c r="O160" s="1524" t="s">
        <v>5303</v>
      </c>
      <c r="P160" s="1525" t="s">
        <v>5304</v>
      </c>
      <c r="Q160" s="1524" t="s">
        <v>5305</v>
      </c>
      <c r="R160" s="1525" t="s">
        <v>5306</v>
      </c>
      <c r="S160" s="1524" t="s">
        <v>5307</v>
      </c>
      <c r="T160" s="1525" t="s">
        <v>5308</v>
      </c>
      <c r="U160" s="1524" t="s">
        <v>5309</v>
      </c>
      <c r="V160" s="1525" t="s">
        <v>5310</v>
      </c>
      <c r="W160" s="1524" t="s">
        <v>5311</v>
      </c>
      <c r="X160" s="1525" t="s">
        <v>5312</v>
      </c>
      <c r="Y160" s="1524" t="s">
        <v>5313</v>
      </c>
      <c r="Z160" s="1525" t="s">
        <v>5314</v>
      </c>
      <c r="AA160" s="1524" t="s">
        <v>5315</v>
      </c>
      <c r="AB160" s="1525" t="s">
        <v>5316</v>
      </c>
      <c r="AC160" s="1524" t="s">
        <v>5317</v>
      </c>
      <c r="AD160" s="1525" t="s">
        <v>5318</v>
      </c>
      <c r="AE160" s="1524" t="s">
        <v>5319</v>
      </c>
      <c r="AF160" s="1525" t="s">
        <v>5320</v>
      </c>
      <c r="AG160" s="1524" t="s">
        <v>5321</v>
      </c>
      <c r="AH160" s="1527" t="s">
        <v>5322</v>
      </c>
      <c r="AI160" s="1552" t="s">
        <v>5323</v>
      </c>
      <c r="AJ160" s="1552" t="s">
        <v>5324</v>
      </c>
      <c r="AK160" t="str">
        <f t="shared" ref="AK160:AK167" si="94">CD160&amp;CE160&amp;CF160&amp;CG160</f>
        <v xml:space="preserve"> * La variable Pueblos originarios No puede ser mayor al Total. * La variable Migrantes No puede ser mayor al Total.</v>
      </c>
      <c r="CD160" s="2465" t="str">
        <f>IF(AND(D160&gt;0,AI160="")," * No olvide digitar La variable Pueblos originarios, Digite CERO si no tiene.",IF(AI160&gt;D160," * La variable Pueblos originarios No puede ser mayor al Total.",""))</f>
        <v xml:space="preserve"> * La variable Pueblos originarios No puede ser mayor al Total.</v>
      </c>
      <c r="CE160" s="2465" t="str">
        <f>IF(AND(D160&gt;0,AJ160="")," * No olvide digitar La variable Pueblos Migrantes, Digite CERO si no tiene.",IF(AJ160&gt;D160," * La variable Migrantes No puede ser mayor al Total.",""))</f>
        <v xml:space="preserve"> * La variable Migrantes No puede ser mayor al Total.</v>
      </c>
      <c r="CF160" s="5831"/>
      <c r="CG160" s="5831"/>
      <c r="CH160" s="5831"/>
      <c r="CI160" s="5831"/>
      <c r="CJ160" s="5831"/>
      <c r="CK160" s="170"/>
      <c r="CL160" s="2466">
        <f>IF(AND(D160&gt;0,AI160=""),1,IF(AI160&gt;D160,1,0))</f>
        <v>1</v>
      </c>
      <c r="CM160" s="2466">
        <f>IF(AND(D160&gt;0,AJ160=""),1,IF(AJ160&gt;D160,1,0))</f>
        <v>1</v>
      </c>
      <c r="CN160" s="5831"/>
    </row>
    <row r="161" spans="1:92" ht="15" customHeight="1" x14ac:dyDescent="0.3">
      <c r="A161" s="6240">
        <v>32100930</v>
      </c>
      <c r="B161" s="7781"/>
      <c r="C161" s="1609" t="s">
        <v>76</v>
      </c>
      <c r="D161" s="1610" t="s">
        <v>5292</v>
      </c>
      <c r="E161" s="1593" t="s">
        <v>5293</v>
      </c>
      <c r="F161" s="1594" t="s">
        <v>5294</v>
      </c>
      <c r="G161" s="1095" t="s">
        <v>5295</v>
      </c>
      <c r="H161" s="1099" t="s">
        <v>5296</v>
      </c>
      <c r="I161" s="1095" t="s">
        <v>5297</v>
      </c>
      <c r="J161" s="1099" t="s">
        <v>5298</v>
      </c>
      <c r="K161" s="1095" t="s">
        <v>5299</v>
      </c>
      <c r="L161" s="1099" t="s">
        <v>5300</v>
      </c>
      <c r="M161" s="1095" t="s">
        <v>5301</v>
      </c>
      <c r="N161" s="1099" t="s">
        <v>5302</v>
      </c>
      <c r="O161" s="1095" t="s">
        <v>5303</v>
      </c>
      <c r="P161" s="1099" t="s">
        <v>5304</v>
      </c>
      <c r="Q161" s="1095" t="s">
        <v>5305</v>
      </c>
      <c r="R161" s="1099" t="s">
        <v>5306</v>
      </c>
      <c r="S161" s="1095" t="s">
        <v>5307</v>
      </c>
      <c r="T161" s="1099" t="s">
        <v>5308</v>
      </c>
      <c r="U161" s="1095" t="s">
        <v>5309</v>
      </c>
      <c r="V161" s="1099" t="s">
        <v>5310</v>
      </c>
      <c r="W161" s="1095" t="s">
        <v>5311</v>
      </c>
      <c r="X161" s="1099" t="s">
        <v>5312</v>
      </c>
      <c r="Y161" s="1095" t="s">
        <v>5313</v>
      </c>
      <c r="Z161" s="1099" t="s">
        <v>5314</v>
      </c>
      <c r="AA161" s="1095" t="s">
        <v>5315</v>
      </c>
      <c r="AB161" s="1099" t="s">
        <v>5316</v>
      </c>
      <c r="AC161" s="1095" t="s">
        <v>5317</v>
      </c>
      <c r="AD161" s="1099" t="s">
        <v>5318</v>
      </c>
      <c r="AE161" s="1095" t="s">
        <v>5319</v>
      </c>
      <c r="AF161" s="1099" t="s">
        <v>5320</v>
      </c>
      <c r="AG161" s="1095" t="s">
        <v>5321</v>
      </c>
      <c r="AH161" s="1100" t="s">
        <v>5322</v>
      </c>
      <c r="AI161" s="8" t="s">
        <v>5323</v>
      </c>
      <c r="AJ161" s="8" t="s">
        <v>5324</v>
      </c>
      <c r="AK161" t="str">
        <f t="shared" si="94"/>
        <v xml:space="preserve"> * La variable Pueblos originarios No puede ser mayor al Total. * La variable Migrantes No puede ser mayor al Total.</v>
      </c>
      <c r="CD161" s="2465" t="str">
        <f t="shared" ref="CD161:CD167" si="95">IF(AND(D161&gt;0,AI161="")," * No olvide digitar La variable Pueblos originarios, Digite CERO si no tiene.",IF(AI161&gt;D161," * La variable Pueblos originarios No puede ser mayor al Total.",""))</f>
        <v xml:space="preserve"> * La variable Pueblos originarios No puede ser mayor al Total.</v>
      </c>
      <c r="CE161" s="2465" t="str">
        <f t="shared" ref="CE161:CE167" si="96">IF(AND(D161&gt;0,AJ161="")," * No olvide digitar La variable Pueblos Migrantes, Digite CERO si no tiene.",IF(AJ161&gt;D161," * La variable Migrantes No puede ser mayor al Total.",""))</f>
        <v xml:space="preserve"> * La variable Migrantes No puede ser mayor al Total.</v>
      </c>
      <c r="CF161" s="5831"/>
      <c r="CG161" s="5831"/>
      <c r="CH161" s="5831"/>
      <c r="CI161" s="5831"/>
      <c r="CJ161" s="5831"/>
      <c r="CK161" s="170"/>
      <c r="CL161" s="2466">
        <f t="shared" ref="CL161:CL167" si="97">IF(AND(D161&gt;0,AI161=""),1,IF(AI161&gt;D161,1,0))</f>
        <v>1</v>
      </c>
      <c r="CM161" s="2466">
        <f t="shared" ref="CM161:CM167" si="98">IF(AND(D161&gt;0,AJ161=""),1,IF(AJ161&gt;D161,1,0))</f>
        <v>1</v>
      </c>
      <c r="CN161" s="5831"/>
    </row>
    <row r="162" spans="1:92" ht="15" customHeight="1" x14ac:dyDescent="0.3">
      <c r="A162" s="6240">
        <v>32100940</v>
      </c>
      <c r="B162" s="7781"/>
      <c r="C162" s="1105" t="s">
        <v>247</v>
      </c>
      <c r="D162" s="1610" t="s">
        <v>5292</v>
      </c>
      <c r="E162" s="1593" t="s">
        <v>5293</v>
      </c>
      <c r="F162" s="1594" t="s">
        <v>5294</v>
      </c>
      <c r="G162" s="1095" t="s">
        <v>5295</v>
      </c>
      <c r="H162" s="1099" t="s">
        <v>5296</v>
      </c>
      <c r="I162" s="1095" t="s">
        <v>5297</v>
      </c>
      <c r="J162" s="1099" t="s">
        <v>5298</v>
      </c>
      <c r="K162" s="1095" t="s">
        <v>5299</v>
      </c>
      <c r="L162" s="1099" t="s">
        <v>5300</v>
      </c>
      <c r="M162" s="1095" t="s">
        <v>5301</v>
      </c>
      <c r="N162" s="1099" t="s">
        <v>5302</v>
      </c>
      <c r="O162" s="1095" t="s">
        <v>5303</v>
      </c>
      <c r="P162" s="1099" t="s">
        <v>5304</v>
      </c>
      <c r="Q162" s="1095" t="s">
        <v>5305</v>
      </c>
      <c r="R162" s="1099" t="s">
        <v>5306</v>
      </c>
      <c r="S162" s="1095" t="s">
        <v>5307</v>
      </c>
      <c r="T162" s="1099" t="s">
        <v>5308</v>
      </c>
      <c r="U162" s="1095" t="s">
        <v>5309</v>
      </c>
      <c r="V162" s="1099" t="s">
        <v>5310</v>
      </c>
      <c r="W162" s="1095" t="s">
        <v>5311</v>
      </c>
      <c r="X162" s="1099" t="s">
        <v>5312</v>
      </c>
      <c r="Y162" s="1095" t="s">
        <v>5313</v>
      </c>
      <c r="Z162" s="1099" t="s">
        <v>5314</v>
      </c>
      <c r="AA162" s="1095" t="s">
        <v>5315</v>
      </c>
      <c r="AB162" s="1099" t="s">
        <v>5316</v>
      </c>
      <c r="AC162" s="1095" t="s">
        <v>5317</v>
      </c>
      <c r="AD162" s="1099" t="s">
        <v>5318</v>
      </c>
      <c r="AE162" s="1095" t="s">
        <v>5319</v>
      </c>
      <c r="AF162" s="1099" t="s">
        <v>5320</v>
      </c>
      <c r="AG162" s="1095" t="s">
        <v>5321</v>
      </c>
      <c r="AH162" s="1100" t="s">
        <v>5322</v>
      </c>
      <c r="AI162" s="8" t="s">
        <v>5323</v>
      </c>
      <c r="AJ162" s="8" t="s">
        <v>5324</v>
      </c>
      <c r="AK162" t="str">
        <f t="shared" si="94"/>
        <v xml:space="preserve"> * La variable Pueblos originarios No puede ser mayor al Total. * La variable Migrantes No puede ser mayor al Total.</v>
      </c>
      <c r="CD162" s="2465" t="str">
        <f t="shared" si="95"/>
        <v xml:space="preserve"> * La variable Pueblos originarios No puede ser mayor al Total.</v>
      </c>
      <c r="CE162" s="2465" t="str">
        <f t="shared" si="96"/>
        <v xml:space="preserve"> * La variable Migrantes No puede ser mayor al Total.</v>
      </c>
      <c r="CF162" s="5831"/>
      <c r="CG162" s="5831"/>
      <c r="CH162" s="5831"/>
      <c r="CI162" s="5831"/>
      <c r="CJ162" s="5831"/>
      <c r="CK162" s="170"/>
      <c r="CL162" s="2466">
        <f t="shared" si="97"/>
        <v>1</v>
      </c>
      <c r="CM162" s="2466">
        <f t="shared" si="98"/>
        <v>1</v>
      </c>
      <c r="CN162" s="5831"/>
    </row>
    <row r="163" spans="1:92" ht="15" customHeight="1" x14ac:dyDescent="0.3">
      <c r="A163" s="6240">
        <v>32100950</v>
      </c>
      <c r="B163" s="8129"/>
      <c r="C163" s="1106" t="s">
        <v>632</v>
      </c>
      <c r="D163" s="1611" t="s">
        <v>5292</v>
      </c>
      <c r="E163" s="1598" t="s">
        <v>5293</v>
      </c>
      <c r="F163" s="1599" t="s">
        <v>5294</v>
      </c>
      <c r="G163" s="3" t="s">
        <v>5295</v>
      </c>
      <c r="H163" s="6" t="s">
        <v>5296</v>
      </c>
      <c r="I163" s="3" t="s">
        <v>5297</v>
      </c>
      <c r="J163" s="6" t="s">
        <v>5298</v>
      </c>
      <c r="K163" s="3" t="s">
        <v>5299</v>
      </c>
      <c r="L163" s="6" t="s">
        <v>5300</v>
      </c>
      <c r="M163" s="3" t="s">
        <v>5301</v>
      </c>
      <c r="N163" s="6" t="s">
        <v>5302</v>
      </c>
      <c r="O163" s="3" t="s">
        <v>5303</v>
      </c>
      <c r="P163" s="6" t="s">
        <v>5304</v>
      </c>
      <c r="Q163" s="3" t="s">
        <v>5305</v>
      </c>
      <c r="R163" s="6" t="s">
        <v>5306</v>
      </c>
      <c r="S163" s="3" t="s">
        <v>5307</v>
      </c>
      <c r="T163" s="6" t="s">
        <v>5308</v>
      </c>
      <c r="U163" s="3" t="s">
        <v>5309</v>
      </c>
      <c r="V163" s="6" t="s">
        <v>5310</v>
      </c>
      <c r="W163" s="3" t="s">
        <v>5311</v>
      </c>
      <c r="X163" s="6" t="s">
        <v>5312</v>
      </c>
      <c r="Y163" s="3" t="s">
        <v>5313</v>
      </c>
      <c r="Z163" s="6" t="s">
        <v>5314</v>
      </c>
      <c r="AA163" s="3" t="s">
        <v>5315</v>
      </c>
      <c r="AB163" s="6" t="s">
        <v>5316</v>
      </c>
      <c r="AC163" s="3" t="s">
        <v>5317</v>
      </c>
      <c r="AD163" s="6" t="s">
        <v>5318</v>
      </c>
      <c r="AE163" s="3" t="s">
        <v>5319</v>
      </c>
      <c r="AF163" s="6" t="s">
        <v>5320</v>
      </c>
      <c r="AG163" s="3" t="s">
        <v>5321</v>
      </c>
      <c r="AH163" s="5" t="s">
        <v>5322</v>
      </c>
      <c r="AI163" s="12" t="s">
        <v>5323</v>
      </c>
      <c r="AJ163" s="12" t="s">
        <v>5324</v>
      </c>
      <c r="AK163" t="str">
        <f t="shared" si="94"/>
        <v xml:space="preserve"> * La variable Pueblos originarios No puede ser mayor al Total. * La variable Migrantes No puede ser mayor al Total.</v>
      </c>
      <c r="CD163" s="2465" t="str">
        <f t="shared" si="95"/>
        <v xml:space="preserve"> * La variable Pueblos originarios No puede ser mayor al Total.</v>
      </c>
      <c r="CE163" s="2465" t="str">
        <f t="shared" si="96"/>
        <v xml:space="preserve"> * La variable Migrantes No puede ser mayor al Total.</v>
      </c>
      <c r="CF163" s="5831"/>
      <c r="CG163" s="5831"/>
      <c r="CH163" s="5831"/>
      <c r="CI163" s="5831"/>
      <c r="CJ163" s="5831"/>
      <c r="CK163" s="170"/>
      <c r="CL163" s="2466">
        <f t="shared" si="97"/>
        <v>1</v>
      </c>
      <c r="CM163" s="2466">
        <f t="shared" si="98"/>
        <v>1</v>
      </c>
      <c r="CN163" s="5831"/>
    </row>
    <row r="164" spans="1:92" ht="15" customHeight="1" x14ac:dyDescent="0.3">
      <c r="A164" s="6240">
        <v>32100960</v>
      </c>
      <c r="B164" s="7669" t="s">
        <v>1401</v>
      </c>
      <c r="C164" s="1547" t="s">
        <v>74</v>
      </c>
      <c r="D164" s="1608" t="s">
        <v>5292</v>
      </c>
      <c r="E164" s="1590" t="s">
        <v>5293</v>
      </c>
      <c r="F164" s="1591" t="s">
        <v>5294</v>
      </c>
      <c r="G164" s="1524" t="s">
        <v>5295</v>
      </c>
      <c r="H164" s="1525" t="s">
        <v>5296</v>
      </c>
      <c r="I164" s="1524" t="s">
        <v>5297</v>
      </c>
      <c r="J164" s="1525" t="s">
        <v>5298</v>
      </c>
      <c r="K164" s="1524" t="s">
        <v>5299</v>
      </c>
      <c r="L164" s="1525" t="s">
        <v>5300</v>
      </c>
      <c r="M164" s="1524" t="s">
        <v>5301</v>
      </c>
      <c r="N164" s="1525" t="s">
        <v>5302</v>
      </c>
      <c r="O164" s="1524" t="s">
        <v>5303</v>
      </c>
      <c r="P164" s="1525" t="s">
        <v>5304</v>
      </c>
      <c r="Q164" s="1524" t="s">
        <v>5305</v>
      </c>
      <c r="R164" s="1525" t="s">
        <v>5306</v>
      </c>
      <c r="S164" s="1524" t="s">
        <v>5307</v>
      </c>
      <c r="T164" s="1525" t="s">
        <v>5308</v>
      </c>
      <c r="U164" s="1524" t="s">
        <v>5309</v>
      </c>
      <c r="V164" s="1525" t="s">
        <v>5310</v>
      </c>
      <c r="W164" s="1524" t="s">
        <v>5311</v>
      </c>
      <c r="X164" s="1525" t="s">
        <v>5312</v>
      </c>
      <c r="Y164" s="1524" t="s">
        <v>5313</v>
      </c>
      <c r="Z164" s="1525" t="s">
        <v>5314</v>
      </c>
      <c r="AA164" s="1524" t="s">
        <v>5315</v>
      </c>
      <c r="AB164" s="1525" t="s">
        <v>5316</v>
      </c>
      <c r="AC164" s="1524" t="s">
        <v>5317</v>
      </c>
      <c r="AD164" s="1525" t="s">
        <v>5318</v>
      </c>
      <c r="AE164" s="1524" t="s">
        <v>5319</v>
      </c>
      <c r="AF164" s="1525" t="s">
        <v>5320</v>
      </c>
      <c r="AG164" s="1524" t="s">
        <v>5321</v>
      </c>
      <c r="AH164" s="1527" t="s">
        <v>5322</v>
      </c>
      <c r="AI164" s="1552" t="s">
        <v>5323</v>
      </c>
      <c r="AJ164" s="1552" t="s">
        <v>5324</v>
      </c>
      <c r="AK164" t="str">
        <f t="shared" si="94"/>
        <v xml:space="preserve"> * La variable Pueblos originarios No puede ser mayor al Total. * La variable Migrantes No puede ser mayor al Total.</v>
      </c>
      <c r="CD164" s="2465" t="str">
        <f t="shared" si="95"/>
        <v xml:space="preserve"> * La variable Pueblos originarios No puede ser mayor al Total.</v>
      </c>
      <c r="CE164" s="2465" t="str">
        <f t="shared" si="96"/>
        <v xml:space="preserve"> * La variable Migrantes No puede ser mayor al Total.</v>
      </c>
      <c r="CF164" s="5831"/>
      <c r="CG164" s="5831"/>
      <c r="CH164" s="5831"/>
      <c r="CI164" s="5831"/>
      <c r="CJ164" s="5831"/>
      <c r="CK164" s="170"/>
      <c r="CL164" s="2466">
        <f t="shared" si="97"/>
        <v>1</v>
      </c>
      <c r="CM164" s="2466">
        <f t="shared" si="98"/>
        <v>1</v>
      </c>
      <c r="CN164" s="5831"/>
    </row>
    <row r="165" spans="1:92" ht="15" customHeight="1" x14ac:dyDescent="0.3">
      <c r="A165" s="6240">
        <v>32100970</v>
      </c>
      <c r="B165" s="7781"/>
      <c r="C165" s="1609" t="s">
        <v>76</v>
      </c>
      <c r="D165" s="1610" t="s">
        <v>5292</v>
      </c>
      <c r="E165" s="1593" t="s">
        <v>5293</v>
      </c>
      <c r="F165" s="1594" t="s">
        <v>5294</v>
      </c>
      <c r="G165" s="1095" t="s">
        <v>5295</v>
      </c>
      <c r="H165" s="1099" t="s">
        <v>5296</v>
      </c>
      <c r="I165" s="1095" t="s">
        <v>5297</v>
      </c>
      <c r="J165" s="1099" t="s">
        <v>5298</v>
      </c>
      <c r="K165" s="1095" t="s">
        <v>5299</v>
      </c>
      <c r="L165" s="1099" t="s">
        <v>5300</v>
      </c>
      <c r="M165" s="1095" t="s">
        <v>5301</v>
      </c>
      <c r="N165" s="1099" t="s">
        <v>5302</v>
      </c>
      <c r="O165" s="1095" t="s">
        <v>5303</v>
      </c>
      <c r="P165" s="1099" t="s">
        <v>5304</v>
      </c>
      <c r="Q165" s="1095" t="s">
        <v>5305</v>
      </c>
      <c r="R165" s="1099" t="s">
        <v>5306</v>
      </c>
      <c r="S165" s="1095" t="s">
        <v>5307</v>
      </c>
      <c r="T165" s="1099" t="s">
        <v>5308</v>
      </c>
      <c r="U165" s="1095" t="s">
        <v>5309</v>
      </c>
      <c r="V165" s="1099" t="s">
        <v>5310</v>
      </c>
      <c r="W165" s="1095" t="s">
        <v>5311</v>
      </c>
      <c r="X165" s="1099" t="s">
        <v>5312</v>
      </c>
      <c r="Y165" s="1095" t="s">
        <v>5313</v>
      </c>
      <c r="Z165" s="1099" t="s">
        <v>5314</v>
      </c>
      <c r="AA165" s="1095" t="s">
        <v>5315</v>
      </c>
      <c r="AB165" s="1099" t="s">
        <v>5316</v>
      </c>
      <c r="AC165" s="1095" t="s">
        <v>5317</v>
      </c>
      <c r="AD165" s="1099" t="s">
        <v>5318</v>
      </c>
      <c r="AE165" s="1095" t="s">
        <v>5319</v>
      </c>
      <c r="AF165" s="1099" t="s">
        <v>5320</v>
      </c>
      <c r="AG165" s="1095" t="s">
        <v>5321</v>
      </c>
      <c r="AH165" s="1100" t="s">
        <v>5322</v>
      </c>
      <c r="AI165" s="8" t="s">
        <v>5323</v>
      </c>
      <c r="AJ165" s="8" t="s">
        <v>5324</v>
      </c>
      <c r="AK165" t="str">
        <f t="shared" si="94"/>
        <v xml:space="preserve"> * La variable Pueblos originarios No puede ser mayor al Total. * La variable Migrantes No puede ser mayor al Total.</v>
      </c>
      <c r="CD165" s="2465" t="str">
        <f t="shared" si="95"/>
        <v xml:space="preserve"> * La variable Pueblos originarios No puede ser mayor al Total.</v>
      </c>
      <c r="CE165" s="2465" t="str">
        <f t="shared" si="96"/>
        <v xml:space="preserve"> * La variable Migrantes No puede ser mayor al Total.</v>
      </c>
      <c r="CF165" s="5831"/>
      <c r="CG165" s="5831"/>
      <c r="CH165" s="5831"/>
      <c r="CI165" s="5831"/>
      <c r="CJ165" s="5831"/>
      <c r="CK165" s="170"/>
      <c r="CL165" s="2466">
        <f t="shared" si="97"/>
        <v>1</v>
      </c>
      <c r="CM165" s="2466">
        <f t="shared" si="98"/>
        <v>1</v>
      </c>
      <c r="CN165" s="5831"/>
    </row>
    <row r="166" spans="1:92" ht="15" customHeight="1" x14ac:dyDescent="0.3">
      <c r="A166" s="6240">
        <v>32100980</v>
      </c>
      <c r="B166" s="7781"/>
      <c r="C166" s="1105" t="s">
        <v>247</v>
      </c>
      <c r="D166" s="1610" t="s">
        <v>5292</v>
      </c>
      <c r="E166" s="1593" t="s">
        <v>5293</v>
      </c>
      <c r="F166" s="1594" t="s">
        <v>5294</v>
      </c>
      <c r="G166" s="1095" t="s">
        <v>5295</v>
      </c>
      <c r="H166" s="1099" t="s">
        <v>5296</v>
      </c>
      <c r="I166" s="1095" t="s">
        <v>5297</v>
      </c>
      <c r="J166" s="1099" t="s">
        <v>5298</v>
      </c>
      <c r="K166" s="1095" t="s">
        <v>5299</v>
      </c>
      <c r="L166" s="1099" t="s">
        <v>5300</v>
      </c>
      <c r="M166" s="1095" t="s">
        <v>5301</v>
      </c>
      <c r="N166" s="1099" t="s">
        <v>5302</v>
      </c>
      <c r="O166" s="1095" t="s">
        <v>5303</v>
      </c>
      <c r="P166" s="1099" t="s">
        <v>5304</v>
      </c>
      <c r="Q166" s="1095" t="s">
        <v>5305</v>
      </c>
      <c r="R166" s="1099" t="s">
        <v>5306</v>
      </c>
      <c r="S166" s="1095" t="s">
        <v>5307</v>
      </c>
      <c r="T166" s="1099" t="s">
        <v>5308</v>
      </c>
      <c r="U166" s="1095" t="s">
        <v>5309</v>
      </c>
      <c r="V166" s="1099" t="s">
        <v>5310</v>
      </c>
      <c r="W166" s="1095" t="s">
        <v>5311</v>
      </c>
      <c r="X166" s="1099" t="s">
        <v>5312</v>
      </c>
      <c r="Y166" s="1095" t="s">
        <v>5313</v>
      </c>
      <c r="Z166" s="1099" t="s">
        <v>5314</v>
      </c>
      <c r="AA166" s="1095" t="s">
        <v>5315</v>
      </c>
      <c r="AB166" s="1099" t="s">
        <v>5316</v>
      </c>
      <c r="AC166" s="1095" t="s">
        <v>5317</v>
      </c>
      <c r="AD166" s="1099" t="s">
        <v>5318</v>
      </c>
      <c r="AE166" s="1095" t="s">
        <v>5319</v>
      </c>
      <c r="AF166" s="1099" t="s">
        <v>5320</v>
      </c>
      <c r="AG166" s="1095" t="s">
        <v>5321</v>
      </c>
      <c r="AH166" s="1100" t="s">
        <v>5322</v>
      </c>
      <c r="AI166" s="8" t="s">
        <v>5323</v>
      </c>
      <c r="AJ166" s="8" t="s">
        <v>5324</v>
      </c>
      <c r="AK166" t="str">
        <f t="shared" si="94"/>
        <v xml:space="preserve"> * La variable Pueblos originarios No puede ser mayor al Total. * La variable Migrantes No puede ser mayor al Total.</v>
      </c>
      <c r="CD166" s="2465" t="str">
        <f t="shared" si="95"/>
        <v xml:space="preserve"> * La variable Pueblos originarios No puede ser mayor al Total.</v>
      </c>
      <c r="CE166" s="2465" t="str">
        <f t="shared" si="96"/>
        <v xml:space="preserve"> * La variable Migrantes No puede ser mayor al Total.</v>
      </c>
      <c r="CF166" s="5831"/>
      <c r="CG166" s="5831"/>
      <c r="CH166" s="5831"/>
      <c r="CI166" s="5831"/>
      <c r="CJ166" s="5831"/>
      <c r="CK166" s="170"/>
      <c r="CL166" s="2466">
        <f t="shared" si="97"/>
        <v>1</v>
      </c>
      <c r="CM166" s="2466">
        <f t="shared" si="98"/>
        <v>1</v>
      </c>
      <c r="CN166" s="5831"/>
    </row>
    <row r="167" spans="1:92" ht="15" customHeight="1" x14ac:dyDescent="0.3">
      <c r="A167" s="6240">
        <v>32100990</v>
      </c>
      <c r="B167" s="8129"/>
      <c r="C167" s="1106" t="s">
        <v>632</v>
      </c>
      <c r="D167" s="1612" t="s">
        <v>5292</v>
      </c>
      <c r="E167" s="1598" t="s">
        <v>5293</v>
      </c>
      <c r="F167" s="1599" t="s">
        <v>5294</v>
      </c>
      <c r="G167" s="3" t="s">
        <v>5295</v>
      </c>
      <c r="H167" s="6" t="s">
        <v>5296</v>
      </c>
      <c r="I167" s="3" t="s">
        <v>5297</v>
      </c>
      <c r="J167" s="6" t="s">
        <v>5298</v>
      </c>
      <c r="K167" s="3" t="s">
        <v>5299</v>
      </c>
      <c r="L167" s="6" t="s">
        <v>5300</v>
      </c>
      <c r="M167" s="3" t="s">
        <v>5301</v>
      </c>
      <c r="N167" s="6" t="s">
        <v>5302</v>
      </c>
      <c r="O167" s="3" t="s">
        <v>5303</v>
      </c>
      <c r="P167" s="6" t="s">
        <v>5304</v>
      </c>
      <c r="Q167" s="3" t="s">
        <v>5305</v>
      </c>
      <c r="R167" s="6" t="s">
        <v>5306</v>
      </c>
      <c r="S167" s="3" t="s">
        <v>5307</v>
      </c>
      <c r="T167" s="6" t="s">
        <v>5308</v>
      </c>
      <c r="U167" s="3" t="s">
        <v>5309</v>
      </c>
      <c r="V167" s="6" t="s">
        <v>5310</v>
      </c>
      <c r="W167" s="3" t="s">
        <v>5311</v>
      </c>
      <c r="X167" s="6" t="s">
        <v>5312</v>
      </c>
      <c r="Y167" s="3" t="s">
        <v>5313</v>
      </c>
      <c r="Z167" s="6" t="s">
        <v>5314</v>
      </c>
      <c r="AA167" s="3" t="s">
        <v>5315</v>
      </c>
      <c r="AB167" s="6" t="s">
        <v>5316</v>
      </c>
      <c r="AC167" s="3" t="s">
        <v>5317</v>
      </c>
      <c r="AD167" s="6" t="s">
        <v>5318</v>
      </c>
      <c r="AE167" s="3" t="s">
        <v>5319</v>
      </c>
      <c r="AF167" s="6" t="s">
        <v>5320</v>
      </c>
      <c r="AG167" s="3" t="s">
        <v>5321</v>
      </c>
      <c r="AH167" s="5" t="s">
        <v>5322</v>
      </c>
      <c r="AI167" s="12" t="s">
        <v>5323</v>
      </c>
      <c r="AJ167" s="12" t="s">
        <v>5324</v>
      </c>
      <c r="AK167" t="str">
        <f t="shared" si="94"/>
        <v xml:space="preserve"> * La variable Pueblos originarios No puede ser mayor al Total. * La variable Migrantes No puede ser mayor al Total.</v>
      </c>
      <c r="CD167" s="2465" t="str">
        <f t="shared" si="95"/>
        <v xml:space="preserve"> * La variable Pueblos originarios No puede ser mayor al Total.</v>
      </c>
      <c r="CE167" s="2465" t="str">
        <f t="shared" si="96"/>
        <v xml:space="preserve"> * La variable Migrantes No puede ser mayor al Total.</v>
      </c>
      <c r="CF167" s="5831"/>
      <c r="CG167" s="5831"/>
      <c r="CH167" s="5831"/>
      <c r="CI167" s="5831"/>
      <c r="CJ167" s="5831"/>
      <c r="CK167" s="170"/>
      <c r="CL167" s="2466">
        <f t="shared" si="97"/>
        <v>1</v>
      </c>
      <c r="CM167" s="2466">
        <f t="shared" si="98"/>
        <v>1</v>
      </c>
      <c r="CN167" s="5831"/>
    </row>
    <row r="168" spans="1:92" s="1116" customFormat="1" ht="18" customHeight="1" x14ac:dyDescent="0.2">
      <c r="A168" s="6305"/>
      <c r="B168" s="1626" t="s">
        <v>1402</v>
      </c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  <c r="CN168" s="170"/>
    </row>
    <row r="169" spans="1:92" s="170" customFormat="1" ht="15" customHeight="1" x14ac:dyDescent="0.2">
      <c r="A169" s="6305"/>
      <c r="B169" s="8448" t="s">
        <v>701</v>
      </c>
      <c r="C169" s="8507" t="s">
        <v>24</v>
      </c>
      <c r="D169" s="6891"/>
      <c r="E169" s="8508"/>
      <c r="F169" s="8504" t="s">
        <v>30</v>
      </c>
      <c r="G169" s="8502"/>
      <c r="H169" s="8502"/>
      <c r="I169" s="8502"/>
      <c r="J169" s="8502"/>
      <c r="K169" s="8502"/>
      <c r="L169" s="8502"/>
      <c r="M169" s="8502"/>
      <c r="N169" s="8502"/>
      <c r="O169" s="8502"/>
      <c r="P169" s="8502"/>
      <c r="Q169" s="8502"/>
      <c r="R169" s="8502"/>
      <c r="S169" s="8502"/>
      <c r="T169" s="8502"/>
      <c r="U169" s="8502"/>
      <c r="V169" s="8502"/>
      <c r="W169" s="8502"/>
      <c r="X169" s="8502"/>
      <c r="Y169" s="8502"/>
      <c r="Z169" s="8502"/>
      <c r="AA169" s="8502"/>
      <c r="AB169" s="8502"/>
      <c r="AC169" s="8502"/>
      <c r="AD169" s="8502"/>
      <c r="AE169" s="8502"/>
      <c r="AF169" s="8502"/>
      <c r="AG169" s="8334"/>
      <c r="AH169" s="8511" t="s">
        <v>1403</v>
      </c>
      <c r="AI169" s="6399" t="s">
        <v>2</v>
      </c>
      <c r="AJ169" s="6399" t="s">
        <v>3</v>
      </c>
    </row>
    <row r="170" spans="1:92" s="170" customFormat="1" ht="15" customHeight="1" x14ac:dyDescent="0.2">
      <c r="A170" s="6305"/>
      <c r="B170" s="7799"/>
      <c r="C170" s="8509"/>
      <c r="D170" s="8510"/>
      <c r="E170" s="7821"/>
      <c r="F170" s="8504" t="s">
        <v>4</v>
      </c>
      <c r="G170" s="8503"/>
      <c r="H170" s="8504" t="s">
        <v>5</v>
      </c>
      <c r="I170" s="8503"/>
      <c r="J170" s="8505" t="s">
        <v>6</v>
      </c>
      <c r="K170" s="8506"/>
      <c r="L170" s="8505" t="s">
        <v>7</v>
      </c>
      <c r="M170" s="8506"/>
      <c r="N170" s="8505" t="s">
        <v>8</v>
      </c>
      <c r="O170" s="8506"/>
      <c r="P170" s="8505" t="s">
        <v>9</v>
      </c>
      <c r="Q170" s="8506"/>
      <c r="R170" s="8505" t="s">
        <v>10</v>
      </c>
      <c r="S170" s="8506"/>
      <c r="T170" s="8505" t="s">
        <v>11</v>
      </c>
      <c r="U170" s="8506"/>
      <c r="V170" s="8505" t="s">
        <v>18</v>
      </c>
      <c r="W170" s="8506"/>
      <c r="X170" s="8505" t="s">
        <v>19</v>
      </c>
      <c r="Y170" s="8506"/>
      <c r="Z170" s="8505" t="s">
        <v>20</v>
      </c>
      <c r="AA170" s="8506"/>
      <c r="AB170" s="8505" t="s">
        <v>70</v>
      </c>
      <c r="AC170" s="8506"/>
      <c r="AD170" s="8505" t="s">
        <v>71</v>
      </c>
      <c r="AE170" s="8506"/>
      <c r="AF170" s="8505" t="s">
        <v>32</v>
      </c>
      <c r="AG170" s="8385"/>
      <c r="AH170" s="6904"/>
      <c r="AI170" s="6831"/>
      <c r="AJ170" s="6831"/>
    </row>
    <row r="171" spans="1:92" s="170" customFormat="1" ht="15" customHeight="1" x14ac:dyDescent="0.2">
      <c r="A171" s="6305"/>
      <c r="B171" s="8449"/>
      <c r="C171" s="2552" t="s">
        <v>26</v>
      </c>
      <c r="D171" s="2553" t="s">
        <v>22</v>
      </c>
      <c r="E171" s="2525" t="s">
        <v>27</v>
      </c>
      <c r="F171" s="2554" t="s">
        <v>22</v>
      </c>
      <c r="G171" s="2525" t="s">
        <v>27</v>
      </c>
      <c r="H171" s="2554" t="s">
        <v>22</v>
      </c>
      <c r="I171" s="2525" t="s">
        <v>27</v>
      </c>
      <c r="J171" s="2554" t="s">
        <v>22</v>
      </c>
      <c r="K171" s="2525" t="s">
        <v>27</v>
      </c>
      <c r="L171" s="2554" t="s">
        <v>22</v>
      </c>
      <c r="M171" s="2525" t="s">
        <v>27</v>
      </c>
      <c r="N171" s="2554" t="s">
        <v>22</v>
      </c>
      <c r="O171" s="2525" t="s">
        <v>27</v>
      </c>
      <c r="P171" s="2554" t="s">
        <v>22</v>
      </c>
      <c r="Q171" s="2525" t="s">
        <v>27</v>
      </c>
      <c r="R171" s="2554" t="s">
        <v>22</v>
      </c>
      <c r="S171" s="2525" t="s">
        <v>27</v>
      </c>
      <c r="T171" s="2554" t="s">
        <v>22</v>
      </c>
      <c r="U171" s="2525" t="s">
        <v>27</v>
      </c>
      <c r="V171" s="2554" t="s">
        <v>22</v>
      </c>
      <c r="W171" s="2525" t="s">
        <v>27</v>
      </c>
      <c r="X171" s="2554" t="s">
        <v>22</v>
      </c>
      <c r="Y171" s="2525" t="s">
        <v>27</v>
      </c>
      <c r="Z171" s="2554" t="s">
        <v>22</v>
      </c>
      <c r="AA171" s="2525" t="s">
        <v>27</v>
      </c>
      <c r="AB171" s="2554" t="s">
        <v>22</v>
      </c>
      <c r="AC171" s="2525" t="s">
        <v>27</v>
      </c>
      <c r="AD171" s="2554" t="s">
        <v>22</v>
      </c>
      <c r="AE171" s="2525" t="s">
        <v>27</v>
      </c>
      <c r="AF171" s="2554" t="s">
        <v>22</v>
      </c>
      <c r="AG171" s="4296" t="s">
        <v>27</v>
      </c>
      <c r="AH171" s="6905"/>
      <c r="AI171" s="8493"/>
      <c r="AJ171" s="8493"/>
    </row>
    <row r="172" spans="1:92" s="170" customFormat="1" ht="15" customHeight="1" x14ac:dyDescent="0.2">
      <c r="A172" s="6240">
        <v>32101100</v>
      </c>
      <c r="B172" s="1613" t="s">
        <v>1391</v>
      </c>
      <c r="C172" s="1614" t="s">
        <v>5292</v>
      </c>
      <c r="D172" s="1614" t="s">
        <v>5293</v>
      </c>
      <c r="E172" s="1614" t="s">
        <v>5294</v>
      </c>
      <c r="F172" s="1245" t="s">
        <v>5295</v>
      </c>
      <c r="G172" s="1249" t="s">
        <v>5296</v>
      </c>
      <c r="H172" s="1245" t="s">
        <v>5297</v>
      </c>
      <c r="I172" s="1249" t="s">
        <v>5298</v>
      </c>
      <c r="J172" s="1245" t="s">
        <v>5299</v>
      </c>
      <c r="K172" s="1249" t="s">
        <v>5300</v>
      </c>
      <c r="L172" s="1245" t="s">
        <v>5301</v>
      </c>
      <c r="M172" s="1249" t="s">
        <v>5302</v>
      </c>
      <c r="N172" s="1245" t="s">
        <v>5303</v>
      </c>
      <c r="O172" s="1249" t="s">
        <v>5304</v>
      </c>
      <c r="P172" s="1245" t="s">
        <v>5305</v>
      </c>
      <c r="Q172" s="1249" t="s">
        <v>5306</v>
      </c>
      <c r="R172" s="1245" t="s">
        <v>5307</v>
      </c>
      <c r="S172" s="1249" t="s">
        <v>5308</v>
      </c>
      <c r="T172" s="1245" t="s">
        <v>5309</v>
      </c>
      <c r="U172" s="1249" t="s">
        <v>5310</v>
      </c>
      <c r="V172" s="1245" t="s">
        <v>5311</v>
      </c>
      <c r="W172" s="1249" t="s">
        <v>5312</v>
      </c>
      <c r="X172" s="1245" t="s">
        <v>5313</v>
      </c>
      <c r="Y172" s="1249" t="s">
        <v>5314</v>
      </c>
      <c r="Z172" s="1245" t="s">
        <v>5315</v>
      </c>
      <c r="AA172" s="1249" t="s">
        <v>5316</v>
      </c>
      <c r="AB172" s="1245" t="s">
        <v>5317</v>
      </c>
      <c r="AC172" s="1249" t="s">
        <v>5318</v>
      </c>
      <c r="AD172" s="1245" t="s">
        <v>5319</v>
      </c>
      <c r="AE172" s="1249" t="s">
        <v>5320</v>
      </c>
      <c r="AF172" s="1245" t="s">
        <v>5321</v>
      </c>
      <c r="AG172" s="4384" t="s">
        <v>5322</v>
      </c>
      <c r="AH172" s="4387" t="s">
        <v>5323</v>
      </c>
      <c r="AI172" s="4117" t="s">
        <v>5324</v>
      </c>
      <c r="AJ172" s="4117" t="s">
        <v>5325</v>
      </c>
      <c r="AK172" s="170" t="str">
        <f>CD172&amp;CE172&amp;CF172&amp;CG172</f>
        <v xml:space="preserve"> * La variable Pueblos originarios No puede ser mayor al Total. * La variable Migrantes No puede ser mayor al Total.</v>
      </c>
      <c r="CD172" s="2465" t="str">
        <f>IF(AND(C172&gt;0,AI172="")," * No olvide digitar La variable Pueblos originarios, Digite CERO si no tiene.",IF(AI172&gt;C172," * La variable Pueblos originarios No puede ser mayor al Total.",""))</f>
        <v xml:space="preserve"> * La variable Pueblos originarios No puede ser mayor al Total.</v>
      </c>
      <c r="CE172" s="2465" t="str">
        <f>IF(AND(C172&gt;0,AJ172="")," * No olvide digitar La variable Migrantes, Digite CERO si no tiene.",IF(AJ172&gt;C172," * La variable Migrantes No puede ser mayor al Total.",""))</f>
        <v xml:space="preserve"> * La variable Migrantes No puede ser mayor al Total.</v>
      </c>
      <c r="CL172" s="2466">
        <f>IF(AND(C172&gt;0,AI172=""),1,IF(AI172&gt;C172,1,0))</f>
        <v>1</v>
      </c>
      <c r="CM172" s="2466">
        <f>IF(AND(C172&gt;0,AJ172=""),1,IF(AJ172&gt;C172,1,0))</f>
        <v>1</v>
      </c>
      <c r="CN172" s="2466"/>
    </row>
    <row r="173" spans="1:92" s="170" customFormat="1" ht="15" customHeight="1" x14ac:dyDescent="0.2">
      <c r="A173" s="6240">
        <v>32101110</v>
      </c>
      <c r="B173" s="1613" t="s">
        <v>1392</v>
      </c>
      <c r="C173" s="1615" t="s">
        <v>5292</v>
      </c>
      <c r="D173" s="1615" t="s">
        <v>5293</v>
      </c>
      <c r="E173" s="1615" t="s">
        <v>5294</v>
      </c>
      <c r="F173" s="1095" t="s">
        <v>5295</v>
      </c>
      <c r="G173" s="1099" t="s">
        <v>5296</v>
      </c>
      <c r="H173" s="1095" t="s">
        <v>5297</v>
      </c>
      <c r="I173" s="1099" t="s">
        <v>5298</v>
      </c>
      <c r="J173" s="1095" t="s">
        <v>5299</v>
      </c>
      <c r="K173" s="1099" t="s">
        <v>5300</v>
      </c>
      <c r="L173" s="1095" t="s">
        <v>5301</v>
      </c>
      <c r="M173" s="1099" t="s">
        <v>5302</v>
      </c>
      <c r="N173" s="1095" t="s">
        <v>5303</v>
      </c>
      <c r="O173" s="1099" t="s">
        <v>5304</v>
      </c>
      <c r="P173" s="1095" t="s">
        <v>5305</v>
      </c>
      <c r="Q173" s="1099" t="s">
        <v>5306</v>
      </c>
      <c r="R173" s="1095" t="s">
        <v>5307</v>
      </c>
      <c r="S173" s="1099" t="s">
        <v>5308</v>
      </c>
      <c r="T173" s="1095" t="s">
        <v>5309</v>
      </c>
      <c r="U173" s="1099" t="s">
        <v>5310</v>
      </c>
      <c r="V173" s="1095" t="s">
        <v>5311</v>
      </c>
      <c r="W173" s="1099" t="s">
        <v>5312</v>
      </c>
      <c r="X173" s="1095" t="s">
        <v>5313</v>
      </c>
      <c r="Y173" s="1099" t="s">
        <v>5314</v>
      </c>
      <c r="Z173" s="1095" t="s">
        <v>5315</v>
      </c>
      <c r="AA173" s="1099" t="s">
        <v>5316</v>
      </c>
      <c r="AB173" s="1095" t="s">
        <v>5317</v>
      </c>
      <c r="AC173" s="1099" t="s">
        <v>5318</v>
      </c>
      <c r="AD173" s="1095" t="s">
        <v>5319</v>
      </c>
      <c r="AE173" s="1099" t="s">
        <v>5320</v>
      </c>
      <c r="AF173" s="1095" t="s">
        <v>5321</v>
      </c>
      <c r="AG173" s="4385" t="s">
        <v>5322</v>
      </c>
      <c r="AH173" s="4388" t="s">
        <v>5323</v>
      </c>
      <c r="AI173" s="3926" t="s">
        <v>5324</v>
      </c>
      <c r="AJ173" s="3926" t="s">
        <v>5325</v>
      </c>
      <c r="AK173" s="170" t="str">
        <f>CD173&amp;CE173&amp;CF173&amp;CG173</f>
        <v xml:space="preserve"> * La variable Pueblos originarios No puede ser mayor al Total. * La variable Migrantes No puede ser mayor al Total.</v>
      </c>
      <c r="CD173" s="2465" t="str">
        <f t="shared" ref="CD173:CD174" si="99">IF(AND(C173&gt;0,AI173="")," * No olvide digitar La variable Pueblos originarios, Digite CERO si no tiene.",IF(AI173&gt;C173," * La variable Pueblos originarios No puede ser mayor al Total.",""))</f>
        <v xml:space="preserve"> * La variable Pueblos originarios No puede ser mayor al Total.</v>
      </c>
      <c r="CE173" s="2465" t="str">
        <f t="shared" ref="CE173:CE174" si="100">IF(AND(C173&gt;0,AJ173="")," * No olvide digitar La variable Migrantes, Digite CERO si no tiene.",IF(AJ173&gt;C173," * La variable Migrantes No puede ser mayor al Total.",""))</f>
        <v xml:space="preserve"> * La variable Migrantes No puede ser mayor al Total.</v>
      </c>
      <c r="CL173" s="2466">
        <f t="shared" ref="CL173:CL174" si="101">IF(AND(C173&gt;0,AI173=""),1,IF(AI173&gt;C173,1,0))</f>
        <v>1</v>
      </c>
      <c r="CM173" s="2466">
        <f t="shared" ref="CM173:CM174" si="102">IF(AND(C173&gt;0,AJ173=""),1,IF(AJ173&gt;C173,1,0))</f>
        <v>1</v>
      </c>
      <c r="CN173" s="2466"/>
    </row>
    <row r="174" spans="1:92" s="170" customFormat="1" ht="15" customHeight="1" x14ac:dyDescent="0.2">
      <c r="A174" s="6240">
        <v>32101586</v>
      </c>
      <c r="B174" s="1613" t="s">
        <v>1404</v>
      </c>
      <c r="C174" s="1615" t="s">
        <v>5292</v>
      </c>
      <c r="D174" s="1615" t="s">
        <v>5293</v>
      </c>
      <c r="E174" s="1615" t="s">
        <v>5294</v>
      </c>
      <c r="F174" s="1271" t="s">
        <v>5295</v>
      </c>
      <c r="G174" s="1273" t="s">
        <v>5296</v>
      </c>
      <c r="H174" s="1271" t="s">
        <v>5297</v>
      </c>
      <c r="I174" s="1273" t="s">
        <v>5298</v>
      </c>
      <c r="J174" s="1271" t="s">
        <v>5299</v>
      </c>
      <c r="K174" s="1273" t="s">
        <v>5300</v>
      </c>
      <c r="L174" s="1271" t="s">
        <v>5301</v>
      </c>
      <c r="M174" s="1273" t="s">
        <v>5302</v>
      </c>
      <c r="N174" s="1271" t="s">
        <v>5303</v>
      </c>
      <c r="O174" s="1273" t="s">
        <v>5304</v>
      </c>
      <c r="P174" s="1271" t="s">
        <v>5305</v>
      </c>
      <c r="Q174" s="1273" t="s">
        <v>5306</v>
      </c>
      <c r="R174" s="1271" t="s">
        <v>5307</v>
      </c>
      <c r="S174" s="1273" t="s">
        <v>5308</v>
      </c>
      <c r="T174" s="1271" t="s">
        <v>5309</v>
      </c>
      <c r="U174" s="1273" t="s">
        <v>5310</v>
      </c>
      <c r="V174" s="1271" t="s">
        <v>5311</v>
      </c>
      <c r="W174" s="1273" t="s">
        <v>5312</v>
      </c>
      <c r="X174" s="1271" t="s">
        <v>5313</v>
      </c>
      <c r="Y174" s="1273" t="s">
        <v>5314</v>
      </c>
      <c r="Z174" s="1271" t="s">
        <v>5315</v>
      </c>
      <c r="AA174" s="1273" t="s">
        <v>5316</v>
      </c>
      <c r="AB174" s="1271" t="s">
        <v>5317</v>
      </c>
      <c r="AC174" s="1273" t="s">
        <v>5318</v>
      </c>
      <c r="AD174" s="1271" t="s">
        <v>5319</v>
      </c>
      <c r="AE174" s="1273" t="s">
        <v>5320</v>
      </c>
      <c r="AF174" s="1271" t="s">
        <v>5321</v>
      </c>
      <c r="AG174" s="1272" t="s">
        <v>5322</v>
      </c>
      <c r="AH174" s="1430" t="s">
        <v>5323</v>
      </c>
      <c r="AI174" s="1693" t="s">
        <v>5324</v>
      </c>
      <c r="AJ174" s="1693" t="s">
        <v>5325</v>
      </c>
      <c r="AK174" s="170" t="str">
        <f>CD174&amp;CE174&amp;CF174&amp;CG174</f>
        <v xml:space="preserve"> * La variable Pueblos originarios No puede ser mayor al Total. * La variable Migrantes No puede ser mayor al Total.</v>
      </c>
      <c r="CD174" s="2465" t="str">
        <f t="shared" si="99"/>
        <v xml:space="preserve"> * La variable Pueblos originarios No puede ser mayor al Total.</v>
      </c>
      <c r="CE174" s="2465" t="str">
        <f t="shared" si="100"/>
        <v xml:space="preserve"> * La variable Migrantes No puede ser mayor al Total.</v>
      </c>
      <c r="CL174" s="2466">
        <f t="shared" si="101"/>
        <v>1</v>
      </c>
      <c r="CM174" s="2466">
        <f t="shared" si="102"/>
        <v>1</v>
      </c>
      <c r="CN174" s="2466"/>
    </row>
    <row r="175" spans="1:92" s="170" customFormat="1" ht="15" customHeight="1" x14ac:dyDescent="0.2">
      <c r="A175" s="6240">
        <v>32101587</v>
      </c>
      <c r="B175" s="1443" t="s">
        <v>1405</v>
      </c>
      <c r="C175" s="1616" t="s">
        <v>5292</v>
      </c>
      <c r="D175" s="1616" t="s">
        <v>5293</v>
      </c>
      <c r="E175" s="1616" t="s">
        <v>5294</v>
      </c>
      <c r="F175" s="1617" t="s">
        <v>5295</v>
      </c>
      <c r="G175" s="1618" t="s">
        <v>5296</v>
      </c>
      <c r="H175" s="1617" t="s">
        <v>5297</v>
      </c>
      <c r="I175" s="1618" t="s">
        <v>5298</v>
      </c>
      <c r="J175" s="1617" t="s">
        <v>5299</v>
      </c>
      <c r="K175" s="1618" t="s">
        <v>5300</v>
      </c>
      <c r="L175" s="1617" t="s">
        <v>5301</v>
      </c>
      <c r="M175" s="1618" t="s">
        <v>5302</v>
      </c>
      <c r="N175" s="1617" t="s">
        <v>5303</v>
      </c>
      <c r="O175" s="1618" t="s">
        <v>5304</v>
      </c>
      <c r="P175" s="1617" t="s">
        <v>5305</v>
      </c>
      <c r="Q175" s="1618" t="s">
        <v>5306</v>
      </c>
      <c r="R175" s="1617" t="s">
        <v>5307</v>
      </c>
      <c r="S175" s="1618" t="s">
        <v>5308</v>
      </c>
      <c r="T175" s="1617" t="s">
        <v>5309</v>
      </c>
      <c r="U175" s="1618" t="s">
        <v>5310</v>
      </c>
      <c r="V175" s="1617" t="s">
        <v>5311</v>
      </c>
      <c r="W175" s="1618" t="s">
        <v>5312</v>
      </c>
      <c r="X175" s="1617" t="s">
        <v>5313</v>
      </c>
      <c r="Y175" s="1618" t="s">
        <v>5314</v>
      </c>
      <c r="Z175" s="1617" t="s">
        <v>5315</v>
      </c>
      <c r="AA175" s="1618" t="s">
        <v>5316</v>
      </c>
      <c r="AB175" s="1617" t="s">
        <v>5317</v>
      </c>
      <c r="AC175" s="1618" t="s">
        <v>5318</v>
      </c>
      <c r="AD175" s="1617" t="s">
        <v>5319</v>
      </c>
      <c r="AE175" s="1618" t="s">
        <v>5320</v>
      </c>
      <c r="AF175" s="1617" t="s">
        <v>5321</v>
      </c>
      <c r="AG175" s="4386" t="s">
        <v>5322</v>
      </c>
      <c r="AH175" s="2214" t="s">
        <v>5323</v>
      </c>
      <c r="AI175" s="4389" t="s">
        <v>5324</v>
      </c>
      <c r="AJ175" s="4389" t="s">
        <v>5325</v>
      </c>
    </row>
    <row r="176" spans="1:92" s="170" customFormat="1" ht="18" customHeight="1" x14ac:dyDescent="0.2">
      <c r="B176" s="1626" t="s">
        <v>1406</v>
      </c>
    </row>
    <row r="177" spans="1:92" s="170" customFormat="1" ht="15" customHeight="1" x14ac:dyDescent="0.2">
      <c r="B177" s="8463" t="s">
        <v>1407</v>
      </c>
      <c r="C177" s="8486" t="s">
        <v>1388</v>
      </c>
      <c r="D177" s="8490" t="s">
        <v>1408</v>
      </c>
      <c r="E177" s="8491"/>
      <c r="F177" s="8486" t="s">
        <v>1409</v>
      </c>
      <c r="G177" s="8490" t="s">
        <v>12</v>
      </c>
      <c r="H177" s="8491"/>
      <c r="I177" s="8491"/>
      <c r="J177" s="8491"/>
      <c r="K177" s="8491"/>
      <c r="L177" s="8491"/>
      <c r="M177" s="8491"/>
      <c r="N177" s="8491"/>
      <c r="O177" s="8491"/>
      <c r="P177" s="8491"/>
      <c r="Q177" s="8491"/>
      <c r="R177" s="8491"/>
      <c r="S177" s="8491"/>
      <c r="T177" s="8491"/>
      <c r="U177" s="8492"/>
    </row>
    <row r="178" spans="1:92" s="170" customFormat="1" ht="20.399999999999999" x14ac:dyDescent="0.2">
      <c r="B178" s="8464"/>
      <c r="C178" s="8487"/>
      <c r="D178" s="1619" t="s">
        <v>1391</v>
      </c>
      <c r="E178" s="1619" t="s">
        <v>1410</v>
      </c>
      <c r="F178" s="8487"/>
      <c r="G178" s="1619" t="s">
        <v>547</v>
      </c>
      <c r="H178" s="1619" t="s">
        <v>548</v>
      </c>
      <c r="I178" s="1619" t="s">
        <v>549</v>
      </c>
      <c r="J178" s="1619" t="s">
        <v>550</v>
      </c>
      <c r="K178" s="1619" t="s">
        <v>551</v>
      </c>
      <c r="L178" s="1619" t="s">
        <v>552</v>
      </c>
      <c r="M178" s="1619" t="s">
        <v>2454</v>
      </c>
      <c r="N178" s="1619" t="s">
        <v>2446</v>
      </c>
      <c r="O178" s="1619" t="s">
        <v>2455</v>
      </c>
      <c r="P178" s="1619" t="s">
        <v>3737</v>
      </c>
      <c r="Q178" s="1619" t="s">
        <v>3738</v>
      </c>
      <c r="R178" s="1619" t="s">
        <v>3739</v>
      </c>
      <c r="S178" s="1619" t="s">
        <v>2457</v>
      </c>
      <c r="T178" s="1619" t="s">
        <v>3740</v>
      </c>
      <c r="U178" s="1619" t="s">
        <v>3741</v>
      </c>
      <c r="CD178" s="2465"/>
      <c r="CE178" s="2465"/>
      <c r="CF178" s="2465"/>
      <c r="CG178" s="2465"/>
      <c r="CH178" s="2465"/>
      <c r="CI178" s="2465"/>
      <c r="CJ178" s="2465"/>
      <c r="CL178" s="2466"/>
      <c r="CM178" s="2466"/>
      <c r="CN178" s="2466"/>
    </row>
    <row r="179" spans="1:92" s="170" customFormat="1" ht="15" customHeight="1" x14ac:dyDescent="0.2">
      <c r="A179" s="6240">
        <v>32101220</v>
      </c>
      <c r="B179" s="1613" t="s">
        <v>76</v>
      </c>
      <c r="C179" s="1330" t="s">
        <v>5292</v>
      </c>
      <c r="D179" s="1271" t="s">
        <v>5293</v>
      </c>
      <c r="E179" s="1271" t="s">
        <v>5294</v>
      </c>
      <c r="F179" s="1330" t="s">
        <v>5295</v>
      </c>
      <c r="G179" s="1095" t="s">
        <v>5296</v>
      </c>
      <c r="H179" s="1095" t="s">
        <v>5297</v>
      </c>
      <c r="I179" s="1095" t="s">
        <v>5298</v>
      </c>
      <c r="J179" s="1095" t="s">
        <v>5299</v>
      </c>
      <c r="K179" s="1620" t="s">
        <v>5300</v>
      </c>
      <c r="L179" s="1095" t="s">
        <v>5301</v>
      </c>
      <c r="M179" s="1095" t="s">
        <v>5302</v>
      </c>
      <c r="N179" s="1095" t="s">
        <v>5303</v>
      </c>
      <c r="O179" s="1095" t="s">
        <v>5304</v>
      </c>
      <c r="P179" s="1095" t="s">
        <v>5305</v>
      </c>
      <c r="Q179" s="1095" t="s">
        <v>5306</v>
      </c>
      <c r="R179" s="1095" t="s">
        <v>5307</v>
      </c>
      <c r="S179" s="1095" t="s">
        <v>5308</v>
      </c>
      <c r="T179" s="1095" t="s">
        <v>5309</v>
      </c>
      <c r="U179" s="1092" t="s">
        <v>5310</v>
      </c>
      <c r="CD179" s="2465"/>
      <c r="CE179" s="2465"/>
      <c r="CF179" s="2465"/>
      <c r="CG179" s="2465"/>
      <c r="CH179" s="2465"/>
      <c r="CI179" s="2465"/>
      <c r="CJ179" s="2465"/>
      <c r="CL179" s="2466"/>
      <c r="CM179" s="2466"/>
      <c r="CN179" s="2466"/>
    </row>
    <row r="180" spans="1:92" s="170" customFormat="1" ht="15" customHeight="1" x14ac:dyDescent="0.2">
      <c r="A180" s="6240">
        <v>32101230</v>
      </c>
      <c r="B180" s="1613" t="s">
        <v>74</v>
      </c>
      <c r="C180" s="1621" t="s">
        <v>5292</v>
      </c>
      <c r="D180" s="1095" t="s">
        <v>5293</v>
      </c>
      <c r="E180" s="1095" t="s">
        <v>5294</v>
      </c>
      <c r="F180" s="1105" t="s">
        <v>5295</v>
      </c>
      <c r="G180" s="1095" t="s">
        <v>5296</v>
      </c>
      <c r="H180" s="1095" t="s">
        <v>5297</v>
      </c>
      <c r="I180" s="1095" t="s">
        <v>5298</v>
      </c>
      <c r="J180" s="1095" t="s">
        <v>5299</v>
      </c>
      <c r="K180" s="1622" t="s">
        <v>5300</v>
      </c>
      <c r="L180" s="1095" t="s">
        <v>5301</v>
      </c>
      <c r="M180" s="1095" t="s">
        <v>5302</v>
      </c>
      <c r="N180" s="1095" t="s">
        <v>5303</v>
      </c>
      <c r="O180" s="1095" t="s">
        <v>5304</v>
      </c>
      <c r="P180" s="1095" t="s">
        <v>5305</v>
      </c>
      <c r="Q180" s="1095" t="s">
        <v>5306</v>
      </c>
      <c r="R180" s="1095" t="s">
        <v>5307</v>
      </c>
      <c r="S180" s="1095" t="s">
        <v>5308</v>
      </c>
      <c r="T180" s="1095" t="s">
        <v>5309</v>
      </c>
      <c r="U180" s="1092" t="s">
        <v>5310</v>
      </c>
      <c r="CD180" s="2465"/>
      <c r="CE180" s="2465"/>
      <c r="CF180" s="2465"/>
      <c r="CG180" s="2465"/>
      <c r="CH180" s="2465"/>
      <c r="CI180" s="2465"/>
      <c r="CJ180" s="2465"/>
      <c r="CL180" s="2466"/>
      <c r="CM180" s="2466"/>
      <c r="CN180" s="2466"/>
    </row>
    <row r="181" spans="1:92" s="170" customFormat="1" ht="15" customHeight="1" x14ac:dyDescent="0.2">
      <c r="A181" s="6240">
        <v>32101240</v>
      </c>
      <c r="B181" s="1613" t="s">
        <v>247</v>
      </c>
      <c r="C181" s="1621" t="s">
        <v>5292</v>
      </c>
      <c r="D181" s="1095" t="s">
        <v>5293</v>
      </c>
      <c r="E181" s="1095" t="s">
        <v>5294</v>
      </c>
      <c r="F181" s="1105" t="s">
        <v>5295</v>
      </c>
      <c r="G181" s="1095" t="s">
        <v>5296</v>
      </c>
      <c r="H181" s="1095" t="s">
        <v>5297</v>
      </c>
      <c r="I181" s="1095" t="s">
        <v>5298</v>
      </c>
      <c r="J181" s="1095" t="s">
        <v>5299</v>
      </c>
      <c r="K181" s="1092" t="s">
        <v>5300</v>
      </c>
      <c r="L181" s="1095" t="s">
        <v>5301</v>
      </c>
      <c r="M181" s="1095" t="s">
        <v>5302</v>
      </c>
      <c r="N181" s="1095" t="s">
        <v>5303</v>
      </c>
      <c r="O181" s="1095" t="s">
        <v>5304</v>
      </c>
      <c r="P181" s="1095" t="s">
        <v>5305</v>
      </c>
      <c r="Q181" s="1095" t="s">
        <v>5306</v>
      </c>
      <c r="R181" s="1095" t="s">
        <v>5307</v>
      </c>
      <c r="S181" s="1095" t="s">
        <v>5308</v>
      </c>
      <c r="T181" s="1095" t="s">
        <v>5309</v>
      </c>
      <c r="U181" s="1092" t="s">
        <v>5310</v>
      </c>
      <c r="CD181" s="2465"/>
      <c r="CE181" s="2465"/>
      <c r="CF181" s="2465"/>
      <c r="CG181" s="2465"/>
      <c r="CH181" s="2465"/>
      <c r="CI181" s="2465"/>
      <c r="CJ181" s="2465"/>
      <c r="CL181" s="2466"/>
      <c r="CM181" s="2466"/>
      <c r="CN181" s="2466"/>
    </row>
    <row r="182" spans="1:92" s="170" customFormat="1" ht="15" customHeight="1" x14ac:dyDescent="0.2">
      <c r="A182" s="6240">
        <v>32101250</v>
      </c>
      <c r="B182" s="55" t="s">
        <v>1411</v>
      </c>
      <c r="C182" s="1623" t="s">
        <v>5292</v>
      </c>
      <c r="D182" s="3" t="s">
        <v>5293</v>
      </c>
      <c r="E182" s="3" t="s">
        <v>5294</v>
      </c>
      <c r="F182" s="1624" t="s">
        <v>5295</v>
      </c>
      <c r="G182" s="3" t="s">
        <v>5296</v>
      </c>
      <c r="H182" s="3" t="s">
        <v>5297</v>
      </c>
      <c r="I182" s="3" t="s">
        <v>5298</v>
      </c>
      <c r="J182" s="3" t="s">
        <v>5299</v>
      </c>
      <c r="K182" s="1625" t="s">
        <v>5300</v>
      </c>
      <c r="L182" s="3" t="s">
        <v>5301</v>
      </c>
      <c r="M182" s="3" t="s">
        <v>5302</v>
      </c>
      <c r="N182" s="3" t="s">
        <v>5303</v>
      </c>
      <c r="O182" s="3" t="s">
        <v>5304</v>
      </c>
      <c r="P182" s="3" t="s">
        <v>5305</v>
      </c>
      <c r="Q182" s="3" t="s">
        <v>5306</v>
      </c>
      <c r="R182" s="3" t="s">
        <v>5307</v>
      </c>
      <c r="S182" s="3" t="s">
        <v>5308</v>
      </c>
      <c r="T182" s="3" t="s">
        <v>5309</v>
      </c>
      <c r="U182" s="30" t="s">
        <v>5310</v>
      </c>
      <c r="CD182" s="2465"/>
      <c r="CE182" s="2465"/>
      <c r="CF182" s="2465"/>
      <c r="CG182" s="2465"/>
      <c r="CH182" s="2465"/>
      <c r="CI182" s="2465"/>
      <c r="CJ182" s="2465"/>
      <c r="CL182" s="2466"/>
      <c r="CM182" s="2466"/>
      <c r="CN182" s="2466"/>
    </row>
    <row r="183" spans="1:92" s="1116" customFormat="1" ht="18" customHeight="1" x14ac:dyDescent="0.25">
      <c r="A183" s="6308"/>
      <c r="B183" s="1626" t="s">
        <v>1412</v>
      </c>
      <c r="CD183" s="2465"/>
      <c r="CE183" s="2465"/>
      <c r="CF183" s="2465"/>
      <c r="CG183" s="2465"/>
      <c r="CH183" s="2465"/>
      <c r="CI183" s="2465"/>
      <c r="CJ183" s="2465"/>
      <c r="CK183" s="170"/>
      <c r="CL183" s="2466"/>
      <c r="CM183" s="2466"/>
      <c r="CN183" s="2466"/>
    </row>
    <row r="184" spans="1:92" s="170" customFormat="1" ht="15" customHeight="1" x14ac:dyDescent="0.25">
      <c r="A184" s="6308"/>
      <c r="B184" s="8475" t="s">
        <v>1413</v>
      </c>
      <c r="C184" s="8476" t="s">
        <v>3742</v>
      </c>
      <c r="D184" s="8477"/>
      <c r="E184" s="8478"/>
      <c r="F184" s="8476" t="s">
        <v>3743</v>
      </c>
      <c r="G184" s="8477"/>
      <c r="H184" s="8478"/>
      <c r="CD184" s="2465"/>
      <c r="CE184" s="2465"/>
      <c r="CF184" s="2465"/>
      <c r="CG184" s="2465"/>
      <c r="CH184" s="2465"/>
      <c r="CI184" s="2465"/>
      <c r="CJ184" s="2465"/>
      <c r="CL184" s="2466"/>
      <c r="CM184" s="2466"/>
      <c r="CN184" s="2466"/>
    </row>
    <row r="185" spans="1:92" s="170" customFormat="1" ht="15" customHeight="1" x14ac:dyDescent="0.25">
      <c r="A185" s="6308"/>
      <c r="B185" s="8449"/>
      <c r="C185" s="1627" t="s">
        <v>26</v>
      </c>
      <c r="D185" s="1628" t="s">
        <v>22</v>
      </c>
      <c r="E185" s="1629" t="s">
        <v>27</v>
      </c>
      <c r="F185" s="1627" t="s">
        <v>26</v>
      </c>
      <c r="G185" s="1628" t="s">
        <v>22</v>
      </c>
      <c r="H185" s="1629" t="s">
        <v>27</v>
      </c>
      <c r="CD185" s="2465"/>
      <c r="CE185" s="2465"/>
      <c r="CF185" s="2465"/>
      <c r="CG185" s="2465"/>
      <c r="CH185" s="2465"/>
      <c r="CI185" s="2465"/>
      <c r="CJ185" s="2465"/>
      <c r="CL185" s="2466"/>
      <c r="CM185" s="2466"/>
      <c r="CN185" s="2466"/>
    </row>
    <row r="186" spans="1:92" s="170" customFormat="1" ht="15" customHeight="1" x14ac:dyDescent="0.2">
      <c r="A186" s="6240">
        <v>32101140</v>
      </c>
      <c r="B186" s="1613" t="s">
        <v>1414</v>
      </c>
      <c r="C186" s="1630" t="s">
        <v>5292</v>
      </c>
      <c r="D186" s="1631" t="s">
        <v>5293</v>
      </c>
      <c r="E186" s="1632" t="s">
        <v>5294</v>
      </c>
      <c r="F186" s="1630" t="s">
        <v>5295</v>
      </c>
      <c r="G186" s="1631" t="s">
        <v>5296</v>
      </c>
      <c r="H186" s="1632" t="s">
        <v>5297</v>
      </c>
      <c r="CD186" s="2465"/>
      <c r="CE186" s="2465"/>
      <c r="CF186" s="2465"/>
      <c r="CG186" s="2465"/>
      <c r="CH186" s="2465"/>
      <c r="CI186" s="2465"/>
      <c r="CJ186" s="2465"/>
      <c r="CL186" s="2466"/>
      <c r="CM186" s="2466"/>
      <c r="CN186" s="2466"/>
    </row>
    <row r="187" spans="1:92" s="170" customFormat="1" ht="15" customHeight="1" x14ac:dyDescent="0.2">
      <c r="A187" s="6240">
        <v>32101150</v>
      </c>
      <c r="B187" s="55" t="s">
        <v>1415</v>
      </c>
      <c r="C187" s="1633" t="s">
        <v>5292</v>
      </c>
      <c r="D187" s="1634" t="s">
        <v>5293</v>
      </c>
      <c r="E187" s="1635" t="s">
        <v>5294</v>
      </c>
      <c r="F187" s="1633" t="s">
        <v>5295</v>
      </c>
      <c r="G187" s="1634" t="s">
        <v>5296</v>
      </c>
      <c r="H187" s="1635" t="s">
        <v>5297</v>
      </c>
      <c r="CD187" s="2465"/>
      <c r="CE187" s="2465"/>
      <c r="CF187" s="2465"/>
      <c r="CG187" s="2465"/>
      <c r="CH187" s="2465"/>
      <c r="CI187" s="2465"/>
      <c r="CJ187" s="2465"/>
      <c r="CL187" s="2466"/>
      <c r="CM187" s="2466"/>
      <c r="CN187" s="2466"/>
    </row>
    <row r="188" spans="1:92" s="1116" customFormat="1" ht="18" customHeight="1" x14ac:dyDescent="0.2">
      <c r="B188" s="1607" t="s">
        <v>1416</v>
      </c>
      <c r="CD188" s="2465"/>
      <c r="CE188" s="2465"/>
      <c r="CF188" s="2465"/>
      <c r="CG188" s="2465"/>
      <c r="CH188" s="2465"/>
      <c r="CI188" s="2465"/>
      <c r="CJ188" s="2465"/>
      <c r="CK188" s="170"/>
      <c r="CL188" s="2466"/>
      <c r="CM188" s="2466"/>
      <c r="CN188" s="2466"/>
    </row>
    <row r="189" spans="1:92" x14ac:dyDescent="0.3">
      <c r="A189" s="6236"/>
      <c r="B189" s="8479" t="s">
        <v>58</v>
      </c>
      <c r="C189" s="8481" t="s">
        <v>1388</v>
      </c>
      <c r="D189" s="8483" t="s">
        <v>1417</v>
      </c>
      <c r="E189" s="8484"/>
      <c r="F189" s="8485"/>
      <c r="G189" s="8486" t="s">
        <v>1409</v>
      </c>
      <c r="H189" s="8488" t="s">
        <v>12</v>
      </c>
      <c r="I189" s="8489"/>
      <c r="J189" s="8489"/>
      <c r="K189" s="8489"/>
      <c r="L189" s="8489"/>
      <c r="M189" s="8479"/>
      <c r="CD189" s="2465"/>
      <c r="CE189" s="2465"/>
      <c r="CF189" s="2465"/>
      <c r="CG189" s="2465"/>
      <c r="CH189" s="2465"/>
      <c r="CI189" s="2465"/>
      <c r="CJ189" s="2465"/>
      <c r="CK189" s="170"/>
      <c r="CL189" s="2466"/>
      <c r="CM189" s="2466"/>
      <c r="CN189" s="2466"/>
    </row>
    <row r="190" spans="1:92" ht="20.399999999999999" x14ac:dyDescent="0.3">
      <c r="A190" s="6236"/>
      <c r="B190" s="8480"/>
      <c r="C190" s="8482"/>
      <c r="D190" s="1636" t="s">
        <v>1418</v>
      </c>
      <c r="E190" s="1636" t="s">
        <v>1392</v>
      </c>
      <c r="F190" s="1636" t="s">
        <v>1419</v>
      </c>
      <c r="G190" s="8487"/>
      <c r="H190" s="1637" t="s">
        <v>3763</v>
      </c>
      <c r="I190" s="1638" t="s">
        <v>1420</v>
      </c>
      <c r="J190" s="1638" t="s">
        <v>1421</v>
      </c>
      <c r="K190" s="1638" t="s">
        <v>1422</v>
      </c>
      <c r="L190" s="1638" t="s">
        <v>1423</v>
      </c>
      <c r="M190" s="1639" t="s">
        <v>1424</v>
      </c>
      <c r="CD190" s="2465"/>
      <c r="CE190" s="2465"/>
      <c r="CF190" s="2465"/>
      <c r="CG190" s="2465"/>
      <c r="CH190" s="2465"/>
      <c r="CI190" s="2465"/>
      <c r="CJ190" s="2465"/>
      <c r="CK190" s="170"/>
      <c r="CL190" s="2466"/>
      <c r="CM190" s="2466"/>
      <c r="CN190" s="2466"/>
    </row>
    <row r="191" spans="1:92" x14ac:dyDescent="0.3">
      <c r="A191" s="6240">
        <v>32101330</v>
      </c>
      <c r="B191" s="1613" t="s">
        <v>1425</v>
      </c>
      <c r="C191" s="1640" t="s">
        <v>5292</v>
      </c>
      <c r="D191" s="1271" t="s">
        <v>5293</v>
      </c>
      <c r="E191" s="1271" t="s">
        <v>5294</v>
      </c>
      <c r="F191" s="1641" t="s">
        <v>5295</v>
      </c>
      <c r="G191" s="1330" t="s">
        <v>5296</v>
      </c>
      <c r="H191" s="1245" t="s">
        <v>5297</v>
      </c>
      <c r="I191" s="1422" t="s">
        <v>5298</v>
      </c>
      <c r="J191" s="1422" t="s">
        <v>5299</v>
      </c>
      <c r="K191" s="1422" t="s">
        <v>5300</v>
      </c>
      <c r="L191" s="1422" t="s">
        <v>5301</v>
      </c>
      <c r="M191" s="1089" t="s">
        <v>5302</v>
      </c>
    </row>
    <row r="192" spans="1:92" x14ac:dyDescent="0.3">
      <c r="A192" s="6240">
        <v>32101340</v>
      </c>
      <c r="B192" s="1613" t="s">
        <v>1426</v>
      </c>
      <c r="C192" s="1111" t="s">
        <v>5292</v>
      </c>
      <c r="D192" s="1095" t="s">
        <v>5293</v>
      </c>
      <c r="E192" s="1095" t="s">
        <v>5294</v>
      </c>
      <c r="F192" s="1271" t="s">
        <v>5295</v>
      </c>
      <c r="G192" s="1621" t="s">
        <v>5296</v>
      </c>
      <c r="H192" s="1095" t="s">
        <v>5297</v>
      </c>
      <c r="I192" s="1426" t="s">
        <v>5298</v>
      </c>
      <c r="J192" s="1426" t="s">
        <v>5299</v>
      </c>
      <c r="K192" s="1426" t="s">
        <v>5300</v>
      </c>
      <c r="L192" s="1426" t="s">
        <v>5301</v>
      </c>
      <c r="M192" s="8" t="s">
        <v>5302</v>
      </c>
    </row>
    <row r="193" spans="1:93" x14ac:dyDescent="0.3">
      <c r="A193" s="6240">
        <v>32101360</v>
      </c>
      <c r="B193" s="55" t="s">
        <v>1427</v>
      </c>
      <c r="C193" s="1642" t="s">
        <v>5292</v>
      </c>
      <c r="D193" s="3" t="s">
        <v>5293</v>
      </c>
      <c r="E193" s="3" t="s">
        <v>5294</v>
      </c>
      <c r="F193" s="1643" t="s">
        <v>5295</v>
      </c>
      <c r="G193" s="1623" t="s">
        <v>5296</v>
      </c>
      <c r="H193" s="3" t="s">
        <v>5297</v>
      </c>
      <c r="I193" s="4" t="s">
        <v>5298</v>
      </c>
      <c r="J193" s="4" t="s">
        <v>5299</v>
      </c>
      <c r="K193" s="4" t="s">
        <v>5300</v>
      </c>
      <c r="L193" s="4" t="s">
        <v>5301</v>
      </c>
      <c r="M193" s="12" t="s">
        <v>5302</v>
      </c>
    </row>
    <row r="194" spans="1:93" s="1116" customFormat="1" ht="18" customHeight="1" x14ac:dyDescent="0.2">
      <c r="A194" s="6305"/>
      <c r="B194" s="8494" t="s">
        <v>1428</v>
      </c>
      <c r="C194" s="8494"/>
      <c r="D194" s="8494"/>
    </row>
    <row r="195" spans="1:93" x14ac:dyDescent="0.3">
      <c r="A195" s="6305"/>
      <c r="B195" s="8495" t="s">
        <v>1429</v>
      </c>
      <c r="C195" s="8496"/>
      <c r="D195" s="8497" t="s">
        <v>1430</v>
      </c>
      <c r="E195" s="8499" t="s">
        <v>1431</v>
      </c>
      <c r="F195" s="8500"/>
      <c r="G195" s="8500"/>
      <c r="H195" s="8500"/>
      <c r="I195" s="8500"/>
      <c r="J195" s="8500"/>
      <c r="K195" s="8501"/>
      <c r="L195" s="8502" t="s">
        <v>1432</v>
      </c>
      <c r="M195" s="8502"/>
      <c r="N195" s="8502"/>
      <c r="O195" s="8503"/>
    </row>
    <row r="196" spans="1:93" ht="20.399999999999999" x14ac:dyDescent="0.3">
      <c r="A196" s="6305"/>
      <c r="B196" s="7808"/>
      <c r="C196" s="7795"/>
      <c r="D196" s="8498"/>
      <c r="E196" s="1636" t="s">
        <v>1418</v>
      </c>
      <c r="F196" s="1636" t="s">
        <v>1433</v>
      </c>
      <c r="G196" s="1636" t="s">
        <v>1434</v>
      </c>
      <c r="H196" s="1636" t="s">
        <v>1435</v>
      </c>
      <c r="I196" s="1636" t="s">
        <v>1409</v>
      </c>
      <c r="J196" s="1636" t="s">
        <v>39</v>
      </c>
      <c r="K196" s="1636" t="s">
        <v>1436</v>
      </c>
      <c r="L196" s="1644" t="s">
        <v>1437</v>
      </c>
      <c r="M196" s="1645" t="s">
        <v>1438</v>
      </c>
      <c r="N196" s="1645" t="s">
        <v>1439</v>
      </c>
      <c r="O196" s="1646" t="s">
        <v>1440</v>
      </c>
    </row>
    <row r="197" spans="1:93" ht="15" customHeight="1" x14ac:dyDescent="0.3">
      <c r="A197" s="6240">
        <v>32101370</v>
      </c>
      <c r="B197" s="8474" t="s">
        <v>1441</v>
      </c>
      <c r="C197" s="1647" t="s">
        <v>1442</v>
      </c>
      <c r="D197" s="1330" t="s">
        <v>5292</v>
      </c>
      <c r="E197" s="1648" t="s">
        <v>5293</v>
      </c>
      <c r="F197" s="1095" t="s">
        <v>5294</v>
      </c>
      <c r="G197" s="1620" t="s">
        <v>5295</v>
      </c>
      <c r="H197" s="1095" t="s">
        <v>5296</v>
      </c>
      <c r="I197" s="1330" t="s">
        <v>5297</v>
      </c>
      <c r="J197" s="1620" t="s">
        <v>5298</v>
      </c>
      <c r="K197" s="1620" t="s">
        <v>5299</v>
      </c>
      <c r="L197" s="1097" t="s">
        <v>5300</v>
      </c>
      <c r="M197" s="1426" t="s">
        <v>5301</v>
      </c>
      <c r="N197" s="1426" t="s">
        <v>5302</v>
      </c>
      <c r="O197" s="1649" t="s">
        <v>5303</v>
      </c>
    </row>
    <row r="198" spans="1:93" ht="15" customHeight="1" x14ac:dyDescent="0.3">
      <c r="A198" s="6240">
        <v>32101380</v>
      </c>
      <c r="B198" s="7781"/>
      <c r="C198" s="1112" t="s">
        <v>1443</v>
      </c>
      <c r="D198" s="1105" t="s">
        <v>5292</v>
      </c>
      <c r="E198" s="1095" t="s">
        <v>5293</v>
      </c>
      <c r="F198" s="1092" t="s">
        <v>5294</v>
      </c>
      <c r="G198" s="1641" t="s">
        <v>5295</v>
      </c>
      <c r="H198" s="1095" t="s">
        <v>5296</v>
      </c>
      <c r="I198" s="1105" t="s">
        <v>5297</v>
      </c>
      <c r="J198" s="1271" t="s">
        <v>5298</v>
      </c>
      <c r="K198" s="1090" t="s">
        <v>5299</v>
      </c>
      <c r="L198" s="1097" t="s">
        <v>5300</v>
      </c>
      <c r="M198" s="1426" t="s">
        <v>5301</v>
      </c>
      <c r="N198" s="1426" t="s">
        <v>5302</v>
      </c>
      <c r="O198" s="1649" t="s">
        <v>5303</v>
      </c>
    </row>
    <row r="199" spans="1:93" ht="15" customHeight="1" x14ac:dyDescent="0.3">
      <c r="A199" s="6240">
        <v>32101390</v>
      </c>
      <c r="B199" s="7781"/>
      <c r="C199" s="1112" t="s">
        <v>1444</v>
      </c>
      <c r="D199" s="1105" t="s">
        <v>5292</v>
      </c>
      <c r="E199" s="1641" t="s">
        <v>5293</v>
      </c>
      <c r="F199" s="1641" t="s">
        <v>5294</v>
      </c>
      <c r="G199" s="1095" t="s">
        <v>5295</v>
      </c>
      <c r="H199" s="1095" t="s">
        <v>5296</v>
      </c>
      <c r="I199" s="1105" t="s">
        <v>5297</v>
      </c>
      <c r="J199" s="1095" t="s">
        <v>5298</v>
      </c>
      <c r="K199" s="1092" t="s">
        <v>5299</v>
      </c>
      <c r="L199" s="1097" t="s">
        <v>5300</v>
      </c>
      <c r="M199" s="1426" t="s">
        <v>5301</v>
      </c>
      <c r="N199" s="1426" t="s">
        <v>5302</v>
      </c>
      <c r="O199" s="1650" t="s">
        <v>5303</v>
      </c>
    </row>
    <row r="200" spans="1:93" ht="15" customHeight="1" x14ac:dyDescent="0.3">
      <c r="A200" s="6240">
        <v>32101400</v>
      </c>
      <c r="B200" s="8129"/>
      <c r="C200" s="1651" t="s">
        <v>1445</v>
      </c>
      <c r="D200" s="1652" t="s">
        <v>5292</v>
      </c>
      <c r="E200" s="3" t="s">
        <v>5293</v>
      </c>
      <c r="F200" s="3" t="s">
        <v>5294</v>
      </c>
      <c r="G200" s="3" t="s">
        <v>5295</v>
      </c>
      <c r="H200" s="30" t="s">
        <v>5296</v>
      </c>
      <c r="I200" s="1624" t="s">
        <v>5297</v>
      </c>
      <c r="J200" s="1643" t="s">
        <v>5298</v>
      </c>
      <c r="K200" s="1643" t="s">
        <v>5299</v>
      </c>
      <c r="L200" s="1653" t="s">
        <v>5300</v>
      </c>
      <c r="M200" s="1654" t="s">
        <v>5301</v>
      </c>
      <c r="N200" s="1654" t="s">
        <v>5302</v>
      </c>
      <c r="O200" s="12" t="s">
        <v>5303</v>
      </c>
    </row>
    <row r="201" spans="1:93" s="1116" customFormat="1" ht="18" customHeight="1" x14ac:dyDescent="0.2">
      <c r="B201" s="1607" t="s">
        <v>1446</v>
      </c>
    </row>
    <row r="202" spans="1:93" s="170" customFormat="1" ht="15" customHeight="1" x14ac:dyDescent="0.2">
      <c r="B202" s="8465" t="s">
        <v>58</v>
      </c>
      <c r="C202" s="8465" t="s">
        <v>1447</v>
      </c>
      <c r="D202" s="8466" t="s">
        <v>1448</v>
      </c>
      <c r="E202" s="8468" t="s">
        <v>1432</v>
      </c>
      <c r="F202" s="8469"/>
      <c r="G202" s="8468" t="s">
        <v>12</v>
      </c>
      <c r="H202" s="8470"/>
      <c r="I202" s="8470"/>
      <c r="J202" s="8470"/>
      <c r="K202" s="8470"/>
      <c r="L202" s="8470"/>
      <c r="M202" s="8470"/>
      <c r="N202" s="8470"/>
      <c r="O202" s="8470"/>
      <c r="P202" s="8470"/>
      <c r="Q202" s="8470"/>
      <c r="R202" s="8470"/>
      <c r="S202" s="8470"/>
      <c r="T202" s="8471"/>
      <c r="U202" s="8472" t="s">
        <v>39</v>
      </c>
      <c r="V202" s="8452" t="s">
        <v>1113</v>
      </c>
    </row>
    <row r="203" spans="1:93" s="170" customFormat="1" ht="20.399999999999999" x14ac:dyDescent="0.2">
      <c r="B203" s="8465"/>
      <c r="C203" s="8465"/>
      <c r="D203" s="8467"/>
      <c r="E203" s="4429" t="s">
        <v>1449</v>
      </c>
      <c r="F203" s="4430" t="s">
        <v>3733</v>
      </c>
      <c r="G203" s="4429" t="s">
        <v>3764</v>
      </c>
      <c r="H203" s="4431" t="s">
        <v>1452</v>
      </c>
      <c r="I203" s="4431" t="s">
        <v>37</v>
      </c>
      <c r="J203" s="4431" t="s">
        <v>38</v>
      </c>
      <c r="K203" s="4431" t="s">
        <v>4</v>
      </c>
      <c r="L203" s="4431" t="s">
        <v>559</v>
      </c>
      <c r="M203" s="4431" t="s">
        <v>6</v>
      </c>
      <c r="N203" s="4431" t="s">
        <v>7</v>
      </c>
      <c r="O203" s="4431" t="s">
        <v>8</v>
      </c>
      <c r="P203" s="4431" t="s">
        <v>9</v>
      </c>
      <c r="Q203" s="4431" t="s">
        <v>10</v>
      </c>
      <c r="R203" s="4431" t="s">
        <v>11</v>
      </c>
      <c r="S203" s="4431" t="s">
        <v>18</v>
      </c>
      <c r="T203" s="4432" t="s">
        <v>19</v>
      </c>
      <c r="U203" s="8473"/>
      <c r="V203" s="8453"/>
    </row>
    <row r="204" spans="1:93" s="170" customFormat="1" ht="15" customHeight="1" x14ac:dyDescent="0.3">
      <c r="A204" s="6240">
        <v>32101440</v>
      </c>
      <c r="B204" s="1655" t="s">
        <v>1453</v>
      </c>
      <c r="C204" s="1095" t="s">
        <v>5292</v>
      </c>
      <c r="D204" s="1656" t="s">
        <v>5293</v>
      </c>
      <c r="E204" s="1095" t="s">
        <v>5294</v>
      </c>
      <c r="F204" s="1097" t="s">
        <v>5295</v>
      </c>
      <c r="G204" s="1095" t="s">
        <v>5296</v>
      </c>
      <c r="H204" s="1426" t="s">
        <v>5297</v>
      </c>
      <c r="I204" s="1426" t="s">
        <v>5298</v>
      </c>
      <c r="J204" s="1426" t="s">
        <v>5299</v>
      </c>
      <c r="K204" s="1426" t="s">
        <v>5300</v>
      </c>
      <c r="L204" s="1426" t="s">
        <v>5301</v>
      </c>
      <c r="M204" s="1426" t="s">
        <v>5302</v>
      </c>
      <c r="N204" s="1426" t="s">
        <v>5303</v>
      </c>
      <c r="O204" s="1426" t="s">
        <v>5304</v>
      </c>
      <c r="P204" s="1426" t="s">
        <v>5305</v>
      </c>
      <c r="Q204" s="1426" t="s">
        <v>5306</v>
      </c>
      <c r="R204" s="1426" t="s">
        <v>5307</v>
      </c>
      <c r="S204" s="1426" t="s">
        <v>5308</v>
      </c>
      <c r="T204" s="4385" t="s">
        <v>5309</v>
      </c>
      <c r="U204" s="1573" t="s">
        <v>5310</v>
      </c>
      <c r="V204" s="1693" t="s">
        <v>5311</v>
      </c>
      <c r="W204" s="170" t="e">
        <f>CD204&amp;CE204&amp;CF204&amp;CG204</f>
        <v>#VALUE!</v>
      </c>
      <c r="CD204" s="2465" t="str">
        <f>IF(AND(U204="",D204&gt;0)," * No olvide digitar la variable Gestantes . Digite CERO si no tiene","")</f>
        <v/>
      </c>
      <c r="CE204" s="2465" t="str">
        <f>IF(AND(V204="",D204&gt;0)," * No olvide digitar la variable Post Parto . Digite CERO si no tiene","")</f>
        <v/>
      </c>
      <c r="CF204" s="2465" t="e">
        <f>IF((U204+V204)&gt;D204," * La suma de las variables Gestantes + Post Parto No pueden ser mayor al Total de participantes.","")</f>
        <v>#VALUE!</v>
      </c>
      <c r="CG204"/>
      <c r="CH204"/>
      <c r="CI204"/>
      <c r="CJ204"/>
      <c r="CK204"/>
      <c r="CL204" s="1725">
        <f>IF(AND(U204="",D204&gt;0),1,0)</f>
        <v>0</v>
      </c>
      <c r="CM204" s="1725">
        <f>IF(AND(V204="",D204&gt;0),1,0)</f>
        <v>0</v>
      </c>
      <c r="CN204" s="1725" t="e">
        <f>IF((U204+V204)&gt;D204,1,0)</f>
        <v>#VALUE!</v>
      </c>
      <c r="CO204"/>
    </row>
    <row r="205" spans="1:93" s="170" customFormat="1" ht="15" customHeight="1" x14ac:dyDescent="0.3">
      <c r="A205" s="6240">
        <v>32101450</v>
      </c>
      <c r="B205" s="1655" t="s">
        <v>1454</v>
      </c>
      <c r="C205" s="1095" t="s">
        <v>5292</v>
      </c>
      <c r="D205" s="1657" t="s">
        <v>5293</v>
      </c>
      <c r="E205" s="1095" t="s">
        <v>5294</v>
      </c>
      <c r="F205" s="1097" t="s">
        <v>5295</v>
      </c>
      <c r="G205" s="1095" t="s">
        <v>5296</v>
      </c>
      <c r="H205" s="1426" t="s">
        <v>5297</v>
      </c>
      <c r="I205" s="1426" t="s">
        <v>5298</v>
      </c>
      <c r="J205" s="1426" t="s">
        <v>5299</v>
      </c>
      <c r="K205" s="1426" t="s">
        <v>5300</v>
      </c>
      <c r="L205" s="1426" t="s">
        <v>5301</v>
      </c>
      <c r="M205" s="1426" t="s">
        <v>5302</v>
      </c>
      <c r="N205" s="1426" t="s">
        <v>5303</v>
      </c>
      <c r="O205" s="1426" t="s">
        <v>5304</v>
      </c>
      <c r="P205" s="1426" t="s">
        <v>5305</v>
      </c>
      <c r="Q205" s="1426" t="s">
        <v>5306</v>
      </c>
      <c r="R205" s="1426" t="s">
        <v>5307</v>
      </c>
      <c r="S205" s="1426" t="s">
        <v>5308</v>
      </c>
      <c r="T205" s="4385" t="s">
        <v>5309</v>
      </c>
      <c r="U205" s="4371" t="s">
        <v>5310</v>
      </c>
      <c r="V205" s="3926" t="s">
        <v>5311</v>
      </c>
      <c r="W205" s="170" t="e">
        <f>CD205&amp;CE205&amp;CF205&amp;CG205</f>
        <v>#VALUE!</v>
      </c>
      <c r="CD205" s="2465" t="str">
        <f t="shared" ref="CD205:CD206" si="103">IF(AND(U205="",D205&gt;0)," * No olvide digitar la variable Gestantes . Digite CERO si no tiene","")</f>
        <v/>
      </c>
      <c r="CE205" s="2465" t="str">
        <f t="shared" ref="CE205:CE206" si="104">IF(AND(V205="",D205&gt;0)," * No olvide digitar la variable Post Parto . Digite CERO si no tiene","")</f>
        <v/>
      </c>
      <c r="CF205" s="2465" t="e">
        <f t="shared" ref="CF205:CF206" si="105">IF((U205+V205)&gt;D205," * La suma de las variables Gestantes + Post Parto No pueden ser mayor al Total de participantes.","")</f>
        <v>#VALUE!</v>
      </c>
      <c r="CG205"/>
      <c r="CH205"/>
      <c r="CI205"/>
      <c r="CJ205"/>
      <c r="CK205"/>
      <c r="CL205" s="1725">
        <f t="shared" ref="CL205:CL206" si="106">IF(AND(U205="",D205&gt;0),1,0)</f>
        <v>0</v>
      </c>
      <c r="CM205" s="1725">
        <f t="shared" ref="CM205:CM206" si="107">IF(AND(V205="",D205&gt;0),1,0)</f>
        <v>0</v>
      </c>
      <c r="CN205" s="1725" t="e">
        <f t="shared" ref="CN205:CN206" si="108">IF((U205+V205)&gt;D205,1,0)</f>
        <v>#VALUE!</v>
      </c>
      <c r="CO205"/>
    </row>
    <row r="206" spans="1:93" s="170" customFormat="1" ht="15" customHeight="1" x14ac:dyDescent="0.3">
      <c r="A206" s="6240">
        <v>32101460</v>
      </c>
      <c r="B206" s="1658" t="s">
        <v>1455</v>
      </c>
      <c r="C206" s="30" t="s">
        <v>5292</v>
      </c>
      <c r="D206" s="1659" t="s">
        <v>5293</v>
      </c>
      <c r="E206" s="3" t="s">
        <v>5294</v>
      </c>
      <c r="F206" s="21" t="s">
        <v>5295</v>
      </c>
      <c r="G206" s="3" t="s">
        <v>5296</v>
      </c>
      <c r="H206" s="4" t="s">
        <v>5297</v>
      </c>
      <c r="I206" s="4" t="s">
        <v>5298</v>
      </c>
      <c r="J206" s="4" t="s">
        <v>5299</v>
      </c>
      <c r="K206" s="4" t="s">
        <v>5300</v>
      </c>
      <c r="L206" s="4" t="s">
        <v>5301</v>
      </c>
      <c r="M206" s="4" t="s">
        <v>5302</v>
      </c>
      <c r="N206" s="4" t="s">
        <v>5303</v>
      </c>
      <c r="O206" s="4" t="s">
        <v>5304</v>
      </c>
      <c r="P206" s="4" t="s">
        <v>5305</v>
      </c>
      <c r="Q206" s="4" t="s">
        <v>5306</v>
      </c>
      <c r="R206" s="4" t="s">
        <v>5307</v>
      </c>
      <c r="S206" s="4" t="s">
        <v>5308</v>
      </c>
      <c r="T206" s="4390" t="s">
        <v>5309</v>
      </c>
      <c r="U206" s="4372" t="s">
        <v>5310</v>
      </c>
      <c r="V206" s="30" t="s">
        <v>5311</v>
      </c>
      <c r="W206" s="170" t="e">
        <f>CD206&amp;CE206&amp;CF206&amp;CG206</f>
        <v>#VALUE!</v>
      </c>
      <c r="CD206" s="2465" t="str">
        <f t="shared" si="103"/>
        <v/>
      </c>
      <c r="CE206" s="2465" t="str">
        <f t="shared" si="104"/>
        <v/>
      </c>
      <c r="CF206" s="2465" t="e">
        <f t="shared" si="105"/>
        <v>#VALUE!</v>
      </c>
      <c r="CG206"/>
      <c r="CH206"/>
      <c r="CI206"/>
      <c r="CJ206"/>
      <c r="CK206"/>
      <c r="CL206" s="1725">
        <f t="shared" si="106"/>
        <v>0</v>
      </c>
      <c r="CM206" s="1725">
        <f t="shared" si="107"/>
        <v>0</v>
      </c>
      <c r="CN206" s="1725" t="e">
        <f t="shared" si="108"/>
        <v>#VALUE!</v>
      </c>
      <c r="CO206"/>
    </row>
    <row r="207" spans="1:93" s="1116" customFormat="1" ht="18" customHeight="1" x14ac:dyDescent="0.2">
      <c r="A207" s="6305"/>
      <c r="B207" s="8454" t="s">
        <v>1456</v>
      </c>
      <c r="C207" s="8454"/>
      <c r="D207" s="8454"/>
    </row>
    <row r="208" spans="1:93" ht="15" customHeight="1" x14ac:dyDescent="0.3">
      <c r="A208" s="6305"/>
      <c r="B208" s="8455" t="s">
        <v>1457</v>
      </c>
      <c r="C208" s="8455" t="s">
        <v>1458</v>
      </c>
      <c r="D208" s="8456" t="s">
        <v>1432</v>
      </c>
      <c r="E208" s="8457"/>
      <c r="F208" s="8458" t="s">
        <v>12</v>
      </c>
      <c r="G208" s="8459"/>
      <c r="H208" s="8459"/>
      <c r="I208" s="8459"/>
      <c r="J208" s="8459"/>
      <c r="K208" s="8460"/>
      <c r="L208" s="8461" t="s">
        <v>39</v>
      </c>
      <c r="M208" s="8463" t="s">
        <v>1113</v>
      </c>
    </row>
    <row r="209" spans="1:92" ht="20.399999999999999" x14ac:dyDescent="0.3">
      <c r="A209" s="6305"/>
      <c r="B209" s="8455"/>
      <c r="C209" s="8455"/>
      <c r="D209" s="4434" t="s">
        <v>1449</v>
      </c>
      <c r="E209" s="4433" t="s">
        <v>1450</v>
      </c>
      <c r="F209" s="4434" t="s">
        <v>3764</v>
      </c>
      <c r="G209" s="4435" t="s">
        <v>1452</v>
      </c>
      <c r="H209" s="4435" t="s">
        <v>37</v>
      </c>
      <c r="I209" s="4435" t="s">
        <v>38</v>
      </c>
      <c r="J209" s="4435" t="s">
        <v>4</v>
      </c>
      <c r="K209" s="4436" t="s">
        <v>945</v>
      </c>
      <c r="L209" s="8462"/>
      <c r="M209" s="8464"/>
    </row>
    <row r="210" spans="1:92" x14ac:dyDescent="0.3">
      <c r="A210" s="6240">
        <v>32101470</v>
      </c>
      <c r="B210" s="1655" t="s">
        <v>1459</v>
      </c>
      <c r="C210" s="1429" t="s">
        <v>5292</v>
      </c>
      <c r="D210" s="1095" t="s">
        <v>5293</v>
      </c>
      <c r="E210" s="1099" t="s">
        <v>5294</v>
      </c>
      <c r="F210" s="1095" t="s">
        <v>5295</v>
      </c>
      <c r="G210" s="1426" t="s">
        <v>5296</v>
      </c>
      <c r="H210" s="1426" t="s">
        <v>5297</v>
      </c>
      <c r="I210" s="1426" t="s">
        <v>5298</v>
      </c>
      <c r="J210" s="1426" t="s">
        <v>5299</v>
      </c>
      <c r="K210" s="4385" t="s">
        <v>5300</v>
      </c>
      <c r="L210" s="1430" t="s">
        <v>5301</v>
      </c>
      <c r="M210" s="1693" t="s">
        <v>5302</v>
      </c>
      <c r="N210" t="e">
        <f>CD210&amp;CE210&amp;CF210&amp;CG210</f>
        <v>#VALUE!</v>
      </c>
      <c r="CD210" s="2465" t="str">
        <f>IF(AND(L210="",C210&gt;0)," * No olvide digitar la variable Gestantes . Digite CERO si no tiene","")</f>
        <v/>
      </c>
      <c r="CE210" s="2465" t="str">
        <f>IF(AND(M210="",C210&gt;0)," * No olvide digitar la variable Post Parto . Digite CERO si no tiene","")</f>
        <v/>
      </c>
      <c r="CF210" s="2465" t="e">
        <f>IF((L210+M210)&gt;D210," * La suma de las variables Gestantes + Post Parto No pueden ser mayor al Total de participantes.","")</f>
        <v>#VALUE!</v>
      </c>
      <c r="CL210" s="1725">
        <f>IF(AND(L210="",C210&gt;0),1,0)</f>
        <v>0</v>
      </c>
      <c r="CM210" s="1725">
        <f>IF(AND(M210="",C210&gt;0),1,0)</f>
        <v>0</v>
      </c>
      <c r="CN210" s="1725" t="e">
        <f>IF((L210+M210)&gt;D210,1,0)</f>
        <v>#VALUE!</v>
      </c>
    </row>
    <row r="211" spans="1:92" x14ac:dyDescent="0.3">
      <c r="A211" s="6240">
        <v>32101480</v>
      </c>
      <c r="B211" s="1658" t="s">
        <v>1460</v>
      </c>
      <c r="C211" s="1660" t="s">
        <v>5292</v>
      </c>
      <c r="D211" s="3" t="s">
        <v>5293</v>
      </c>
      <c r="E211" s="6" t="s">
        <v>5294</v>
      </c>
      <c r="F211" s="3" t="s">
        <v>5295</v>
      </c>
      <c r="G211" s="4" t="s">
        <v>5296</v>
      </c>
      <c r="H211" s="4" t="s">
        <v>5297</v>
      </c>
      <c r="I211" s="4" t="s">
        <v>5298</v>
      </c>
      <c r="J211" s="4" t="s">
        <v>5299</v>
      </c>
      <c r="K211" s="4390" t="s">
        <v>5300</v>
      </c>
      <c r="L211" s="4391" t="s">
        <v>5301</v>
      </c>
      <c r="M211" s="30" t="s">
        <v>5302</v>
      </c>
      <c r="N211" t="e">
        <f>CD211&amp;CE211&amp;CF211&amp;CG211</f>
        <v>#VALUE!</v>
      </c>
      <c r="CD211" s="2465" t="str">
        <f>IF(AND(L211="",C211&gt;0)," * No olvide digitar la variable Gestantes . Digite CERO si no tiene","")</f>
        <v/>
      </c>
      <c r="CE211" s="2465" t="str">
        <f>IF(AND(M211="",C211&gt;0)," * No olvide digitar la variable Post Parto . Digite CERO si no tiene","")</f>
        <v/>
      </c>
      <c r="CF211" s="2465" t="e">
        <f>IF((L211+M211)&gt;D211," * La suma de las variables Gestantes + Post Parto No pueden ser mayor al Total de participantes.","")</f>
        <v>#VALUE!</v>
      </c>
      <c r="CL211" s="1725">
        <f>IF(AND(L211="",C211&gt;0),1,0)</f>
        <v>0</v>
      </c>
      <c r="CM211" s="1725">
        <f>IF(AND(M211="",C211&gt;0),1,0)</f>
        <v>0</v>
      </c>
      <c r="CN211" s="1725" t="e">
        <f>IF((L211+M211)&gt;D211,1,0)</f>
        <v>#VALUE!</v>
      </c>
    </row>
    <row r="212" spans="1:92" s="1116" customFormat="1" ht="18" customHeight="1" x14ac:dyDescent="0.2">
      <c r="B212" s="1626" t="s">
        <v>1461</v>
      </c>
      <c r="C212" s="15"/>
      <c r="D212" s="15"/>
      <c r="E212" s="15"/>
      <c r="F212" s="15"/>
      <c r="G212" s="1727"/>
      <c r="H212" s="1727"/>
    </row>
    <row r="213" spans="1:92" ht="15" customHeight="1" x14ac:dyDescent="0.3">
      <c r="B213" s="8444" t="s">
        <v>1216</v>
      </c>
      <c r="C213" s="8444" t="s">
        <v>1388</v>
      </c>
      <c r="D213" s="8445" t="s">
        <v>1462</v>
      </c>
      <c r="E213" s="8446"/>
      <c r="F213" s="8446"/>
      <c r="G213" s="8446"/>
      <c r="H213" s="8447"/>
    </row>
    <row r="214" spans="1:92" ht="15" customHeight="1" x14ac:dyDescent="0.3">
      <c r="B214" s="8120"/>
      <c r="C214" s="8120"/>
      <c r="D214" s="1669" t="s">
        <v>36</v>
      </c>
      <c r="E214" s="2555" t="s">
        <v>37</v>
      </c>
      <c r="F214" s="1408" t="s">
        <v>38</v>
      </c>
      <c r="G214" s="1408" t="s">
        <v>4</v>
      </c>
      <c r="H214" s="1447" t="s">
        <v>5</v>
      </c>
    </row>
    <row r="215" spans="1:92" ht="15" customHeight="1" x14ac:dyDescent="0.3">
      <c r="A215" s="6240">
        <v>32101591</v>
      </c>
      <c r="B215" s="1661" t="s">
        <v>1463</v>
      </c>
      <c r="C215" s="1662" t="s">
        <v>5292</v>
      </c>
      <c r="D215" s="1663" t="s">
        <v>5293</v>
      </c>
      <c r="E215" s="1664" t="s">
        <v>5294</v>
      </c>
      <c r="F215" s="1664" t="s">
        <v>5295</v>
      </c>
      <c r="G215" s="1665" t="s">
        <v>5296</v>
      </c>
      <c r="H215" s="1666" t="s">
        <v>5297</v>
      </c>
    </row>
    <row r="216" spans="1:92" s="1116" customFormat="1" ht="18" customHeight="1" x14ac:dyDescent="0.2">
      <c r="A216" s="6240"/>
      <c r="B216" s="1607" t="s">
        <v>1464</v>
      </c>
    </row>
    <row r="217" spans="1:92" x14ac:dyDescent="0.3">
      <c r="A217" s="6240"/>
      <c r="B217" s="8448" t="s">
        <v>1465</v>
      </c>
      <c r="C217" s="8445" t="s">
        <v>947</v>
      </c>
      <c r="D217" s="8446"/>
      <c r="E217" s="8447"/>
    </row>
    <row r="218" spans="1:92" x14ac:dyDescent="0.3">
      <c r="A218" s="6240"/>
      <c r="B218" s="7799"/>
      <c r="C218" s="1667" t="s">
        <v>948</v>
      </c>
      <c r="D218" s="8450" t="s">
        <v>702</v>
      </c>
      <c r="E218" s="8451"/>
    </row>
    <row r="219" spans="1:92" x14ac:dyDescent="0.3">
      <c r="A219" s="6240"/>
      <c r="B219" s="8449"/>
      <c r="C219" s="1668" t="s">
        <v>996</v>
      </c>
      <c r="D219" s="1669" t="s">
        <v>950</v>
      </c>
      <c r="E219" s="1670" t="s">
        <v>951</v>
      </c>
    </row>
    <row r="220" spans="1:92" ht="15" customHeight="1" x14ac:dyDescent="0.3">
      <c r="A220" s="6240">
        <v>32101592</v>
      </c>
      <c r="B220" s="1671" t="s">
        <v>997</v>
      </c>
      <c r="C220" s="1672" t="s">
        <v>5292</v>
      </c>
      <c r="D220" s="1673" t="s">
        <v>5293</v>
      </c>
      <c r="E220" s="1239" t="s">
        <v>5294</v>
      </c>
    </row>
    <row r="240" spans="2:3" hidden="1" x14ac:dyDescent="0.3">
      <c r="B240" s="4438">
        <f>SUM(C11:C15,C21:C23,C28,C34:C93,D99:D108,C113:C115,C120:C122,C127:C129,D134:D155,D160:D167,C172:C174,C179:C182,F179:F182,C186:C187,F186:F187,C191:C193,G191:G193,D197:D200,I197:I200,D204:D206,C210:C211,C215,C220:E220)</f>
        <v>0</v>
      </c>
      <c r="C240" s="4437" t="e">
        <f>SUM(CL11:CS220)</f>
        <v>#VALUE!</v>
      </c>
    </row>
  </sheetData>
  <mergeCells count="220">
    <mergeCell ref="W9:W10"/>
    <mergeCell ref="X9:X10"/>
    <mergeCell ref="Y9:Y10"/>
    <mergeCell ref="Z9:Z10"/>
    <mergeCell ref="AA9:AA10"/>
    <mergeCell ref="B17:M17"/>
    <mergeCell ref="B6:T6"/>
    <mergeCell ref="B8:D8"/>
    <mergeCell ref="B9:B10"/>
    <mergeCell ref="C9:C10"/>
    <mergeCell ref="D9:T9"/>
    <mergeCell ref="U9:V9"/>
    <mergeCell ref="M18:M20"/>
    <mergeCell ref="F19:G19"/>
    <mergeCell ref="H19:I19"/>
    <mergeCell ref="B25:M25"/>
    <mergeCell ref="B26:B27"/>
    <mergeCell ref="C26:C27"/>
    <mergeCell ref="D26:T26"/>
    <mergeCell ref="B18:B20"/>
    <mergeCell ref="C18:E19"/>
    <mergeCell ref="F18:I18"/>
    <mergeCell ref="J18:J20"/>
    <mergeCell ref="K18:K20"/>
    <mergeCell ref="L18:L20"/>
    <mergeCell ref="U26:V26"/>
    <mergeCell ref="W26:W27"/>
    <mergeCell ref="X26:X27"/>
    <mergeCell ref="B29:M29"/>
    <mergeCell ref="B30:M30"/>
    <mergeCell ref="B31:B33"/>
    <mergeCell ref="C31:C33"/>
    <mergeCell ref="D31:V31"/>
    <mergeCell ref="W31:X32"/>
    <mergeCell ref="AQ31:AQ33"/>
    <mergeCell ref="AR31:AR33"/>
    <mergeCell ref="D32:T32"/>
    <mergeCell ref="U32:V32"/>
    <mergeCell ref="AA32:AE32"/>
    <mergeCell ref="AF32:AJ32"/>
    <mergeCell ref="Y31:Z32"/>
    <mergeCell ref="AA31:AJ31"/>
    <mergeCell ref="AK31:AM32"/>
    <mergeCell ref="AN31:AN33"/>
    <mergeCell ref="AO31:AO33"/>
    <mergeCell ref="AP31:AP33"/>
    <mergeCell ref="B95:F95"/>
    <mergeCell ref="B96:C98"/>
    <mergeCell ref="D96:F97"/>
    <mergeCell ref="G96:AN96"/>
    <mergeCell ref="AO96:AP97"/>
    <mergeCell ref="AQ96:AQ98"/>
    <mergeCell ref="Q97:R97"/>
    <mergeCell ref="S97:T97"/>
    <mergeCell ref="U97:V97"/>
    <mergeCell ref="W97:X97"/>
    <mergeCell ref="AR96:AR98"/>
    <mergeCell ref="AS96:AS98"/>
    <mergeCell ref="AT96:AT98"/>
    <mergeCell ref="AU96:AU98"/>
    <mergeCell ref="AV96:AV98"/>
    <mergeCell ref="G97:H97"/>
    <mergeCell ref="I97:J97"/>
    <mergeCell ref="K97:L97"/>
    <mergeCell ref="M97:N97"/>
    <mergeCell ref="O97:P97"/>
    <mergeCell ref="X111:X112"/>
    <mergeCell ref="B117:E117"/>
    <mergeCell ref="B118:B119"/>
    <mergeCell ref="C118:E118"/>
    <mergeCell ref="F118:M118"/>
    <mergeCell ref="N118:N119"/>
    <mergeCell ref="O118:O119"/>
    <mergeCell ref="AK97:AL97"/>
    <mergeCell ref="AM97:AN97"/>
    <mergeCell ref="B108:C108"/>
    <mergeCell ref="B110:E110"/>
    <mergeCell ref="B111:B112"/>
    <mergeCell ref="C111:E111"/>
    <mergeCell ref="F111:Q111"/>
    <mergeCell ref="R111:R112"/>
    <mergeCell ref="S111:S112"/>
    <mergeCell ref="T111:T112"/>
    <mergeCell ref="Y97:Z97"/>
    <mergeCell ref="AA97:AB97"/>
    <mergeCell ref="AC97:AD97"/>
    <mergeCell ref="AE97:AF97"/>
    <mergeCell ref="AG97:AH97"/>
    <mergeCell ref="AI97:AJ97"/>
    <mergeCell ref="P118:P119"/>
    <mergeCell ref="Q118:Q119"/>
    <mergeCell ref="R118:R119"/>
    <mergeCell ref="S118:S119"/>
    <mergeCell ref="T118:T119"/>
    <mergeCell ref="U118:U119"/>
    <mergeCell ref="U111:U112"/>
    <mergeCell ref="V111:V112"/>
    <mergeCell ref="W111:W112"/>
    <mergeCell ref="W125:W126"/>
    <mergeCell ref="X125:X126"/>
    <mergeCell ref="Y125:Y126"/>
    <mergeCell ref="Z125:Z126"/>
    <mergeCell ref="AA125:AA126"/>
    <mergeCell ref="AB125:AB126"/>
    <mergeCell ref="B123:C123"/>
    <mergeCell ref="B124:C124"/>
    <mergeCell ref="B125:B126"/>
    <mergeCell ref="C125:C126"/>
    <mergeCell ref="D125:T125"/>
    <mergeCell ref="U125:V125"/>
    <mergeCell ref="B130:C130"/>
    <mergeCell ref="B131:B133"/>
    <mergeCell ref="C131:C133"/>
    <mergeCell ref="D131:F132"/>
    <mergeCell ref="G131:AN131"/>
    <mergeCell ref="AO131:AO133"/>
    <mergeCell ref="S132:T132"/>
    <mergeCell ref="U132:V132"/>
    <mergeCell ref="W132:X132"/>
    <mergeCell ref="Y132:Z132"/>
    <mergeCell ref="AP131:AP133"/>
    <mergeCell ref="AQ131:AQ133"/>
    <mergeCell ref="AR131:AR133"/>
    <mergeCell ref="AS131:AS133"/>
    <mergeCell ref="G132:H132"/>
    <mergeCell ref="I132:J132"/>
    <mergeCell ref="K132:L132"/>
    <mergeCell ref="M132:N132"/>
    <mergeCell ref="O132:P132"/>
    <mergeCell ref="Q132:R132"/>
    <mergeCell ref="AM132:AN132"/>
    <mergeCell ref="AA132:AB132"/>
    <mergeCell ref="AC132:AD132"/>
    <mergeCell ref="AE132:AF132"/>
    <mergeCell ref="AG132:AH132"/>
    <mergeCell ref="AI132:AJ132"/>
    <mergeCell ref="AK132:AL132"/>
    <mergeCell ref="B134:B144"/>
    <mergeCell ref="B145:B155"/>
    <mergeCell ref="B157:B159"/>
    <mergeCell ref="C157:C159"/>
    <mergeCell ref="D157:F158"/>
    <mergeCell ref="G157:AH157"/>
    <mergeCell ref="AI157:AI159"/>
    <mergeCell ref="AJ157:AJ159"/>
    <mergeCell ref="G158:H158"/>
    <mergeCell ref="AG158:AH158"/>
    <mergeCell ref="U158:V158"/>
    <mergeCell ref="W158:X158"/>
    <mergeCell ref="Y158:Z158"/>
    <mergeCell ref="AA158:AB158"/>
    <mergeCell ref="AC158:AD158"/>
    <mergeCell ref="AE158:AF158"/>
    <mergeCell ref="I158:J158"/>
    <mergeCell ref="K158:L158"/>
    <mergeCell ref="M158:N158"/>
    <mergeCell ref="O158:P158"/>
    <mergeCell ref="Q158:R158"/>
    <mergeCell ref="S158:T158"/>
    <mergeCell ref="B160:B163"/>
    <mergeCell ref="B164:B167"/>
    <mergeCell ref="B169:B171"/>
    <mergeCell ref="C169:E170"/>
    <mergeCell ref="F169:AG169"/>
    <mergeCell ref="AH169:AH171"/>
    <mergeCell ref="V170:W170"/>
    <mergeCell ref="X170:Y170"/>
    <mergeCell ref="Z170:AA170"/>
    <mergeCell ref="AJ169:AJ171"/>
    <mergeCell ref="F170:G170"/>
    <mergeCell ref="H170:I170"/>
    <mergeCell ref="J170:K170"/>
    <mergeCell ref="L170:M170"/>
    <mergeCell ref="N170:O170"/>
    <mergeCell ref="P170:Q170"/>
    <mergeCell ref="R170:S170"/>
    <mergeCell ref="T170:U170"/>
    <mergeCell ref="AB170:AC170"/>
    <mergeCell ref="AD170:AE170"/>
    <mergeCell ref="AF170:AG170"/>
    <mergeCell ref="B177:B178"/>
    <mergeCell ref="C177:C178"/>
    <mergeCell ref="D177:E177"/>
    <mergeCell ref="F177:F178"/>
    <mergeCell ref="G177:U177"/>
    <mergeCell ref="AI169:AI171"/>
    <mergeCell ref="B194:D194"/>
    <mergeCell ref="B195:C196"/>
    <mergeCell ref="D195:D196"/>
    <mergeCell ref="E195:K195"/>
    <mergeCell ref="L195:O195"/>
    <mergeCell ref="B197:B200"/>
    <mergeCell ref="B184:B185"/>
    <mergeCell ref="C184:E184"/>
    <mergeCell ref="F184:H184"/>
    <mergeCell ref="B189:B190"/>
    <mergeCell ref="C189:C190"/>
    <mergeCell ref="D189:F189"/>
    <mergeCell ref="G189:G190"/>
    <mergeCell ref="H189:M189"/>
    <mergeCell ref="B213:B214"/>
    <mergeCell ref="C213:C214"/>
    <mergeCell ref="D213:H213"/>
    <mergeCell ref="B217:B219"/>
    <mergeCell ref="C217:E217"/>
    <mergeCell ref="D218:E218"/>
    <mergeCell ref="V202:V203"/>
    <mergeCell ref="B207:D207"/>
    <mergeCell ref="B208:B209"/>
    <mergeCell ref="C208:C209"/>
    <mergeCell ref="D208:E208"/>
    <mergeCell ref="F208:K208"/>
    <mergeCell ref="L208:L209"/>
    <mergeCell ref="M208:M209"/>
    <mergeCell ref="B202:B203"/>
    <mergeCell ref="C202:C203"/>
    <mergeCell ref="D202:D203"/>
    <mergeCell ref="E202:F202"/>
    <mergeCell ref="G202:T202"/>
    <mergeCell ref="U202:U203"/>
  </mergeCells>
  <dataValidations count="2">
    <dataValidation type="whole" operator="greaterThanOrEqual" allowBlank="1" showInputMessage="1" showErrorMessage="1" sqref="D11:AA15 F21:M23 AB34:AE93 AG34:AR93 G99:AV107 D113:X115 D120:U121 D127:AB129 G134:AS143 G145:AS154 G160:AJ167 F172:AJ175 D179:E182 G179:U182 D186:E187 G186:H187 D191:F193 H191:M193 E197:H200 J197:O200 C204:C206 E204:V206 D210:M211 D215:H215 C220:E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D28:X28 D34:Z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G150"/>
  <sheetViews>
    <sheetView showGridLines="0" zoomScaleNormal="100" workbookViewId="0"/>
  </sheetViews>
  <sheetFormatPr baseColWidth="10" defaultColWidth="14.44140625" defaultRowHeight="14.4" x14ac:dyDescent="0.3"/>
  <cols>
    <col min="1" max="1" width="17.33203125" customWidth="1"/>
    <col min="2" max="2" width="53.6640625" customWidth="1"/>
    <col min="3" max="3" width="53.33203125" customWidth="1"/>
    <col min="4" max="4" width="16.44140625" customWidth="1"/>
    <col min="5" max="5" width="13.33203125" customWidth="1"/>
    <col min="6" max="6" width="14.6640625" customWidth="1"/>
    <col min="7" max="7" width="14.109375" customWidth="1"/>
    <col min="8" max="8" width="13.33203125" customWidth="1"/>
    <col min="9" max="39" width="10.6640625" customWidth="1"/>
    <col min="40" max="40" width="11.44140625" customWidth="1"/>
    <col min="41" max="41" width="11.109375" customWidth="1"/>
    <col min="42" max="42" width="12.109375" customWidth="1"/>
    <col min="43" max="43" width="11.6640625" customWidth="1"/>
    <col min="44" max="44" width="10.6640625" customWidth="1"/>
    <col min="45" max="45" width="11.5546875" customWidth="1"/>
    <col min="46" max="46" width="10.6640625" customWidth="1"/>
    <col min="47" max="47" width="14.109375" customWidth="1"/>
    <col min="48" max="48" width="10.6640625" customWidth="1"/>
    <col min="49" max="49" width="11.5546875" customWidth="1"/>
    <col min="50" max="78" width="10.6640625" customWidth="1"/>
    <col min="79" max="79" width="10.6640625" hidden="1" customWidth="1"/>
    <col min="80" max="80" width="16.33203125" hidden="1" customWidth="1"/>
    <col min="81" max="82" width="14.109375" hidden="1" customWidth="1"/>
    <col min="83" max="85" width="14.44140625" hidden="1" customWidth="1"/>
  </cols>
  <sheetData>
    <row r="1" spans="1:84" x14ac:dyDescent="0.3">
      <c r="B1" s="774" t="s">
        <v>3879</v>
      </c>
    </row>
    <row r="2" spans="1:84" x14ac:dyDescent="0.3">
      <c r="B2" s="774" t="str">
        <f>CONCATENATE("COMUNA: ",NOMBRE!B2," - ","( ",NOMBRE!C2,NOMBRE!D2,NOMBRE!E2,NOMBRE!F2,NOMBRE!G2," )")</f>
        <v>COMUNA:  - (  )</v>
      </c>
    </row>
    <row r="3" spans="1:84" x14ac:dyDescent="0.3">
      <c r="B3" s="774" t="str">
        <f>CONCATENATE("ESTABLECIMIENTO/ESTRATEGIA: ",NOMBRE!B3," - ","( ",NOMBRE!C3,NOMBRE!D3,NOMBRE!E3,NOMBRE!F3,NOMBRE!G3,NOMBRE!H3," )")</f>
        <v>ESTABLECIMIENTO/ESTRATEGIA:  - (  )</v>
      </c>
    </row>
    <row r="4" spans="1:84" x14ac:dyDescent="0.3">
      <c r="B4" s="774" t="str">
        <f>CONCATENATE("MES: ",NOMBRE!B6," - ","( ",NOMBRE!C6,NOMBRE!D6," )")</f>
        <v>MES:  - (  )</v>
      </c>
    </row>
    <row r="5" spans="1:84" x14ac:dyDescent="0.3">
      <c r="B5" s="774" t="str">
        <f>CONCATENATE("AÑO: ",NOMBRE!B7)</f>
        <v>AÑO: 2024</v>
      </c>
    </row>
    <row r="6" spans="1:84" ht="18" customHeight="1" x14ac:dyDescent="0.3">
      <c r="B6" s="7028" t="s">
        <v>572</v>
      </c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7028"/>
      <c r="R6" s="7028"/>
      <c r="S6" s="7028"/>
      <c r="T6" s="7028"/>
      <c r="U6" s="7028"/>
      <c r="V6" s="7028"/>
      <c r="W6" s="7028"/>
      <c r="X6" s="7028"/>
      <c r="Y6" s="7028"/>
      <c r="Z6" s="7028"/>
      <c r="AA6" s="7028"/>
      <c r="AB6" s="7028"/>
      <c r="AC6" s="7028"/>
      <c r="AD6" s="7028"/>
    </row>
    <row r="8" spans="1:84" ht="18" customHeight="1" x14ac:dyDescent="0.3">
      <c r="B8" s="8560" t="s">
        <v>573</v>
      </c>
      <c r="C8" s="8560"/>
      <c r="D8" s="8560"/>
      <c r="E8" s="8560"/>
      <c r="F8" s="8560"/>
      <c r="G8" s="8560"/>
      <c r="H8" s="8560"/>
      <c r="I8" s="8560"/>
      <c r="J8" s="8560"/>
      <c r="K8" s="8560"/>
      <c r="L8" s="8560"/>
      <c r="M8" s="8560"/>
      <c r="N8" s="8560"/>
      <c r="O8" s="8560"/>
      <c r="P8" s="8560"/>
      <c r="Q8" s="8560"/>
      <c r="R8" s="8560"/>
      <c r="S8" s="8560"/>
      <c r="T8" s="8560"/>
      <c r="U8" s="8560"/>
      <c r="V8" s="8560"/>
      <c r="W8" s="8560"/>
      <c r="X8" s="8560"/>
      <c r="Y8" s="8560"/>
      <c r="Z8" s="8560"/>
      <c r="AA8" s="8560"/>
      <c r="AB8" s="8560"/>
      <c r="AC8" s="8560"/>
      <c r="AD8" s="8560"/>
      <c r="AE8" s="8560"/>
      <c r="AF8" s="8560"/>
      <c r="AG8" s="8560"/>
      <c r="AH8" s="8560"/>
      <c r="AI8" s="8560"/>
      <c r="AJ8" s="8560"/>
      <c r="AK8" s="8560"/>
      <c r="AL8" s="8560"/>
      <c r="AM8" s="8560"/>
      <c r="AN8" s="8560"/>
      <c r="AO8" s="8560"/>
      <c r="AP8" s="8560"/>
    </row>
    <row r="9" spans="1:84" ht="18" customHeight="1" x14ac:dyDescent="0.3">
      <c r="B9" s="8560" t="s">
        <v>574</v>
      </c>
      <c r="C9" s="8560"/>
      <c r="D9" s="8560"/>
      <c r="E9" s="8560"/>
      <c r="F9" s="8560"/>
      <c r="G9" s="8560"/>
      <c r="H9" s="8560"/>
      <c r="I9" s="8560"/>
      <c r="J9" s="8560"/>
      <c r="K9" s="8560"/>
      <c r="L9" s="8560"/>
      <c r="M9" s="8560"/>
      <c r="N9" s="8560"/>
      <c r="O9" s="8560"/>
      <c r="P9" s="8560"/>
      <c r="Q9" s="8560"/>
      <c r="R9" s="8560"/>
      <c r="S9" s="8560"/>
      <c r="T9" s="8560"/>
      <c r="U9" s="8560"/>
      <c r="V9" s="8560"/>
      <c r="W9" s="8560"/>
      <c r="X9" s="8560"/>
      <c r="Y9" s="8560"/>
      <c r="Z9" s="8560"/>
      <c r="AA9" s="8560"/>
      <c r="AB9" s="8560"/>
      <c r="AC9" s="8560"/>
      <c r="AD9" s="8560"/>
      <c r="AE9" s="8560"/>
      <c r="AF9" s="8560"/>
      <c r="AG9" s="8560"/>
      <c r="AH9" s="8560"/>
      <c r="AI9" s="8560"/>
      <c r="AJ9" s="8560"/>
      <c r="AK9" s="8560"/>
      <c r="AL9" s="8560"/>
      <c r="AM9" s="8560"/>
      <c r="AN9" s="8560"/>
      <c r="AO9" s="8560"/>
      <c r="AP9" s="8560"/>
    </row>
    <row r="10" spans="1:84" x14ac:dyDescent="0.3">
      <c r="B10" s="7171" t="s">
        <v>575</v>
      </c>
      <c r="C10" s="7187"/>
      <c r="D10" s="7171" t="s">
        <v>24</v>
      </c>
      <c r="E10" s="8565"/>
      <c r="F10" s="8566"/>
      <c r="G10" s="8570" t="s">
        <v>30</v>
      </c>
      <c r="H10" s="8571"/>
      <c r="I10" s="8571"/>
      <c r="J10" s="8571"/>
      <c r="K10" s="8571"/>
      <c r="L10" s="8571"/>
      <c r="M10" s="8571"/>
      <c r="N10" s="8571"/>
      <c r="O10" s="8571"/>
      <c r="P10" s="8571"/>
      <c r="Q10" s="8571"/>
      <c r="R10" s="8571"/>
      <c r="S10" s="8571"/>
      <c r="T10" s="8571"/>
      <c r="U10" s="8571"/>
      <c r="V10" s="8571"/>
      <c r="W10" s="8571"/>
      <c r="X10" s="8571"/>
      <c r="Y10" s="8571"/>
      <c r="Z10" s="8571"/>
      <c r="AA10" s="8571"/>
      <c r="AB10" s="8571"/>
      <c r="AC10" s="8571"/>
      <c r="AD10" s="8571"/>
      <c r="AE10" s="8571"/>
      <c r="AF10" s="8571"/>
      <c r="AG10" s="8571"/>
      <c r="AH10" s="8571"/>
      <c r="AI10" s="8571"/>
      <c r="AJ10" s="8571"/>
      <c r="AK10" s="8571"/>
      <c r="AL10" s="8571"/>
      <c r="AM10" s="8571"/>
      <c r="AN10" s="8572"/>
      <c r="AO10" s="8573" t="s">
        <v>546</v>
      </c>
      <c r="AP10" s="8508" t="s">
        <v>3</v>
      </c>
    </row>
    <row r="11" spans="1:84" x14ac:dyDescent="0.3">
      <c r="B11" s="8561"/>
      <c r="C11" s="8562"/>
      <c r="D11" s="8567"/>
      <c r="E11" s="8568"/>
      <c r="F11" s="8569"/>
      <c r="G11" s="8576" t="s">
        <v>36</v>
      </c>
      <c r="H11" s="8577"/>
      <c r="I11" s="8578" t="s">
        <v>37</v>
      </c>
      <c r="J11" s="8577"/>
      <c r="K11" s="8578" t="s">
        <v>38</v>
      </c>
      <c r="L11" s="8577"/>
      <c r="M11" s="8578" t="s">
        <v>4</v>
      </c>
      <c r="N11" s="8577"/>
      <c r="O11" s="8578" t="s">
        <v>5</v>
      </c>
      <c r="P11" s="8577"/>
      <c r="Q11" s="8578" t="s">
        <v>560</v>
      </c>
      <c r="R11" s="8577"/>
      <c r="S11" s="8578" t="s">
        <v>561</v>
      </c>
      <c r="T11" s="8577"/>
      <c r="U11" s="8578" t="s">
        <v>8</v>
      </c>
      <c r="V11" s="8577"/>
      <c r="W11" s="8578" t="s">
        <v>9</v>
      </c>
      <c r="X11" s="8577"/>
      <c r="Y11" s="8578" t="s">
        <v>576</v>
      </c>
      <c r="Z11" s="8577"/>
      <c r="AA11" s="8578" t="s">
        <v>11</v>
      </c>
      <c r="AB11" s="8577"/>
      <c r="AC11" s="8578" t="s">
        <v>18</v>
      </c>
      <c r="AD11" s="8577"/>
      <c r="AE11" s="8578" t="s">
        <v>19</v>
      </c>
      <c r="AF11" s="8577"/>
      <c r="AG11" s="8578" t="s">
        <v>20</v>
      </c>
      <c r="AH11" s="8577"/>
      <c r="AI11" s="8578" t="s">
        <v>70</v>
      </c>
      <c r="AJ11" s="8577"/>
      <c r="AK11" s="8578" t="s">
        <v>71</v>
      </c>
      <c r="AL11" s="8577"/>
      <c r="AM11" s="8579" t="s">
        <v>32</v>
      </c>
      <c r="AN11" s="8572"/>
      <c r="AO11" s="6759"/>
      <c r="AP11" s="8575"/>
    </row>
    <row r="12" spans="1:84" x14ac:dyDescent="0.3">
      <c r="B12" s="8563"/>
      <c r="C12" s="8564"/>
      <c r="D12" s="662" t="s">
        <v>26</v>
      </c>
      <c r="E12" s="663" t="s">
        <v>22</v>
      </c>
      <c r="F12" s="664" t="s">
        <v>27</v>
      </c>
      <c r="G12" s="665" t="s">
        <v>22</v>
      </c>
      <c r="H12" s="661" t="s">
        <v>27</v>
      </c>
      <c r="I12" s="656" t="s">
        <v>22</v>
      </c>
      <c r="J12" s="661" t="s">
        <v>27</v>
      </c>
      <c r="K12" s="656" t="s">
        <v>22</v>
      </c>
      <c r="L12" s="661" t="s">
        <v>27</v>
      </c>
      <c r="M12" s="656" t="s">
        <v>22</v>
      </c>
      <c r="N12" s="661" t="s">
        <v>27</v>
      </c>
      <c r="O12" s="656" t="s">
        <v>22</v>
      </c>
      <c r="P12" s="661" t="s">
        <v>27</v>
      </c>
      <c r="Q12" s="656" t="s">
        <v>22</v>
      </c>
      <c r="R12" s="661" t="s">
        <v>27</v>
      </c>
      <c r="S12" s="656" t="s">
        <v>22</v>
      </c>
      <c r="T12" s="661" t="s">
        <v>27</v>
      </c>
      <c r="U12" s="656" t="s">
        <v>22</v>
      </c>
      <c r="V12" s="661" t="s">
        <v>27</v>
      </c>
      <c r="W12" s="656" t="s">
        <v>22</v>
      </c>
      <c r="X12" s="661" t="s">
        <v>27</v>
      </c>
      <c r="Y12" s="656" t="s">
        <v>22</v>
      </c>
      <c r="Z12" s="661" t="s">
        <v>27</v>
      </c>
      <c r="AA12" s="656" t="s">
        <v>22</v>
      </c>
      <c r="AB12" s="661" t="s">
        <v>27</v>
      </c>
      <c r="AC12" s="656" t="s">
        <v>22</v>
      </c>
      <c r="AD12" s="661" t="s">
        <v>27</v>
      </c>
      <c r="AE12" s="656" t="s">
        <v>22</v>
      </c>
      <c r="AF12" s="661" t="s">
        <v>27</v>
      </c>
      <c r="AG12" s="656" t="s">
        <v>22</v>
      </c>
      <c r="AH12" s="661" t="s">
        <v>27</v>
      </c>
      <c r="AI12" s="656" t="s">
        <v>22</v>
      </c>
      <c r="AJ12" s="661" t="s">
        <v>27</v>
      </c>
      <c r="AK12" s="656" t="s">
        <v>22</v>
      </c>
      <c r="AL12" s="661" t="s">
        <v>27</v>
      </c>
      <c r="AM12" s="656" t="s">
        <v>22</v>
      </c>
      <c r="AN12" s="666" t="s">
        <v>27</v>
      </c>
      <c r="AO12" s="8574"/>
      <c r="AP12" s="7821" t="s">
        <v>27</v>
      </c>
    </row>
    <row r="13" spans="1:84" ht="15" customHeight="1" x14ac:dyDescent="0.3">
      <c r="A13" s="6234">
        <v>32101593</v>
      </c>
      <c r="B13" s="8580" t="s">
        <v>577</v>
      </c>
      <c r="C13" s="667" t="s">
        <v>578</v>
      </c>
      <c r="D13" s="668" t="s">
        <v>5292</v>
      </c>
      <c r="E13" s="669" t="s">
        <v>5293</v>
      </c>
      <c r="F13" s="668" t="s">
        <v>5294</v>
      </c>
      <c r="G13" s="670" t="s">
        <v>5295</v>
      </c>
      <c r="H13" s="671" t="s">
        <v>5296</v>
      </c>
      <c r="I13" s="670" t="s">
        <v>5297</v>
      </c>
      <c r="J13" s="671" t="s">
        <v>5298</v>
      </c>
      <c r="K13" s="670" t="s">
        <v>5299</v>
      </c>
      <c r="L13" s="671" t="s">
        <v>5300</v>
      </c>
      <c r="M13" s="670" t="s">
        <v>5301</v>
      </c>
      <c r="N13" s="671" t="s">
        <v>5302</v>
      </c>
      <c r="O13" s="672" t="s">
        <v>5303</v>
      </c>
      <c r="P13" s="671" t="s">
        <v>5304</v>
      </c>
      <c r="Q13" s="673" t="s">
        <v>5305</v>
      </c>
      <c r="R13" s="671" t="s">
        <v>5306</v>
      </c>
      <c r="S13" s="673" t="s">
        <v>5307</v>
      </c>
      <c r="T13" s="671" t="s">
        <v>5308</v>
      </c>
      <c r="U13" s="673" t="s">
        <v>5309</v>
      </c>
      <c r="V13" s="671" t="s">
        <v>5310</v>
      </c>
      <c r="W13" s="670" t="s">
        <v>5311</v>
      </c>
      <c r="X13" s="671" t="s">
        <v>5312</v>
      </c>
      <c r="Y13" s="670" t="s">
        <v>5313</v>
      </c>
      <c r="Z13" s="671" t="s">
        <v>5314</v>
      </c>
      <c r="AA13" s="670" t="s">
        <v>5315</v>
      </c>
      <c r="AB13" s="671" t="s">
        <v>5316</v>
      </c>
      <c r="AC13" s="670" t="s">
        <v>5317</v>
      </c>
      <c r="AD13" s="671" t="s">
        <v>5318</v>
      </c>
      <c r="AE13" s="670" t="s">
        <v>5319</v>
      </c>
      <c r="AF13" s="671" t="s">
        <v>5320</v>
      </c>
      <c r="AG13" s="670" t="s">
        <v>5321</v>
      </c>
      <c r="AH13" s="671" t="s">
        <v>5322</v>
      </c>
      <c r="AI13" s="670" t="s">
        <v>5323</v>
      </c>
      <c r="AJ13" s="671" t="s">
        <v>5324</v>
      </c>
      <c r="AK13" s="670" t="s">
        <v>5325</v>
      </c>
      <c r="AL13" s="671" t="s">
        <v>5326</v>
      </c>
      <c r="AM13" s="670" t="s">
        <v>5327</v>
      </c>
      <c r="AN13" s="674" t="s">
        <v>5328</v>
      </c>
      <c r="AO13" s="675" t="s">
        <v>5329</v>
      </c>
      <c r="AP13" s="671" t="s">
        <v>5330</v>
      </c>
      <c r="AQ13" t="str">
        <f>CB13&amp;CC13</f>
        <v xml:space="preserve"> * La variable pueblos originarios no puede ser mayor al Total Ambos Sexos. * La variable Migrantes no puede ser mayor al Total Ambos Sexos.</v>
      </c>
      <c r="CB13" s="2465" t="str">
        <f t="shared" ref="CB13:CB39" si="0">IF(AND(D13&gt;0,AO13="")," * No olvide digitar la variable Pueblos Originarios. Digite cero si no tiene.",IF(AO13&gt;D13," * La variable pueblos originarios no puede ser mayor al Total Ambos Sexos.",""))</f>
        <v xml:space="preserve"> * La variable pueblos originarios no puede ser mayor al Total Ambos Sexos.</v>
      </c>
      <c r="CC13" s="2465" t="str">
        <f t="shared" ref="CC13:CC39" si="1">IF(AND(D13&gt;0,AP13="")," * No olvide digitar la variable Migrantes. Digite cero si no tiene.",IF(AP13&gt;D13," * La variable Migrantes no puede ser mayor al Total Ambos Sexos.",""))</f>
        <v xml:space="preserve"> * La variable Migrantes no puede ser mayor al Total Ambos Sexos.</v>
      </c>
      <c r="CE13" s="1725">
        <f t="shared" ref="CE13:CE39" si="2">IF(AND(D13&gt;0,AO13=""),1,IF(AO13&gt;D13,1,0))</f>
        <v>1</v>
      </c>
      <c r="CF13" s="1725">
        <f t="shared" ref="CF13:CF39" si="3">IF(AND(D13&gt;0,AP13=""),1,IF(AP13&gt;D13,1,0))</f>
        <v>1</v>
      </c>
    </row>
    <row r="14" spans="1:84" ht="15" customHeight="1" x14ac:dyDescent="0.3">
      <c r="A14" s="6234">
        <v>32101594</v>
      </c>
      <c r="B14" s="8581"/>
      <c r="C14" s="676" t="s">
        <v>579</v>
      </c>
      <c r="D14" s="668" t="s">
        <v>5292</v>
      </c>
      <c r="E14" s="677" t="s">
        <v>5293</v>
      </c>
      <c r="F14" s="668" t="s">
        <v>5294</v>
      </c>
      <c r="G14" s="678" t="s">
        <v>5295</v>
      </c>
      <c r="H14" s="671" t="s">
        <v>5296</v>
      </c>
      <c r="I14" s="678" t="s">
        <v>5297</v>
      </c>
      <c r="J14" s="671" t="s">
        <v>5298</v>
      </c>
      <c r="K14" s="678" t="s">
        <v>5299</v>
      </c>
      <c r="L14" s="671" t="s">
        <v>5300</v>
      </c>
      <c r="M14" s="678" t="s">
        <v>5301</v>
      </c>
      <c r="N14" s="671" t="s">
        <v>5302</v>
      </c>
      <c r="O14" s="673" t="s">
        <v>5303</v>
      </c>
      <c r="P14" s="671" t="s">
        <v>5304</v>
      </c>
      <c r="Q14" s="673" t="s">
        <v>5305</v>
      </c>
      <c r="R14" s="671" t="s">
        <v>5306</v>
      </c>
      <c r="S14" s="673" t="s">
        <v>5307</v>
      </c>
      <c r="T14" s="671" t="s">
        <v>5308</v>
      </c>
      <c r="U14" s="673" t="s">
        <v>5309</v>
      </c>
      <c r="V14" s="671" t="s">
        <v>5310</v>
      </c>
      <c r="W14" s="678" t="s">
        <v>5311</v>
      </c>
      <c r="X14" s="671" t="s">
        <v>5312</v>
      </c>
      <c r="Y14" s="678" t="s">
        <v>5313</v>
      </c>
      <c r="Z14" s="671" t="s">
        <v>5314</v>
      </c>
      <c r="AA14" s="678" t="s">
        <v>5315</v>
      </c>
      <c r="AB14" s="671" t="s">
        <v>5316</v>
      </c>
      <c r="AC14" s="678" t="s">
        <v>5317</v>
      </c>
      <c r="AD14" s="671" t="s">
        <v>5318</v>
      </c>
      <c r="AE14" s="678" t="s">
        <v>5319</v>
      </c>
      <c r="AF14" s="671" t="s">
        <v>5320</v>
      </c>
      <c r="AG14" s="678" t="s">
        <v>5321</v>
      </c>
      <c r="AH14" s="671" t="s">
        <v>5322</v>
      </c>
      <c r="AI14" s="678" t="s">
        <v>5323</v>
      </c>
      <c r="AJ14" s="671" t="s">
        <v>5324</v>
      </c>
      <c r="AK14" s="678" t="s">
        <v>5325</v>
      </c>
      <c r="AL14" s="671" t="s">
        <v>5326</v>
      </c>
      <c r="AM14" s="678" t="s">
        <v>5327</v>
      </c>
      <c r="AN14" s="674" t="s">
        <v>5328</v>
      </c>
      <c r="AO14" s="675" t="s">
        <v>5329</v>
      </c>
      <c r="AP14" s="671" t="s">
        <v>5330</v>
      </c>
      <c r="AQ14" t="str">
        <f t="shared" ref="AQ14:AQ39" si="4">CB14&amp;CC14</f>
        <v xml:space="preserve"> * La variable pueblos originarios no puede ser mayor al Total Ambos Sexos. * La variable Migrantes no puede ser mayor al Total Ambos Sexos.</v>
      </c>
      <c r="CB14" s="2465" t="str">
        <f t="shared" si="0"/>
        <v xml:space="preserve"> * La variable pueblos originarios no puede ser mayor al Total Ambos Sexos.</v>
      </c>
      <c r="CC14" s="2465" t="str">
        <f t="shared" si="1"/>
        <v xml:space="preserve"> * La variable Migrantes no puede ser mayor al Total Ambos Sexos.</v>
      </c>
      <c r="CE14" s="1725">
        <f t="shared" si="2"/>
        <v>1</v>
      </c>
      <c r="CF14" s="1725">
        <f t="shared" si="3"/>
        <v>1</v>
      </c>
    </row>
    <row r="15" spans="1:84" ht="15" customHeight="1" x14ac:dyDescent="0.3">
      <c r="A15" s="6234">
        <v>32101595</v>
      </c>
      <c r="B15" s="8581"/>
      <c r="C15" s="676" t="s">
        <v>580</v>
      </c>
      <c r="D15" s="668" t="s">
        <v>5292</v>
      </c>
      <c r="E15" s="677" t="s">
        <v>5293</v>
      </c>
      <c r="F15" s="668" t="s">
        <v>5294</v>
      </c>
      <c r="G15" s="678" t="s">
        <v>5295</v>
      </c>
      <c r="H15" s="671" t="s">
        <v>5296</v>
      </c>
      <c r="I15" s="678" t="s">
        <v>5297</v>
      </c>
      <c r="J15" s="671" t="s">
        <v>5298</v>
      </c>
      <c r="K15" s="678" t="s">
        <v>5299</v>
      </c>
      <c r="L15" s="671" t="s">
        <v>5300</v>
      </c>
      <c r="M15" s="678" t="s">
        <v>5301</v>
      </c>
      <c r="N15" s="671" t="s">
        <v>5302</v>
      </c>
      <c r="O15" s="673" t="s">
        <v>5303</v>
      </c>
      <c r="P15" s="671" t="s">
        <v>5304</v>
      </c>
      <c r="Q15" s="673" t="s">
        <v>5305</v>
      </c>
      <c r="R15" s="671" t="s">
        <v>5306</v>
      </c>
      <c r="S15" s="673" t="s">
        <v>5307</v>
      </c>
      <c r="T15" s="671" t="s">
        <v>5308</v>
      </c>
      <c r="U15" s="673" t="s">
        <v>5309</v>
      </c>
      <c r="V15" s="671" t="s">
        <v>5310</v>
      </c>
      <c r="W15" s="678" t="s">
        <v>5311</v>
      </c>
      <c r="X15" s="671" t="s">
        <v>5312</v>
      </c>
      <c r="Y15" s="678" t="s">
        <v>5313</v>
      </c>
      <c r="Z15" s="671" t="s">
        <v>5314</v>
      </c>
      <c r="AA15" s="678" t="s">
        <v>5315</v>
      </c>
      <c r="AB15" s="671" t="s">
        <v>5316</v>
      </c>
      <c r="AC15" s="678" t="s">
        <v>5317</v>
      </c>
      <c r="AD15" s="671" t="s">
        <v>5318</v>
      </c>
      <c r="AE15" s="678" t="s">
        <v>5319</v>
      </c>
      <c r="AF15" s="671" t="s">
        <v>5320</v>
      </c>
      <c r="AG15" s="678" t="s">
        <v>5321</v>
      </c>
      <c r="AH15" s="671" t="s">
        <v>5322</v>
      </c>
      <c r="AI15" s="678" t="s">
        <v>5323</v>
      </c>
      <c r="AJ15" s="671" t="s">
        <v>5324</v>
      </c>
      <c r="AK15" s="678" t="s">
        <v>5325</v>
      </c>
      <c r="AL15" s="671" t="s">
        <v>5326</v>
      </c>
      <c r="AM15" s="678" t="s">
        <v>5327</v>
      </c>
      <c r="AN15" s="674" t="s">
        <v>5328</v>
      </c>
      <c r="AO15" s="675" t="s">
        <v>5329</v>
      </c>
      <c r="AP15" s="671" t="s">
        <v>5330</v>
      </c>
      <c r="AQ15" t="str">
        <f t="shared" si="4"/>
        <v xml:space="preserve"> * La variable pueblos originarios no puede ser mayor al Total Ambos Sexos. * La variable Migrantes no puede ser mayor al Total Ambos Sexos.</v>
      </c>
      <c r="CB15" s="2465" t="str">
        <f t="shared" si="0"/>
        <v xml:space="preserve"> * La variable pueblos originarios no puede ser mayor al Total Ambos Sexos.</v>
      </c>
      <c r="CC15" s="2465" t="str">
        <f t="shared" si="1"/>
        <v xml:space="preserve"> * La variable Migrantes no puede ser mayor al Total Ambos Sexos.</v>
      </c>
      <c r="CE15" s="1725">
        <f t="shared" si="2"/>
        <v>1</v>
      </c>
      <c r="CF15" s="1725">
        <f t="shared" si="3"/>
        <v>1</v>
      </c>
    </row>
    <row r="16" spans="1:84" ht="15" customHeight="1" x14ac:dyDescent="0.3">
      <c r="A16" s="6234">
        <v>32101596</v>
      </c>
      <c r="B16" s="8581"/>
      <c r="C16" s="676" t="s">
        <v>581</v>
      </c>
      <c r="D16" s="668" t="s">
        <v>5292</v>
      </c>
      <c r="E16" s="677" t="s">
        <v>5293</v>
      </c>
      <c r="F16" s="668" t="s">
        <v>5294</v>
      </c>
      <c r="G16" s="678" t="s">
        <v>5295</v>
      </c>
      <c r="H16" s="671" t="s">
        <v>5296</v>
      </c>
      <c r="I16" s="678" t="s">
        <v>5297</v>
      </c>
      <c r="J16" s="671" t="s">
        <v>5298</v>
      </c>
      <c r="K16" s="678" t="s">
        <v>5299</v>
      </c>
      <c r="L16" s="671" t="s">
        <v>5300</v>
      </c>
      <c r="M16" s="678" t="s">
        <v>5301</v>
      </c>
      <c r="N16" s="671" t="s">
        <v>5302</v>
      </c>
      <c r="O16" s="673" t="s">
        <v>5303</v>
      </c>
      <c r="P16" s="671" t="s">
        <v>5304</v>
      </c>
      <c r="Q16" s="673" t="s">
        <v>5305</v>
      </c>
      <c r="R16" s="671" t="s">
        <v>5306</v>
      </c>
      <c r="S16" s="673" t="s">
        <v>5307</v>
      </c>
      <c r="T16" s="671" t="s">
        <v>5308</v>
      </c>
      <c r="U16" s="673" t="s">
        <v>5309</v>
      </c>
      <c r="V16" s="671" t="s">
        <v>5310</v>
      </c>
      <c r="W16" s="678" t="s">
        <v>5311</v>
      </c>
      <c r="X16" s="671" t="s">
        <v>5312</v>
      </c>
      <c r="Y16" s="678" t="s">
        <v>5313</v>
      </c>
      <c r="Z16" s="671" t="s">
        <v>5314</v>
      </c>
      <c r="AA16" s="678" t="s">
        <v>5315</v>
      </c>
      <c r="AB16" s="671" t="s">
        <v>5316</v>
      </c>
      <c r="AC16" s="678" t="s">
        <v>5317</v>
      </c>
      <c r="AD16" s="671" t="s">
        <v>5318</v>
      </c>
      <c r="AE16" s="678" t="s">
        <v>5319</v>
      </c>
      <c r="AF16" s="671" t="s">
        <v>5320</v>
      </c>
      <c r="AG16" s="678" t="s">
        <v>5321</v>
      </c>
      <c r="AH16" s="671" t="s">
        <v>5322</v>
      </c>
      <c r="AI16" s="678" t="s">
        <v>5323</v>
      </c>
      <c r="AJ16" s="671" t="s">
        <v>5324</v>
      </c>
      <c r="AK16" s="678" t="s">
        <v>5325</v>
      </c>
      <c r="AL16" s="671" t="s">
        <v>5326</v>
      </c>
      <c r="AM16" s="678" t="s">
        <v>5327</v>
      </c>
      <c r="AN16" s="674" t="s">
        <v>5328</v>
      </c>
      <c r="AO16" s="675" t="s">
        <v>5329</v>
      </c>
      <c r="AP16" s="671" t="s">
        <v>5330</v>
      </c>
      <c r="AQ16" t="str">
        <f t="shared" si="4"/>
        <v xml:space="preserve"> * La variable pueblos originarios no puede ser mayor al Total Ambos Sexos. * La variable Migrantes no puede ser mayor al Total Ambos Sexos.</v>
      </c>
      <c r="CB16" s="2465" t="str">
        <f t="shared" si="0"/>
        <v xml:space="preserve"> * La variable pueblos originarios no puede ser mayor al Total Ambos Sexos.</v>
      </c>
      <c r="CC16" s="2465" t="str">
        <f t="shared" si="1"/>
        <v xml:space="preserve"> * La variable Migrantes no puede ser mayor al Total Ambos Sexos.</v>
      </c>
      <c r="CE16" s="1725">
        <f t="shared" si="2"/>
        <v>1</v>
      </c>
      <c r="CF16" s="1725">
        <f t="shared" si="3"/>
        <v>1</v>
      </c>
    </row>
    <row r="17" spans="1:84" ht="15" customHeight="1" x14ac:dyDescent="0.3">
      <c r="A17" s="6234">
        <v>32101597</v>
      </c>
      <c r="B17" s="8581"/>
      <c r="C17" s="676" t="s">
        <v>582</v>
      </c>
      <c r="D17" s="668" t="s">
        <v>5292</v>
      </c>
      <c r="E17" s="677" t="s">
        <v>5293</v>
      </c>
      <c r="F17" s="668" t="s">
        <v>5294</v>
      </c>
      <c r="G17" s="678" t="s">
        <v>5295</v>
      </c>
      <c r="H17" s="671" t="s">
        <v>5296</v>
      </c>
      <c r="I17" s="678" t="s">
        <v>5297</v>
      </c>
      <c r="J17" s="671" t="s">
        <v>5298</v>
      </c>
      <c r="K17" s="678" t="s">
        <v>5299</v>
      </c>
      <c r="L17" s="671" t="s">
        <v>5300</v>
      </c>
      <c r="M17" s="678" t="s">
        <v>5301</v>
      </c>
      <c r="N17" s="671" t="s">
        <v>5302</v>
      </c>
      <c r="O17" s="673" t="s">
        <v>5303</v>
      </c>
      <c r="P17" s="671" t="s">
        <v>5304</v>
      </c>
      <c r="Q17" s="673" t="s">
        <v>5305</v>
      </c>
      <c r="R17" s="671" t="s">
        <v>5306</v>
      </c>
      <c r="S17" s="673" t="s">
        <v>5307</v>
      </c>
      <c r="T17" s="671" t="s">
        <v>5308</v>
      </c>
      <c r="U17" s="673" t="s">
        <v>5309</v>
      </c>
      <c r="V17" s="671" t="s">
        <v>5310</v>
      </c>
      <c r="W17" s="678" t="s">
        <v>5311</v>
      </c>
      <c r="X17" s="671" t="s">
        <v>5312</v>
      </c>
      <c r="Y17" s="678" t="s">
        <v>5313</v>
      </c>
      <c r="Z17" s="671" t="s">
        <v>5314</v>
      </c>
      <c r="AA17" s="678" t="s">
        <v>5315</v>
      </c>
      <c r="AB17" s="671" t="s">
        <v>5316</v>
      </c>
      <c r="AC17" s="678" t="s">
        <v>5317</v>
      </c>
      <c r="AD17" s="671" t="s">
        <v>5318</v>
      </c>
      <c r="AE17" s="678" t="s">
        <v>5319</v>
      </c>
      <c r="AF17" s="671" t="s">
        <v>5320</v>
      </c>
      <c r="AG17" s="678" t="s">
        <v>5321</v>
      </c>
      <c r="AH17" s="671" t="s">
        <v>5322</v>
      </c>
      <c r="AI17" s="678" t="s">
        <v>5323</v>
      </c>
      <c r="AJ17" s="671" t="s">
        <v>5324</v>
      </c>
      <c r="AK17" s="678" t="s">
        <v>5325</v>
      </c>
      <c r="AL17" s="671" t="s">
        <v>5326</v>
      </c>
      <c r="AM17" s="678" t="s">
        <v>5327</v>
      </c>
      <c r="AN17" s="674" t="s">
        <v>5328</v>
      </c>
      <c r="AO17" s="675" t="s">
        <v>5329</v>
      </c>
      <c r="AP17" s="671" t="s">
        <v>5330</v>
      </c>
      <c r="AQ17" t="str">
        <f t="shared" si="4"/>
        <v xml:space="preserve"> * La variable pueblos originarios no puede ser mayor al Total Ambos Sexos. * La variable Migrantes no puede ser mayor al Total Ambos Sexos.</v>
      </c>
      <c r="CB17" s="2465" t="str">
        <f t="shared" si="0"/>
        <v xml:space="preserve"> * La variable pueblos originarios no puede ser mayor al Total Ambos Sexos.</v>
      </c>
      <c r="CC17" s="2465" t="str">
        <f t="shared" si="1"/>
        <v xml:space="preserve"> * La variable Migrantes no puede ser mayor al Total Ambos Sexos.</v>
      </c>
      <c r="CE17" s="1725">
        <f t="shared" si="2"/>
        <v>1</v>
      </c>
      <c r="CF17" s="1725">
        <f t="shared" si="3"/>
        <v>1</v>
      </c>
    </row>
    <row r="18" spans="1:84" ht="15" customHeight="1" x14ac:dyDescent="0.3">
      <c r="A18" s="6234">
        <v>32101598</v>
      </c>
      <c r="B18" s="8581"/>
      <c r="C18" s="679" t="s">
        <v>583</v>
      </c>
      <c r="D18" s="668" t="s">
        <v>5292</v>
      </c>
      <c r="E18" s="677" t="s">
        <v>5293</v>
      </c>
      <c r="F18" s="668" t="s">
        <v>5294</v>
      </c>
      <c r="G18" s="678" t="s">
        <v>5295</v>
      </c>
      <c r="H18" s="671" t="s">
        <v>5296</v>
      </c>
      <c r="I18" s="678" t="s">
        <v>5297</v>
      </c>
      <c r="J18" s="671" t="s">
        <v>5298</v>
      </c>
      <c r="K18" s="678" t="s">
        <v>5299</v>
      </c>
      <c r="L18" s="671" t="s">
        <v>5300</v>
      </c>
      <c r="M18" s="678" t="s">
        <v>5301</v>
      </c>
      <c r="N18" s="671" t="s">
        <v>5302</v>
      </c>
      <c r="O18" s="673" t="s">
        <v>5303</v>
      </c>
      <c r="P18" s="671" t="s">
        <v>5304</v>
      </c>
      <c r="Q18" s="673" t="s">
        <v>5305</v>
      </c>
      <c r="R18" s="671" t="s">
        <v>5306</v>
      </c>
      <c r="S18" s="673" t="s">
        <v>5307</v>
      </c>
      <c r="T18" s="671" t="s">
        <v>5308</v>
      </c>
      <c r="U18" s="673" t="s">
        <v>5309</v>
      </c>
      <c r="V18" s="671" t="s">
        <v>5310</v>
      </c>
      <c r="W18" s="678" t="s">
        <v>5311</v>
      </c>
      <c r="X18" s="671" t="s">
        <v>5312</v>
      </c>
      <c r="Y18" s="678" t="s">
        <v>5313</v>
      </c>
      <c r="Z18" s="671" t="s">
        <v>5314</v>
      </c>
      <c r="AA18" s="678" t="s">
        <v>5315</v>
      </c>
      <c r="AB18" s="671" t="s">
        <v>5316</v>
      </c>
      <c r="AC18" s="678" t="s">
        <v>5317</v>
      </c>
      <c r="AD18" s="671" t="s">
        <v>5318</v>
      </c>
      <c r="AE18" s="678" t="s">
        <v>5319</v>
      </c>
      <c r="AF18" s="671" t="s">
        <v>5320</v>
      </c>
      <c r="AG18" s="678" t="s">
        <v>5321</v>
      </c>
      <c r="AH18" s="671" t="s">
        <v>5322</v>
      </c>
      <c r="AI18" s="678" t="s">
        <v>5323</v>
      </c>
      <c r="AJ18" s="671" t="s">
        <v>5324</v>
      </c>
      <c r="AK18" s="678" t="s">
        <v>5325</v>
      </c>
      <c r="AL18" s="671" t="s">
        <v>5326</v>
      </c>
      <c r="AM18" s="678" t="s">
        <v>5327</v>
      </c>
      <c r="AN18" s="674" t="s">
        <v>5328</v>
      </c>
      <c r="AO18" s="675" t="s">
        <v>5329</v>
      </c>
      <c r="AP18" s="671" t="s">
        <v>5330</v>
      </c>
      <c r="AQ18" t="str">
        <f t="shared" si="4"/>
        <v xml:space="preserve"> * La variable pueblos originarios no puede ser mayor al Total Ambos Sexos. * La variable Migrantes no puede ser mayor al Total Ambos Sexos.</v>
      </c>
      <c r="CB18" s="2465" t="str">
        <f t="shared" si="0"/>
        <v xml:space="preserve"> * La variable pueblos originarios no puede ser mayor al Total Ambos Sexos.</v>
      </c>
      <c r="CC18" s="2465" t="str">
        <f t="shared" si="1"/>
        <v xml:space="preserve"> * La variable Migrantes no puede ser mayor al Total Ambos Sexos.</v>
      </c>
      <c r="CE18" s="1725">
        <f t="shared" si="2"/>
        <v>1</v>
      </c>
      <c r="CF18" s="1725">
        <f t="shared" si="3"/>
        <v>1</v>
      </c>
    </row>
    <row r="19" spans="1:84" ht="15" customHeight="1" x14ac:dyDescent="0.3">
      <c r="A19" s="6234">
        <v>32101599</v>
      </c>
      <c r="B19" s="8581"/>
      <c r="C19" s="676" t="s">
        <v>584</v>
      </c>
      <c r="D19" s="668" t="s">
        <v>5292</v>
      </c>
      <c r="E19" s="677" t="s">
        <v>5293</v>
      </c>
      <c r="F19" s="668" t="s">
        <v>5294</v>
      </c>
      <c r="G19" s="678" t="s">
        <v>5295</v>
      </c>
      <c r="H19" s="671" t="s">
        <v>5296</v>
      </c>
      <c r="I19" s="678" t="s">
        <v>5297</v>
      </c>
      <c r="J19" s="671" t="s">
        <v>5298</v>
      </c>
      <c r="K19" s="678" t="s">
        <v>5299</v>
      </c>
      <c r="L19" s="671" t="s">
        <v>5300</v>
      </c>
      <c r="M19" s="678" t="s">
        <v>5301</v>
      </c>
      <c r="N19" s="671" t="s">
        <v>5302</v>
      </c>
      <c r="O19" s="673" t="s">
        <v>5303</v>
      </c>
      <c r="P19" s="671" t="s">
        <v>5304</v>
      </c>
      <c r="Q19" s="673" t="s">
        <v>5305</v>
      </c>
      <c r="R19" s="671" t="s">
        <v>5306</v>
      </c>
      <c r="S19" s="673" t="s">
        <v>5307</v>
      </c>
      <c r="T19" s="671" t="s">
        <v>5308</v>
      </c>
      <c r="U19" s="673" t="s">
        <v>5309</v>
      </c>
      <c r="V19" s="671" t="s">
        <v>5310</v>
      </c>
      <c r="W19" s="678" t="s">
        <v>5311</v>
      </c>
      <c r="X19" s="671" t="s">
        <v>5312</v>
      </c>
      <c r="Y19" s="678" t="s">
        <v>5313</v>
      </c>
      <c r="Z19" s="671" t="s">
        <v>5314</v>
      </c>
      <c r="AA19" s="678" t="s">
        <v>5315</v>
      </c>
      <c r="AB19" s="671" t="s">
        <v>5316</v>
      </c>
      <c r="AC19" s="678" t="s">
        <v>5317</v>
      </c>
      <c r="AD19" s="671" t="s">
        <v>5318</v>
      </c>
      <c r="AE19" s="678" t="s">
        <v>5319</v>
      </c>
      <c r="AF19" s="671" t="s">
        <v>5320</v>
      </c>
      <c r="AG19" s="678" t="s">
        <v>5321</v>
      </c>
      <c r="AH19" s="671" t="s">
        <v>5322</v>
      </c>
      <c r="AI19" s="678" t="s">
        <v>5323</v>
      </c>
      <c r="AJ19" s="671" t="s">
        <v>5324</v>
      </c>
      <c r="AK19" s="678" t="s">
        <v>5325</v>
      </c>
      <c r="AL19" s="671" t="s">
        <v>5326</v>
      </c>
      <c r="AM19" s="678" t="s">
        <v>5327</v>
      </c>
      <c r="AN19" s="674" t="s">
        <v>5328</v>
      </c>
      <c r="AO19" s="675" t="s">
        <v>5329</v>
      </c>
      <c r="AP19" s="671" t="s">
        <v>5330</v>
      </c>
      <c r="AQ19" t="str">
        <f t="shared" si="4"/>
        <v xml:space="preserve"> * La variable pueblos originarios no puede ser mayor al Total Ambos Sexos. * La variable Migrantes no puede ser mayor al Total Ambos Sexos.</v>
      </c>
      <c r="CB19" s="2465" t="str">
        <f t="shared" si="0"/>
        <v xml:space="preserve"> * La variable pueblos originarios no puede ser mayor al Total Ambos Sexos.</v>
      </c>
      <c r="CC19" s="2465" t="str">
        <f t="shared" si="1"/>
        <v xml:space="preserve"> * La variable Migrantes no puede ser mayor al Total Ambos Sexos.</v>
      </c>
      <c r="CE19" s="1725">
        <f t="shared" si="2"/>
        <v>1</v>
      </c>
      <c r="CF19" s="1725">
        <f t="shared" si="3"/>
        <v>1</v>
      </c>
    </row>
    <row r="20" spans="1:84" ht="15" customHeight="1" x14ac:dyDescent="0.3">
      <c r="A20" s="6234">
        <v>32101600</v>
      </c>
      <c r="B20" s="8581"/>
      <c r="C20" s="676" t="s">
        <v>585</v>
      </c>
      <c r="D20" s="668" t="s">
        <v>5292</v>
      </c>
      <c r="E20" s="677" t="s">
        <v>5293</v>
      </c>
      <c r="F20" s="668" t="s">
        <v>5294</v>
      </c>
      <c r="G20" s="678" t="s">
        <v>5295</v>
      </c>
      <c r="H20" s="671" t="s">
        <v>5296</v>
      </c>
      <c r="I20" s="678" t="s">
        <v>5297</v>
      </c>
      <c r="J20" s="671" t="s">
        <v>5298</v>
      </c>
      <c r="K20" s="678" t="s">
        <v>5299</v>
      </c>
      <c r="L20" s="671" t="s">
        <v>5300</v>
      </c>
      <c r="M20" s="678" t="s">
        <v>5301</v>
      </c>
      <c r="N20" s="671" t="s">
        <v>5302</v>
      </c>
      <c r="O20" s="673" t="s">
        <v>5303</v>
      </c>
      <c r="P20" s="671" t="s">
        <v>5304</v>
      </c>
      <c r="Q20" s="673" t="s">
        <v>5305</v>
      </c>
      <c r="R20" s="671" t="s">
        <v>5306</v>
      </c>
      <c r="S20" s="673" t="s">
        <v>5307</v>
      </c>
      <c r="T20" s="671" t="s">
        <v>5308</v>
      </c>
      <c r="U20" s="673" t="s">
        <v>5309</v>
      </c>
      <c r="V20" s="671" t="s">
        <v>5310</v>
      </c>
      <c r="W20" s="678" t="s">
        <v>5311</v>
      </c>
      <c r="X20" s="671" t="s">
        <v>5312</v>
      </c>
      <c r="Y20" s="678" t="s">
        <v>5313</v>
      </c>
      <c r="Z20" s="671" t="s">
        <v>5314</v>
      </c>
      <c r="AA20" s="678" t="s">
        <v>5315</v>
      </c>
      <c r="AB20" s="671" t="s">
        <v>5316</v>
      </c>
      <c r="AC20" s="678" t="s">
        <v>5317</v>
      </c>
      <c r="AD20" s="671" t="s">
        <v>5318</v>
      </c>
      <c r="AE20" s="678" t="s">
        <v>5319</v>
      </c>
      <c r="AF20" s="671" t="s">
        <v>5320</v>
      </c>
      <c r="AG20" s="678" t="s">
        <v>5321</v>
      </c>
      <c r="AH20" s="671" t="s">
        <v>5322</v>
      </c>
      <c r="AI20" s="678" t="s">
        <v>5323</v>
      </c>
      <c r="AJ20" s="671" t="s">
        <v>5324</v>
      </c>
      <c r="AK20" s="678" t="s">
        <v>5325</v>
      </c>
      <c r="AL20" s="671" t="s">
        <v>5326</v>
      </c>
      <c r="AM20" s="678" t="s">
        <v>5327</v>
      </c>
      <c r="AN20" s="674" t="s">
        <v>5328</v>
      </c>
      <c r="AO20" s="675" t="s">
        <v>5329</v>
      </c>
      <c r="AP20" s="671" t="s">
        <v>5330</v>
      </c>
      <c r="AQ20" t="str">
        <f t="shared" si="4"/>
        <v xml:space="preserve"> * La variable pueblos originarios no puede ser mayor al Total Ambos Sexos. * La variable Migrantes no puede ser mayor al Total Ambos Sexos.</v>
      </c>
      <c r="CB20" s="2465" t="str">
        <f t="shared" si="0"/>
        <v xml:space="preserve"> * La variable pueblos originarios no puede ser mayor al Total Ambos Sexos.</v>
      </c>
      <c r="CC20" s="2465" t="str">
        <f t="shared" si="1"/>
        <v xml:space="preserve"> * La variable Migrantes no puede ser mayor al Total Ambos Sexos.</v>
      </c>
      <c r="CE20" s="1725">
        <f t="shared" si="2"/>
        <v>1</v>
      </c>
      <c r="CF20" s="1725">
        <f t="shared" si="3"/>
        <v>1</v>
      </c>
    </row>
    <row r="21" spans="1:84" ht="15" customHeight="1" x14ac:dyDescent="0.3">
      <c r="A21" s="6234">
        <v>32101601</v>
      </c>
      <c r="B21" s="8581"/>
      <c r="C21" s="676" t="s">
        <v>586</v>
      </c>
      <c r="D21" s="668" t="s">
        <v>5292</v>
      </c>
      <c r="E21" s="677" t="s">
        <v>5293</v>
      </c>
      <c r="F21" s="668" t="s">
        <v>5294</v>
      </c>
      <c r="G21" s="678" t="s">
        <v>5295</v>
      </c>
      <c r="H21" s="671" t="s">
        <v>5296</v>
      </c>
      <c r="I21" s="678" t="s">
        <v>5297</v>
      </c>
      <c r="J21" s="671" t="s">
        <v>5298</v>
      </c>
      <c r="K21" s="678" t="s">
        <v>5299</v>
      </c>
      <c r="L21" s="671" t="s">
        <v>5300</v>
      </c>
      <c r="M21" s="678" t="s">
        <v>5301</v>
      </c>
      <c r="N21" s="671" t="s">
        <v>5302</v>
      </c>
      <c r="O21" s="673" t="s">
        <v>5303</v>
      </c>
      <c r="P21" s="671" t="s">
        <v>5304</v>
      </c>
      <c r="Q21" s="673" t="s">
        <v>5305</v>
      </c>
      <c r="R21" s="671" t="s">
        <v>5306</v>
      </c>
      <c r="S21" s="673" t="s">
        <v>5307</v>
      </c>
      <c r="T21" s="671" t="s">
        <v>5308</v>
      </c>
      <c r="U21" s="673" t="s">
        <v>5309</v>
      </c>
      <c r="V21" s="671" t="s">
        <v>5310</v>
      </c>
      <c r="W21" s="678" t="s">
        <v>5311</v>
      </c>
      <c r="X21" s="671" t="s">
        <v>5312</v>
      </c>
      <c r="Y21" s="678" t="s">
        <v>5313</v>
      </c>
      <c r="Z21" s="671" t="s">
        <v>5314</v>
      </c>
      <c r="AA21" s="678" t="s">
        <v>5315</v>
      </c>
      <c r="AB21" s="671" t="s">
        <v>5316</v>
      </c>
      <c r="AC21" s="678" t="s">
        <v>5317</v>
      </c>
      <c r="AD21" s="671" t="s">
        <v>5318</v>
      </c>
      <c r="AE21" s="678" t="s">
        <v>5319</v>
      </c>
      <c r="AF21" s="671" t="s">
        <v>5320</v>
      </c>
      <c r="AG21" s="678" t="s">
        <v>5321</v>
      </c>
      <c r="AH21" s="671" t="s">
        <v>5322</v>
      </c>
      <c r="AI21" s="678" t="s">
        <v>5323</v>
      </c>
      <c r="AJ21" s="671" t="s">
        <v>5324</v>
      </c>
      <c r="AK21" s="678" t="s">
        <v>5325</v>
      </c>
      <c r="AL21" s="671" t="s">
        <v>5326</v>
      </c>
      <c r="AM21" s="678" t="s">
        <v>5327</v>
      </c>
      <c r="AN21" s="674" t="s">
        <v>5328</v>
      </c>
      <c r="AO21" s="675" t="s">
        <v>5329</v>
      </c>
      <c r="AP21" s="671" t="s">
        <v>5330</v>
      </c>
      <c r="AQ21" t="str">
        <f t="shared" si="4"/>
        <v xml:space="preserve"> * La variable pueblos originarios no puede ser mayor al Total Ambos Sexos. * La variable Migrantes no puede ser mayor al Total Ambos Sexos.</v>
      </c>
      <c r="CB21" s="2465" t="str">
        <f t="shared" si="0"/>
        <v xml:space="preserve"> * La variable pueblos originarios no puede ser mayor al Total Ambos Sexos.</v>
      </c>
      <c r="CC21" s="2465" t="str">
        <f t="shared" si="1"/>
        <v xml:space="preserve"> * La variable Migrantes no puede ser mayor al Total Ambos Sexos.</v>
      </c>
      <c r="CE21" s="1725">
        <f t="shared" si="2"/>
        <v>1</v>
      </c>
      <c r="CF21" s="1725">
        <f t="shared" si="3"/>
        <v>1</v>
      </c>
    </row>
    <row r="22" spans="1:84" ht="15" customHeight="1" x14ac:dyDescent="0.3">
      <c r="A22" s="6234">
        <v>32101602</v>
      </c>
      <c r="B22" s="8581"/>
      <c r="C22" s="676" t="s">
        <v>587</v>
      </c>
      <c r="D22" s="668" t="s">
        <v>5292</v>
      </c>
      <c r="E22" s="677" t="s">
        <v>5293</v>
      </c>
      <c r="F22" s="668" t="s">
        <v>5294</v>
      </c>
      <c r="G22" s="678" t="s">
        <v>5295</v>
      </c>
      <c r="H22" s="671" t="s">
        <v>5296</v>
      </c>
      <c r="I22" s="678" t="s">
        <v>5297</v>
      </c>
      <c r="J22" s="671" t="s">
        <v>5298</v>
      </c>
      <c r="K22" s="678" t="s">
        <v>5299</v>
      </c>
      <c r="L22" s="671" t="s">
        <v>5300</v>
      </c>
      <c r="M22" s="678" t="s">
        <v>5301</v>
      </c>
      <c r="N22" s="671" t="s">
        <v>5302</v>
      </c>
      <c r="O22" s="673" t="s">
        <v>5303</v>
      </c>
      <c r="P22" s="671" t="s">
        <v>5304</v>
      </c>
      <c r="Q22" s="673" t="s">
        <v>5305</v>
      </c>
      <c r="R22" s="671" t="s">
        <v>5306</v>
      </c>
      <c r="S22" s="673" t="s">
        <v>5307</v>
      </c>
      <c r="T22" s="671" t="s">
        <v>5308</v>
      </c>
      <c r="U22" s="673" t="s">
        <v>5309</v>
      </c>
      <c r="V22" s="671" t="s">
        <v>5310</v>
      </c>
      <c r="W22" s="678" t="s">
        <v>5311</v>
      </c>
      <c r="X22" s="671" t="s">
        <v>5312</v>
      </c>
      <c r="Y22" s="678" t="s">
        <v>5313</v>
      </c>
      <c r="Z22" s="671" t="s">
        <v>5314</v>
      </c>
      <c r="AA22" s="678" t="s">
        <v>5315</v>
      </c>
      <c r="AB22" s="671" t="s">
        <v>5316</v>
      </c>
      <c r="AC22" s="678" t="s">
        <v>5317</v>
      </c>
      <c r="AD22" s="671" t="s">
        <v>5318</v>
      </c>
      <c r="AE22" s="678" t="s">
        <v>5319</v>
      </c>
      <c r="AF22" s="671" t="s">
        <v>5320</v>
      </c>
      <c r="AG22" s="678" t="s">
        <v>5321</v>
      </c>
      <c r="AH22" s="671" t="s">
        <v>5322</v>
      </c>
      <c r="AI22" s="678" t="s">
        <v>5323</v>
      </c>
      <c r="AJ22" s="671" t="s">
        <v>5324</v>
      </c>
      <c r="AK22" s="678" t="s">
        <v>5325</v>
      </c>
      <c r="AL22" s="671" t="s">
        <v>5326</v>
      </c>
      <c r="AM22" s="678" t="s">
        <v>5327</v>
      </c>
      <c r="AN22" s="674" t="s">
        <v>5328</v>
      </c>
      <c r="AO22" s="675" t="s">
        <v>5329</v>
      </c>
      <c r="AP22" s="671" t="s">
        <v>5330</v>
      </c>
      <c r="AQ22" t="str">
        <f t="shared" si="4"/>
        <v xml:space="preserve"> * La variable pueblos originarios no puede ser mayor al Total Ambos Sexos. * La variable Migrantes no puede ser mayor al Total Ambos Sexos.</v>
      </c>
      <c r="CB22" s="2465" t="str">
        <f t="shared" si="0"/>
        <v xml:space="preserve"> * La variable pueblos originarios no puede ser mayor al Total Ambos Sexos.</v>
      </c>
      <c r="CC22" s="2465" t="str">
        <f t="shared" si="1"/>
        <v xml:space="preserve"> * La variable Migrantes no puede ser mayor al Total Ambos Sexos.</v>
      </c>
      <c r="CE22" s="1725">
        <f t="shared" si="2"/>
        <v>1</v>
      </c>
      <c r="CF22" s="1725">
        <f t="shared" si="3"/>
        <v>1</v>
      </c>
    </row>
    <row r="23" spans="1:84" ht="15" customHeight="1" x14ac:dyDescent="0.3">
      <c r="A23" s="6234">
        <v>32101603</v>
      </c>
      <c r="B23" s="8581"/>
      <c r="C23" s="676" t="s">
        <v>588</v>
      </c>
      <c r="D23" s="668" t="s">
        <v>5292</v>
      </c>
      <c r="E23" s="677" t="s">
        <v>5293</v>
      </c>
      <c r="F23" s="668" t="s">
        <v>5294</v>
      </c>
      <c r="G23" s="678" t="s">
        <v>5295</v>
      </c>
      <c r="H23" s="671" t="s">
        <v>5296</v>
      </c>
      <c r="I23" s="678" t="s">
        <v>5297</v>
      </c>
      <c r="J23" s="671" t="s">
        <v>5298</v>
      </c>
      <c r="K23" s="678" t="s">
        <v>5299</v>
      </c>
      <c r="L23" s="671" t="s">
        <v>5300</v>
      </c>
      <c r="M23" s="678" t="s">
        <v>5301</v>
      </c>
      <c r="N23" s="671" t="s">
        <v>5302</v>
      </c>
      <c r="O23" s="673" t="s">
        <v>5303</v>
      </c>
      <c r="P23" s="671" t="s">
        <v>5304</v>
      </c>
      <c r="Q23" s="673" t="s">
        <v>5305</v>
      </c>
      <c r="R23" s="671" t="s">
        <v>5306</v>
      </c>
      <c r="S23" s="673" t="s">
        <v>5307</v>
      </c>
      <c r="T23" s="671" t="s">
        <v>5308</v>
      </c>
      <c r="U23" s="673" t="s">
        <v>5309</v>
      </c>
      <c r="V23" s="671" t="s">
        <v>5310</v>
      </c>
      <c r="W23" s="678" t="s">
        <v>5311</v>
      </c>
      <c r="X23" s="671" t="s">
        <v>5312</v>
      </c>
      <c r="Y23" s="678" t="s">
        <v>5313</v>
      </c>
      <c r="Z23" s="671" t="s">
        <v>5314</v>
      </c>
      <c r="AA23" s="678" t="s">
        <v>5315</v>
      </c>
      <c r="AB23" s="671" t="s">
        <v>5316</v>
      </c>
      <c r="AC23" s="678" t="s">
        <v>5317</v>
      </c>
      <c r="AD23" s="671" t="s">
        <v>5318</v>
      </c>
      <c r="AE23" s="678" t="s">
        <v>5319</v>
      </c>
      <c r="AF23" s="671" t="s">
        <v>5320</v>
      </c>
      <c r="AG23" s="678" t="s">
        <v>5321</v>
      </c>
      <c r="AH23" s="671" t="s">
        <v>5322</v>
      </c>
      <c r="AI23" s="678" t="s">
        <v>5323</v>
      </c>
      <c r="AJ23" s="671" t="s">
        <v>5324</v>
      </c>
      <c r="AK23" s="678" t="s">
        <v>5325</v>
      </c>
      <c r="AL23" s="671" t="s">
        <v>5326</v>
      </c>
      <c r="AM23" s="678" t="s">
        <v>5327</v>
      </c>
      <c r="AN23" s="674" t="s">
        <v>5328</v>
      </c>
      <c r="AO23" s="675" t="s">
        <v>5329</v>
      </c>
      <c r="AP23" s="671" t="s">
        <v>5330</v>
      </c>
      <c r="AQ23" t="str">
        <f t="shared" si="4"/>
        <v xml:space="preserve"> * La variable pueblos originarios no puede ser mayor al Total Ambos Sexos. * La variable Migrantes no puede ser mayor al Total Ambos Sexos.</v>
      </c>
      <c r="CB23" s="2465" t="str">
        <f t="shared" si="0"/>
        <v xml:space="preserve"> * La variable pueblos originarios no puede ser mayor al Total Ambos Sexos.</v>
      </c>
      <c r="CC23" s="2465" t="str">
        <f t="shared" si="1"/>
        <v xml:space="preserve"> * La variable Migrantes no puede ser mayor al Total Ambos Sexos.</v>
      </c>
      <c r="CE23" s="1725">
        <f t="shared" si="2"/>
        <v>1</v>
      </c>
      <c r="CF23" s="1725">
        <f t="shared" si="3"/>
        <v>1</v>
      </c>
    </row>
    <row r="24" spans="1:84" ht="20.25" customHeight="1" x14ac:dyDescent="0.3">
      <c r="A24" s="6234">
        <v>32101604</v>
      </c>
      <c r="B24" s="8581"/>
      <c r="C24" s="679" t="s">
        <v>589</v>
      </c>
      <c r="D24" s="668" t="s">
        <v>5292</v>
      </c>
      <c r="E24" s="677" t="s">
        <v>5293</v>
      </c>
      <c r="F24" s="668" t="s">
        <v>5294</v>
      </c>
      <c r="G24" s="678" t="s">
        <v>5295</v>
      </c>
      <c r="H24" s="671" t="s">
        <v>5296</v>
      </c>
      <c r="I24" s="678" t="s">
        <v>5297</v>
      </c>
      <c r="J24" s="671" t="s">
        <v>5298</v>
      </c>
      <c r="K24" s="678" t="s">
        <v>5299</v>
      </c>
      <c r="L24" s="671" t="s">
        <v>5300</v>
      </c>
      <c r="M24" s="678" t="s">
        <v>5301</v>
      </c>
      <c r="N24" s="671" t="s">
        <v>5302</v>
      </c>
      <c r="O24" s="673" t="s">
        <v>5303</v>
      </c>
      <c r="P24" s="671" t="s">
        <v>5304</v>
      </c>
      <c r="Q24" s="673" t="s">
        <v>5305</v>
      </c>
      <c r="R24" s="671" t="s">
        <v>5306</v>
      </c>
      <c r="S24" s="673" t="s">
        <v>5307</v>
      </c>
      <c r="T24" s="671" t="s">
        <v>5308</v>
      </c>
      <c r="U24" s="673" t="s">
        <v>5309</v>
      </c>
      <c r="V24" s="671" t="s">
        <v>5310</v>
      </c>
      <c r="W24" s="678" t="s">
        <v>5311</v>
      </c>
      <c r="X24" s="671" t="s">
        <v>5312</v>
      </c>
      <c r="Y24" s="678" t="s">
        <v>5313</v>
      </c>
      <c r="Z24" s="671" t="s">
        <v>5314</v>
      </c>
      <c r="AA24" s="678" t="s">
        <v>5315</v>
      </c>
      <c r="AB24" s="671" t="s">
        <v>5316</v>
      </c>
      <c r="AC24" s="678" t="s">
        <v>5317</v>
      </c>
      <c r="AD24" s="671" t="s">
        <v>5318</v>
      </c>
      <c r="AE24" s="678" t="s">
        <v>5319</v>
      </c>
      <c r="AF24" s="671" t="s">
        <v>5320</v>
      </c>
      <c r="AG24" s="678" t="s">
        <v>5321</v>
      </c>
      <c r="AH24" s="671" t="s">
        <v>5322</v>
      </c>
      <c r="AI24" s="678" t="s">
        <v>5323</v>
      </c>
      <c r="AJ24" s="671" t="s">
        <v>5324</v>
      </c>
      <c r="AK24" s="678" t="s">
        <v>5325</v>
      </c>
      <c r="AL24" s="671" t="s">
        <v>5326</v>
      </c>
      <c r="AM24" s="678" t="s">
        <v>5327</v>
      </c>
      <c r="AN24" s="674" t="s">
        <v>5328</v>
      </c>
      <c r="AO24" s="675" t="s">
        <v>5329</v>
      </c>
      <c r="AP24" s="671" t="s">
        <v>5330</v>
      </c>
      <c r="AQ24" t="str">
        <f t="shared" si="4"/>
        <v xml:space="preserve"> * La variable pueblos originarios no puede ser mayor al Total Ambos Sexos. * La variable Migrantes no puede ser mayor al Total Ambos Sexos.</v>
      </c>
      <c r="CB24" s="2465" t="str">
        <f t="shared" si="0"/>
        <v xml:space="preserve"> * La variable pueblos originarios no puede ser mayor al Total Ambos Sexos.</v>
      </c>
      <c r="CC24" s="2465" t="str">
        <f t="shared" si="1"/>
        <v xml:space="preserve"> * La variable Migrantes no puede ser mayor al Total Ambos Sexos.</v>
      </c>
      <c r="CE24" s="1725">
        <f t="shared" si="2"/>
        <v>1</v>
      </c>
      <c r="CF24" s="1725">
        <f t="shared" si="3"/>
        <v>1</v>
      </c>
    </row>
    <row r="25" spans="1:84" ht="15" customHeight="1" x14ac:dyDescent="0.3">
      <c r="A25" s="6234">
        <v>32101605</v>
      </c>
      <c r="B25" s="8581"/>
      <c r="C25" s="676" t="s">
        <v>590</v>
      </c>
      <c r="D25" s="668" t="s">
        <v>5292</v>
      </c>
      <c r="E25" s="677" t="s">
        <v>5293</v>
      </c>
      <c r="F25" s="668" t="s">
        <v>5294</v>
      </c>
      <c r="G25" s="678" t="s">
        <v>5295</v>
      </c>
      <c r="H25" s="671" t="s">
        <v>5296</v>
      </c>
      <c r="I25" s="678" t="s">
        <v>5297</v>
      </c>
      <c r="J25" s="671" t="s">
        <v>5298</v>
      </c>
      <c r="K25" s="678" t="s">
        <v>5299</v>
      </c>
      <c r="L25" s="671" t="s">
        <v>5300</v>
      </c>
      <c r="M25" s="678" t="s">
        <v>5301</v>
      </c>
      <c r="N25" s="671" t="s">
        <v>5302</v>
      </c>
      <c r="O25" s="673" t="s">
        <v>5303</v>
      </c>
      <c r="P25" s="671" t="s">
        <v>5304</v>
      </c>
      <c r="Q25" s="673" t="s">
        <v>5305</v>
      </c>
      <c r="R25" s="671" t="s">
        <v>5306</v>
      </c>
      <c r="S25" s="673" t="s">
        <v>5307</v>
      </c>
      <c r="T25" s="671" t="s">
        <v>5308</v>
      </c>
      <c r="U25" s="673" t="s">
        <v>5309</v>
      </c>
      <c r="V25" s="671" t="s">
        <v>5310</v>
      </c>
      <c r="W25" s="678" t="s">
        <v>5311</v>
      </c>
      <c r="X25" s="671" t="s">
        <v>5312</v>
      </c>
      <c r="Y25" s="678" t="s">
        <v>5313</v>
      </c>
      <c r="Z25" s="671" t="s">
        <v>5314</v>
      </c>
      <c r="AA25" s="678" t="s">
        <v>5315</v>
      </c>
      <c r="AB25" s="671" t="s">
        <v>5316</v>
      </c>
      <c r="AC25" s="678" t="s">
        <v>5317</v>
      </c>
      <c r="AD25" s="671" t="s">
        <v>5318</v>
      </c>
      <c r="AE25" s="678" t="s">
        <v>5319</v>
      </c>
      <c r="AF25" s="671" t="s">
        <v>5320</v>
      </c>
      <c r="AG25" s="678" t="s">
        <v>5321</v>
      </c>
      <c r="AH25" s="671" t="s">
        <v>5322</v>
      </c>
      <c r="AI25" s="678" t="s">
        <v>5323</v>
      </c>
      <c r="AJ25" s="671" t="s">
        <v>5324</v>
      </c>
      <c r="AK25" s="678" t="s">
        <v>5325</v>
      </c>
      <c r="AL25" s="671" t="s">
        <v>5326</v>
      </c>
      <c r="AM25" s="678" t="s">
        <v>5327</v>
      </c>
      <c r="AN25" s="674" t="s">
        <v>5328</v>
      </c>
      <c r="AO25" s="675" t="s">
        <v>5329</v>
      </c>
      <c r="AP25" s="671" t="s">
        <v>5330</v>
      </c>
      <c r="AQ25" t="str">
        <f t="shared" si="4"/>
        <v xml:space="preserve"> * La variable pueblos originarios no puede ser mayor al Total Ambos Sexos. * La variable Migrantes no puede ser mayor al Total Ambos Sexos.</v>
      </c>
      <c r="CB25" s="2465" t="str">
        <f t="shared" si="0"/>
        <v xml:space="preserve"> * La variable pueblos originarios no puede ser mayor al Total Ambos Sexos.</v>
      </c>
      <c r="CC25" s="2465" t="str">
        <f t="shared" si="1"/>
        <v xml:space="preserve"> * La variable Migrantes no puede ser mayor al Total Ambos Sexos.</v>
      </c>
      <c r="CE25" s="1725">
        <f t="shared" si="2"/>
        <v>1</v>
      </c>
      <c r="CF25" s="1725">
        <f t="shared" si="3"/>
        <v>1</v>
      </c>
    </row>
    <row r="26" spans="1:84" ht="15" customHeight="1" x14ac:dyDescent="0.3">
      <c r="A26" s="6234">
        <v>32101606</v>
      </c>
      <c r="B26" s="8581"/>
      <c r="C26" s="676" t="s">
        <v>591</v>
      </c>
      <c r="D26" s="668" t="s">
        <v>5292</v>
      </c>
      <c r="E26" s="677" t="s">
        <v>5293</v>
      </c>
      <c r="F26" s="668" t="s">
        <v>5294</v>
      </c>
      <c r="G26" s="678" t="s">
        <v>5295</v>
      </c>
      <c r="H26" s="671" t="s">
        <v>5296</v>
      </c>
      <c r="I26" s="678" t="s">
        <v>5297</v>
      </c>
      <c r="J26" s="671" t="s">
        <v>5298</v>
      </c>
      <c r="K26" s="678" t="s">
        <v>5299</v>
      </c>
      <c r="L26" s="671" t="s">
        <v>5300</v>
      </c>
      <c r="M26" s="678" t="s">
        <v>5301</v>
      </c>
      <c r="N26" s="671" t="s">
        <v>5302</v>
      </c>
      <c r="O26" s="673" t="s">
        <v>5303</v>
      </c>
      <c r="P26" s="671" t="s">
        <v>5304</v>
      </c>
      <c r="Q26" s="673" t="s">
        <v>5305</v>
      </c>
      <c r="R26" s="671" t="s">
        <v>5306</v>
      </c>
      <c r="S26" s="673" t="s">
        <v>5307</v>
      </c>
      <c r="T26" s="671" t="s">
        <v>5308</v>
      </c>
      <c r="U26" s="673" t="s">
        <v>5309</v>
      </c>
      <c r="V26" s="671" t="s">
        <v>5310</v>
      </c>
      <c r="W26" s="678" t="s">
        <v>5311</v>
      </c>
      <c r="X26" s="671" t="s">
        <v>5312</v>
      </c>
      <c r="Y26" s="678" t="s">
        <v>5313</v>
      </c>
      <c r="Z26" s="671" t="s">
        <v>5314</v>
      </c>
      <c r="AA26" s="678" t="s">
        <v>5315</v>
      </c>
      <c r="AB26" s="671" t="s">
        <v>5316</v>
      </c>
      <c r="AC26" s="678" t="s">
        <v>5317</v>
      </c>
      <c r="AD26" s="671" t="s">
        <v>5318</v>
      </c>
      <c r="AE26" s="678" t="s">
        <v>5319</v>
      </c>
      <c r="AF26" s="671" t="s">
        <v>5320</v>
      </c>
      <c r="AG26" s="678" t="s">
        <v>5321</v>
      </c>
      <c r="AH26" s="671" t="s">
        <v>5322</v>
      </c>
      <c r="AI26" s="678" t="s">
        <v>5323</v>
      </c>
      <c r="AJ26" s="671" t="s">
        <v>5324</v>
      </c>
      <c r="AK26" s="678" t="s">
        <v>5325</v>
      </c>
      <c r="AL26" s="671" t="s">
        <v>5326</v>
      </c>
      <c r="AM26" s="678" t="s">
        <v>5327</v>
      </c>
      <c r="AN26" s="674" t="s">
        <v>5328</v>
      </c>
      <c r="AO26" s="675" t="s">
        <v>5329</v>
      </c>
      <c r="AP26" s="671" t="s">
        <v>5330</v>
      </c>
      <c r="AQ26" t="str">
        <f t="shared" si="4"/>
        <v xml:space="preserve"> * La variable pueblos originarios no puede ser mayor al Total Ambos Sexos. * La variable Migrantes no puede ser mayor al Total Ambos Sexos.</v>
      </c>
      <c r="CB26" s="2465" t="str">
        <f t="shared" si="0"/>
        <v xml:space="preserve"> * La variable pueblos originarios no puede ser mayor al Total Ambos Sexos.</v>
      </c>
      <c r="CC26" s="2465" t="str">
        <f t="shared" si="1"/>
        <v xml:space="preserve"> * La variable Migrantes no puede ser mayor al Total Ambos Sexos.</v>
      </c>
      <c r="CE26" s="1725">
        <f t="shared" si="2"/>
        <v>1</v>
      </c>
      <c r="CF26" s="1725">
        <f t="shared" si="3"/>
        <v>1</v>
      </c>
    </row>
    <row r="27" spans="1:84" ht="15" customHeight="1" x14ac:dyDescent="0.3">
      <c r="A27" s="6234">
        <v>32101607</v>
      </c>
      <c r="B27" s="8581"/>
      <c r="C27" s="676" t="s">
        <v>592</v>
      </c>
      <c r="D27" s="668" t="s">
        <v>5292</v>
      </c>
      <c r="E27" s="677" t="s">
        <v>5293</v>
      </c>
      <c r="F27" s="668" t="s">
        <v>5294</v>
      </c>
      <c r="G27" s="678" t="s">
        <v>5295</v>
      </c>
      <c r="H27" s="671" t="s">
        <v>5296</v>
      </c>
      <c r="I27" s="678" t="s">
        <v>5297</v>
      </c>
      <c r="J27" s="671" t="s">
        <v>5298</v>
      </c>
      <c r="K27" s="678" t="s">
        <v>5299</v>
      </c>
      <c r="L27" s="671" t="s">
        <v>5300</v>
      </c>
      <c r="M27" s="678" t="s">
        <v>5301</v>
      </c>
      <c r="N27" s="671" t="s">
        <v>5302</v>
      </c>
      <c r="O27" s="673" t="s">
        <v>5303</v>
      </c>
      <c r="P27" s="671" t="s">
        <v>5304</v>
      </c>
      <c r="Q27" s="673" t="s">
        <v>5305</v>
      </c>
      <c r="R27" s="671" t="s">
        <v>5306</v>
      </c>
      <c r="S27" s="673" t="s">
        <v>5307</v>
      </c>
      <c r="T27" s="671" t="s">
        <v>5308</v>
      </c>
      <c r="U27" s="673" t="s">
        <v>5309</v>
      </c>
      <c r="V27" s="671" t="s">
        <v>5310</v>
      </c>
      <c r="W27" s="678" t="s">
        <v>5311</v>
      </c>
      <c r="X27" s="671" t="s">
        <v>5312</v>
      </c>
      <c r="Y27" s="678" t="s">
        <v>5313</v>
      </c>
      <c r="Z27" s="671" t="s">
        <v>5314</v>
      </c>
      <c r="AA27" s="678" t="s">
        <v>5315</v>
      </c>
      <c r="AB27" s="671" t="s">
        <v>5316</v>
      </c>
      <c r="AC27" s="678" t="s">
        <v>5317</v>
      </c>
      <c r="AD27" s="671" t="s">
        <v>5318</v>
      </c>
      <c r="AE27" s="678" t="s">
        <v>5319</v>
      </c>
      <c r="AF27" s="671" t="s">
        <v>5320</v>
      </c>
      <c r="AG27" s="678" t="s">
        <v>5321</v>
      </c>
      <c r="AH27" s="671" t="s">
        <v>5322</v>
      </c>
      <c r="AI27" s="678" t="s">
        <v>5323</v>
      </c>
      <c r="AJ27" s="671" t="s">
        <v>5324</v>
      </c>
      <c r="AK27" s="678" t="s">
        <v>5325</v>
      </c>
      <c r="AL27" s="671" t="s">
        <v>5326</v>
      </c>
      <c r="AM27" s="678" t="s">
        <v>5327</v>
      </c>
      <c r="AN27" s="674" t="s">
        <v>5328</v>
      </c>
      <c r="AO27" s="675" t="s">
        <v>5329</v>
      </c>
      <c r="AP27" s="671" t="s">
        <v>5330</v>
      </c>
      <c r="AQ27" t="str">
        <f t="shared" si="4"/>
        <v xml:space="preserve"> * La variable pueblos originarios no puede ser mayor al Total Ambos Sexos. * La variable Migrantes no puede ser mayor al Total Ambos Sexos.</v>
      </c>
      <c r="CB27" s="2465" t="str">
        <f t="shared" si="0"/>
        <v xml:space="preserve"> * La variable pueblos originarios no puede ser mayor al Total Ambos Sexos.</v>
      </c>
      <c r="CC27" s="2465" t="str">
        <f t="shared" si="1"/>
        <v xml:space="preserve"> * La variable Migrantes no puede ser mayor al Total Ambos Sexos.</v>
      </c>
      <c r="CE27" s="1725">
        <f t="shared" si="2"/>
        <v>1</v>
      </c>
      <c r="CF27" s="1725">
        <f t="shared" si="3"/>
        <v>1</v>
      </c>
    </row>
    <row r="28" spans="1:84" ht="15" customHeight="1" x14ac:dyDescent="0.3">
      <c r="A28" s="6234">
        <v>32101608</v>
      </c>
      <c r="B28" s="8581"/>
      <c r="C28" s="676" t="s">
        <v>593</v>
      </c>
      <c r="D28" s="668" t="s">
        <v>5292</v>
      </c>
      <c r="E28" s="677" t="s">
        <v>5293</v>
      </c>
      <c r="F28" s="668" t="s">
        <v>5294</v>
      </c>
      <c r="G28" s="678" t="s">
        <v>5295</v>
      </c>
      <c r="H28" s="671" t="s">
        <v>5296</v>
      </c>
      <c r="I28" s="678" t="s">
        <v>5297</v>
      </c>
      <c r="J28" s="671" t="s">
        <v>5298</v>
      </c>
      <c r="K28" s="678" t="s">
        <v>5299</v>
      </c>
      <c r="L28" s="671" t="s">
        <v>5300</v>
      </c>
      <c r="M28" s="678" t="s">
        <v>5301</v>
      </c>
      <c r="N28" s="671" t="s">
        <v>5302</v>
      </c>
      <c r="O28" s="673" t="s">
        <v>5303</v>
      </c>
      <c r="P28" s="671" t="s">
        <v>5304</v>
      </c>
      <c r="Q28" s="673" t="s">
        <v>5305</v>
      </c>
      <c r="R28" s="671" t="s">
        <v>5306</v>
      </c>
      <c r="S28" s="673" t="s">
        <v>5307</v>
      </c>
      <c r="T28" s="671" t="s">
        <v>5308</v>
      </c>
      <c r="U28" s="673" t="s">
        <v>5309</v>
      </c>
      <c r="V28" s="671" t="s">
        <v>5310</v>
      </c>
      <c r="W28" s="678" t="s">
        <v>5311</v>
      </c>
      <c r="X28" s="671" t="s">
        <v>5312</v>
      </c>
      <c r="Y28" s="678" t="s">
        <v>5313</v>
      </c>
      <c r="Z28" s="671" t="s">
        <v>5314</v>
      </c>
      <c r="AA28" s="678" t="s">
        <v>5315</v>
      </c>
      <c r="AB28" s="671" t="s">
        <v>5316</v>
      </c>
      <c r="AC28" s="678" t="s">
        <v>5317</v>
      </c>
      <c r="AD28" s="671" t="s">
        <v>5318</v>
      </c>
      <c r="AE28" s="678" t="s">
        <v>5319</v>
      </c>
      <c r="AF28" s="671" t="s">
        <v>5320</v>
      </c>
      <c r="AG28" s="678" t="s">
        <v>5321</v>
      </c>
      <c r="AH28" s="671" t="s">
        <v>5322</v>
      </c>
      <c r="AI28" s="678" t="s">
        <v>5323</v>
      </c>
      <c r="AJ28" s="671" t="s">
        <v>5324</v>
      </c>
      <c r="AK28" s="678" t="s">
        <v>5325</v>
      </c>
      <c r="AL28" s="671" t="s">
        <v>5326</v>
      </c>
      <c r="AM28" s="678" t="s">
        <v>5327</v>
      </c>
      <c r="AN28" s="674" t="s">
        <v>5328</v>
      </c>
      <c r="AO28" s="675" t="s">
        <v>5329</v>
      </c>
      <c r="AP28" s="671" t="s">
        <v>5330</v>
      </c>
      <c r="AQ28" t="str">
        <f t="shared" si="4"/>
        <v xml:space="preserve"> * La variable pueblos originarios no puede ser mayor al Total Ambos Sexos. * La variable Migrantes no puede ser mayor al Total Ambos Sexos.</v>
      </c>
      <c r="CB28" s="2465" t="str">
        <f t="shared" si="0"/>
        <v xml:space="preserve"> * La variable pueblos originarios no puede ser mayor al Total Ambos Sexos.</v>
      </c>
      <c r="CC28" s="2465" t="str">
        <f t="shared" si="1"/>
        <v xml:space="preserve"> * La variable Migrantes no puede ser mayor al Total Ambos Sexos.</v>
      </c>
      <c r="CE28" s="1725">
        <f t="shared" si="2"/>
        <v>1</v>
      </c>
      <c r="CF28" s="1725">
        <f t="shared" si="3"/>
        <v>1</v>
      </c>
    </row>
    <row r="29" spans="1:84" ht="19.5" customHeight="1" x14ac:dyDescent="0.3">
      <c r="A29" s="6234">
        <v>32101609</v>
      </c>
      <c r="B29" s="8581"/>
      <c r="C29" s="680" t="s">
        <v>594</v>
      </c>
      <c r="D29" s="668" t="s">
        <v>5292</v>
      </c>
      <c r="E29" s="677" t="s">
        <v>5293</v>
      </c>
      <c r="F29" s="668" t="s">
        <v>5294</v>
      </c>
      <c r="G29" s="678" t="s">
        <v>5295</v>
      </c>
      <c r="H29" s="671" t="s">
        <v>5296</v>
      </c>
      <c r="I29" s="678" t="s">
        <v>5297</v>
      </c>
      <c r="J29" s="671" t="s">
        <v>5298</v>
      </c>
      <c r="K29" s="678" t="s">
        <v>5299</v>
      </c>
      <c r="L29" s="671" t="s">
        <v>5300</v>
      </c>
      <c r="M29" s="678" t="s">
        <v>5301</v>
      </c>
      <c r="N29" s="671" t="s">
        <v>5302</v>
      </c>
      <c r="O29" s="673" t="s">
        <v>5303</v>
      </c>
      <c r="P29" s="671" t="s">
        <v>5304</v>
      </c>
      <c r="Q29" s="673" t="s">
        <v>5305</v>
      </c>
      <c r="R29" s="671" t="s">
        <v>5306</v>
      </c>
      <c r="S29" s="673" t="s">
        <v>5307</v>
      </c>
      <c r="T29" s="671" t="s">
        <v>5308</v>
      </c>
      <c r="U29" s="673" t="s">
        <v>5309</v>
      </c>
      <c r="V29" s="671" t="s">
        <v>5310</v>
      </c>
      <c r="W29" s="678" t="s">
        <v>5311</v>
      </c>
      <c r="X29" s="671" t="s">
        <v>5312</v>
      </c>
      <c r="Y29" s="678" t="s">
        <v>5313</v>
      </c>
      <c r="Z29" s="671" t="s">
        <v>5314</v>
      </c>
      <c r="AA29" s="678" t="s">
        <v>5315</v>
      </c>
      <c r="AB29" s="671" t="s">
        <v>5316</v>
      </c>
      <c r="AC29" s="678" t="s">
        <v>5317</v>
      </c>
      <c r="AD29" s="671" t="s">
        <v>5318</v>
      </c>
      <c r="AE29" s="678" t="s">
        <v>5319</v>
      </c>
      <c r="AF29" s="671" t="s">
        <v>5320</v>
      </c>
      <c r="AG29" s="678" t="s">
        <v>5321</v>
      </c>
      <c r="AH29" s="671" t="s">
        <v>5322</v>
      </c>
      <c r="AI29" s="678" t="s">
        <v>5323</v>
      </c>
      <c r="AJ29" s="671" t="s">
        <v>5324</v>
      </c>
      <c r="AK29" s="678" t="s">
        <v>5325</v>
      </c>
      <c r="AL29" s="671" t="s">
        <v>5326</v>
      </c>
      <c r="AM29" s="678" t="s">
        <v>5327</v>
      </c>
      <c r="AN29" s="674" t="s">
        <v>5328</v>
      </c>
      <c r="AO29" s="675" t="s">
        <v>5329</v>
      </c>
      <c r="AP29" s="671" t="s">
        <v>5330</v>
      </c>
      <c r="AQ29" t="str">
        <f t="shared" si="4"/>
        <v xml:space="preserve"> * La variable pueblos originarios no puede ser mayor al Total Ambos Sexos. * La variable Migrantes no puede ser mayor al Total Ambos Sexos.</v>
      </c>
      <c r="CB29" s="2465" t="str">
        <f t="shared" si="0"/>
        <v xml:space="preserve"> * La variable pueblos originarios no puede ser mayor al Total Ambos Sexos.</v>
      </c>
      <c r="CC29" s="2465" t="str">
        <f t="shared" si="1"/>
        <v xml:space="preserve"> * La variable Migrantes no puede ser mayor al Total Ambos Sexos.</v>
      </c>
      <c r="CE29" s="1725">
        <f t="shared" si="2"/>
        <v>1</v>
      </c>
      <c r="CF29" s="1725">
        <f t="shared" si="3"/>
        <v>1</v>
      </c>
    </row>
    <row r="30" spans="1:84" ht="15" customHeight="1" x14ac:dyDescent="0.3">
      <c r="A30" s="6234">
        <v>32101610</v>
      </c>
      <c r="B30" s="8581"/>
      <c r="C30" s="681" t="s">
        <v>595</v>
      </c>
      <c r="D30" s="668" t="s">
        <v>5292</v>
      </c>
      <c r="E30" s="677" t="s">
        <v>5293</v>
      </c>
      <c r="F30" s="668" t="s">
        <v>5294</v>
      </c>
      <c r="G30" s="678" t="s">
        <v>5295</v>
      </c>
      <c r="H30" s="671" t="s">
        <v>5296</v>
      </c>
      <c r="I30" s="678" t="s">
        <v>5297</v>
      </c>
      <c r="J30" s="671" t="s">
        <v>5298</v>
      </c>
      <c r="K30" s="678" t="s">
        <v>5299</v>
      </c>
      <c r="L30" s="671" t="s">
        <v>5300</v>
      </c>
      <c r="M30" s="678" t="s">
        <v>5301</v>
      </c>
      <c r="N30" s="671" t="s">
        <v>5302</v>
      </c>
      <c r="O30" s="673" t="s">
        <v>5303</v>
      </c>
      <c r="P30" s="671" t="s">
        <v>5304</v>
      </c>
      <c r="Q30" s="673" t="s">
        <v>5305</v>
      </c>
      <c r="R30" s="671" t="s">
        <v>5306</v>
      </c>
      <c r="S30" s="673" t="s">
        <v>5307</v>
      </c>
      <c r="T30" s="671" t="s">
        <v>5308</v>
      </c>
      <c r="U30" s="673" t="s">
        <v>5309</v>
      </c>
      <c r="V30" s="671" t="s">
        <v>5310</v>
      </c>
      <c r="W30" s="678" t="s">
        <v>5311</v>
      </c>
      <c r="X30" s="671" t="s">
        <v>5312</v>
      </c>
      <c r="Y30" s="678" t="s">
        <v>5313</v>
      </c>
      <c r="Z30" s="671" t="s">
        <v>5314</v>
      </c>
      <c r="AA30" s="678" t="s">
        <v>5315</v>
      </c>
      <c r="AB30" s="671" t="s">
        <v>5316</v>
      </c>
      <c r="AC30" s="678" t="s">
        <v>5317</v>
      </c>
      <c r="AD30" s="671" t="s">
        <v>5318</v>
      </c>
      <c r="AE30" s="678" t="s">
        <v>5319</v>
      </c>
      <c r="AF30" s="671" t="s">
        <v>5320</v>
      </c>
      <c r="AG30" s="678" t="s">
        <v>5321</v>
      </c>
      <c r="AH30" s="671" t="s">
        <v>5322</v>
      </c>
      <c r="AI30" s="678" t="s">
        <v>5323</v>
      </c>
      <c r="AJ30" s="671" t="s">
        <v>5324</v>
      </c>
      <c r="AK30" s="678" t="s">
        <v>5325</v>
      </c>
      <c r="AL30" s="671" t="s">
        <v>5326</v>
      </c>
      <c r="AM30" s="678" t="s">
        <v>5327</v>
      </c>
      <c r="AN30" s="674" t="s">
        <v>5328</v>
      </c>
      <c r="AO30" s="675" t="s">
        <v>5329</v>
      </c>
      <c r="AP30" s="671" t="s">
        <v>5330</v>
      </c>
      <c r="AQ30" t="str">
        <f t="shared" si="4"/>
        <v xml:space="preserve"> * La variable pueblos originarios no puede ser mayor al Total Ambos Sexos. * La variable Migrantes no puede ser mayor al Total Ambos Sexos.</v>
      </c>
      <c r="CB30" s="2465" t="str">
        <f t="shared" si="0"/>
        <v xml:space="preserve"> * La variable pueblos originarios no puede ser mayor al Total Ambos Sexos.</v>
      </c>
      <c r="CC30" s="2465" t="str">
        <f t="shared" si="1"/>
        <v xml:space="preserve"> * La variable Migrantes no puede ser mayor al Total Ambos Sexos.</v>
      </c>
      <c r="CE30" s="1725">
        <f t="shared" si="2"/>
        <v>1</v>
      </c>
      <c r="CF30" s="1725">
        <f t="shared" si="3"/>
        <v>1</v>
      </c>
    </row>
    <row r="31" spans="1:84" ht="15" customHeight="1" x14ac:dyDescent="0.3">
      <c r="A31" s="6234">
        <v>32101611</v>
      </c>
      <c r="B31" s="8581"/>
      <c r="C31" s="676" t="s">
        <v>596</v>
      </c>
      <c r="D31" s="668" t="s">
        <v>5292</v>
      </c>
      <c r="E31" s="677" t="s">
        <v>5293</v>
      </c>
      <c r="F31" s="668" t="s">
        <v>5294</v>
      </c>
      <c r="G31" s="678" t="s">
        <v>5295</v>
      </c>
      <c r="H31" s="671" t="s">
        <v>5296</v>
      </c>
      <c r="I31" s="678" t="s">
        <v>5297</v>
      </c>
      <c r="J31" s="671" t="s">
        <v>5298</v>
      </c>
      <c r="K31" s="678" t="s">
        <v>5299</v>
      </c>
      <c r="L31" s="671" t="s">
        <v>5300</v>
      </c>
      <c r="M31" s="678" t="s">
        <v>5301</v>
      </c>
      <c r="N31" s="671" t="s">
        <v>5302</v>
      </c>
      <c r="O31" s="673" t="s">
        <v>5303</v>
      </c>
      <c r="P31" s="671" t="s">
        <v>5304</v>
      </c>
      <c r="Q31" s="673" t="s">
        <v>5305</v>
      </c>
      <c r="R31" s="671" t="s">
        <v>5306</v>
      </c>
      <c r="S31" s="673" t="s">
        <v>5307</v>
      </c>
      <c r="T31" s="671" t="s">
        <v>5308</v>
      </c>
      <c r="U31" s="673" t="s">
        <v>5309</v>
      </c>
      <c r="V31" s="671" t="s">
        <v>5310</v>
      </c>
      <c r="W31" s="678" t="s">
        <v>5311</v>
      </c>
      <c r="X31" s="671" t="s">
        <v>5312</v>
      </c>
      <c r="Y31" s="678" t="s">
        <v>5313</v>
      </c>
      <c r="Z31" s="671" t="s">
        <v>5314</v>
      </c>
      <c r="AA31" s="678" t="s">
        <v>5315</v>
      </c>
      <c r="AB31" s="671" t="s">
        <v>5316</v>
      </c>
      <c r="AC31" s="678" t="s">
        <v>5317</v>
      </c>
      <c r="AD31" s="671" t="s">
        <v>5318</v>
      </c>
      <c r="AE31" s="678" t="s">
        <v>5319</v>
      </c>
      <c r="AF31" s="671" t="s">
        <v>5320</v>
      </c>
      <c r="AG31" s="678" t="s">
        <v>5321</v>
      </c>
      <c r="AH31" s="671" t="s">
        <v>5322</v>
      </c>
      <c r="AI31" s="678" t="s">
        <v>5323</v>
      </c>
      <c r="AJ31" s="671" t="s">
        <v>5324</v>
      </c>
      <c r="AK31" s="678" t="s">
        <v>5325</v>
      </c>
      <c r="AL31" s="671" t="s">
        <v>5326</v>
      </c>
      <c r="AM31" s="678" t="s">
        <v>5327</v>
      </c>
      <c r="AN31" s="674" t="s">
        <v>5328</v>
      </c>
      <c r="AO31" s="675" t="s">
        <v>5329</v>
      </c>
      <c r="AP31" s="671" t="s">
        <v>5330</v>
      </c>
      <c r="AQ31" t="str">
        <f t="shared" si="4"/>
        <v xml:space="preserve"> * La variable pueblos originarios no puede ser mayor al Total Ambos Sexos. * La variable Migrantes no puede ser mayor al Total Ambos Sexos.</v>
      </c>
      <c r="CB31" s="2465" t="str">
        <f t="shared" si="0"/>
        <v xml:space="preserve"> * La variable pueblos originarios no puede ser mayor al Total Ambos Sexos.</v>
      </c>
      <c r="CC31" s="2465" t="str">
        <f t="shared" si="1"/>
        <v xml:space="preserve"> * La variable Migrantes no puede ser mayor al Total Ambos Sexos.</v>
      </c>
      <c r="CE31" s="1725">
        <f t="shared" si="2"/>
        <v>1</v>
      </c>
      <c r="CF31" s="1725">
        <f t="shared" si="3"/>
        <v>1</v>
      </c>
    </row>
    <row r="32" spans="1:84" ht="15" customHeight="1" x14ac:dyDescent="0.3">
      <c r="A32" s="6234">
        <v>32101612</v>
      </c>
      <c r="B32" s="8581"/>
      <c r="C32" s="676" t="s">
        <v>597</v>
      </c>
      <c r="D32" s="668" t="s">
        <v>5292</v>
      </c>
      <c r="E32" s="677" t="s">
        <v>5293</v>
      </c>
      <c r="F32" s="668" t="s">
        <v>5294</v>
      </c>
      <c r="G32" s="678" t="s">
        <v>5295</v>
      </c>
      <c r="H32" s="671" t="s">
        <v>5296</v>
      </c>
      <c r="I32" s="678" t="s">
        <v>5297</v>
      </c>
      <c r="J32" s="671" t="s">
        <v>5298</v>
      </c>
      <c r="K32" s="678" t="s">
        <v>5299</v>
      </c>
      <c r="L32" s="671" t="s">
        <v>5300</v>
      </c>
      <c r="M32" s="678" t="s">
        <v>5301</v>
      </c>
      <c r="N32" s="671" t="s">
        <v>5302</v>
      </c>
      <c r="O32" s="673" t="s">
        <v>5303</v>
      </c>
      <c r="P32" s="671" t="s">
        <v>5304</v>
      </c>
      <c r="Q32" s="673" t="s">
        <v>5305</v>
      </c>
      <c r="R32" s="671" t="s">
        <v>5306</v>
      </c>
      <c r="S32" s="673" t="s">
        <v>5307</v>
      </c>
      <c r="T32" s="671" t="s">
        <v>5308</v>
      </c>
      <c r="U32" s="673" t="s">
        <v>5309</v>
      </c>
      <c r="V32" s="671" t="s">
        <v>5310</v>
      </c>
      <c r="W32" s="678" t="s">
        <v>5311</v>
      </c>
      <c r="X32" s="671" t="s">
        <v>5312</v>
      </c>
      <c r="Y32" s="678" t="s">
        <v>5313</v>
      </c>
      <c r="Z32" s="671" t="s">
        <v>5314</v>
      </c>
      <c r="AA32" s="678" t="s">
        <v>5315</v>
      </c>
      <c r="AB32" s="671" t="s">
        <v>5316</v>
      </c>
      <c r="AC32" s="678" t="s">
        <v>5317</v>
      </c>
      <c r="AD32" s="671" t="s">
        <v>5318</v>
      </c>
      <c r="AE32" s="678" t="s">
        <v>5319</v>
      </c>
      <c r="AF32" s="671" t="s">
        <v>5320</v>
      </c>
      <c r="AG32" s="678" t="s">
        <v>5321</v>
      </c>
      <c r="AH32" s="671" t="s">
        <v>5322</v>
      </c>
      <c r="AI32" s="678" t="s">
        <v>5323</v>
      </c>
      <c r="AJ32" s="671" t="s">
        <v>5324</v>
      </c>
      <c r="AK32" s="678" t="s">
        <v>5325</v>
      </c>
      <c r="AL32" s="671" t="s">
        <v>5326</v>
      </c>
      <c r="AM32" s="678" t="s">
        <v>5327</v>
      </c>
      <c r="AN32" s="674" t="s">
        <v>5328</v>
      </c>
      <c r="AO32" s="675" t="s">
        <v>5329</v>
      </c>
      <c r="AP32" s="671" t="s">
        <v>5330</v>
      </c>
      <c r="AQ32" t="str">
        <f t="shared" si="4"/>
        <v xml:space="preserve"> * La variable pueblos originarios no puede ser mayor al Total Ambos Sexos. * La variable Migrantes no puede ser mayor al Total Ambos Sexos.</v>
      </c>
      <c r="CB32" s="2465" t="str">
        <f t="shared" si="0"/>
        <v xml:space="preserve"> * La variable pueblos originarios no puede ser mayor al Total Ambos Sexos.</v>
      </c>
      <c r="CC32" s="2465" t="str">
        <f t="shared" si="1"/>
        <v xml:space="preserve"> * La variable Migrantes no puede ser mayor al Total Ambos Sexos.</v>
      </c>
      <c r="CE32" s="1725">
        <f t="shared" si="2"/>
        <v>1</v>
      </c>
      <c r="CF32" s="1725">
        <f t="shared" si="3"/>
        <v>1</v>
      </c>
    </row>
    <row r="33" spans="1:84" ht="15" customHeight="1" x14ac:dyDescent="0.3">
      <c r="A33" s="6234">
        <v>32101613</v>
      </c>
      <c r="B33" s="8581"/>
      <c r="C33" s="679" t="s">
        <v>598</v>
      </c>
      <c r="D33" s="668" t="s">
        <v>5292</v>
      </c>
      <c r="E33" s="677" t="s">
        <v>5293</v>
      </c>
      <c r="F33" s="668" t="s">
        <v>5294</v>
      </c>
      <c r="G33" s="678" t="s">
        <v>5295</v>
      </c>
      <c r="H33" s="671" t="s">
        <v>5296</v>
      </c>
      <c r="I33" s="678" t="s">
        <v>5297</v>
      </c>
      <c r="J33" s="671" t="s">
        <v>5298</v>
      </c>
      <c r="K33" s="678" t="s">
        <v>5299</v>
      </c>
      <c r="L33" s="671" t="s">
        <v>5300</v>
      </c>
      <c r="M33" s="678" t="s">
        <v>5301</v>
      </c>
      <c r="N33" s="671" t="s">
        <v>5302</v>
      </c>
      <c r="O33" s="673" t="s">
        <v>5303</v>
      </c>
      <c r="P33" s="671" t="s">
        <v>5304</v>
      </c>
      <c r="Q33" s="673" t="s">
        <v>5305</v>
      </c>
      <c r="R33" s="671" t="s">
        <v>5306</v>
      </c>
      <c r="S33" s="673" t="s">
        <v>5307</v>
      </c>
      <c r="T33" s="671" t="s">
        <v>5308</v>
      </c>
      <c r="U33" s="673" t="s">
        <v>5309</v>
      </c>
      <c r="V33" s="671" t="s">
        <v>5310</v>
      </c>
      <c r="W33" s="678" t="s">
        <v>5311</v>
      </c>
      <c r="X33" s="671" t="s">
        <v>5312</v>
      </c>
      <c r="Y33" s="678" t="s">
        <v>5313</v>
      </c>
      <c r="Z33" s="671" t="s">
        <v>5314</v>
      </c>
      <c r="AA33" s="678" t="s">
        <v>5315</v>
      </c>
      <c r="AB33" s="671" t="s">
        <v>5316</v>
      </c>
      <c r="AC33" s="678" t="s">
        <v>5317</v>
      </c>
      <c r="AD33" s="671" t="s">
        <v>5318</v>
      </c>
      <c r="AE33" s="678" t="s">
        <v>5319</v>
      </c>
      <c r="AF33" s="671" t="s">
        <v>5320</v>
      </c>
      <c r="AG33" s="678" t="s">
        <v>5321</v>
      </c>
      <c r="AH33" s="671" t="s">
        <v>5322</v>
      </c>
      <c r="AI33" s="678" t="s">
        <v>5323</v>
      </c>
      <c r="AJ33" s="671" t="s">
        <v>5324</v>
      </c>
      <c r="AK33" s="678" t="s">
        <v>5325</v>
      </c>
      <c r="AL33" s="671" t="s">
        <v>5326</v>
      </c>
      <c r="AM33" s="678" t="s">
        <v>5327</v>
      </c>
      <c r="AN33" s="674" t="s">
        <v>5328</v>
      </c>
      <c r="AO33" s="675" t="s">
        <v>5329</v>
      </c>
      <c r="AP33" s="671" t="s">
        <v>5330</v>
      </c>
      <c r="AQ33" t="str">
        <f t="shared" si="4"/>
        <v xml:space="preserve"> * La variable pueblos originarios no puede ser mayor al Total Ambos Sexos. * La variable Migrantes no puede ser mayor al Total Ambos Sexos.</v>
      </c>
      <c r="CB33" s="2465" t="str">
        <f t="shared" si="0"/>
        <v xml:space="preserve"> * La variable pueblos originarios no puede ser mayor al Total Ambos Sexos.</v>
      </c>
      <c r="CC33" s="2465" t="str">
        <f t="shared" si="1"/>
        <v xml:space="preserve"> * La variable Migrantes no puede ser mayor al Total Ambos Sexos.</v>
      </c>
      <c r="CE33" s="1725">
        <f t="shared" si="2"/>
        <v>1</v>
      </c>
      <c r="CF33" s="1725">
        <f t="shared" si="3"/>
        <v>1</v>
      </c>
    </row>
    <row r="34" spans="1:84" ht="15" customHeight="1" x14ac:dyDescent="0.3">
      <c r="A34" s="6234">
        <v>32101614</v>
      </c>
      <c r="B34" s="8581"/>
      <c r="C34" s="679" t="s">
        <v>599</v>
      </c>
      <c r="D34" s="668" t="s">
        <v>5292</v>
      </c>
      <c r="E34" s="677" t="s">
        <v>5293</v>
      </c>
      <c r="F34" s="668" t="s">
        <v>5294</v>
      </c>
      <c r="G34" s="678" t="s">
        <v>5295</v>
      </c>
      <c r="H34" s="671" t="s">
        <v>5296</v>
      </c>
      <c r="I34" s="678" t="s">
        <v>5297</v>
      </c>
      <c r="J34" s="671" t="s">
        <v>5298</v>
      </c>
      <c r="K34" s="678" t="s">
        <v>5299</v>
      </c>
      <c r="L34" s="671" t="s">
        <v>5300</v>
      </c>
      <c r="M34" s="678" t="s">
        <v>5301</v>
      </c>
      <c r="N34" s="671" t="s">
        <v>5302</v>
      </c>
      <c r="O34" s="673" t="s">
        <v>5303</v>
      </c>
      <c r="P34" s="671" t="s">
        <v>5304</v>
      </c>
      <c r="Q34" s="673" t="s">
        <v>5305</v>
      </c>
      <c r="R34" s="671" t="s">
        <v>5306</v>
      </c>
      <c r="S34" s="673" t="s">
        <v>5307</v>
      </c>
      <c r="T34" s="671" t="s">
        <v>5308</v>
      </c>
      <c r="U34" s="673" t="s">
        <v>5309</v>
      </c>
      <c r="V34" s="671" t="s">
        <v>5310</v>
      </c>
      <c r="W34" s="678" t="s">
        <v>5311</v>
      </c>
      <c r="X34" s="671" t="s">
        <v>5312</v>
      </c>
      <c r="Y34" s="678" t="s">
        <v>5313</v>
      </c>
      <c r="Z34" s="671" t="s">
        <v>5314</v>
      </c>
      <c r="AA34" s="678" t="s">
        <v>5315</v>
      </c>
      <c r="AB34" s="671" t="s">
        <v>5316</v>
      </c>
      <c r="AC34" s="678" t="s">
        <v>5317</v>
      </c>
      <c r="AD34" s="671" t="s">
        <v>5318</v>
      </c>
      <c r="AE34" s="678" t="s">
        <v>5319</v>
      </c>
      <c r="AF34" s="671" t="s">
        <v>5320</v>
      </c>
      <c r="AG34" s="678" t="s">
        <v>5321</v>
      </c>
      <c r="AH34" s="671" t="s">
        <v>5322</v>
      </c>
      <c r="AI34" s="678" t="s">
        <v>5323</v>
      </c>
      <c r="AJ34" s="671" t="s">
        <v>5324</v>
      </c>
      <c r="AK34" s="678" t="s">
        <v>5325</v>
      </c>
      <c r="AL34" s="671" t="s">
        <v>5326</v>
      </c>
      <c r="AM34" s="678" t="s">
        <v>5327</v>
      </c>
      <c r="AN34" s="674" t="s">
        <v>5328</v>
      </c>
      <c r="AO34" s="675" t="s">
        <v>5329</v>
      </c>
      <c r="AP34" s="671" t="s">
        <v>5330</v>
      </c>
      <c r="AQ34" t="str">
        <f t="shared" si="4"/>
        <v xml:space="preserve"> * La variable pueblos originarios no puede ser mayor al Total Ambos Sexos. * La variable Migrantes no puede ser mayor al Total Ambos Sexos.</v>
      </c>
      <c r="CB34" s="2465" t="str">
        <f t="shared" si="0"/>
        <v xml:space="preserve"> * La variable pueblos originarios no puede ser mayor al Total Ambos Sexos.</v>
      </c>
      <c r="CC34" s="2465" t="str">
        <f t="shared" si="1"/>
        <v xml:space="preserve"> * La variable Migrantes no puede ser mayor al Total Ambos Sexos.</v>
      </c>
      <c r="CE34" s="1725">
        <f t="shared" si="2"/>
        <v>1</v>
      </c>
      <c r="CF34" s="1725">
        <f t="shared" si="3"/>
        <v>1</v>
      </c>
    </row>
    <row r="35" spans="1:84" ht="15" customHeight="1" x14ac:dyDescent="0.3">
      <c r="A35" s="6234">
        <v>32101615</v>
      </c>
      <c r="B35" s="8582"/>
      <c r="C35" s="682" t="s">
        <v>44</v>
      </c>
      <c r="D35" s="683" t="s">
        <v>5292</v>
      </c>
      <c r="E35" s="684" t="s">
        <v>5293</v>
      </c>
      <c r="F35" s="683" t="s">
        <v>5294</v>
      </c>
      <c r="G35" s="685" t="s">
        <v>5295</v>
      </c>
      <c r="H35" s="686" t="s">
        <v>5296</v>
      </c>
      <c r="I35" s="685" t="s">
        <v>5297</v>
      </c>
      <c r="J35" s="686" t="s">
        <v>5298</v>
      </c>
      <c r="K35" s="685" t="s">
        <v>5299</v>
      </c>
      <c r="L35" s="686" t="s">
        <v>5300</v>
      </c>
      <c r="M35" s="685" t="s">
        <v>5301</v>
      </c>
      <c r="N35" s="686" t="s">
        <v>5302</v>
      </c>
      <c r="O35" s="687" t="s">
        <v>5303</v>
      </c>
      <c r="P35" s="686" t="s">
        <v>5304</v>
      </c>
      <c r="Q35" s="687" t="s">
        <v>5305</v>
      </c>
      <c r="R35" s="686" t="s">
        <v>5306</v>
      </c>
      <c r="S35" s="687" t="s">
        <v>5307</v>
      </c>
      <c r="T35" s="686" t="s">
        <v>5308</v>
      </c>
      <c r="U35" s="687" t="s">
        <v>5309</v>
      </c>
      <c r="V35" s="686" t="s">
        <v>5310</v>
      </c>
      <c r="W35" s="685" t="s">
        <v>5311</v>
      </c>
      <c r="X35" s="686" t="s">
        <v>5312</v>
      </c>
      <c r="Y35" s="685" t="s">
        <v>5313</v>
      </c>
      <c r="Z35" s="686" t="s">
        <v>5314</v>
      </c>
      <c r="AA35" s="685" t="s">
        <v>5315</v>
      </c>
      <c r="AB35" s="686" t="s">
        <v>5316</v>
      </c>
      <c r="AC35" s="685" t="s">
        <v>5317</v>
      </c>
      <c r="AD35" s="686" t="s">
        <v>5318</v>
      </c>
      <c r="AE35" s="685" t="s">
        <v>5319</v>
      </c>
      <c r="AF35" s="686" t="s">
        <v>5320</v>
      </c>
      <c r="AG35" s="685" t="s">
        <v>5321</v>
      </c>
      <c r="AH35" s="686" t="s">
        <v>5322</v>
      </c>
      <c r="AI35" s="685" t="s">
        <v>5323</v>
      </c>
      <c r="AJ35" s="686" t="s">
        <v>5324</v>
      </c>
      <c r="AK35" s="685" t="s">
        <v>5325</v>
      </c>
      <c r="AL35" s="686" t="s">
        <v>5326</v>
      </c>
      <c r="AM35" s="685" t="s">
        <v>5327</v>
      </c>
      <c r="AN35" s="688" t="s">
        <v>5328</v>
      </c>
      <c r="AO35" s="689" t="s">
        <v>5329</v>
      </c>
      <c r="AP35" s="686" t="s">
        <v>5330</v>
      </c>
      <c r="AQ35" t="str">
        <f t="shared" si="4"/>
        <v xml:space="preserve"> * La variable pueblos originarios no puede ser mayor al Total Ambos Sexos. * La variable Migrantes no puede ser mayor al Total Ambos Sexos.</v>
      </c>
      <c r="CB35" s="2465" t="str">
        <f t="shared" si="0"/>
        <v xml:space="preserve"> * La variable pueblos originarios no puede ser mayor al Total Ambos Sexos.</v>
      </c>
      <c r="CC35" s="2465" t="str">
        <f t="shared" si="1"/>
        <v xml:space="preserve"> * La variable Migrantes no puede ser mayor al Total Ambos Sexos.</v>
      </c>
      <c r="CE35" s="1725">
        <f t="shared" si="2"/>
        <v>1</v>
      </c>
      <c r="CF35" s="1725">
        <f t="shared" si="3"/>
        <v>1</v>
      </c>
    </row>
    <row r="36" spans="1:84" x14ac:dyDescent="0.3">
      <c r="A36" s="6234">
        <v>32101616</v>
      </c>
      <c r="B36" s="8583" t="s">
        <v>31</v>
      </c>
      <c r="C36" s="676" t="s">
        <v>600</v>
      </c>
      <c r="D36" s="690" t="s">
        <v>5292</v>
      </c>
      <c r="E36" s="691" t="s">
        <v>5293</v>
      </c>
      <c r="F36" s="690" t="s">
        <v>5294</v>
      </c>
      <c r="G36" s="692" t="s">
        <v>5295</v>
      </c>
      <c r="H36" s="693" t="s">
        <v>5296</v>
      </c>
      <c r="I36" s="692" t="s">
        <v>5297</v>
      </c>
      <c r="J36" s="693" t="s">
        <v>5298</v>
      </c>
      <c r="K36" s="692" t="s">
        <v>5299</v>
      </c>
      <c r="L36" s="693" t="s">
        <v>5300</v>
      </c>
      <c r="M36" s="692" t="s">
        <v>5301</v>
      </c>
      <c r="N36" s="693" t="s">
        <v>5302</v>
      </c>
      <c r="O36" s="694" t="s">
        <v>5303</v>
      </c>
      <c r="P36" s="693" t="s">
        <v>5304</v>
      </c>
      <c r="Q36" s="694" t="s">
        <v>5305</v>
      </c>
      <c r="R36" s="693" t="s">
        <v>5306</v>
      </c>
      <c r="S36" s="694" t="s">
        <v>5307</v>
      </c>
      <c r="T36" s="693" t="s">
        <v>5308</v>
      </c>
      <c r="U36" s="694" t="s">
        <v>5309</v>
      </c>
      <c r="V36" s="693" t="s">
        <v>5310</v>
      </c>
      <c r="W36" s="692" t="s">
        <v>5311</v>
      </c>
      <c r="X36" s="693" t="s">
        <v>5312</v>
      </c>
      <c r="Y36" s="692" t="s">
        <v>5313</v>
      </c>
      <c r="Z36" s="693" t="s">
        <v>5314</v>
      </c>
      <c r="AA36" s="692" t="s">
        <v>5315</v>
      </c>
      <c r="AB36" s="693" t="s">
        <v>5316</v>
      </c>
      <c r="AC36" s="692" t="s">
        <v>5317</v>
      </c>
      <c r="AD36" s="693" t="s">
        <v>5318</v>
      </c>
      <c r="AE36" s="692" t="s">
        <v>5319</v>
      </c>
      <c r="AF36" s="693" t="s">
        <v>5320</v>
      </c>
      <c r="AG36" s="692" t="s">
        <v>5321</v>
      </c>
      <c r="AH36" s="693" t="s">
        <v>5322</v>
      </c>
      <c r="AI36" s="692" t="s">
        <v>5323</v>
      </c>
      <c r="AJ36" s="693" t="s">
        <v>5324</v>
      </c>
      <c r="AK36" s="692" t="s">
        <v>5325</v>
      </c>
      <c r="AL36" s="693" t="s">
        <v>5326</v>
      </c>
      <c r="AM36" s="692" t="s">
        <v>5327</v>
      </c>
      <c r="AN36" s="695" t="s">
        <v>5328</v>
      </c>
      <c r="AO36" s="675" t="s">
        <v>5329</v>
      </c>
      <c r="AP36" s="671" t="s">
        <v>5330</v>
      </c>
      <c r="AQ36" t="str">
        <f t="shared" si="4"/>
        <v xml:space="preserve"> * La variable pueblos originarios no puede ser mayor al Total Ambos Sexos. * La variable Migrantes no puede ser mayor al Total Ambos Sexos.</v>
      </c>
      <c r="CB36" s="2465" t="str">
        <f t="shared" si="0"/>
        <v xml:space="preserve"> * La variable pueblos originarios no puede ser mayor al Total Ambos Sexos.</v>
      </c>
      <c r="CC36" s="2465" t="str">
        <f t="shared" si="1"/>
        <v xml:space="preserve"> * La variable Migrantes no puede ser mayor al Total Ambos Sexos.</v>
      </c>
      <c r="CE36" s="1725">
        <f t="shared" si="2"/>
        <v>1</v>
      </c>
      <c r="CF36" s="1725">
        <f t="shared" si="3"/>
        <v>1</v>
      </c>
    </row>
    <row r="37" spans="1:84" x14ac:dyDescent="0.3">
      <c r="A37" s="6234">
        <v>32101617</v>
      </c>
      <c r="B37" s="8581"/>
      <c r="C37" s="679" t="s">
        <v>601</v>
      </c>
      <c r="D37" s="668" t="s">
        <v>5292</v>
      </c>
      <c r="E37" s="677" t="s">
        <v>5293</v>
      </c>
      <c r="F37" s="668" t="s">
        <v>5294</v>
      </c>
      <c r="G37" s="678" t="s">
        <v>5295</v>
      </c>
      <c r="H37" s="671" t="s">
        <v>5296</v>
      </c>
      <c r="I37" s="678" t="s">
        <v>5297</v>
      </c>
      <c r="J37" s="671" t="s">
        <v>5298</v>
      </c>
      <c r="K37" s="678" t="s">
        <v>5299</v>
      </c>
      <c r="L37" s="671" t="s">
        <v>5300</v>
      </c>
      <c r="M37" s="678" t="s">
        <v>5301</v>
      </c>
      <c r="N37" s="671" t="s">
        <v>5302</v>
      </c>
      <c r="O37" s="673" t="s">
        <v>5303</v>
      </c>
      <c r="P37" s="671" t="s">
        <v>5304</v>
      </c>
      <c r="Q37" s="673" t="s">
        <v>5305</v>
      </c>
      <c r="R37" s="671" t="s">
        <v>5306</v>
      </c>
      <c r="S37" s="673" t="s">
        <v>5307</v>
      </c>
      <c r="T37" s="671" t="s">
        <v>5308</v>
      </c>
      <c r="U37" s="673" t="s">
        <v>5309</v>
      </c>
      <c r="V37" s="671" t="s">
        <v>5310</v>
      </c>
      <c r="W37" s="678" t="s">
        <v>5311</v>
      </c>
      <c r="X37" s="671" t="s">
        <v>5312</v>
      </c>
      <c r="Y37" s="678" t="s">
        <v>5313</v>
      </c>
      <c r="Z37" s="671" t="s">
        <v>5314</v>
      </c>
      <c r="AA37" s="678" t="s">
        <v>5315</v>
      </c>
      <c r="AB37" s="671" t="s">
        <v>5316</v>
      </c>
      <c r="AC37" s="678" t="s">
        <v>5317</v>
      </c>
      <c r="AD37" s="671" t="s">
        <v>5318</v>
      </c>
      <c r="AE37" s="678" t="s">
        <v>5319</v>
      </c>
      <c r="AF37" s="671" t="s">
        <v>5320</v>
      </c>
      <c r="AG37" s="678" t="s">
        <v>5321</v>
      </c>
      <c r="AH37" s="671" t="s">
        <v>5322</v>
      </c>
      <c r="AI37" s="678" t="s">
        <v>5323</v>
      </c>
      <c r="AJ37" s="671" t="s">
        <v>5324</v>
      </c>
      <c r="AK37" s="678" t="s">
        <v>5325</v>
      </c>
      <c r="AL37" s="671" t="s">
        <v>5326</v>
      </c>
      <c r="AM37" s="678" t="s">
        <v>5327</v>
      </c>
      <c r="AN37" s="674" t="s">
        <v>5328</v>
      </c>
      <c r="AO37" s="675" t="s">
        <v>5329</v>
      </c>
      <c r="AP37" s="671" t="s">
        <v>5330</v>
      </c>
      <c r="AQ37" t="str">
        <f t="shared" si="4"/>
        <v xml:space="preserve"> * La variable pueblos originarios no puede ser mayor al Total Ambos Sexos. * La variable Migrantes no puede ser mayor al Total Ambos Sexos.</v>
      </c>
      <c r="CB37" s="2465" t="str">
        <f t="shared" si="0"/>
        <v xml:space="preserve"> * La variable pueblos originarios no puede ser mayor al Total Ambos Sexos.</v>
      </c>
      <c r="CC37" s="2465" t="str">
        <f t="shared" si="1"/>
        <v xml:space="preserve"> * La variable Migrantes no puede ser mayor al Total Ambos Sexos.</v>
      </c>
      <c r="CE37" s="1725">
        <f t="shared" si="2"/>
        <v>1</v>
      </c>
      <c r="CF37" s="1725">
        <f t="shared" si="3"/>
        <v>1</v>
      </c>
    </row>
    <row r="38" spans="1:84" x14ac:dyDescent="0.3">
      <c r="A38" s="6234">
        <v>32101618</v>
      </c>
      <c r="B38" s="8581"/>
      <c r="C38" s="676" t="s">
        <v>602</v>
      </c>
      <c r="D38" s="668" t="s">
        <v>5292</v>
      </c>
      <c r="E38" s="677" t="s">
        <v>5293</v>
      </c>
      <c r="F38" s="668" t="s">
        <v>5294</v>
      </c>
      <c r="G38" s="678" t="s">
        <v>5295</v>
      </c>
      <c r="H38" s="671" t="s">
        <v>5296</v>
      </c>
      <c r="I38" s="678" t="s">
        <v>5297</v>
      </c>
      <c r="J38" s="671" t="s">
        <v>5298</v>
      </c>
      <c r="K38" s="678" t="s">
        <v>5299</v>
      </c>
      <c r="L38" s="671" t="s">
        <v>5300</v>
      </c>
      <c r="M38" s="678" t="s">
        <v>5301</v>
      </c>
      <c r="N38" s="671" t="s">
        <v>5302</v>
      </c>
      <c r="O38" s="673" t="s">
        <v>5303</v>
      </c>
      <c r="P38" s="671" t="s">
        <v>5304</v>
      </c>
      <c r="Q38" s="673" t="s">
        <v>5305</v>
      </c>
      <c r="R38" s="671" t="s">
        <v>5306</v>
      </c>
      <c r="S38" s="673" t="s">
        <v>5307</v>
      </c>
      <c r="T38" s="671" t="s">
        <v>5308</v>
      </c>
      <c r="U38" s="673" t="s">
        <v>5309</v>
      </c>
      <c r="V38" s="671" t="s">
        <v>5310</v>
      </c>
      <c r="W38" s="678" t="s">
        <v>5311</v>
      </c>
      <c r="X38" s="671" t="s">
        <v>5312</v>
      </c>
      <c r="Y38" s="678" t="s">
        <v>5313</v>
      </c>
      <c r="Z38" s="671" t="s">
        <v>5314</v>
      </c>
      <c r="AA38" s="678" t="s">
        <v>5315</v>
      </c>
      <c r="AB38" s="671" t="s">
        <v>5316</v>
      </c>
      <c r="AC38" s="678" t="s">
        <v>5317</v>
      </c>
      <c r="AD38" s="671" t="s">
        <v>5318</v>
      </c>
      <c r="AE38" s="678" t="s">
        <v>5319</v>
      </c>
      <c r="AF38" s="671" t="s">
        <v>5320</v>
      </c>
      <c r="AG38" s="678" t="s">
        <v>5321</v>
      </c>
      <c r="AH38" s="671" t="s">
        <v>5322</v>
      </c>
      <c r="AI38" s="678" t="s">
        <v>5323</v>
      </c>
      <c r="AJ38" s="671" t="s">
        <v>5324</v>
      </c>
      <c r="AK38" s="678" t="s">
        <v>5325</v>
      </c>
      <c r="AL38" s="671" t="s">
        <v>5326</v>
      </c>
      <c r="AM38" s="678" t="s">
        <v>5327</v>
      </c>
      <c r="AN38" s="674" t="s">
        <v>5328</v>
      </c>
      <c r="AO38" s="675" t="s">
        <v>5329</v>
      </c>
      <c r="AP38" s="671" t="s">
        <v>5330</v>
      </c>
      <c r="AQ38" t="str">
        <f t="shared" si="4"/>
        <v xml:space="preserve"> * La variable pueblos originarios no puede ser mayor al Total Ambos Sexos. * La variable Migrantes no puede ser mayor al Total Ambos Sexos.</v>
      </c>
      <c r="CB38" s="2465" t="str">
        <f t="shared" si="0"/>
        <v xml:space="preserve"> * La variable pueblos originarios no puede ser mayor al Total Ambos Sexos.</v>
      </c>
      <c r="CC38" s="2465" t="str">
        <f t="shared" si="1"/>
        <v xml:space="preserve"> * La variable Migrantes no puede ser mayor al Total Ambos Sexos.</v>
      </c>
      <c r="CE38" s="1725">
        <f t="shared" si="2"/>
        <v>1</v>
      </c>
      <c r="CF38" s="1725">
        <f t="shared" si="3"/>
        <v>1</v>
      </c>
    </row>
    <row r="39" spans="1:84" x14ac:dyDescent="0.3">
      <c r="A39" s="6234">
        <v>32101619</v>
      </c>
      <c r="B39" s="8582"/>
      <c r="C39" s="696" t="s">
        <v>603</v>
      </c>
      <c r="D39" s="683" t="s">
        <v>5292</v>
      </c>
      <c r="E39" s="684" t="s">
        <v>5293</v>
      </c>
      <c r="F39" s="683" t="s">
        <v>5294</v>
      </c>
      <c r="G39" s="685" t="s">
        <v>5295</v>
      </c>
      <c r="H39" s="686" t="s">
        <v>5296</v>
      </c>
      <c r="I39" s="685" t="s">
        <v>5297</v>
      </c>
      <c r="J39" s="686" t="s">
        <v>5298</v>
      </c>
      <c r="K39" s="685" t="s">
        <v>5299</v>
      </c>
      <c r="L39" s="686" t="s">
        <v>5300</v>
      </c>
      <c r="M39" s="685" t="s">
        <v>5301</v>
      </c>
      <c r="N39" s="686" t="s">
        <v>5302</v>
      </c>
      <c r="O39" s="687" t="s">
        <v>5303</v>
      </c>
      <c r="P39" s="686" t="s">
        <v>5304</v>
      </c>
      <c r="Q39" s="687" t="s">
        <v>5305</v>
      </c>
      <c r="R39" s="686" t="s">
        <v>5306</v>
      </c>
      <c r="S39" s="687" t="s">
        <v>5307</v>
      </c>
      <c r="T39" s="686" t="s">
        <v>5308</v>
      </c>
      <c r="U39" s="685" t="s">
        <v>5309</v>
      </c>
      <c r="V39" s="686" t="s">
        <v>5310</v>
      </c>
      <c r="W39" s="685" t="s">
        <v>5311</v>
      </c>
      <c r="X39" s="686" t="s">
        <v>5312</v>
      </c>
      <c r="Y39" s="685" t="s">
        <v>5313</v>
      </c>
      <c r="Z39" s="686" t="s">
        <v>5314</v>
      </c>
      <c r="AA39" s="685" t="s">
        <v>5315</v>
      </c>
      <c r="AB39" s="686" t="s">
        <v>5316</v>
      </c>
      <c r="AC39" s="685" t="s">
        <v>5317</v>
      </c>
      <c r="AD39" s="686" t="s">
        <v>5318</v>
      </c>
      <c r="AE39" s="685" t="s">
        <v>5319</v>
      </c>
      <c r="AF39" s="686" t="s">
        <v>5320</v>
      </c>
      <c r="AG39" s="685" t="s">
        <v>5321</v>
      </c>
      <c r="AH39" s="686" t="s">
        <v>5322</v>
      </c>
      <c r="AI39" s="685" t="s">
        <v>5323</v>
      </c>
      <c r="AJ39" s="686" t="s">
        <v>5324</v>
      </c>
      <c r="AK39" s="685" t="s">
        <v>5325</v>
      </c>
      <c r="AL39" s="686" t="s">
        <v>5326</v>
      </c>
      <c r="AM39" s="685" t="s">
        <v>5327</v>
      </c>
      <c r="AN39" s="688" t="s">
        <v>5328</v>
      </c>
      <c r="AO39" s="689" t="s">
        <v>5329</v>
      </c>
      <c r="AP39" s="686" t="s">
        <v>5330</v>
      </c>
      <c r="AQ39" t="str">
        <f t="shared" si="4"/>
        <v xml:space="preserve"> * La variable pueblos originarios no puede ser mayor al Total Ambos Sexos. * La variable Migrantes no puede ser mayor al Total Ambos Sexos.</v>
      </c>
      <c r="CB39" s="2465" t="str">
        <f t="shared" si="0"/>
        <v xml:space="preserve"> * La variable pueblos originarios no puede ser mayor al Total Ambos Sexos.</v>
      </c>
      <c r="CC39" s="2465" t="str">
        <f t="shared" si="1"/>
        <v xml:space="preserve"> * La variable Migrantes no puede ser mayor al Total Ambos Sexos.</v>
      </c>
      <c r="CE39" s="1725">
        <f t="shared" si="2"/>
        <v>1</v>
      </c>
      <c r="CF39" s="1725">
        <f t="shared" si="3"/>
        <v>1</v>
      </c>
    </row>
    <row r="40" spans="1:84" ht="18" customHeight="1" x14ac:dyDescent="0.3">
      <c r="A40" s="6234"/>
      <c r="B40" s="8584" t="s">
        <v>604</v>
      </c>
      <c r="C40" s="8584"/>
      <c r="D40" s="8584"/>
      <c r="E40" s="8584"/>
      <c r="F40" s="8584"/>
      <c r="G40" s="8584"/>
      <c r="H40" s="8584"/>
      <c r="I40" s="8584"/>
      <c r="J40" s="8584"/>
      <c r="K40" s="8584"/>
      <c r="L40" s="8584"/>
      <c r="M40" s="8584"/>
      <c r="N40" s="8584"/>
      <c r="O40" s="8584"/>
      <c r="P40" s="8584"/>
      <c r="Q40" s="8584"/>
      <c r="R40" s="8584"/>
      <c r="S40" s="8584"/>
      <c r="T40" s="8584"/>
      <c r="U40" s="8584"/>
      <c r="V40" s="8584"/>
      <c r="W40" s="8584"/>
      <c r="X40" s="8584"/>
      <c r="Y40" s="8584"/>
      <c r="Z40" s="8584"/>
      <c r="AA40" s="8584"/>
      <c r="AB40" s="8584"/>
      <c r="AC40" s="8584"/>
      <c r="AD40" s="8584"/>
      <c r="AE40" s="8584"/>
      <c r="AF40" s="8584"/>
      <c r="AG40" s="8584"/>
      <c r="AH40" s="8584"/>
      <c r="AI40" s="8584"/>
      <c r="AJ40" s="8584"/>
      <c r="AK40" s="8584"/>
      <c r="AL40" s="8584"/>
      <c r="AM40" s="8584"/>
    </row>
    <row r="41" spans="1:84" x14ac:dyDescent="0.3">
      <c r="A41" s="6234"/>
      <c r="B41" s="8587" t="s">
        <v>137</v>
      </c>
      <c r="C41" s="7171" t="s">
        <v>24</v>
      </c>
      <c r="D41" s="8565"/>
      <c r="E41" s="8566"/>
      <c r="F41" s="8590" t="s">
        <v>30</v>
      </c>
      <c r="G41" s="8591"/>
      <c r="H41" s="8591"/>
      <c r="I41" s="8591"/>
      <c r="J41" s="8591"/>
      <c r="K41" s="8591"/>
      <c r="L41" s="8591"/>
      <c r="M41" s="8591"/>
      <c r="N41" s="8591"/>
      <c r="O41" s="8591"/>
      <c r="P41" s="8591"/>
      <c r="Q41" s="8591"/>
      <c r="R41" s="8591"/>
      <c r="S41" s="8591"/>
      <c r="T41" s="8591"/>
      <c r="U41" s="8591"/>
      <c r="V41" s="8591"/>
      <c r="W41" s="8591"/>
      <c r="X41" s="8591"/>
      <c r="Y41" s="8591"/>
      <c r="Z41" s="8591"/>
      <c r="AA41" s="8591"/>
      <c r="AB41" s="8591"/>
      <c r="AC41" s="8591"/>
      <c r="AD41" s="8591"/>
      <c r="AE41" s="8591"/>
      <c r="AF41" s="8591"/>
      <c r="AG41" s="8591"/>
      <c r="AH41" s="8591"/>
      <c r="AI41" s="8591"/>
      <c r="AJ41" s="8591"/>
      <c r="AK41" s="8591"/>
      <c r="AL41" s="8591"/>
      <c r="AM41" s="8592"/>
      <c r="AN41" s="8593" t="s">
        <v>605</v>
      </c>
      <c r="AO41" s="8593"/>
      <c r="AP41" s="8593"/>
      <c r="AQ41" s="8593"/>
      <c r="AR41" s="8593"/>
      <c r="AS41" s="8593"/>
      <c r="AT41" s="8593"/>
      <c r="AU41" s="8593"/>
      <c r="AV41" s="8593"/>
      <c r="AW41" s="8593"/>
      <c r="AX41" s="8594"/>
    </row>
    <row r="42" spans="1:84" x14ac:dyDescent="0.3">
      <c r="A42" s="6234"/>
      <c r="B42" s="8588"/>
      <c r="C42" s="8567"/>
      <c r="D42" s="8568"/>
      <c r="E42" s="8569"/>
      <c r="F42" s="8576" t="s">
        <v>36</v>
      </c>
      <c r="G42" s="8577"/>
      <c r="H42" s="8578" t="s">
        <v>37</v>
      </c>
      <c r="I42" s="8577"/>
      <c r="J42" s="8578" t="s">
        <v>38</v>
      </c>
      <c r="K42" s="8577"/>
      <c r="L42" s="8578" t="s">
        <v>4</v>
      </c>
      <c r="M42" s="8577"/>
      <c r="N42" s="8578" t="s">
        <v>5</v>
      </c>
      <c r="O42" s="8577"/>
      <c r="P42" s="8578" t="s">
        <v>560</v>
      </c>
      <c r="Q42" s="8577"/>
      <c r="R42" s="8578" t="s">
        <v>561</v>
      </c>
      <c r="S42" s="8577"/>
      <c r="T42" s="8578" t="s">
        <v>8</v>
      </c>
      <c r="U42" s="8577"/>
      <c r="V42" s="8578" t="s">
        <v>9</v>
      </c>
      <c r="W42" s="8577"/>
      <c r="X42" s="8578" t="s">
        <v>576</v>
      </c>
      <c r="Y42" s="8577"/>
      <c r="Z42" s="8578" t="s">
        <v>11</v>
      </c>
      <c r="AA42" s="8577"/>
      <c r="AB42" s="8578" t="s">
        <v>18</v>
      </c>
      <c r="AC42" s="8577"/>
      <c r="AD42" s="8578" t="s">
        <v>19</v>
      </c>
      <c r="AE42" s="8577"/>
      <c r="AF42" s="8578" t="s">
        <v>20</v>
      </c>
      <c r="AG42" s="8577"/>
      <c r="AH42" s="8578" t="s">
        <v>70</v>
      </c>
      <c r="AI42" s="8577"/>
      <c r="AJ42" s="8578" t="s">
        <v>71</v>
      </c>
      <c r="AK42" s="8577"/>
      <c r="AL42" s="8579" t="s">
        <v>32</v>
      </c>
      <c r="AM42" s="8585"/>
      <c r="AN42" s="8595"/>
      <c r="AO42" s="8595"/>
      <c r="AP42" s="8595"/>
      <c r="AQ42" s="8595"/>
      <c r="AR42" s="8595"/>
      <c r="AS42" s="8595"/>
      <c r="AT42" s="8595"/>
      <c r="AU42" s="8595"/>
      <c r="AV42" s="8595"/>
      <c r="AW42" s="8595"/>
      <c r="AX42" s="8596"/>
    </row>
    <row r="43" spans="1:84" ht="21.6" x14ac:dyDescent="0.3">
      <c r="A43" s="6234"/>
      <c r="B43" s="8589"/>
      <c r="C43" s="662" t="s">
        <v>26</v>
      </c>
      <c r="D43" s="663" t="s">
        <v>22</v>
      </c>
      <c r="E43" s="664" t="s">
        <v>27</v>
      </c>
      <c r="F43" s="665" t="s">
        <v>22</v>
      </c>
      <c r="G43" s="661" t="s">
        <v>27</v>
      </c>
      <c r="H43" s="656" t="s">
        <v>22</v>
      </c>
      <c r="I43" s="661" t="s">
        <v>27</v>
      </c>
      <c r="J43" s="656" t="s">
        <v>22</v>
      </c>
      <c r="K43" s="661" t="s">
        <v>27</v>
      </c>
      <c r="L43" s="656" t="s">
        <v>22</v>
      </c>
      <c r="M43" s="661" t="s">
        <v>27</v>
      </c>
      <c r="N43" s="656" t="s">
        <v>22</v>
      </c>
      <c r="O43" s="661" t="s">
        <v>27</v>
      </c>
      <c r="P43" s="656" t="s">
        <v>22</v>
      </c>
      <c r="Q43" s="661" t="s">
        <v>27</v>
      </c>
      <c r="R43" s="656" t="s">
        <v>22</v>
      </c>
      <c r="S43" s="661" t="s">
        <v>27</v>
      </c>
      <c r="T43" s="656" t="s">
        <v>22</v>
      </c>
      <c r="U43" s="661" t="s">
        <v>27</v>
      </c>
      <c r="V43" s="656" t="s">
        <v>22</v>
      </c>
      <c r="W43" s="661" t="s">
        <v>27</v>
      </c>
      <c r="X43" s="656" t="s">
        <v>22</v>
      </c>
      <c r="Y43" s="661" t="s">
        <v>27</v>
      </c>
      <c r="Z43" s="656" t="s">
        <v>22</v>
      </c>
      <c r="AA43" s="661" t="s">
        <v>27</v>
      </c>
      <c r="AB43" s="656" t="s">
        <v>22</v>
      </c>
      <c r="AC43" s="661" t="s">
        <v>27</v>
      </c>
      <c r="AD43" s="656" t="s">
        <v>22</v>
      </c>
      <c r="AE43" s="661" t="s">
        <v>27</v>
      </c>
      <c r="AF43" s="656" t="s">
        <v>22</v>
      </c>
      <c r="AG43" s="661" t="s">
        <v>27</v>
      </c>
      <c r="AH43" s="656" t="s">
        <v>22</v>
      </c>
      <c r="AI43" s="661" t="s">
        <v>27</v>
      </c>
      <c r="AJ43" s="656" t="s">
        <v>22</v>
      </c>
      <c r="AK43" s="661" t="s">
        <v>27</v>
      </c>
      <c r="AL43" s="656" t="s">
        <v>22</v>
      </c>
      <c r="AM43" s="2563" t="s">
        <v>27</v>
      </c>
      <c r="AN43" s="2564" t="s">
        <v>74</v>
      </c>
      <c r="AO43" s="2564" t="s">
        <v>76</v>
      </c>
      <c r="AP43" s="2564" t="s">
        <v>277</v>
      </c>
      <c r="AQ43" s="2565" t="s">
        <v>192</v>
      </c>
      <c r="AR43" s="2564" t="s">
        <v>75</v>
      </c>
      <c r="AS43" s="2564" t="s">
        <v>606</v>
      </c>
      <c r="AT43" s="2564" t="s">
        <v>247</v>
      </c>
      <c r="AU43" s="2564" t="s">
        <v>249</v>
      </c>
      <c r="AV43" s="2565" t="s">
        <v>607</v>
      </c>
      <c r="AW43" s="2565" t="s">
        <v>62</v>
      </c>
      <c r="AX43" s="2564" t="s">
        <v>194</v>
      </c>
    </row>
    <row r="44" spans="1:84" ht="15" customHeight="1" x14ac:dyDescent="0.3">
      <c r="A44" s="6234">
        <v>32101620</v>
      </c>
      <c r="B44" s="697" t="s">
        <v>608</v>
      </c>
      <c r="C44" s="698" t="s">
        <v>5292</v>
      </c>
      <c r="D44" s="669" t="s">
        <v>5293</v>
      </c>
      <c r="E44" s="668" t="s">
        <v>5294</v>
      </c>
      <c r="F44" s="670" t="s">
        <v>5295</v>
      </c>
      <c r="G44" s="671" t="s">
        <v>5296</v>
      </c>
      <c r="H44" s="670" t="s">
        <v>5297</v>
      </c>
      <c r="I44" s="671" t="s">
        <v>5298</v>
      </c>
      <c r="J44" s="670" t="s">
        <v>5299</v>
      </c>
      <c r="K44" s="671" t="s">
        <v>5300</v>
      </c>
      <c r="L44" s="670" t="s">
        <v>5301</v>
      </c>
      <c r="M44" s="671" t="s">
        <v>5302</v>
      </c>
      <c r="N44" s="670" t="s">
        <v>5303</v>
      </c>
      <c r="O44" s="671" t="s">
        <v>5304</v>
      </c>
      <c r="P44" s="670" t="s">
        <v>5305</v>
      </c>
      <c r="Q44" s="671" t="s">
        <v>5306</v>
      </c>
      <c r="R44" s="670" t="s">
        <v>5307</v>
      </c>
      <c r="S44" s="671" t="s">
        <v>5308</v>
      </c>
      <c r="T44" s="670" t="s">
        <v>5309</v>
      </c>
      <c r="U44" s="671" t="s">
        <v>5310</v>
      </c>
      <c r="V44" s="670" t="s">
        <v>5311</v>
      </c>
      <c r="W44" s="671" t="s">
        <v>5312</v>
      </c>
      <c r="X44" s="670" t="s">
        <v>5313</v>
      </c>
      <c r="Y44" s="671" t="s">
        <v>5314</v>
      </c>
      <c r="Z44" s="670" t="s">
        <v>5315</v>
      </c>
      <c r="AA44" s="671" t="s">
        <v>5316</v>
      </c>
      <c r="AB44" s="670" t="s">
        <v>5317</v>
      </c>
      <c r="AC44" s="671" t="s">
        <v>5318</v>
      </c>
      <c r="AD44" s="670" t="s">
        <v>5319</v>
      </c>
      <c r="AE44" s="671" t="s">
        <v>5320</v>
      </c>
      <c r="AF44" s="670" t="s">
        <v>5321</v>
      </c>
      <c r="AG44" s="671" t="s">
        <v>5322</v>
      </c>
      <c r="AH44" s="670" t="s">
        <v>5323</v>
      </c>
      <c r="AI44" s="671" t="s">
        <v>5324</v>
      </c>
      <c r="AJ44" s="670" t="s">
        <v>5325</v>
      </c>
      <c r="AK44" s="671" t="s">
        <v>5326</v>
      </c>
      <c r="AL44" s="670" t="s">
        <v>5327</v>
      </c>
      <c r="AM44" s="699" t="s">
        <v>5328</v>
      </c>
      <c r="AN44" s="671" t="s">
        <v>5329</v>
      </c>
      <c r="AO44" s="671" t="s">
        <v>5330</v>
      </c>
      <c r="AP44" s="671" t="s">
        <v>5331</v>
      </c>
      <c r="AQ44" s="671" t="s">
        <v>5332</v>
      </c>
      <c r="AR44" s="671" t="s">
        <v>5333</v>
      </c>
      <c r="AS44" s="671" t="s">
        <v>5334</v>
      </c>
      <c r="AT44" s="671" t="s">
        <v>5335</v>
      </c>
      <c r="AU44" s="671" t="s">
        <v>5336</v>
      </c>
      <c r="AV44" s="671" t="s">
        <v>5337</v>
      </c>
      <c r="AW44" s="671" t="s">
        <v>5338</v>
      </c>
      <c r="AX44" s="671" t="s">
        <v>5339</v>
      </c>
    </row>
    <row r="45" spans="1:84" ht="15" customHeight="1" x14ac:dyDescent="0.3">
      <c r="A45" s="6234">
        <v>32101621</v>
      </c>
      <c r="B45" s="700" t="s">
        <v>609</v>
      </c>
      <c r="C45" s="698" t="s">
        <v>5292</v>
      </c>
      <c r="D45" s="677" t="s">
        <v>5293</v>
      </c>
      <c r="E45" s="668" t="s">
        <v>5294</v>
      </c>
      <c r="F45" s="678" t="s">
        <v>5295</v>
      </c>
      <c r="G45" s="671" t="s">
        <v>5296</v>
      </c>
      <c r="H45" s="678" t="s">
        <v>5297</v>
      </c>
      <c r="I45" s="671" t="s">
        <v>5298</v>
      </c>
      <c r="J45" s="678" t="s">
        <v>5299</v>
      </c>
      <c r="K45" s="671" t="s">
        <v>5300</v>
      </c>
      <c r="L45" s="678" t="s">
        <v>5301</v>
      </c>
      <c r="M45" s="671" t="s">
        <v>5302</v>
      </c>
      <c r="N45" s="678" t="s">
        <v>5303</v>
      </c>
      <c r="O45" s="671" t="s">
        <v>5304</v>
      </c>
      <c r="P45" s="678" t="s">
        <v>5305</v>
      </c>
      <c r="Q45" s="671" t="s">
        <v>5306</v>
      </c>
      <c r="R45" s="678" t="s">
        <v>5307</v>
      </c>
      <c r="S45" s="671" t="s">
        <v>5308</v>
      </c>
      <c r="T45" s="678" t="s">
        <v>5309</v>
      </c>
      <c r="U45" s="671" t="s">
        <v>5310</v>
      </c>
      <c r="V45" s="678" t="s">
        <v>5311</v>
      </c>
      <c r="W45" s="671" t="s">
        <v>5312</v>
      </c>
      <c r="X45" s="678" t="s">
        <v>5313</v>
      </c>
      <c r="Y45" s="671" t="s">
        <v>5314</v>
      </c>
      <c r="Z45" s="678" t="s">
        <v>5315</v>
      </c>
      <c r="AA45" s="671" t="s">
        <v>5316</v>
      </c>
      <c r="AB45" s="678" t="s">
        <v>5317</v>
      </c>
      <c r="AC45" s="671" t="s">
        <v>5318</v>
      </c>
      <c r="AD45" s="678" t="s">
        <v>5319</v>
      </c>
      <c r="AE45" s="671" t="s">
        <v>5320</v>
      </c>
      <c r="AF45" s="678" t="s">
        <v>5321</v>
      </c>
      <c r="AG45" s="671" t="s">
        <v>5322</v>
      </c>
      <c r="AH45" s="678" t="s">
        <v>5323</v>
      </c>
      <c r="AI45" s="671" t="s">
        <v>5324</v>
      </c>
      <c r="AJ45" s="678" t="s">
        <v>5325</v>
      </c>
      <c r="AK45" s="671" t="s">
        <v>5326</v>
      </c>
      <c r="AL45" s="678" t="s">
        <v>5327</v>
      </c>
      <c r="AM45" s="699" t="s">
        <v>5328</v>
      </c>
      <c r="AN45" s="671" t="s">
        <v>5329</v>
      </c>
      <c r="AO45" s="671" t="s">
        <v>5330</v>
      </c>
      <c r="AP45" s="671" t="s">
        <v>5331</v>
      </c>
      <c r="AQ45" s="671" t="s">
        <v>5332</v>
      </c>
      <c r="AR45" s="671" t="s">
        <v>5333</v>
      </c>
      <c r="AS45" s="671" t="s">
        <v>5334</v>
      </c>
      <c r="AT45" s="671" t="s">
        <v>5335</v>
      </c>
      <c r="AU45" s="671" t="s">
        <v>5336</v>
      </c>
      <c r="AV45" s="671" t="s">
        <v>5337</v>
      </c>
      <c r="AW45" s="671" t="s">
        <v>5338</v>
      </c>
      <c r="AX45" s="671" t="s">
        <v>5339</v>
      </c>
    </row>
    <row r="46" spans="1:84" ht="15" customHeight="1" x14ac:dyDescent="0.3">
      <c r="A46" s="6234">
        <v>32101622</v>
      </c>
      <c r="B46" s="701" t="s">
        <v>610</v>
      </c>
      <c r="C46" s="698" t="s">
        <v>5292</v>
      </c>
      <c r="D46" s="677" t="s">
        <v>5293</v>
      </c>
      <c r="E46" s="668" t="s">
        <v>5294</v>
      </c>
      <c r="F46" s="678" t="s">
        <v>5295</v>
      </c>
      <c r="G46" s="671" t="s">
        <v>5296</v>
      </c>
      <c r="H46" s="678" t="s">
        <v>5297</v>
      </c>
      <c r="I46" s="671" t="s">
        <v>5298</v>
      </c>
      <c r="J46" s="678" t="s">
        <v>5299</v>
      </c>
      <c r="K46" s="671" t="s">
        <v>5300</v>
      </c>
      <c r="L46" s="678" t="s">
        <v>5301</v>
      </c>
      <c r="M46" s="671" t="s">
        <v>5302</v>
      </c>
      <c r="N46" s="678" t="s">
        <v>5303</v>
      </c>
      <c r="O46" s="671" t="s">
        <v>5304</v>
      </c>
      <c r="P46" s="678" t="s">
        <v>5305</v>
      </c>
      <c r="Q46" s="671" t="s">
        <v>5306</v>
      </c>
      <c r="R46" s="678" t="s">
        <v>5307</v>
      </c>
      <c r="S46" s="671" t="s">
        <v>5308</v>
      </c>
      <c r="T46" s="678" t="s">
        <v>5309</v>
      </c>
      <c r="U46" s="671" t="s">
        <v>5310</v>
      </c>
      <c r="V46" s="678" t="s">
        <v>5311</v>
      </c>
      <c r="W46" s="671" t="s">
        <v>5312</v>
      </c>
      <c r="X46" s="678" t="s">
        <v>5313</v>
      </c>
      <c r="Y46" s="671" t="s">
        <v>5314</v>
      </c>
      <c r="Z46" s="678" t="s">
        <v>5315</v>
      </c>
      <c r="AA46" s="671" t="s">
        <v>5316</v>
      </c>
      <c r="AB46" s="678" t="s">
        <v>5317</v>
      </c>
      <c r="AC46" s="671" t="s">
        <v>5318</v>
      </c>
      <c r="AD46" s="678" t="s">
        <v>5319</v>
      </c>
      <c r="AE46" s="671" t="s">
        <v>5320</v>
      </c>
      <c r="AF46" s="678" t="s">
        <v>5321</v>
      </c>
      <c r="AG46" s="671" t="s">
        <v>5322</v>
      </c>
      <c r="AH46" s="678" t="s">
        <v>5323</v>
      </c>
      <c r="AI46" s="671" t="s">
        <v>5324</v>
      </c>
      <c r="AJ46" s="678" t="s">
        <v>5325</v>
      </c>
      <c r="AK46" s="671" t="s">
        <v>5326</v>
      </c>
      <c r="AL46" s="678" t="s">
        <v>5327</v>
      </c>
      <c r="AM46" s="699" t="s">
        <v>5328</v>
      </c>
      <c r="AN46" s="671" t="s">
        <v>5329</v>
      </c>
      <c r="AO46" s="671" t="s">
        <v>5330</v>
      </c>
      <c r="AP46" s="671" t="s">
        <v>5331</v>
      </c>
      <c r="AQ46" s="671" t="s">
        <v>5332</v>
      </c>
      <c r="AR46" s="671" t="s">
        <v>5333</v>
      </c>
      <c r="AS46" s="671" t="s">
        <v>5334</v>
      </c>
      <c r="AT46" s="671" t="s">
        <v>5335</v>
      </c>
      <c r="AU46" s="671" t="s">
        <v>5336</v>
      </c>
      <c r="AV46" s="671" t="s">
        <v>5337</v>
      </c>
      <c r="AW46" s="671" t="s">
        <v>5338</v>
      </c>
      <c r="AX46" s="671" t="s">
        <v>5339</v>
      </c>
    </row>
    <row r="47" spans="1:84" ht="15" customHeight="1" x14ac:dyDescent="0.3">
      <c r="A47" s="6234">
        <v>32101623</v>
      </c>
      <c r="B47" s="701" t="s">
        <v>611</v>
      </c>
      <c r="C47" s="698" t="s">
        <v>5292</v>
      </c>
      <c r="D47" s="677" t="s">
        <v>5293</v>
      </c>
      <c r="E47" s="668" t="s">
        <v>5294</v>
      </c>
      <c r="F47" s="678" t="s">
        <v>5295</v>
      </c>
      <c r="G47" s="671" t="s">
        <v>5296</v>
      </c>
      <c r="H47" s="678" t="s">
        <v>5297</v>
      </c>
      <c r="I47" s="671" t="s">
        <v>5298</v>
      </c>
      <c r="J47" s="678" t="s">
        <v>5299</v>
      </c>
      <c r="K47" s="671" t="s">
        <v>5300</v>
      </c>
      <c r="L47" s="678" t="s">
        <v>5301</v>
      </c>
      <c r="M47" s="671" t="s">
        <v>5302</v>
      </c>
      <c r="N47" s="678" t="s">
        <v>5303</v>
      </c>
      <c r="O47" s="671" t="s">
        <v>5304</v>
      </c>
      <c r="P47" s="678" t="s">
        <v>5305</v>
      </c>
      <c r="Q47" s="671" t="s">
        <v>5306</v>
      </c>
      <c r="R47" s="678" t="s">
        <v>5307</v>
      </c>
      <c r="S47" s="671" t="s">
        <v>5308</v>
      </c>
      <c r="T47" s="678" t="s">
        <v>5309</v>
      </c>
      <c r="U47" s="671" t="s">
        <v>5310</v>
      </c>
      <c r="V47" s="678" t="s">
        <v>5311</v>
      </c>
      <c r="W47" s="671" t="s">
        <v>5312</v>
      </c>
      <c r="X47" s="678" t="s">
        <v>5313</v>
      </c>
      <c r="Y47" s="671" t="s">
        <v>5314</v>
      </c>
      <c r="Z47" s="678" t="s">
        <v>5315</v>
      </c>
      <c r="AA47" s="671" t="s">
        <v>5316</v>
      </c>
      <c r="AB47" s="678" t="s">
        <v>5317</v>
      </c>
      <c r="AC47" s="671" t="s">
        <v>5318</v>
      </c>
      <c r="AD47" s="678" t="s">
        <v>5319</v>
      </c>
      <c r="AE47" s="671" t="s">
        <v>5320</v>
      </c>
      <c r="AF47" s="678" t="s">
        <v>5321</v>
      </c>
      <c r="AG47" s="671" t="s">
        <v>5322</v>
      </c>
      <c r="AH47" s="678" t="s">
        <v>5323</v>
      </c>
      <c r="AI47" s="671" t="s">
        <v>5324</v>
      </c>
      <c r="AJ47" s="678" t="s">
        <v>5325</v>
      </c>
      <c r="AK47" s="671" t="s">
        <v>5326</v>
      </c>
      <c r="AL47" s="678" t="s">
        <v>5327</v>
      </c>
      <c r="AM47" s="699" t="s">
        <v>5328</v>
      </c>
      <c r="AN47" s="671" t="s">
        <v>5329</v>
      </c>
      <c r="AO47" s="671" t="s">
        <v>5330</v>
      </c>
      <c r="AP47" s="671" t="s">
        <v>5331</v>
      </c>
      <c r="AQ47" s="671" t="s">
        <v>5332</v>
      </c>
      <c r="AR47" s="671" t="s">
        <v>5333</v>
      </c>
      <c r="AS47" s="671" t="s">
        <v>5334</v>
      </c>
      <c r="AT47" s="671" t="s">
        <v>5335</v>
      </c>
      <c r="AU47" s="671" t="s">
        <v>5336</v>
      </c>
      <c r="AV47" s="671" t="s">
        <v>5337</v>
      </c>
      <c r="AW47" s="671" t="s">
        <v>5338</v>
      </c>
      <c r="AX47" s="671" t="s">
        <v>5339</v>
      </c>
    </row>
    <row r="48" spans="1:84" ht="15" customHeight="1" x14ac:dyDescent="0.3">
      <c r="A48" s="6234">
        <v>32101624</v>
      </c>
      <c r="B48" s="701" t="s">
        <v>612</v>
      </c>
      <c r="C48" s="698" t="s">
        <v>5292</v>
      </c>
      <c r="D48" s="677" t="s">
        <v>5293</v>
      </c>
      <c r="E48" s="668" t="s">
        <v>5294</v>
      </c>
      <c r="F48" s="678" t="s">
        <v>5295</v>
      </c>
      <c r="G48" s="671" t="s">
        <v>5296</v>
      </c>
      <c r="H48" s="678" t="s">
        <v>5297</v>
      </c>
      <c r="I48" s="671" t="s">
        <v>5298</v>
      </c>
      <c r="J48" s="678" t="s">
        <v>5299</v>
      </c>
      <c r="K48" s="671" t="s">
        <v>5300</v>
      </c>
      <c r="L48" s="678" t="s">
        <v>5301</v>
      </c>
      <c r="M48" s="671" t="s">
        <v>5302</v>
      </c>
      <c r="N48" s="678" t="s">
        <v>5303</v>
      </c>
      <c r="O48" s="671" t="s">
        <v>5304</v>
      </c>
      <c r="P48" s="678" t="s">
        <v>5305</v>
      </c>
      <c r="Q48" s="671" t="s">
        <v>5306</v>
      </c>
      <c r="R48" s="678" t="s">
        <v>5307</v>
      </c>
      <c r="S48" s="671" t="s">
        <v>5308</v>
      </c>
      <c r="T48" s="678" t="s">
        <v>5309</v>
      </c>
      <c r="U48" s="671" t="s">
        <v>5310</v>
      </c>
      <c r="V48" s="678" t="s">
        <v>5311</v>
      </c>
      <c r="W48" s="671" t="s">
        <v>5312</v>
      </c>
      <c r="X48" s="678" t="s">
        <v>5313</v>
      </c>
      <c r="Y48" s="671" t="s">
        <v>5314</v>
      </c>
      <c r="Z48" s="678" t="s">
        <v>5315</v>
      </c>
      <c r="AA48" s="671" t="s">
        <v>5316</v>
      </c>
      <c r="AB48" s="678" t="s">
        <v>5317</v>
      </c>
      <c r="AC48" s="671" t="s">
        <v>5318</v>
      </c>
      <c r="AD48" s="678" t="s">
        <v>5319</v>
      </c>
      <c r="AE48" s="671" t="s">
        <v>5320</v>
      </c>
      <c r="AF48" s="678" t="s">
        <v>5321</v>
      </c>
      <c r="AG48" s="671" t="s">
        <v>5322</v>
      </c>
      <c r="AH48" s="678" t="s">
        <v>5323</v>
      </c>
      <c r="AI48" s="671" t="s">
        <v>5324</v>
      </c>
      <c r="AJ48" s="678" t="s">
        <v>5325</v>
      </c>
      <c r="AK48" s="671" t="s">
        <v>5326</v>
      </c>
      <c r="AL48" s="678" t="s">
        <v>5327</v>
      </c>
      <c r="AM48" s="699" t="s">
        <v>5328</v>
      </c>
      <c r="AN48" s="671" t="s">
        <v>5329</v>
      </c>
      <c r="AO48" s="671" t="s">
        <v>5330</v>
      </c>
      <c r="AP48" s="671" t="s">
        <v>5331</v>
      </c>
      <c r="AQ48" s="671" t="s">
        <v>5332</v>
      </c>
      <c r="AR48" s="671" t="s">
        <v>5333</v>
      </c>
      <c r="AS48" s="671" t="s">
        <v>5334</v>
      </c>
      <c r="AT48" s="671" t="s">
        <v>5335</v>
      </c>
      <c r="AU48" s="671" t="s">
        <v>5336</v>
      </c>
      <c r="AV48" s="671" t="s">
        <v>5337</v>
      </c>
      <c r="AW48" s="671" t="s">
        <v>5338</v>
      </c>
      <c r="AX48" s="671" t="s">
        <v>5339</v>
      </c>
    </row>
    <row r="49" spans="1:84" ht="15" customHeight="1" x14ac:dyDescent="0.3">
      <c r="A49" s="6234">
        <v>32101625</v>
      </c>
      <c r="B49" s="701" t="s">
        <v>613</v>
      </c>
      <c r="C49" s="698" t="s">
        <v>5292</v>
      </c>
      <c r="D49" s="677" t="s">
        <v>5293</v>
      </c>
      <c r="E49" s="668" t="s">
        <v>5294</v>
      </c>
      <c r="F49" s="678" t="s">
        <v>5295</v>
      </c>
      <c r="G49" s="671" t="s">
        <v>5296</v>
      </c>
      <c r="H49" s="678" t="s">
        <v>5297</v>
      </c>
      <c r="I49" s="671" t="s">
        <v>5298</v>
      </c>
      <c r="J49" s="678" t="s">
        <v>5299</v>
      </c>
      <c r="K49" s="671" t="s">
        <v>5300</v>
      </c>
      <c r="L49" s="678" t="s">
        <v>5301</v>
      </c>
      <c r="M49" s="671" t="s">
        <v>5302</v>
      </c>
      <c r="N49" s="678" t="s">
        <v>5303</v>
      </c>
      <c r="O49" s="671" t="s">
        <v>5304</v>
      </c>
      <c r="P49" s="678" t="s">
        <v>5305</v>
      </c>
      <c r="Q49" s="671" t="s">
        <v>5306</v>
      </c>
      <c r="R49" s="678" t="s">
        <v>5307</v>
      </c>
      <c r="S49" s="671" t="s">
        <v>5308</v>
      </c>
      <c r="T49" s="678" t="s">
        <v>5309</v>
      </c>
      <c r="U49" s="671" t="s">
        <v>5310</v>
      </c>
      <c r="V49" s="678" t="s">
        <v>5311</v>
      </c>
      <c r="W49" s="671" t="s">
        <v>5312</v>
      </c>
      <c r="X49" s="678" t="s">
        <v>5313</v>
      </c>
      <c r="Y49" s="671" t="s">
        <v>5314</v>
      </c>
      <c r="Z49" s="678" t="s">
        <v>5315</v>
      </c>
      <c r="AA49" s="671" t="s">
        <v>5316</v>
      </c>
      <c r="AB49" s="678" t="s">
        <v>5317</v>
      </c>
      <c r="AC49" s="671" t="s">
        <v>5318</v>
      </c>
      <c r="AD49" s="678" t="s">
        <v>5319</v>
      </c>
      <c r="AE49" s="671" t="s">
        <v>5320</v>
      </c>
      <c r="AF49" s="678" t="s">
        <v>5321</v>
      </c>
      <c r="AG49" s="671" t="s">
        <v>5322</v>
      </c>
      <c r="AH49" s="678" t="s">
        <v>5323</v>
      </c>
      <c r="AI49" s="671" t="s">
        <v>5324</v>
      </c>
      <c r="AJ49" s="678" t="s">
        <v>5325</v>
      </c>
      <c r="AK49" s="671" t="s">
        <v>5326</v>
      </c>
      <c r="AL49" s="678" t="s">
        <v>5327</v>
      </c>
      <c r="AM49" s="699" t="s">
        <v>5328</v>
      </c>
      <c r="AN49" s="671" t="s">
        <v>5329</v>
      </c>
      <c r="AO49" s="671" t="s">
        <v>5330</v>
      </c>
      <c r="AP49" s="671" t="s">
        <v>5331</v>
      </c>
      <c r="AQ49" s="671" t="s">
        <v>5332</v>
      </c>
      <c r="AR49" s="671" t="s">
        <v>5333</v>
      </c>
      <c r="AS49" s="671" t="s">
        <v>5334</v>
      </c>
      <c r="AT49" s="671" t="s">
        <v>5335</v>
      </c>
      <c r="AU49" s="671" t="s">
        <v>5336</v>
      </c>
      <c r="AV49" s="671" t="s">
        <v>5337</v>
      </c>
      <c r="AW49" s="671" t="s">
        <v>5338</v>
      </c>
      <c r="AX49" s="671" t="s">
        <v>5339</v>
      </c>
    </row>
    <row r="50" spans="1:84" ht="15" customHeight="1" x14ac:dyDescent="0.3">
      <c r="A50" s="6234">
        <v>32101626</v>
      </c>
      <c r="B50" s="701" t="s">
        <v>614</v>
      </c>
      <c r="C50" s="698" t="s">
        <v>5292</v>
      </c>
      <c r="D50" s="677" t="s">
        <v>5293</v>
      </c>
      <c r="E50" s="668" t="s">
        <v>5294</v>
      </c>
      <c r="F50" s="678" t="s">
        <v>5295</v>
      </c>
      <c r="G50" s="671" t="s">
        <v>5296</v>
      </c>
      <c r="H50" s="678" t="s">
        <v>5297</v>
      </c>
      <c r="I50" s="671" t="s">
        <v>5298</v>
      </c>
      <c r="J50" s="678" t="s">
        <v>5299</v>
      </c>
      <c r="K50" s="671" t="s">
        <v>5300</v>
      </c>
      <c r="L50" s="678" t="s">
        <v>5301</v>
      </c>
      <c r="M50" s="671" t="s">
        <v>5302</v>
      </c>
      <c r="N50" s="678" t="s">
        <v>5303</v>
      </c>
      <c r="O50" s="671" t="s">
        <v>5304</v>
      </c>
      <c r="P50" s="678" t="s">
        <v>5305</v>
      </c>
      <c r="Q50" s="671" t="s">
        <v>5306</v>
      </c>
      <c r="R50" s="678" t="s">
        <v>5307</v>
      </c>
      <c r="S50" s="671" t="s">
        <v>5308</v>
      </c>
      <c r="T50" s="678" t="s">
        <v>5309</v>
      </c>
      <c r="U50" s="671" t="s">
        <v>5310</v>
      </c>
      <c r="V50" s="678" t="s">
        <v>5311</v>
      </c>
      <c r="W50" s="671" t="s">
        <v>5312</v>
      </c>
      <c r="X50" s="678" t="s">
        <v>5313</v>
      </c>
      <c r="Y50" s="671" t="s">
        <v>5314</v>
      </c>
      <c r="Z50" s="678" t="s">
        <v>5315</v>
      </c>
      <c r="AA50" s="671" t="s">
        <v>5316</v>
      </c>
      <c r="AB50" s="678" t="s">
        <v>5317</v>
      </c>
      <c r="AC50" s="671" t="s">
        <v>5318</v>
      </c>
      <c r="AD50" s="678" t="s">
        <v>5319</v>
      </c>
      <c r="AE50" s="671" t="s">
        <v>5320</v>
      </c>
      <c r="AF50" s="678" t="s">
        <v>5321</v>
      </c>
      <c r="AG50" s="671" t="s">
        <v>5322</v>
      </c>
      <c r="AH50" s="678" t="s">
        <v>5323</v>
      </c>
      <c r="AI50" s="671" t="s">
        <v>5324</v>
      </c>
      <c r="AJ50" s="678" t="s">
        <v>5325</v>
      </c>
      <c r="AK50" s="671" t="s">
        <v>5326</v>
      </c>
      <c r="AL50" s="678" t="s">
        <v>5327</v>
      </c>
      <c r="AM50" s="699" t="s">
        <v>5328</v>
      </c>
      <c r="AN50" s="671" t="s">
        <v>5329</v>
      </c>
      <c r="AO50" s="671" t="s">
        <v>5330</v>
      </c>
      <c r="AP50" s="671" t="s">
        <v>5331</v>
      </c>
      <c r="AQ50" s="671" t="s">
        <v>5332</v>
      </c>
      <c r="AR50" s="671" t="s">
        <v>5333</v>
      </c>
      <c r="AS50" s="671" t="s">
        <v>5334</v>
      </c>
      <c r="AT50" s="671" t="s">
        <v>5335</v>
      </c>
      <c r="AU50" s="671" t="s">
        <v>5336</v>
      </c>
      <c r="AV50" s="671" t="s">
        <v>5337</v>
      </c>
      <c r="AW50" s="671" t="s">
        <v>5338</v>
      </c>
      <c r="AX50" s="671" t="s">
        <v>5339</v>
      </c>
    </row>
    <row r="51" spans="1:84" ht="15" customHeight="1" x14ac:dyDescent="0.3">
      <c r="A51" s="6234">
        <v>32101627</v>
      </c>
      <c r="B51" s="701" t="s">
        <v>615</v>
      </c>
      <c r="C51" s="698" t="s">
        <v>5292</v>
      </c>
      <c r="D51" s="677" t="s">
        <v>5293</v>
      </c>
      <c r="E51" s="668" t="s">
        <v>5294</v>
      </c>
      <c r="F51" s="678" t="s">
        <v>5295</v>
      </c>
      <c r="G51" s="671" t="s">
        <v>5296</v>
      </c>
      <c r="H51" s="678" t="s">
        <v>5297</v>
      </c>
      <c r="I51" s="671" t="s">
        <v>5298</v>
      </c>
      <c r="J51" s="678" t="s">
        <v>5299</v>
      </c>
      <c r="K51" s="671" t="s">
        <v>5300</v>
      </c>
      <c r="L51" s="678" t="s">
        <v>5301</v>
      </c>
      <c r="M51" s="671" t="s">
        <v>5302</v>
      </c>
      <c r="N51" s="678" t="s">
        <v>5303</v>
      </c>
      <c r="O51" s="671" t="s">
        <v>5304</v>
      </c>
      <c r="P51" s="678" t="s">
        <v>5305</v>
      </c>
      <c r="Q51" s="671" t="s">
        <v>5306</v>
      </c>
      <c r="R51" s="678" t="s">
        <v>5307</v>
      </c>
      <c r="S51" s="671" t="s">
        <v>5308</v>
      </c>
      <c r="T51" s="678" t="s">
        <v>5309</v>
      </c>
      <c r="U51" s="671" t="s">
        <v>5310</v>
      </c>
      <c r="V51" s="678" t="s">
        <v>5311</v>
      </c>
      <c r="W51" s="671" t="s">
        <v>5312</v>
      </c>
      <c r="X51" s="678" t="s">
        <v>5313</v>
      </c>
      <c r="Y51" s="671" t="s">
        <v>5314</v>
      </c>
      <c r="Z51" s="678" t="s">
        <v>5315</v>
      </c>
      <c r="AA51" s="671" t="s">
        <v>5316</v>
      </c>
      <c r="AB51" s="678" t="s">
        <v>5317</v>
      </c>
      <c r="AC51" s="671" t="s">
        <v>5318</v>
      </c>
      <c r="AD51" s="678" t="s">
        <v>5319</v>
      </c>
      <c r="AE51" s="671" t="s">
        <v>5320</v>
      </c>
      <c r="AF51" s="678" t="s">
        <v>5321</v>
      </c>
      <c r="AG51" s="671" t="s">
        <v>5322</v>
      </c>
      <c r="AH51" s="678" t="s">
        <v>5323</v>
      </c>
      <c r="AI51" s="671" t="s">
        <v>5324</v>
      </c>
      <c r="AJ51" s="678" t="s">
        <v>5325</v>
      </c>
      <c r="AK51" s="671" t="s">
        <v>5326</v>
      </c>
      <c r="AL51" s="678" t="s">
        <v>5327</v>
      </c>
      <c r="AM51" s="699" t="s">
        <v>5328</v>
      </c>
      <c r="AN51" s="671" t="s">
        <v>5329</v>
      </c>
      <c r="AO51" s="671" t="s">
        <v>5330</v>
      </c>
      <c r="AP51" s="671" t="s">
        <v>5331</v>
      </c>
      <c r="AQ51" s="671" t="s">
        <v>5332</v>
      </c>
      <c r="AR51" s="671" t="s">
        <v>5333</v>
      </c>
      <c r="AS51" s="671" t="s">
        <v>5334</v>
      </c>
      <c r="AT51" s="671" t="s">
        <v>5335</v>
      </c>
      <c r="AU51" s="671" t="s">
        <v>5336</v>
      </c>
      <c r="AV51" s="671" t="s">
        <v>5337</v>
      </c>
      <c r="AW51" s="671" t="s">
        <v>5338</v>
      </c>
      <c r="AX51" s="671" t="s">
        <v>5339</v>
      </c>
    </row>
    <row r="52" spans="1:84" ht="15" customHeight="1" x14ac:dyDescent="0.3">
      <c r="A52" s="6234">
        <v>32101628</v>
      </c>
      <c r="B52" s="701" t="s">
        <v>616</v>
      </c>
      <c r="C52" s="698" t="s">
        <v>5292</v>
      </c>
      <c r="D52" s="677" t="s">
        <v>5293</v>
      </c>
      <c r="E52" s="668" t="s">
        <v>5294</v>
      </c>
      <c r="F52" s="678" t="s">
        <v>5295</v>
      </c>
      <c r="G52" s="671" t="s">
        <v>5296</v>
      </c>
      <c r="H52" s="678" t="s">
        <v>5297</v>
      </c>
      <c r="I52" s="671" t="s">
        <v>5298</v>
      </c>
      <c r="J52" s="678" t="s">
        <v>5299</v>
      </c>
      <c r="K52" s="671" t="s">
        <v>5300</v>
      </c>
      <c r="L52" s="678" t="s">
        <v>5301</v>
      </c>
      <c r="M52" s="671" t="s">
        <v>5302</v>
      </c>
      <c r="N52" s="678" t="s">
        <v>5303</v>
      </c>
      <c r="O52" s="671" t="s">
        <v>5304</v>
      </c>
      <c r="P52" s="678" t="s">
        <v>5305</v>
      </c>
      <c r="Q52" s="671" t="s">
        <v>5306</v>
      </c>
      <c r="R52" s="678" t="s">
        <v>5307</v>
      </c>
      <c r="S52" s="671" t="s">
        <v>5308</v>
      </c>
      <c r="T52" s="678" t="s">
        <v>5309</v>
      </c>
      <c r="U52" s="671" t="s">
        <v>5310</v>
      </c>
      <c r="V52" s="678" t="s">
        <v>5311</v>
      </c>
      <c r="W52" s="671" t="s">
        <v>5312</v>
      </c>
      <c r="X52" s="678" t="s">
        <v>5313</v>
      </c>
      <c r="Y52" s="671" t="s">
        <v>5314</v>
      </c>
      <c r="Z52" s="678" t="s">
        <v>5315</v>
      </c>
      <c r="AA52" s="671" t="s">
        <v>5316</v>
      </c>
      <c r="AB52" s="678" t="s">
        <v>5317</v>
      </c>
      <c r="AC52" s="671" t="s">
        <v>5318</v>
      </c>
      <c r="AD52" s="678" t="s">
        <v>5319</v>
      </c>
      <c r="AE52" s="671" t="s">
        <v>5320</v>
      </c>
      <c r="AF52" s="678" t="s">
        <v>5321</v>
      </c>
      <c r="AG52" s="671" t="s">
        <v>5322</v>
      </c>
      <c r="AH52" s="678" t="s">
        <v>5323</v>
      </c>
      <c r="AI52" s="671" t="s">
        <v>5324</v>
      </c>
      <c r="AJ52" s="678" t="s">
        <v>5325</v>
      </c>
      <c r="AK52" s="671" t="s">
        <v>5326</v>
      </c>
      <c r="AL52" s="678" t="s">
        <v>5327</v>
      </c>
      <c r="AM52" s="699" t="s">
        <v>5328</v>
      </c>
      <c r="AN52" s="671" t="s">
        <v>5329</v>
      </c>
      <c r="AO52" s="671" t="s">
        <v>5330</v>
      </c>
      <c r="AP52" s="671" t="s">
        <v>5331</v>
      </c>
      <c r="AQ52" s="671" t="s">
        <v>5332</v>
      </c>
      <c r="AR52" s="671" t="s">
        <v>5333</v>
      </c>
      <c r="AS52" s="671" t="s">
        <v>5334</v>
      </c>
      <c r="AT52" s="671" t="s">
        <v>5335</v>
      </c>
      <c r="AU52" s="671" t="s">
        <v>5336</v>
      </c>
      <c r="AV52" s="671" t="s">
        <v>5337</v>
      </c>
      <c r="AW52" s="671" t="s">
        <v>5338</v>
      </c>
      <c r="AX52" s="671" t="s">
        <v>5339</v>
      </c>
    </row>
    <row r="53" spans="1:84" ht="15" customHeight="1" x14ac:dyDescent="0.3">
      <c r="A53" s="6234">
        <v>32101629</v>
      </c>
      <c r="B53" s="701" t="s">
        <v>617</v>
      </c>
      <c r="C53" s="698" t="s">
        <v>5292</v>
      </c>
      <c r="D53" s="677" t="s">
        <v>5293</v>
      </c>
      <c r="E53" s="668" t="s">
        <v>5294</v>
      </c>
      <c r="F53" s="678" t="s">
        <v>5295</v>
      </c>
      <c r="G53" s="671" t="s">
        <v>5296</v>
      </c>
      <c r="H53" s="678" t="s">
        <v>5297</v>
      </c>
      <c r="I53" s="671" t="s">
        <v>5298</v>
      </c>
      <c r="J53" s="678" t="s">
        <v>5299</v>
      </c>
      <c r="K53" s="671" t="s">
        <v>5300</v>
      </c>
      <c r="L53" s="678" t="s">
        <v>5301</v>
      </c>
      <c r="M53" s="671" t="s">
        <v>5302</v>
      </c>
      <c r="N53" s="678" t="s">
        <v>5303</v>
      </c>
      <c r="O53" s="671" t="s">
        <v>5304</v>
      </c>
      <c r="P53" s="678" t="s">
        <v>5305</v>
      </c>
      <c r="Q53" s="671" t="s">
        <v>5306</v>
      </c>
      <c r="R53" s="678" t="s">
        <v>5307</v>
      </c>
      <c r="S53" s="671" t="s">
        <v>5308</v>
      </c>
      <c r="T53" s="678" t="s">
        <v>5309</v>
      </c>
      <c r="U53" s="671" t="s">
        <v>5310</v>
      </c>
      <c r="V53" s="678" t="s">
        <v>5311</v>
      </c>
      <c r="W53" s="671" t="s">
        <v>5312</v>
      </c>
      <c r="X53" s="678" t="s">
        <v>5313</v>
      </c>
      <c r="Y53" s="671" t="s">
        <v>5314</v>
      </c>
      <c r="Z53" s="678" t="s">
        <v>5315</v>
      </c>
      <c r="AA53" s="671" t="s">
        <v>5316</v>
      </c>
      <c r="AB53" s="678" t="s">
        <v>5317</v>
      </c>
      <c r="AC53" s="671" t="s">
        <v>5318</v>
      </c>
      <c r="AD53" s="678" t="s">
        <v>5319</v>
      </c>
      <c r="AE53" s="671" t="s">
        <v>5320</v>
      </c>
      <c r="AF53" s="678" t="s">
        <v>5321</v>
      </c>
      <c r="AG53" s="671" t="s">
        <v>5322</v>
      </c>
      <c r="AH53" s="678" t="s">
        <v>5323</v>
      </c>
      <c r="AI53" s="671" t="s">
        <v>5324</v>
      </c>
      <c r="AJ53" s="678" t="s">
        <v>5325</v>
      </c>
      <c r="AK53" s="671" t="s">
        <v>5326</v>
      </c>
      <c r="AL53" s="678" t="s">
        <v>5327</v>
      </c>
      <c r="AM53" s="699" t="s">
        <v>5328</v>
      </c>
      <c r="AN53" s="671" t="s">
        <v>5329</v>
      </c>
      <c r="AO53" s="671" t="s">
        <v>5330</v>
      </c>
      <c r="AP53" s="671" t="s">
        <v>5331</v>
      </c>
      <c r="AQ53" s="671" t="s">
        <v>5332</v>
      </c>
      <c r="AR53" s="671" t="s">
        <v>5333</v>
      </c>
      <c r="AS53" s="671" t="s">
        <v>5334</v>
      </c>
      <c r="AT53" s="671" t="s">
        <v>5335</v>
      </c>
      <c r="AU53" s="671" t="s">
        <v>5336</v>
      </c>
      <c r="AV53" s="671" t="s">
        <v>5337</v>
      </c>
      <c r="AW53" s="671" t="s">
        <v>5338</v>
      </c>
      <c r="AX53" s="671" t="s">
        <v>5339</v>
      </c>
    </row>
    <row r="54" spans="1:84" ht="15" customHeight="1" x14ac:dyDescent="0.3">
      <c r="A54" s="6234">
        <v>32101630</v>
      </c>
      <c r="B54" s="701" t="s">
        <v>618</v>
      </c>
      <c r="C54" s="698" t="s">
        <v>5292</v>
      </c>
      <c r="D54" s="677" t="s">
        <v>5293</v>
      </c>
      <c r="E54" s="668" t="s">
        <v>5294</v>
      </c>
      <c r="F54" s="678" t="s">
        <v>5295</v>
      </c>
      <c r="G54" s="671" t="s">
        <v>5296</v>
      </c>
      <c r="H54" s="678" t="s">
        <v>5297</v>
      </c>
      <c r="I54" s="671" t="s">
        <v>5298</v>
      </c>
      <c r="J54" s="678" t="s">
        <v>5299</v>
      </c>
      <c r="K54" s="671" t="s">
        <v>5300</v>
      </c>
      <c r="L54" s="678" t="s">
        <v>5301</v>
      </c>
      <c r="M54" s="671" t="s">
        <v>5302</v>
      </c>
      <c r="N54" s="678" t="s">
        <v>5303</v>
      </c>
      <c r="O54" s="671" t="s">
        <v>5304</v>
      </c>
      <c r="P54" s="678" t="s">
        <v>5305</v>
      </c>
      <c r="Q54" s="671" t="s">
        <v>5306</v>
      </c>
      <c r="R54" s="678" t="s">
        <v>5307</v>
      </c>
      <c r="S54" s="671" t="s">
        <v>5308</v>
      </c>
      <c r="T54" s="678" t="s">
        <v>5309</v>
      </c>
      <c r="U54" s="671" t="s">
        <v>5310</v>
      </c>
      <c r="V54" s="678" t="s">
        <v>5311</v>
      </c>
      <c r="W54" s="671" t="s">
        <v>5312</v>
      </c>
      <c r="X54" s="678" t="s">
        <v>5313</v>
      </c>
      <c r="Y54" s="671" t="s">
        <v>5314</v>
      </c>
      <c r="Z54" s="678" t="s">
        <v>5315</v>
      </c>
      <c r="AA54" s="671" t="s">
        <v>5316</v>
      </c>
      <c r="AB54" s="678" t="s">
        <v>5317</v>
      </c>
      <c r="AC54" s="671" t="s">
        <v>5318</v>
      </c>
      <c r="AD54" s="678" t="s">
        <v>5319</v>
      </c>
      <c r="AE54" s="671" t="s">
        <v>5320</v>
      </c>
      <c r="AF54" s="678" t="s">
        <v>5321</v>
      </c>
      <c r="AG54" s="671" t="s">
        <v>5322</v>
      </c>
      <c r="AH54" s="678" t="s">
        <v>5323</v>
      </c>
      <c r="AI54" s="671" t="s">
        <v>5324</v>
      </c>
      <c r="AJ54" s="678" t="s">
        <v>5325</v>
      </c>
      <c r="AK54" s="671" t="s">
        <v>5326</v>
      </c>
      <c r="AL54" s="678" t="s">
        <v>5327</v>
      </c>
      <c r="AM54" s="699" t="s">
        <v>5328</v>
      </c>
      <c r="AN54" s="671" t="s">
        <v>5329</v>
      </c>
      <c r="AO54" s="671" t="s">
        <v>5330</v>
      </c>
      <c r="AP54" s="671" t="s">
        <v>5331</v>
      </c>
      <c r="AQ54" s="671" t="s">
        <v>5332</v>
      </c>
      <c r="AR54" s="671" t="s">
        <v>5333</v>
      </c>
      <c r="AS54" s="671" t="s">
        <v>5334</v>
      </c>
      <c r="AT54" s="671" t="s">
        <v>5335</v>
      </c>
      <c r="AU54" s="671" t="s">
        <v>5336</v>
      </c>
      <c r="AV54" s="671" t="s">
        <v>5337</v>
      </c>
      <c r="AW54" s="671" t="s">
        <v>5338</v>
      </c>
      <c r="AX54" s="671" t="s">
        <v>5339</v>
      </c>
    </row>
    <row r="55" spans="1:84" ht="15" customHeight="1" x14ac:dyDescent="0.3">
      <c r="A55" s="6234">
        <v>32101631</v>
      </c>
      <c r="B55" s="702" t="s">
        <v>619</v>
      </c>
      <c r="C55" s="703" t="s">
        <v>5292</v>
      </c>
      <c r="D55" s="704" t="s">
        <v>5293</v>
      </c>
      <c r="E55" s="705" t="s">
        <v>5294</v>
      </c>
      <c r="F55" s="706" t="s">
        <v>5295</v>
      </c>
      <c r="G55" s="707" t="s">
        <v>5296</v>
      </c>
      <c r="H55" s="706" t="s">
        <v>5297</v>
      </c>
      <c r="I55" s="707" t="s">
        <v>5298</v>
      </c>
      <c r="J55" s="706" t="s">
        <v>5299</v>
      </c>
      <c r="K55" s="707" t="s">
        <v>5300</v>
      </c>
      <c r="L55" s="706" t="s">
        <v>5301</v>
      </c>
      <c r="M55" s="707" t="s">
        <v>5302</v>
      </c>
      <c r="N55" s="706" t="s">
        <v>5303</v>
      </c>
      <c r="O55" s="707" t="s">
        <v>5304</v>
      </c>
      <c r="P55" s="706" t="s">
        <v>5305</v>
      </c>
      <c r="Q55" s="707" t="s">
        <v>5306</v>
      </c>
      <c r="R55" s="706" t="s">
        <v>5307</v>
      </c>
      <c r="S55" s="707" t="s">
        <v>5308</v>
      </c>
      <c r="T55" s="706" t="s">
        <v>5309</v>
      </c>
      <c r="U55" s="707" t="s">
        <v>5310</v>
      </c>
      <c r="V55" s="706" t="s">
        <v>5311</v>
      </c>
      <c r="W55" s="707" t="s">
        <v>5312</v>
      </c>
      <c r="X55" s="706" t="s">
        <v>5313</v>
      </c>
      <c r="Y55" s="707" t="s">
        <v>5314</v>
      </c>
      <c r="Z55" s="706" t="s">
        <v>5315</v>
      </c>
      <c r="AA55" s="707" t="s">
        <v>5316</v>
      </c>
      <c r="AB55" s="706" t="s">
        <v>5317</v>
      </c>
      <c r="AC55" s="707" t="s">
        <v>5318</v>
      </c>
      <c r="AD55" s="706" t="s">
        <v>5319</v>
      </c>
      <c r="AE55" s="707" t="s">
        <v>5320</v>
      </c>
      <c r="AF55" s="706" t="s">
        <v>5321</v>
      </c>
      <c r="AG55" s="707" t="s">
        <v>5322</v>
      </c>
      <c r="AH55" s="706" t="s">
        <v>5323</v>
      </c>
      <c r="AI55" s="707" t="s">
        <v>5324</v>
      </c>
      <c r="AJ55" s="706" t="s">
        <v>5325</v>
      </c>
      <c r="AK55" s="707" t="s">
        <v>5326</v>
      </c>
      <c r="AL55" s="706" t="s">
        <v>5327</v>
      </c>
      <c r="AM55" s="708" t="s">
        <v>5328</v>
      </c>
      <c r="AN55" s="707" t="s">
        <v>5329</v>
      </c>
      <c r="AO55" s="709" t="s">
        <v>5330</v>
      </c>
      <c r="AP55" s="709" t="s">
        <v>5331</v>
      </c>
      <c r="AQ55" s="709" t="s">
        <v>5332</v>
      </c>
      <c r="AR55" s="709" t="s">
        <v>5333</v>
      </c>
      <c r="AS55" s="709" t="s">
        <v>5334</v>
      </c>
      <c r="AT55" s="709" t="s">
        <v>5335</v>
      </c>
      <c r="AU55" s="709" t="s">
        <v>5336</v>
      </c>
      <c r="AV55" s="709" t="s">
        <v>5337</v>
      </c>
      <c r="AW55" s="709" t="s">
        <v>5338</v>
      </c>
      <c r="AX55" s="709" t="s">
        <v>5339</v>
      </c>
    </row>
    <row r="56" spans="1:84" ht="18" customHeight="1" x14ac:dyDescent="0.3">
      <c r="A56" s="6234"/>
      <c r="B56" s="8586" t="s">
        <v>620</v>
      </c>
      <c r="C56" s="8586"/>
      <c r="D56" s="8586"/>
      <c r="E56" s="8586"/>
      <c r="F56" s="8586"/>
      <c r="G56" s="8586"/>
      <c r="H56" s="8586"/>
      <c r="I56" s="8586"/>
      <c r="J56" s="8586"/>
      <c r="K56" s="8586"/>
      <c r="L56" s="8586"/>
      <c r="M56" s="8586"/>
      <c r="N56" s="8586"/>
      <c r="O56" s="8586"/>
      <c r="P56" s="8586"/>
      <c r="Q56" s="8586"/>
      <c r="R56" s="8586"/>
      <c r="S56" s="8586"/>
      <c r="T56" s="8586"/>
      <c r="U56" s="8586"/>
      <c r="V56" s="8586"/>
      <c r="W56" s="8586"/>
      <c r="X56" s="8586"/>
      <c r="Y56" s="8586"/>
      <c r="Z56" s="8586"/>
      <c r="AA56" s="8586"/>
      <c r="AB56" s="8586"/>
      <c r="AC56" s="8586"/>
      <c r="AD56" s="8586"/>
      <c r="AE56" s="8586"/>
      <c r="AF56" s="8586"/>
      <c r="AG56" s="8586"/>
      <c r="AH56" s="8586"/>
      <c r="AI56" s="8586"/>
      <c r="AJ56" s="8586"/>
      <c r="AK56" s="8586"/>
      <c r="AL56" s="8586"/>
      <c r="AM56" s="8586"/>
      <c r="AN56" s="8586"/>
      <c r="AO56" s="8586"/>
      <c r="AP56" s="8586"/>
    </row>
    <row r="57" spans="1:84" ht="18" customHeight="1" x14ac:dyDescent="0.3">
      <c r="A57" s="6234"/>
      <c r="B57" s="8560" t="s">
        <v>621</v>
      </c>
      <c r="C57" s="8560"/>
      <c r="D57" s="8560"/>
      <c r="E57" s="8560"/>
      <c r="F57" s="8560"/>
      <c r="G57" s="8560"/>
      <c r="H57" s="8560"/>
      <c r="I57" s="8560"/>
      <c r="J57" s="8560"/>
      <c r="K57" s="8560"/>
      <c r="L57" s="8560"/>
      <c r="M57" s="8560"/>
      <c r="N57" s="8560"/>
      <c r="O57" s="8560"/>
      <c r="P57" s="8560"/>
      <c r="Q57" s="8560"/>
      <c r="R57" s="8560"/>
      <c r="S57" s="8560"/>
      <c r="T57" s="8560"/>
      <c r="U57" s="8560"/>
      <c r="V57" s="8560"/>
      <c r="W57" s="8560"/>
      <c r="X57" s="8560"/>
      <c r="Y57" s="8560"/>
      <c r="Z57" s="8560"/>
      <c r="AA57" s="8560"/>
      <c r="AB57" s="8560"/>
      <c r="AC57" s="8560"/>
      <c r="AD57" s="8560"/>
      <c r="AE57" s="8560"/>
      <c r="AF57" s="8560"/>
      <c r="AG57" s="8560"/>
      <c r="AH57" s="8560"/>
      <c r="AI57" s="8560"/>
      <c r="AJ57" s="8560"/>
      <c r="AK57" s="8560"/>
      <c r="AL57" s="8560"/>
      <c r="AM57" s="8560"/>
      <c r="AN57" s="8560"/>
    </row>
    <row r="58" spans="1:84" x14ac:dyDescent="0.3">
      <c r="A58" s="6234"/>
      <c r="B58" s="7171" t="s">
        <v>575</v>
      </c>
      <c r="C58" s="7187"/>
      <c r="D58" s="7171" t="s">
        <v>24</v>
      </c>
      <c r="E58" s="8565"/>
      <c r="F58" s="8566"/>
      <c r="G58" s="8570" t="s">
        <v>30</v>
      </c>
      <c r="H58" s="8571"/>
      <c r="I58" s="8571"/>
      <c r="J58" s="8571"/>
      <c r="K58" s="8571"/>
      <c r="L58" s="8571"/>
      <c r="M58" s="8571"/>
      <c r="N58" s="8571"/>
      <c r="O58" s="8571"/>
      <c r="P58" s="8571"/>
      <c r="Q58" s="8571"/>
      <c r="R58" s="8571"/>
      <c r="S58" s="8571"/>
      <c r="T58" s="8571"/>
      <c r="U58" s="8571"/>
      <c r="V58" s="8571"/>
      <c r="W58" s="8571"/>
      <c r="X58" s="8571"/>
      <c r="Y58" s="8571"/>
      <c r="Z58" s="8571"/>
      <c r="AA58" s="8571"/>
      <c r="AB58" s="8571"/>
      <c r="AC58" s="8571"/>
      <c r="AD58" s="8571"/>
      <c r="AE58" s="8571"/>
      <c r="AF58" s="8571"/>
      <c r="AG58" s="8571"/>
      <c r="AH58" s="8571"/>
      <c r="AI58" s="8571"/>
      <c r="AJ58" s="8571"/>
      <c r="AK58" s="8571"/>
      <c r="AL58" s="8571"/>
      <c r="AM58" s="8571"/>
      <c r="AN58" s="8572"/>
      <c r="AO58" s="8573" t="s">
        <v>546</v>
      </c>
      <c r="AP58" s="8508" t="s">
        <v>3</v>
      </c>
    </row>
    <row r="59" spans="1:84" x14ac:dyDescent="0.3">
      <c r="A59" s="6234"/>
      <c r="B59" s="8561"/>
      <c r="C59" s="8562"/>
      <c r="D59" s="8567"/>
      <c r="E59" s="8568"/>
      <c r="F59" s="8569"/>
      <c r="G59" s="8576" t="s">
        <v>36</v>
      </c>
      <c r="H59" s="8577"/>
      <c r="I59" s="8578" t="s">
        <v>37</v>
      </c>
      <c r="J59" s="8577"/>
      <c r="K59" s="8578" t="s">
        <v>206</v>
      </c>
      <c r="L59" s="8577"/>
      <c r="M59" s="8578" t="s">
        <v>622</v>
      </c>
      <c r="N59" s="8577"/>
      <c r="O59" s="8578" t="s">
        <v>623</v>
      </c>
      <c r="P59" s="8577"/>
      <c r="Q59" s="8578" t="s">
        <v>624</v>
      </c>
      <c r="R59" s="8577"/>
      <c r="S59" s="8578" t="s">
        <v>625</v>
      </c>
      <c r="T59" s="8577"/>
      <c r="U59" s="8578" t="s">
        <v>207</v>
      </c>
      <c r="V59" s="8577"/>
      <c r="W59" s="8578" t="s">
        <v>208</v>
      </c>
      <c r="X59" s="8577"/>
      <c r="Y59" s="8578" t="s">
        <v>626</v>
      </c>
      <c r="Z59" s="8577"/>
      <c r="AA59" s="8578" t="s">
        <v>209</v>
      </c>
      <c r="AB59" s="8577"/>
      <c r="AC59" s="8578" t="s">
        <v>210</v>
      </c>
      <c r="AD59" s="8577"/>
      <c r="AE59" s="8578" t="s">
        <v>211</v>
      </c>
      <c r="AF59" s="8577"/>
      <c r="AG59" s="8578" t="s">
        <v>212</v>
      </c>
      <c r="AH59" s="8577"/>
      <c r="AI59" s="8578" t="s">
        <v>213</v>
      </c>
      <c r="AJ59" s="8577"/>
      <c r="AK59" s="8578" t="s">
        <v>214</v>
      </c>
      <c r="AL59" s="8577"/>
      <c r="AM59" s="8579" t="s">
        <v>627</v>
      </c>
      <c r="AN59" s="8572"/>
      <c r="AO59" s="6759"/>
      <c r="AP59" s="8575"/>
    </row>
    <row r="60" spans="1:84" x14ac:dyDescent="0.3">
      <c r="A60" s="6234"/>
      <c r="B60" s="8563"/>
      <c r="C60" s="8564"/>
      <c r="D60" s="662" t="s">
        <v>26</v>
      </c>
      <c r="E60" s="663" t="s">
        <v>22</v>
      </c>
      <c r="F60" s="664" t="s">
        <v>27</v>
      </c>
      <c r="G60" s="665" t="s">
        <v>22</v>
      </c>
      <c r="H60" s="661" t="s">
        <v>27</v>
      </c>
      <c r="I60" s="656" t="s">
        <v>22</v>
      </c>
      <c r="J60" s="661" t="s">
        <v>27</v>
      </c>
      <c r="K60" s="656" t="s">
        <v>22</v>
      </c>
      <c r="L60" s="661" t="s">
        <v>27</v>
      </c>
      <c r="M60" s="656" t="s">
        <v>22</v>
      </c>
      <c r="N60" s="661" t="s">
        <v>27</v>
      </c>
      <c r="O60" s="656" t="s">
        <v>22</v>
      </c>
      <c r="P60" s="661" t="s">
        <v>27</v>
      </c>
      <c r="Q60" s="656" t="s">
        <v>22</v>
      </c>
      <c r="R60" s="661" t="s">
        <v>27</v>
      </c>
      <c r="S60" s="656" t="s">
        <v>22</v>
      </c>
      <c r="T60" s="661" t="s">
        <v>27</v>
      </c>
      <c r="U60" s="656" t="s">
        <v>22</v>
      </c>
      <c r="V60" s="661" t="s">
        <v>27</v>
      </c>
      <c r="W60" s="656" t="s">
        <v>22</v>
      </c>
      <c r="X60" s="661" t="s">
        <v>27</v>
      </c>
      <c r="Y60" s="656" t="s">
        <v>22</v>
      </c>
      <c r="Z60" s="661" t="s">
        <v>27</v>
      </c>
      <c r="AA60" s="656" t="s">
        <v>22</v>
      </c>
      <c r="AB60" s="661" t="s">
        <v>27</v>
      </c>
      <c r="AC60" s="656" t="s">
        <v>22</v>
      </c>
      <c r="AD60" s="661" t="s">
        <v>27</v>
      </c>
      <c r="AE60" s="656" t="s">
        <v>22</v>
      </c>
      <c r="AF60" s="661" t="s">
        <v>27</v>
      </c>
      <c r="AG60" s="656" t="s">
        <v>22</v>
      </c>
      <c r="AH60" s="661" t="s">
        <v>27</v>
      </c>
      <c r="AI60" s="656" t="s">
        <v>22</v>
      </c>
      <c r="AJ60" s="661" t="s">
        <v>27</v>
      </c>
      <c r="AK60" s="656" t="s">
        <v>22</v>
      </c>
      <c r="AL60" s="661" t="s">
        <v>27</v>
      </c>
      <c r="AM60" s="656" t="s">
        <v>22</v>
      </c>
      <c r="AN60" s="666" t="s">
        <v>27</v>
      </c>
      <c r="AO60" s="8574"/>
      <c r="AP60" s="7821" t="s">
        <v>27</v>
      </c>
    </row>
    <row r="61" spans="1:84" ht="15" customHeight="1" x14ac:dyDescent="0.3">
      <c r="A61" s="6234">
        <v>32101632</v>
      </c>
      <c r="B61" s="8580" t="s">
        <v>577</v>
      </c>
      <c r="C61" s="676" t="s">
        <v>578</v>
      </c>
      <c r="D61" s="668" t="s">
        <v>5292</v>
      </c>
      <c r="E61" s="669" t="s">
        <v>5293</v>
      </c>
      <c r="F61" s="668" t="s">
        <v>5294</v>
      </c>
      <c r="G61" s="670" t="s">
        <v>5295</v>
      </c>
      <c r="H61" s="671" t="s">
        <v>5296</v>
      </c>
      <c r="I61" s="670" t="s">
        <v>5297</v>
      </c>
      <c r="J61" s="671" t="s">
        <v>5298</v>
      </c>
      <c r="K61" s="670" t="s">
        <v>5299</v>
      </c>
      <c r="L61" s="671" t="s">
        <v>5300</v>
      </c>
      <c r="M61" s="670" t="s">
        <v>5301</v>
      </c>
      <c r="N61" s="671" t="s">
        <v>5302</v>
      </c>
      <c r="O61" s="670" t="s">
        <v>5303</v>
      </c>
      <c r="P61" s="671" t="s">
        <v>5304</v>
      </c>
      <c r="Q61" s="670" t="s">
        <v>5305</v>
      </c>
      <c r="R61" s="671" t="s">
        <v>5306</v>
      </c>
      <c r="S61" s="670" t="s">
        <v>5307</v>
      </c>
      <c r="T61" s="671" t="s">
        <v>5308</v>
      </c>
      <c r="U61" s="670" t="s">
        <v>5309</v>
      </c>
      <c r="V61" s="671" t="s">
        <v>5310</v>
      </c>
      <c r="W61" s="670" t="s">
        <v>5311</v>
      </c>
      <c r="X61" s="671" t="s">
        <v>5312</v>
      </c>
      <c r="Y61" s="670" t="s">
        <v>5313</v>
      </c>
      <c r="Z61" s="671" t="s">
        <v>5314</v>
      </c>
      <c r="AA61" s="670" t="s">
        <v>5315</v>
      </c>
      <c r="AB61" s="671" t="s">
        <v>5316</v>
      </c>
      <c r="AC61" s="670" t="s">
        <v>5317</v>
      </c>
      <c r="AD61" s="671" t="s">
        <v>5318</v>
      </c>
      <c r="AE61" s="670" t="s">
        <v>5319</v>
      </c>
      <c r="AF61" s="671" t="s">
        <v>5320</v>
      </c>
      <c r="AG61" s="670" t="s">
        <v>5321</v>
      </c>
      <c r="AH61" s="671" t="s">
        <v>5322</v>
      </c>
      <c r="AI61" s="670" t="s">
        <v>5323</v>
      </c>
      <c r="AJ61" s="671" t="s">
        <v>5324</v>
      </c>
      <c r="AK61" s="670" t="s">
        <v>5325</v>
      </c>
      <c r="AL61" s="671" t="s">
        <v>5326</v>
      </c>
      <c r="AM61" s="670" t="s">
        <v>5327</v>
      </c>
      <c r="AN61" s="674" t="s">
        <v>5328</v>
      </c>
      <c r="AO61" s="675" t="s">
        <v>5329</v>
      </c>
      <c r="AP61" s="671" t="s">
        <v>5330</v>
      </c>
      <c r="AQ61" t="str">
        <f>CB61&amp;CC61</f>
        <v xml:space="preserve"> * La variable pueblos originarios no puede ser mayor al Total Ambos Sexos. * La variable Migrantes no puede ser mayor al Total Ambos Sexos.</v>
      </c>
      <c r="CB61" s="2465" t="str">
        <f t="shared" ref="CB61:CB87" si="5">IF(AND(D61&gt;0,AO61="")," * No olvide digitar la variable Pueblos Originarios. Digite cero si no tiene.",IF(AO61&gt;D61," * La variable pueblos originarios no puede ser mayor al Total Ambos Sexos.",""))</f>
        <v xml:space="preserve"> * La variable pueblos originarios no puede ser mayor al Total Ambos Sexos.</v>
      </c>
      <c r="CC61" s="2465" t="str">
        <f t="shared" ref="CC61:CC87" si="6">IF(AND(D61&gt;0,AP61="")," * No olvide digitar la variable Migrantes. Digite cero si no tiene.",IF(AP61&gt;D61," * La variable Migrantes no puede ser mayor al Total Ambos Sexos.",""))</f>
        <v xml:space="preserve"> * La variable Migrantes no puede ser mayor al Total Ambos Sexos.</v>
      </c>
      <c r="CE61" s="1725">
        <f t="shared" ref="CE61:CE87" si="7">IF(AND(D61&gt;0,AO61=""),1,IF(AO61&gt;D61,1,0))</f>
        <v>1</v>
      </c>
      <c r="CF61" s="1725">
        <f t="shared" ref="CF61:CF87" si="8">IF(AND(D61&gt;0,AP61=""),1,IF(AP61&gt;D61,1,0))</f>
        <v>1</v>
      </c>
    </row>
    <row r="62" spans="1:84" ht="15" customHeight="1" x14ac:dyDescent="0.3">
      <c r="A62" s="6234">
        <v>32101633</v>
      </c>
      <c r="B62" s="8597"/>
      <c r="C62" s="676" t="s">
        <v>579</v>
      </c>
      <c r="D62" s="668" t="s">
        <v>5292</v>
      </c>
      <c r="E62" s="677" t="s">
        <v>5293</v>
      </c>
      <c r="F62" s="668" t="s">
        <v>5294</v>
      </c>
      <c r="G62" s="678" t="s">
        <v>5295</v>
      </c>
      <c r="H62" s="671" t="s">
        <v>5296</v>
      </c>
      <c r="I62" s="678" t="s">
        <v>5297</v>
      </c>
      <c r="J62" s="671" t="s">
        <v>5298</v>
      </c>
      <c r="K62" s="678" t="s">
        <v>5299</v>
      </c>
      <c r="L62" s="671" t="s">
        <v>5300</v>
      </c>
      <c r="M62" s="678" t="s">
        <v>5301</v>
      </c>
      <c r="N62" s="671" t="s">
        <v>5302</v>
      </c>
      <c r="O62" s="678" t="s">
        <v>5303</v>
      </c>
      <c r="P62" s="671" t="s">
        <v>5304</v>
      </c>
      <c r="Q62" s="678" t="s">
        <v>5305</v>
      </c>
      <c r="R62" s="671" t="s">
        <v>5306</v>
      </c>
      <c r="S62" s="678" t="s">
        <v>5307</v>
      </c>
      <c r="T62" s="671" t="s">
        <v>5308</v>
      </c>
      <c r="U62" s="678" t="s">
        <v>5309</v>
      </c>
      <c r="V62" s="671" t="s">
        <v>5310</v>
      </c>
      <c r="W62" s="678" t="s">
        <v>5311</v>
      </c>
      <c r="X62" s="671" t="s">
        <v>5312</v>
      </c>
      <c r="Y62" s="678" t="s">
        <v>5313</v>
      </c>
      <c r="Z62" s="671" t="s">
        <v>5314</v>
      </c>
      <c r="AA62" s="678" t="s">
        <v>5315</v>
      </c>
      <c r="AB62" s="671" t="s">
        <v>5316</v>
      </c>
      <c r="AC62" s="678" t="s">
        <v>5317</v>
      </c>
      <c r="AD62" s="671" t="s">
        <v>5318</v>
      </c>
      <c r="AE62" s="678" t="s">
        <v>5319</v>
      </c>
      <c r="AF62" s="671" t="s">
        <v>5320</v>
      </c>
      <c r="AG62" s="678" t="s">
        <v>5321</v>
      </c>
      <c r="AH62" s="671" t="s">
        <v>5322</v>
      </c>
      <c r="AI62" s="678" t="s">
        <v>5323</v>
      </c>
      <c r="AJ62" s="671" t="s">
        <v>5324</v>
      </c>
      <c r="AK62" s="678" t="s">
        <v>5325</v>
      </c>
      <c r="AL62" s="671" t="s">
        <v>5326</v>
      </c>
      <c r="AM62" s="678" t="s">
        <v>5327</v>
      </c>
      <c r="AN62" s="674" t="s">
        <v>5328</v>
      </c>
      <c r="AO62" s="675" t="s">
        <v>5329</v>
      </c>
      <c r="AP62" s="671" t="s">
        <v>5330</v>
      </c>
      <c r="AQ62" t="str">
        <f t="shared" ref="AQ62:AQ87" si="9">CB62&amp;CC62</f>
        <v xml:space="preserve"> * La variable pueblos originarios no puede ser mayor al Total Ambos Sexos. * La variable Migrantes no puede ser mayor al Total Ambos Sexos.</v>
      </c>
      <c r="CB62" s="2465" t="str">
        <f t="shared" si="5"/>
        <v xml:space="preserve"> * La variable pueblos originarios no puede ser mayor al Total Ambos Sexos.</v>
      </c>
      <c r="CC62" s="2465" t="str">
        <f t="shared" si="6"/>
        <v xml:space="preserve"> * La variable Migrantes no puede ser mayor al Total Ambos Sexos.</v>
      </c>
      <c r="CE62" s="1725">
        <f t="shared" si="7"/>
        <v>1</v>
      </c>
      <c r="CF62" s="1725">
        <f t="shared" si="8"/>
        <v>1</v>
      </c>
    </row>
    <row r="63" spans="1:84" ht="15" customHeight="1" x14ac:dyDescent="0.3">
      <c r="A63" s="6234">
        <v>32101634</v>
      </c>
      <c r="B63" s="8597"/>
      <c r="C63" s="676" t="s">
        <v>580</v>
      </c>
      <c r="D63" s="668" t="s">
        <v>5292</v>
      </c>
      <c r="E63" s="677" t="s">
        <v>5293</v>
      </c>
      <c r="F63" s="668" t="s">
        <v>5294</v>
      </c>
      <c r="G63" s="678" t="s">
        <v>5295</v>
      </c>
      <c r="H63" s="671" t="s">
        <v>5296</v>
      </c>
      <c r="I63" s="678" t="s">
        <v>5297</v>
      </c>
      <c r="J63" s="671" t="s">
        <v>5298</v>
      </c>
      <c r="K63" s="678" t="s">
        <v>5299</v>
      </c>
      <c r="L63" s="671" t="s">
        <v>5300</v>
      </c>
      <c r="M63" s="678" t="s">
        <v>5301</v>
      </c>
      <c r="N63" s="671" t="s">
        <v>5302</v>
      </c>
      <c r="O63" s="678" t="s">
        <v>5303</v>
      </c>
      <c r="P63" s="671" t="s">
        <v>5304</v>
      </c>
      <c r="Q63" s="678" t="s">
        <v>5305</v>
      </c>
      <c r="R63" s="671" t="s">
        <v>5306</v>
      </c>
      <c r="S63" s="678" t="s">
        <v>5307</v>
      </c>
      <c r="T63" s="671" t="s">
        <v>5308</v>
      </c>
      <c r="U63" s="678" t="s">
        <v>5309</v>
      </c>
      <c r="V63" s="671" t="s">
        <v>5310</v>
      </c>
      <c r="W63" s="678" t="s">
        <v>5311</v>
      </c>
      <c r="X63" s="671" t="s">
        <v>5312</v>
      </c>
      <c r="Y63" s="678" t="s">
        <v>5313</v>
      </c>
      <c r="Z63" s="671" t="s">
        <v>5314</v>
      </c>
      <c r="AA63" s="678" t="s">
        <v>5315</v>
      </c>
      <c r="AB63" s="671" t="s">
        <v>5316</v>
      </c>
      <c r="AC63" s="678" t="s">
        <v>5317</v>
      </c>
      <c r="AD63" s="671" t="s">
        <v>5318</v>
      </c>
      <c r="AE63" s="678" t="s">
        <v>5319</v>
      </c>
      <c r="AF63" s="671" t="s">
        <v>5320</v>
      </c>
      <c r="AG63" s="678" t="s">
        <v>5321</v>
      </c>
      <c r="AH63" s="671" t="s">
        <v>5322</v>
      </c>
      <c r="AI63" s="678" t="s">
        <v>5323</v>
      </c>
      <c r="AJ63" s="671" t="s">
        <v>5324</v>
      </c>
      <c r="AK63" s="678" t="s">
        <v>5325</v>
      </c>
      <c r="AL63" s="671" t="s">
        <v>5326</v>
      </c>
      <c r="AM63" s="678" t="s">
        <v>5327</v>
      </c>
      <c r="AN63" s="674" t="s">
        <v>5328</v>
      </c>
      <c r="AO63" s="675" t="s">
        <v>5329</v>
      </c>
      <c r="AP63" s="671" t="s">
        <v>5330</v>
      </c>
      <c r="AQ63" t="str">
        <f t="shared" si="9"/>
        <v xml:space="preserve"> * La variable pueblos originarios no puede ser mayor al Total Ambos Sexos. * La variable Migrantes no puede ser mayor al Total Ambos Sexos.</v>
      </c>
      <c r="CB63" s="2465" t="str">
        <f t="shared" si="5"/>
        <v xml:space="preserve"> * La variable pueblos originarios no puede ser mayor al Total Ambos Sexos.</v>
      </c>
      <c r="CC63" s="2465" t="str">
        <f t="shared" si="6"/>
        <v xml:space="preserve"> * La variable Migrantes no puede ser mayor al Total Ambos Sexos.</v>
      </c>
      <c r="CE63" s="1725">
        <f t="shared" si="7"/>
        <v>1</v>
      </c>
      <c r="CF63" s="1725">
        <f t="shared" si="8"/>
        <v>1</v>
      </c>
    </row>
    <row r="64" spans="1:84" ht="15" customHeight="1" x14ac:dyDescent="0.3">
      <c r="A64" s="6234">
        <v>32101635</v>
      </c>
      <c r="B64" s="8597"/>
      <c r="C64" s="676" t="s">
        <v>581</v>
      </c>
      <c r="D64" s="668" t="s">
        <v>5292</v>
      </c>
      <c r="E64" s="677" t="s">
        <v>5293</v>
      </c>
      <c r="F64" s="668" t="s">
        <v>5294</v>
      </c>
      <c r="G64" s="678" t="s">
        <v>5295</v>
      </c>
      <c r="H64" s="671" t="s">
        <v>5296</v>
      </c>
      <c r="I64" s="678" t="s">
        <v>5297</v>
      </c>
      <c r="J64" s="671" t="s">
        <v>5298</v>
      </c>
      <c r="K64" s="678" t="s">
        <v>5299</v>
      </c>
      <c r="L64" s="671" t="s">
        <v>5300</v>
      </c>
      <c r="M64" s="678" t="s">
        <v>5301</v>
      </c>
      <c r="N64" s="671" t="s">
        <v>5302</v>
      </c>
      <c r="O64" s="678" t="s">
        <v>5303</v>
      </c>
      <c r="P64" s="671" t="s">
        <v>5304</v>
      </c>
      <c r="Q64" s="678" t="s">
        <v>5305</v>
      </c>
      <c r="R64" s="671" t="s">
        <v>5306</v>
      </c>
      <c r="S64" s="678" t="s">
        <v>5307</v>
      </c>
      <c r="T64" s="671" t="s">
        <v>5308</v>
      </c>
      <c r="U64" s="678" t="s">
        <v>5309</v>
      </c>
      <c r="V64" s="671" t="s">
        <v>5310</v>
      </c>
      <c r="W64" s="678" t="s">
        <v>5311</v>
      </c>
      <c r="X64" s="671" t="s">
        <v>5312</v>
      </c>
      <c r="Y64" s="678" t="s">
        <v>5313</v>
      </c>
      <c r="Z64" s="671" t="s">
        <v>5314</v>
      </c>
      <c r="AA64" s="678" t="s">
        <v>5315</v>
      </c>
      <c r="AB64" s="671" t="s">
        <v>5316</v>
      </c>
      <c r="AC64" s="678" t="s">
        <v>5317</v>
      </c>
      <c r="AD64" s="671" t="s">
        <v>5318</v>
      </c>
      <c r="AE64" s="678" t="s">
        <v>5319</v>
      </c>
      <c r="AF64" s="671" t="s">
        <v>5320</v>
      </c>
      <c r="AG64" s="678" t="s">
        <v>5321</v>
      </c>
      <c r="AH64" s="671" t="s">
        <v>5322</v>
      </c>
      <c r="AI64" s="678" t="s">
        <v>5323</v>
      </c>
      <c r="AJ64" s="671" t="s">
        <v>5324</v>
      </c>
      <c r="AK64" s="678" t="s">
        <v>5325</v>
      </c>
      <c r="AL64" s="671" t="s">
        <v>5326</v>
      </c>
      <c r="AM64" s="678" t="s">
        <v>5327</v>
      </c>
      <c r="AN64" s="674" t="s">
        <v>5328</v>
      </c>
      <c r="AO64" s="675" t="s">
        <v>5329</v>
      </c>
      <c r="AP64" s="671" t="s">
        <v>5330</v>
      </c>
      <c r="AQ64" t="str">
        <f t="shared" si="9"/>
        <v xml:space="preserve"> * La variable pueblos originarios no puede ser mayor al Total Ambos Sexos. * La variable Migrantes no puede ser mayor al Total Ambos Sexos.</v>
      </c>
      <c r="CB64" s="2465" t="str">
        <f t="shared" si="5"/>
        <v xml:space="preserve"> * La variable pueblos originarios no puede ser mayor al Total Ambos Sexos.</v>
      </c>
      <c r="CC64" s="2465" t="str">
        <f t="shared" si="6"/>
        <v xml:space="preserve"> * La variable Migrantes no puede ser mayor al Total Ambos Sexos.</v>
      </c>
      <c r="CE64" s="1725">
        <f t="shared" si="7"/>
        <v>1</v>
      </c>
      <c r="CF64" s="1725">
        <f t="shared" si="8"/>
        <v>1</v>
      </c>
    </row>
    <row r="65" spans="1:84" ht="15" customHeight="1" x14ac:dyDescent="0.3">
      <c r="A65" s="6234">
        <v>32101636</v>
      </c>
      <c r="B65" s="8597"/>
      <c r="C65" s="676" t="s">
        <v>582</v>
      </c>
      <c r="D65" s="668" t="s">
        <v>5292</v>
      </c>
      <c r="E65" s="677" t="s">
        <v>5293</v>
      </c>
      <c r="F65" s="668" t="s">
        <v>5294</v>
      </c>
      <c r="G65" s="678" t="s">
        <v>5295</v>
      </c>
      <c r="H65" s="671" t="s">
        <v>5296</v>
      </c>
      <c r="I65" s="678" t="s">
        <v>5297</v>
      </c>
      <c r="J65" s="671" t="s">
        <v>5298</v>
      </c>
      <c r="K65" s="678" t="s">
        <v>5299</v>
      </c>
      <c r="L65" s="671" t="s">
        <v>5300</v>
      </c>
      <c r="M65" s="678" t="s">
        <v>5301</v>
      </c>
      <c r="N65" s="671" t="s">
        <v>5302</v>
      </c>
      <c r="O65" s="678" t="s">
        <v>5303</v>
      </c>
      <c r="P65" s="671" t="s">
        <v>5304</v>
      </c>
      <c r="Q65" s="678" t="s">
        <v>5305</v>
      </c>
      <c r="R65" s="671" t="s">
        <v>5306</v>
      </c>
      <c r="S65" s="678" t="s">
        <v>5307</v>
      </c>
      <c r="T65" s="671" t="s">
        <v>5308</v>
      </c>
      <c r="U65" s="678" t="s">
        <v>5309</v>
      </c>
      <c r="V65" s="671" t="s">
        <v>5310</v>
      </c>
      <c r="W65" s="678" t="s">
        <v>5311</v>
      </c>
      <c r="X65" s="671" t="s">
        <v>5312</v>
      </c>
      <c r="Y65" s="678" t="s">
        <v>5313</v>
      </c>
      <c r="Z65" s="671" t="s">
        <v>5314</v>
      </c>
      <c r="AA65" s="678" t="s">
        <v>5315</v>
      </c>
      <c r="AB65" s="671" t="s">
        <v>5316</v>
      </c>
      <c r="AC65" s="678" t="s">
        <v>5317</v>
      </c>
      <c r="AD65" s="671" t="s">
        <v>5318</v>
      </c>
      <c r="AE65" s="678" t="s">
        <v>5319</v>
      </c>
      <c r="AF65" s="671" t="s">
        <v>5320</v>
      </c>
      <c r="AG65" s="678" t="s">
        <v>5321</v>
      </c>
      <c r="AH65" s="671" t="s">
        <v>5322</v>
      </c>
      <c r="AI65" s="678" t="s">
        <v>5323</v>
      </c>
      <c r="AJ65" s="671" t="s">
        <v>5324</v>
      </c>
      <c r="AK65" s="678" t="s">
        <v>5325</v>
      </c>
      <c r="AL65" s="671" t="s">
        <v>5326</v>
      </c>
      <c r="AM65" s="678" t="s">
        <v>5327</v>
      </c>
      <c r="AN65" s="674" t="s">
        <v>5328</v>
      </c>
      <c r="AO65" s="675" t="s">
        <v>5329</v>
      </c>
      <c r="AP65" s="671" t="s">
        <v>5330</v>
      </c>
      <c r="AQ65" t="str">
        <f t="shared" si="9"/>
        <v xml:space="preserve"> * La variable pueblos originarios no puede ser mayor al Total Ambos Sexos. * La variable Migrantes no puede ser mayor al Total Ambos Sexos.</v>
      </c>
      <c r="CB65" s="2465" t="str">
        <f t="shared" si="5"/>
        <v xml:space="preserve"> * La variable pueblos originarios no puede ser mayor al Total Ambos Sexos.</v>
      </c>
      <c r="CC65" s="2465" t="str">
        <f t="shared" si="6"/>
        <v xml:space="preserve"> * La variable Migrantes no puede ser mayor al Total Ambos Sexos.</v>
      </c>
      <c r="CE65" s="1725">
        <f t="shared" si="7"/>
        <v>1</v>
      </c>
      <c r="CF65" s="1725">
        <f t="shared" si="8"/>
        <v>1</v>
      </c>
    </row>
    <row r="66" spans="1:84" ht="15" customHeight="1" x14ac:dyDescent="0.3">
      <c r="A66" s="6234">
        <v>32101637</v>
      </c>
      <c r="B66" s="8597"/>
      <c r="C66" s="679" t="s">
        <v>583</v>
      </c>
      <c r="D66" s="668" t="s">
        <v>5292</v>
      </c>
      <c r="E66" s="677" t="s">
        <v>5293</v>
      </c>
      <c r="F66" s="668" t="s">
        <v>5294</v>
      </c>
      <c r="G66" s="678" t="s">
        <v>5295</v>
      </c>
      <c r="H66" s="671" t="s">
        <v>5296</v>
      </c>
      <c r="I66" s="678" t="s">
        <v>5297</v>
      </c>
      <c r="J66" s="671" t="s">
        <v>5298</v>
      </c>
      <c r="K66" s="678" t="s">
        <v>5299</v>
      </c>
      <c r="L66" s="671" t="s">
        <v>5300</v>
      </c>
      <c r="M66" s="678" t="s">
        <v>5301</v>
      </c>
      <c r="N66" s="671" t="s">
        <v>5302</v>
      </c>
      <c r="O66" s="678" t="s">
        <v>5303</v>
      </c>
      <c r="P66" s="671" t="s">
        <v>5304</v>
      </c>
      <c r="Q66" s="678" t="s">
        <v>5305</v>
      </c>
      <c r="R66" s="671" t="s">
        <v>5306</v>
      </c>
      <c r="S66" s="678" t="s">
        <v>5307</v>
      </c>
      <c r="T66" s="671" t="s">
        <v>5308</v>
      </c>
      <c r="U66" s="678" t="s">
        <v>5309</v>
      </c>
      <c r="V66" s="671" t="s">
        <v>5310</v>
      </c>
      <c r="W66" s="678" t="s">
        <v>5311</v>
      </c>
      <c r="X66" s="671" t="s">
        <v>5312</v>
      </c>
      <c r="Y66" s="678" t="s">
        <v>5313</v>
      </c>
      <c r="Z66" s="671" t="s">
        <v>5314</v>
      </c>
      <c r="AA66" s="678" t="s">
        <v>5315</v>
      </c>
      <c r="AB66" s="671" t="s">
        <v>5316</v>
      </c>
      <c r="AC66" s="678" t="s">
        <v>5317</v>
      </c>
      <c r="AD66" s="671" t="s">
        <v>5318</v>
      </c>
      <c r="AE66" s="678" t="s">
        <v>5319</v>
      </c>
      <c r="AF66" s="671" t="s">
        <v>5320</v>
      </c>
      <c r="AG66" s="678" t="s">
        <v>5321</v>
      </c>
      <c r="AH66" s="671" t="s">
        <v>5322</v>
      </c>
      <c r="AI66" s="678" t="s">
        <v>5323</v>
      </c>
      <c r="AJ66" s="671" t="s">
        <v>5324</v>
      </c>
      <c r="AK66" s="678" t="s">
        <v>5325</v>
      </c>
      <c r="AL66" s="671" t="s">
        <v>5326</v>
      </c>
      <c r="AM66" s="678" t="s">
        <v>5327</v>
      </c>
      <c r="AN66" s="674" t="s">
        <v>5328</v>
      </c>
      <c r="AO66" s="675" t="s">
        <v>5329</v>
      </c>
      <c r="AP66" s="671" t="s">
        <v>5330</v>
      </c>
      <c r="AQ66" t="str">
        <f t="shared" si="9"/>
        <v xml:space="preserve"> * La variable pueblos originarios no puede ser mayor al Total Ambos Sexos. * La variable Migrantes no puede ser mayor al Total Ambos Sexos.</v>
      </c>
      <c r="CB66" s="2465" t="str">
        <f t="shared" si="5"/>
        <v xml:space="preserve"> * La variable pueblos originarios no puede ser mayor al Total Ambos Sexos.</v>
      </c>
      <c r="CC66" s="2465" t="str">
        <f t="shared" si="6"/>
        <v xml:space="preserve"> * La variable Migrantes no puede ser mayor al Total Ambos Sexos.</v>
      </c>
      <c r="CE66" s="1725">
        <f t="shared" si="7"/>
        <v>1</v>
      </c>
      <c r="CF66" s="1725">
        <f t="shared" si="8"/>
        <v>1</v>
      </c>
    </row>
    <row r="67" spans="1:84" ht="15" customHeight="1" x14ac:dyDescent="0.3">
      <c r="A67" s="6234">
        <v>32101638</v>
      </c>
      <c r="B67" s="8597"/>
      <c r="C67" s="676" t="s">
        <v>584</v>
      </c>
      <c r="D67" s="668" t="s">
        <v>5292</v>
      </c>
      <c r="E67" s="677" t="s">
        <v>5293</v>
      </c>
      <c r="F67" s="668" t="s">
        <v>5294</v>
      </c>
      <c r="G67" s="678" t="s">
        <v>5295</v>
      </c>
      <c r="H67" s="671" t="s">
        <v>5296</v>
      </c>
      <c r="I67" s="678" t="s">
        <v>5297</v>
      </c>
      <c r="J67" s="671" t="s">
        <v>5298</v>
      </c>
      <c r="K67" s="678" t="s">
        <v>5299</v>
      </c>
      <c r="L67" s="671" t="s">
        <v>5300</v>
      </c>
      <c r="M67" s="678" t="s">
        <v>5301</v>
      </c>
      <c r="N67" s="671" t="s">
        <v>5302</v>
      </c>
      <c r="O67" s="678" t="s">
        <v>5303</v>
      </c>
      <c r="P67" s="671" t="s">
        <v>5304</v>
      </c>
      <c r="Q67" s="678" t="s">
        <v>5305</v>
      </c>
      <c r="R67" s="671" t="s">
        <v>5306</v>
      </c>
      <c r="S67" s="678" t="s">
        <v>5307</v>
      </c>
      <c r="T67" s="671" t="s">
        <v>5308</v>
      </c>
      <c r="U67" s="678" t="s">
        <v>5309</v>
      </c>
      <c r="V67" s="671" t="s">
        <v>5310</v>
      </c>
      <c r="W67" s="678" t="s">
        <v>5311</v>
      </c>
      <c r="X67" s="671" t="s">
        <v>5312</v>
      </c>
      <c r="Y67" s="678" t="s">
        <v>5313</v>
      </c>
      <c r="Z67" s="671" t="s">
        <v>5314</v>
      </c>
      <c r="AA67" s="678" t="s">
        <v>5315</v>
      </c>
      <c r="AB67" s="671" t="s">
        <v>5316</v>
      </c>
      <c r="AC67" s="678" t="s">
        <v>5317</v>
      </c>
      <c r="AD67" s="671" t="s">
        <v>5318</v>
      </c>
      <c r="AE67" s="678" t="s">
        <v>5319</v>
      </c>
      <c r="AF67" s="671" t="s">
        <v>5320</v>
      </c>
      <c r="AG67" s="678" t="s">
        <v>5321</v>
      </c>
      <c r="AH67" s="671" t="s">
        <v>5322</v>
      </c>
      <c r="AI67" s="678" t="s">
        <v>5323</v>
      </c>
      <c r="AJ67" s="671" t="s">
        <v>5324</v>
      </c>
      <c r="AK67" s="678" t="s">
        <v>5325</v>
      </c>
      <c r="AL67" s="671" t="s">
        <v>5326</v>
      </c>
      <c r="AM67" s="678" t="s">
        <v>5327</v>
      </c>
      <c r="AN67" s="674" t="s">
        <v>5328</v>
      </c>
      <c r="AO67" s="675" t="s">
        <v>5329</v>
      </c>
      <c r="AP67" s="671" t="s">
        <v>5330</v>
      </c>
      <c r="AQ67" t="str">
        <f t="shared" si="9"/>
        <v xml:space="preserve"> * La variable pueblos originarios no puede ser mayor al Total Ambos Sexos. * La variable Migrantes no puede ser mayor al Total Ambos Sexos.</v>
      </c>
      <c r="CB67" s="2465" t="str">
        <f t="shared" si="5"/>
        <v xml:space="preserve"> * La variable pueblos originarios no puede ser mayor al Total Ambos Sexos.</v>
      </c>
      <c r="CC67" s="2465" t="str">
        <f t="shared" si="6"/>
        <v xml:space="preserve"> * La variable Migrantes no puede ser mayor al Total Ambos Sexos.</v>
      </c>
      <c r="CE67" s="1725">
        <f t="shared" si="7"/>
        <v>1</v>
      </c>
      <c r="CF67" s="1725">
        <f t="shared" si="8"/>
        <v>1</v>
      </c>
    </row>
    <row r="68" spans="1:84" ht="15" customHeight="1" x14ac:dyDescent="0.3">
      <c r="A68" s="6234">
        <v>32101639</v>
      </c>
      <c r="B68" s="8597"/>
      <c r="C68" s="676" t="s">
        <v>585</v>
      </c>
      <c r="D68" s="668" t="s">
        <v>5292</v>
      </c>
      <c r="E68" s="677" t="s">
        <v>5293</v>
      </c>
      <c r="F68" s="668" t="s">
        <v>5294</v>
      </c>
      <c r="G68" s="678" t="s">
        <v>5295</v>
      </c>
      <c r="H68" s="671" t="s">
        <v>5296</v>
      </c>
      <c r="I68" s="678" t="s">
        <v>5297</v>
      </c>
      <c r="J68" s="671" t="s">
        <v>5298</v>
      </c>
      <c r="K68" s="678" t="s">
        <v>5299</v>
      </c>
      <c r="L68" s="671" t="s">
        <v>5300</v>
      </c>
      <c r="M68" s="678" t="s">
        <v>5301</v>
      </c>
      <c r="N68" s="671" t="s">
        <v>5302</v>
      </c>
      <c r="O68" s="678" t="s">
        <v>5303</v>
      </c>
      <c r="P68" s="671" t="s">
        <v>5304</v>
      </c>
      <c r="Q68" s="678" t="s">
        <v>5305</v>
      </c>
      <c r="R68" s="671" t="s">
        <v>5306</v>
      </c>
      <c r="S68" s="678" t="s">
        <v>5307</v>
      </c>
      <c r="T68" s="671" t="s">
        <v>5308</v>
      </c>
      <c r="U68" s="678" t="s">
        <v>5309</v>
      </c>
      <c r="V68" s="671" t="s">
        <v>5310</v>
      </c>
      <c r="W68" s="678" t="s">
        <v>5311</v>
      </c>
      <c r="X68" s="671" t="s">
        <v>5312</v>
      </c>
      <c r="Y68" s="678" t="s">
        <v>5313</v>
      </c>
      <c r="Z68" s="671" t="s">
        <v>5314</v>
      </c>
      <c r="AA68" s="678" t="s">
        <v>5315</v>
      </c>
      <c r="AB68" s="671" t="s">
        <v>5316</v>
      </c>
      <c r="AC68" s="678" t="s">
        <v>5317</v>
      </c>
      <c r="AD68" s="671" t="s">
        <v>5318</v>
      </c>
      <c r="AE68" s="678" t="s">
        <v>5319</v>
      </c>
      <c r="AF68" s="671" t="s">
        <v>5320</v>
      </c>
      <c r="AG68" s="678" t="s">
        <v>5321</v>
      </c>
      <c r="AH68" s="671" t="s">
        <v>5322</v>
      </c>
      <c r="AI68" s="678" t="s">
        <v>5323</v>
      </c>
      <c r="AJ68" s="671" t="s">
        <v>5324</v>
      </c>
      <c r="AK68" s="678" t="s">
        <v>5325</v>
      </c>
      <c r="AL68" s="671" t="s">
        <v>5326</v>
      </c>
      <c r="AM68" s="678" t="s">
        <v>5327</v>
      </c>
      <c r="AN68" s="674" t="s">
        <v>5328</v>
      </c>
      <c r="AO68" s="675" t="s">
        <v>5329</v>
      </c>
      <c r="AP68" s="671" t="s">
        <v>5330</v>
      </c>
      <c r="AQ68" t="str">
        <f t="shared" si="9"/>
        <v xml:space="preserve"> * La variable pueblos originarios no puede ser mayor al Total Ambos Sexos. * La variable Migrantes no puede ser mayor al Total Ambos Sexos.</v>
      </c>
      <c r="CB68" s="2465" t="str">
        <f t="shared" si="5"/>
        <v xml:space="preserve"> * La variable pueblos originarios no puede ser mayor al Total Ambos Sexos.</v>
      </c>
      <c r="CC68" s="2465" t="str">
        <f t="shared" si="6"/>
        <v xml:space="preserve"> * La variable Migrantes no puede ser mayor al Total Ambos Sexos.</v>
      </c>
      <c r="CE68" s="1725">
        <f t="shared" si="7"/>
        <v>1</v>
      </c>
      <c r="CF68" s="1725">
        <f t="shared" si="8"/>
        <v>1</v>
      </c>
    </row>
    <row r="69" spans="1:84" ht="15" customHeight="1" x14ac:dyDescent="0.3">
      <c r="A69" s="6234">
        <v>32101640</v>
      </c>
      <c r="B69" s="8597"/>
      <c r="C69" s="676" t="s">
        <v>586</v>
      </c>
      <c r="D69" s="668" t="s">
        <v>5292</v>
      </c>
      <c r="E69" s="677" t="s">
        <v>5293</v>
      </c>
      <c r="F69" s="668" t="s">
        <v>5294</v>
      </c>
      <c r="G69" s="678" t="s">
        <v>5295</v>
      </c>
      <c r="H69" s="671" t="s">
        <v>5296</v>
      </c>
      <c r="I69" s="678" t="s">
        <v>5297</v>
      </c>
      <c r="J69" s="671" t="s">
        <v>5298</v>
      </c>
      <c r="K69" s="678" t="s">
        <v>5299</v>
      </c>
      <c r="L69" s="671" t="s">
        <v>5300</v>
      </c>
      <c r="M69" s="678" t="s">
        <v>5301</v>
      </c>
      <c r="N69" s="671" t="s">
        <v>5302</v>
      </c>
      <c r="O69" s="678" t="s">
        <v>5303</v>
      </c>
      <c r="P69" s="671" t="s">
        <v>5304</v>
      </c>
      <c r="Q69" s="678" t="s">
        <v>5305</v>
      </c>
      <c r="R69" s="671" t="s">
        <v>5306</v>
      </c>
      <c r="S69" s="678" t="s">
        <v>5307</v>
      </c>
      <c r="T69" s="671" t="s">
        <v>5308</v>
      </c>
      <c r="U69" s="678" t="s">
        <v>5309</v>
      </c>
      <c r="V69" s="671" t="s">
        <v>5310</v>
      </c>
      <c r="W69" s="678" t="s">
        <v>5311</v>
      </c>
      <c r="X69" s="671" t="s">
        <v>5312</v>
      </c>
      <c r="Y69" s="678" t="s">
        <v>5313</v>
      </c>
      <c r="Z69" s="671" t="s">
        <v>5314</v>
      </c>
      <c r="AA69" s="678" t="s">
        <v>5315</v>
      </c>
      <c r="AB69" s="671" t="s">
        <v>5316</v>
      </c>
      <c r="AC69" s="678" t="s">
        <v>5317</v>
      </c>
      <c r="AD69" s="671" t="s">
        <v>5318</v>
      </c>
      <c r="AE69" s="678" t="s">
        <v>5319</v>
      </c>
      <c r="AF69" s="671" t="s">
        <v>5320</v>
      </c>
      <c r="AG69" s="678" t="s">
        <v>5321</v>
      </c>
      <c r="AH69" s="671" t="s">
        <v>5322</v>
      </c>
      <c r="AI69" s="678" t="s">
        <v>5323</v>
      </c>
      <c r="AJ69" s="671" t="s">
        <v>5324</v>
      </c>
      <c r="AK69" s="678" t="s">
        <v>5325</v>
      </c>
      <c r="AL69" s="671" t="s">
        <v>5326</v>
      </c>
      <c r="AM69" s="678" t="s">
        <v>5327</v>
      </c>
      <c r="AN69" s="674" t="s">
        <v>5328</v>
      </c>
      <c r="AO69" s="675" t="s">
        <v>5329</v>
      </c>
      <c r="AP69" s="671" t="s">
        <v>5330</v>
      </c>
      <c r="AQ69" t="str">
        <f t="shared" si="9"/>
        <v xml:space="preserve"> * La variable pueblos originarios no puede ser mayor al Total Ambos Sexos. * La variable Migrantes no puede ser mayor al Total Ambos Sexos.</v>
      </c>
      <c r="CB69" s="2465" t="str">
        <f t="shared" si="5"/>
        <v xml:space="preserve"> * La variable pueblos originarios no puede ser mayor al Total Ambos Sexos.</v>
      </c>
      <c r="CC69" s="2465" t="str">
        <f t="shared" si="6"/>
        <v xml:space="preserve"> * La variable Migrantes no puede ser mayor al Total Ambos Sexos.</v>
      </c>
      <c r="CE69" s="1725">
        <f t="shared" si="7"/>
        <v>1</v>
      </c>
      <c r="CF69" s="1725">
        <f t="shared" si="8"/>
        <v>1</v>
      </c>
    </row>
    <row r="70" spans="1:84" ht="15" customHeight="1" x14ac:dyDescent="0.3">
      <c r="A70" s="6234">
        <v>32101641</v>
      </c>
      <c r="B70" s="8597"/>
      <c r="C70" s="676" t="s">
        <v>587</v>
      </c>
      <c r="D70" s="668" t="s">
        <v>5292</v>
      </c>
      <c r="E70" s="677" t="s">
        <v>5293</v>
      </c>
      <c r="F70" s="668" t="s">
        <v>5294</v>
      </c>
      <c r="G70" s="678" t="s">
        <v>5295</v>
      </c>
      <c r="H70" s="671" t="s">
        <v>5296</v>
      </c>
      <c r="I70" s="678" t="s">
        <v>5297</v>
      </c>
      <c r="J70" s="671" t="s">
        <v>5298</v>
      </c>
      <c r="K70" s="678" t="s">
        <v>5299</v>
      </c>
      <c r="L70" s="671" t="s">
        <v>5300</v>
      </c>
      <c r="M70" s="678" t="s">
        <v>5301</v>
      </c>
      <c r="N70" s="671" t="s">
        <v>5302</v>
      </c>
      <c r="O70" s="678" t="s">
        <v>5303</v>
      </c>
      <c r="P70" s="671" t="s">
        <v>5304</v>
      </c>
      <c r="Q70" s="678" t="s">
        <v>5305</v>
      </c>
      <c r="R70" s="671" t="s">
        <v>5306</v>
      </c>
      <c r="S70" s="678" t="s">
        <v>5307</v>
      </c>
      <c r="T70" s="671" t="s">
        <v>5308</v>
      </c>
      <c r="U70" s="678" t="s">
        <v>5309</v>
      </c>
      <c r="V70" s="671" t="s">
        <v>5310</v>
      </c>
      <c r="W70" s="678" t="s">
        <v>5311</v>
      </c>
      <c r="X70" s="671" t="s">
        <v>5312</v>
      </c>
      <c r="Y70" s="678" t="s">
        <v>5313</v>
      </c>
      <c r="Z70" s="671" t="s">
        <v>5314</v>
      </c>
      <c r="AA70" s="678" t="s">
        <v>5315</v>
      </c>
      <c r="AB70" s="671" t="s">
        <v>5316</v>
      </c>
      <c r="AC70" s="678" t="s">
        <v>5317</v>
      </c>
      <c r="AD70" s="671" t="s">
        <v>5318</v>
      </c>
      <c r="AE70" s="678" t="s">
        <v>5319</v>
      </c>
      <c r="AF70" s="671" t="s">
        <v>5320</v>
      </c>
      <c r="AG70" s="678" t="s">
        <v>5321</v>
      </c>
      <c r="AH70" s="671" t="s">
        <v>5322</v>
      </c>
      <c r="AI70" s="678" t="s">
        <v>5323</v>
      </c>
      <c r="AJ70" s="671" t="s">
        <v>5324</v>
      </c>
      <c r="AK70" s="678" t="s">
        <v>5325</v>
      </c>
      <c r="AL70" s="671" t="s">
        <v>5326</v>
      </c>
      <c r="AM70" s="678" t="s">
        <v>5327</v>
      </c>
      <c r="AN70" s="674" t="s">
        <v>5328</v>
      </c>
      <c r="AO70" s="675" t="s">
        <v>5329</v>
      </c>
      <c r="AP70" s="671" t="s">
        <v>5330</v>
      </c>
      <c r="AQ70" t="str">
        <f t="shared" si="9"/>
        <v xml:space="preserve"> * La variable pueblos originarios no puede ser mayor al Total Ambos Sexos. * La variable Migrantes no puede ser mayor al Total Ambos Sexos.</v>
      </c>
      <c r="CB70" s="2465" t="str">
        <f t="shared" si="5"/>
        <v xml:space="preserve"> * La variable pueblos originarios no puede ser mayor al Total Ambos Sexos.</v>
      </c>
      <c r="CC70" s="2465" t="str">
        <f t="shared" si="6"/>
        <v xml:space="preserve"> * La variable Migrantes no puede ser mayor al Total Ambos Sexos.</v>
      </c>
      <c r="CE70" s="1725">
        <f t="shared" si="7"/>
        <v>1</v>
      </c>
      <c r="CF70" s="1725">
        <f t="shared" si="8"/>
        <v>1</v>
      </c>
    </row>
    <row r="71" spans="1:84" ht="15" customHeight="1" x14ac:dyDescent="0.3">
      <c r="A71" s="6234">
        <v>32101642</v>
      </c>
      <c r="B71" s="8597"/>
      <c r="C71" s="676" t="s">
        <v>588</v>
      </c>
      <c r="D71" s="668" t="s">
        <v>5292</v>
      </c>
      <c r="E71" s="677" t="s">
        <v>5293</v>
      </c>
      <c r="F71" s="668" t="s">
        <v>5294</v>
      </c>
      <c r="G71" s="678" t="s">
        <v>5295</v>
      </c>
      <c r="H71" s="671" t="s">
        <v>5296</v>
      </c>
      <c r="I71" s="678" t="s">
        <v>5297</v>
      </c>
      <c r="J71" s="671" t="s">
        <v>5298</v>
      </c>
      <c r="K71" s="678" t="s">
        <v>5299</v>
      </c>
      <c r="L71" s="671" t="s">
        <v>5300</v>
      </c>
      <c r="M71" s="678" t="s">
        <v>5301</v>
      </c>
      <c r="N71" s="671" t="s">
        <v>5302</v>
      </c>
      <c r="O71" s="678" t="s">
        <v>5303</v>
      </c>
      <c r="P71" s="671" t="s">
        <v>5304</v>
      </c>
      <c r="Q71" s="678" t="s">
        <v>5305</v>
      </c>
      <c r="R71" s="671" t="s">
        <v>5306</v>
      </c>
      <c r="S71" s="678" t="s">
        <v>5307</v>
      </c>
      <c r="T71" s="671" t="s">
        <v>5308</v>
      </c>
      <c r="U71" s="678" t="s">
        <v>5309</v>
      </c>
      <c r="V71" s="671" t="s">
        <v>5310</v>
      </c>
      <c r="W71" s="678" t="s">
        <v>5311</v>
      </c>
      <c r="X71" s="671" t="s">
        <v>5312</v>
      </c>
      <c r="Y71" s="678" t="s">
        <v>5313</v>
      </c>
      <c r="Z71" s="671" t="s">
        <v>5314</v>
      </c>
      <c r="AA71" s="678" t="s">
        <v>5315</v>
      </c>
      <c r="AB71" s="671" t="s">
        <v>5316</v>
      </c>
      <c r="AC71" s="678" t="s">
        <v>5317</v>
      </c>
      <c r="AD71" s="671" t="s">
        <v>5318</v>
      </c>
      <c r="AE71" s="678" t="s">
        <v>5319</v>
      </c>
      <c r="AF71" s="671" t="s">
        <v>5320</v>
      </c>
      <c r="AG71" s="678" t="s">
        <v>5321</v>
      </c>
      <c r="AH71" s="671" t="s">
        <v>5322</v>
      </c>
      <c r="AI71" s="678" t="s">
        <v>5323</v>
      </c>
      <c r="AJ71" s="671" t="s">
        <v>5324</v>
      </c>
      <c r="AK71" s="678" t="s">
        <v>5325</v>
      </c>
      <c r="AL71" s="671" t="s">
        <v>5326</v>
      </c>
      <c r="AM71" s="678" t="s">
        <v>5327</v>
      </c>
      <c r="AN71" s="674" t="s">
        <v>5328</v>
      </c>
      <c r="AO71" s="675" t="s">
        <v>5329</v>
      </c>
      <c r="AP71" s="671" t="s">
        <v>5330</v>
      </c>
      <c r="AQ71" t="str">
        <f t="shared" si="9"/>
        <v xml:space="preserve"> * La variable pueblos originarios no puede ser mayor al Total Ambos Sexos. * La variable Migrantes no puede ser mayor al Total Ambos Sexos.</v>
      </c>
      <c r="CB71" s="2465" t="str">
        <f t="shared" si="5"/>
        <v xml:space="preserve"> * La variable pueblos originarios no puede ser mayor al Total Ambos Sexos.</v>
      </c>
      <c r="CC71" s="2465" t="str">
        <f t="shared" si="6"/>
        <v xml:space="preserve"> * La variable Migrantes no puede ser mayor al Total Ambos Sexos.</v>
      </c>
      <c r="CE71" s="1725">
        <f t="shared" si="7"/>
        <v>1</v>
      </c>
      <c r="CF71" s="1725">
        <f t="shared" si="8"/>
        <v>1</v>
      </c>
    </row>
    <row r="72" spans="1:84" ht="24" customHeight="1" x14ac:dyDescent="0.3">
      <c r="A72" s="6234">
        <v>32101643</v>
      </c>
      <c r="B72" s="8597"/>
      <c r="C72" s="679" t="s">
        <v>589</v>
      </c>
      <c r="D72" s="668" t="s">
        <v>5292</v>
      </c>
      <c r="E72" s="677" t="s">
        <v>5293</v>
      </c>
      <c r="F72" s="668" t="s">
        <v>5294</v>
      </c>
      <c r="G72" s="678" t="s">
        <v>5295</v>
      </c>
      <c r="H72" s="671" t="s">
        <v>5296</v>
      </c>
      <c r="I72" s="678" t="s">
        <v>5297</v>
      </c>
      <c r="J72" s="671" t="s">
        <v>5298</v>
      </c>
      <c r="K72" s="678" t="s">
        <v>5299</v>
      </c>
      <c r="L72" s="671" t="s">
        <v>5300</v>
      </c>
      <c r="M72" s="678" t="s">
        <v>5301</v>
      </c>
      <c r="N72" s="671" t="s">
        <v>5302</v>
      </c>
      <c r="O72" s="678" t="s">
        <v>5303</v>
      </c>
      <c r="P72" s="671" t="s">
        <v>5304</v>
      </c>
      <c r="Q72" s="678" t="s">
        <v>5305</v>
      </c>
      <c r="R72" s="671" t="s">
        <v>5306</v>
      </c>
      <c r="S72" s="678" t="s">
        <v>5307</v>
      </c>
      <c r="T72" s="671" t="s">
        <v>5308</v>
      </c>
      <c r="U72" s="678" t="s">
        <v>5309</v>
      </c>
      <c r="V72" s="671" t="s">
        <v>5310</v>
      </c>
      <c r="W72" s="678" t="s">
        <v>5311</v>
      </c>
      <c r="X72" s="671" t="s">
        <v>5312</v>
      </c>
      <c r="Y72" s="678" t="s">
        <v>5313</v>
      </c>
      <c r="Z72" s="671" t="s">
        <v>5314</v>
      </c>
      <c r="AA72" s="678" t="s">
        <v>5315</v>
      </c>
      <c r="AB72" s="671" t="s">
        <v>5316</v>
      </c>
      <c r="AC72" s="678" t="s">
        <v>5317</v>
      </c>
      <c r="AD72" s="671" t="s">
        <v>5318</v>
      </c>
      <c r="AE72" s="678" t="s">
        <v>5319</v>
      </c>
      <c r="AF72" s="671" t="s">
        <v>5320</v>
      </c>
      <c r="AG72" s="678" t="s">
        <v>5321</v>
      </c>
      <c r="AH72" s="671" t="s">
        <v>5322</v>
      </c>
      <c r="AI72" s="678" t="s">
        <v>5323</v>
      </c>
      <c r="AJ72" s="671" t="s">
        <v>5324</v>
      </c>
      <c r="AK72" s="678" t="s">
        <v>5325</v>
      </c>
      <c r="AL72" s="671" t="s">
        <v>5326</v>
      </c>
      <c r="AM72" s="678" t="s">
        <v>5327</v>
      </c>
      <c r="AN72" s="674" t="s">
        <v>5328</v>
      </c>
      <c r="AO72" s="675" t="s">
        <v>5329</v>
      </c>
      <c r="AP72" s="671" t="s">
        <v>5330</v>
      </c>
      <c r="AQ72" t="str">
        <f t="shared" si="9"/>
        <v xml:space="preserve"> * La variable pueblos originarios no puede ser mayor al Total Ambos Sexos. * La variable Migrantes no puede ser mayor al Total Ambos Sexos.</v>
      </c>
      <c r="CB72" s="2465" t="str">
        <f t="shared" si="5"/>
        <v xml:space="preserve"> * La variable pueblos originarios no puede ser mayor al Total Ambos Sexos.</v>
      </c>
      <c r="CC72" s="2465" t="str">
        <f t="shared" si="6"/>
        <v xml:space="preserve"> * La variable Migrantes no puede ser mayor al Total Ambos Sexos.</v>
      </c>
      <c r="CE72" s="1725">
        <f t="shared" si="7"/>
        <v>1</v>
      </c>
      <c r="CF72" s="1725">
        <f t="shared" si="8"/>
        <v>1</v>
      </c>
    </row>
    <row r="73" spans="1:84" ht="15" customHeight="1" x14ac:dyDescent="0.3">
      <c r="A73" s="6234">
        <v>32101644</v>
      </c>
      <c r="B73" s="8597"/>
      <c r="C73" s="676" t="s">
        <v>590</v>
      </c>
      <c r="D73" s="668" t="s">
        <v>5292</v>
      </c>
      <c r="E73" s="677" t="s">
        <v>5293</v>
      </c>
      <c r="F73" s="668" t="s">
        <v>5294</v>
      </c>
      <c r="G73" s="678" t="s">
        <v>5295</v>
      </c>
      <c r="H73" s="671" t="s">
        <v>5296</v>
      </c>
      <c r="I73" s="678" t="s">
        <v>5297</v>
      </c>
      <c r="J73" s="671" t="s">
        <v>5298</v>
      </c>
      <c r="K73" s="678" t="s">
        <v>5299</v>
      </c>
      <c r="L73" s="671" t="s">
        <v>5300</v>
      </c>
      <c r="M73" s="678" t="s">
        <v>5301</v>
      </c>
      <c r="N73" s="671" t="s">
        <v>5302</v>
      </c>
      <c r="O73" s="678" t="s">
        <v>5303</v>
      </c>
      <c r="P73" s="671" t="s">
        <v>5304</v>
      </c>
      <c r="Q73" s="678" t="s">
        <v>5305</v>
      </c>
      <c r="R73" s="671" t="s">
        <v>5306</v>
      </c>
      <c r="S73" s="678" t="s">
        <v>5307</v>
      </c>
      <c r="T73" s="671" t="s">
        <v>5308</v>
      </c>
      <c r="U73" s="678" t="s">
        <v>5309</v>
      </c>
      <c r="V73" s="671" t="s">
        <v>5310</v>
      </c>
      <c r="W73" s="678" t="s">
        <v>5311</v>
      </c>
      <c r="X73" s="671" t="s">
        <v>5312</v>
      </c>
      <c r="Y73" s="678" t="s">
        <v>5313</v>
      </c>
      <c r="Z73" s="671" t="s">
        <v>5314</v>
      </c>
      <c r="AA73" s="678" t="s">
        <v>5315</v>
      </c>
      <c r="AB73" s="671" t="s">
        <v>5316</v>
      </c>
      <c r="AC73" s="678" t="s">
        <v>5317</v>
      </c>
      <c r="AD73" s="671" t="s">
        <v>5318</v>
      </c>
      <c r="AE73" s="678" t="s">
        <v>5319</v>
      </c>
      <c r="AF73" s="671" t="s">
        <v>5320</v>
      </c>
      <c r="AG73" s="678" t="s">
        <v>5321</v>
      </c>
      <c r="AH73" s="671" t="s">
        <v>5322</v>
      </c>
      <c r="AI73" s="678" t="s">
        <v>5323</v>
      </c>
      <c r="AJ73" s="671" t="s">
        <v>5324</v>
      </c>
      <c r="AK73" s="678" t="s">
        <v>5325</v>
      </c>
      <c r="AL73" s="671" t="s">
        <v>5326</v>
      </c>
      <c r="AM73" s="678" t="s">
        <v>5327</v>
      </c>
      <c r="AN73" s="674" t="s">
        <v>5328</v>
      </c>
      <c r="AO73" s="675" t="s">
        <v>5329</v>
      </c>
      <c r="AP73" s="671" t="s">
        <v>5330</v>
      </c>
      <c r="AQ73" t="str">
        <f t="shared" si="9"/>
        <v xml:space="preserve"> * La variable pueblos originarios no puede ser mayor al Total Ambos Sexos. * La variable Migrantes no puede ser mayor al Total Ambos Sexos.</v>
      </c>
      <c r="CB73" s="2465" t="str">
        <f t="shared" si="5"/>
        <v xml:space="preserve"> * La variable pueblos originarios no puede ser mayor al Total Ambos Sexos.</v>
      </c>
      <c r="CC73" s="2465" t="str">
        <f t="shared" si="6"/>
        <v xml:space="preserve"> * La variable Migrantes no puede ser mayor al Total Ambos Sexos.</v>
      </c>
      <c r="CE73" s="1725">
        <f t="shared" si="7"/>
        <v>1</v>
      </c>
      <c r="CF73" s="1725">
        <f t="shared" si="8"/>
        <v>1</v>
      </c>
    </row>
    <row r="74" spans="1:84" ht="15" customHeight="1" x14ac:dyDescent="0.3">
      <c r="A74" s="6234">
        <v>32101645</v>
      </c>
      <c r="B74" s="8597"/>
      <c r="C74" s="676" t="s">
        <v>591</v>
      </c>
      <c r="D74" s="668" t="s">
        <v>5292</v>
      </c>
      <c r="E74" s="677" t="s">
        <v>5293</v>
      </c>
      <c r="F74" s="668" t="s">
        <v>5294</v>
      </c>
      <c r="G74" s="678" t="s">
        <v>5295</v>
      </c>
      <c r="H74" s="671" t="s">
        <v>5296</v>
      </c>
      <c r="I74" s="678" t="s">
        <v>5297</v>
      </c>
      <c r="J74" s="671" t="s">
        <v>5298</v>
      </c>
      <c r="K74" s="678" t="s">
        <v>5299</v>
      </c>
      <c r="L74" s="671" t="s">
        <v>5300</v>
      </c>
      <c r="M74" s="678" t="s">
        <v>5301</v>
      </c>
      <c r="N74" s="671" t="s">
        <v>5302</v>
      </c>
      <c r="O74" s="678" t="s">
        <v>5303</v>
      </c>
      <c r="P74" s="671" t="s">
        <v>5304</v>
      </c>
      <c r="Q74" s="678" t="s">
        <v>5305</v>
      </c>
      <c r="R74" s="671" t="s">
        <v>5306</v>
      </c>
      <c r="S74" s="678" t="s">
        <v>5307</v>
      </c>
      <c r="T74" s="671" t="s">
        <v>5308</v>
      </c>
      <c r="U74" s="678" t="s">
        <v>5309</v>
      </c>
      <c r="V74" s="671" t="s">
        <v>5310</v>
      </c>
      <c r="W74" s="678" t="s">
        <v>5311</v>
      </c>
      <c r="X74" s="671" t="s">
        <v>5312</v>
      </c>
      <c r="Y74" s="678" t="s">
        <v>5313</v>
      </c>
      <c r="Z74" s="671" t="s">
        <v>5314</v>
      </c>
      <c r="AA74" s="678" t="s">
        <v>5315</v>
      </c>
      <c r="AB74" s="671" t="s">
        <v>5316</v>
      </c>
      <c r="AC74" s="678" t="s">
        <v>5317</v>
      </c>
      <c r="AD74" s="671" t="s">
        <v>5318</v>
      </c>
      <c r="AE74" s="678" t="s">
        <v>5319</v>
      </c>
      <c r="AF74" s="671" t="s">
        <v>5320</v>
      </c>
      <c r="AG74" s="678" t="s">
        <v>5321</v>
      </c>
      <c r="AH74" s="671" t="s">
        <v>5322</v>
      </c>
      <c r="AI74" s="678" t="s">
        <v>5323</v>
      </c>
      <c r="AJ74" s="671" t="s">
        <v>5324</v>
      </c>
      <c r="AK74" s="678" t="s">
        <v>5325</v>
      </c>
      <c r="AL74" s="671" t="s">
        <v>5326</v>
      </c>
      <c r="AM74" s="678" t="s">
        <v>5327</v>
      </c>
      <c r="AN74" s="674" t="s">
        <v>5328</v>
      </c>
      <c r="AO74" s="675" t="s">
        <v>5329</v>
      </c>
      <c r="AP74" s="671" t="s">
        <v>5330</v>
      </c>
      <c r="AQ74" t="str">
        <f t="shared" si="9"/>
        <v xml:space="preserve"> * La variable pueblos originarios no puede ser mayor al Total Ambos Sexos. * La variable Migrantes no puede ser mayor al Total Ambos Sexos.</v>
      </c>
      <c r="CB74" s="2465" t="str">
        <f t="shared" si="5"/>
        <v xml:space="preserve"> * La variable pueblos originarios no puede ser mayor al Total Ambos Sexos.</v>
      </c>
      <c r="CC74" s="2465" t="str">
        <f t="shared" si="6"/>
        <v xml:space="preserve"> * La variable Migrantes no puede ser mayor al Total Ambos Sexos.</v>
      </c>
      <c r="CE74" s="1725">
        <f t="shared" si="7"/>
        <v>1</v>
      </c>
      <c r="CF74" s="1725">
        <f t="shared" si="8"/>
        <v>1</v>
      </c>
    </row>
    <row r="75" spans="1:84" ht="15" customHeight="1" x14ac:dyDescent="0.3">
      <c r="A75" s="6234">
        <v>32101646</v>
      </c>
      <c r="B75" s="8597"/>
      <c r="C75" s="676" t="s">
        <v>592</v>
      </c>
      <c r="D75" s="668" t="s">
        <v>5292</v>
      </c>
      <c r="E75" s="677" t="s">
        <v>5293</v>
      </c>
      <c r="F75" s="668" t="s">
        <v>5294</v>
      </c>
      <c r="G75" s="678" t="s">
        <v>5295</v>
      </c>
      <c r="H75" s="671" t="s">
        <v>5296</v>
      </c>
      <c r="I75" s="678" t="s">
        <v>5297</v>
      </c>
      <c r="J75" s="671" t="s">
        <v>5298</v>
      </c>
      <c r="K75" s="678" t="s">
        <v>5299</v>
      </c>
      <c r="L75" s="671" t="s">
        <v>5300</v>
      </c>
      <c r="M75" s="678" t="s">
        <v>5301</v>
      </c>
      <c r="N75" s="671" t="s">
        <v>5302</v>
      </c>
      <c r="O75" s="678" t="s">
        <v>5303</v>
      </c>
      <c r="P75" s="671" t="s">
        <v>5304</v>
      </c>
      <c r="Q75" s="678" t="s">
        <v>5305</v>
      </c>
      <c r="R75" s="671" t="s">
        <v>5306</v>
      </c>
      <c r="S75" s="678" t="s">
        <v>5307</v>
      </c>
      <c r="T75" s="671" t="s">
        <v>5308</v>
      </c>
      <c r="U75" s="678" t="s">
        <v>5309</v>
      </c>
      <c r="V75" s="671" t="s">
        <v>5310</v>
      </c>
      <c r="W75" s="678" t="s">
        <v>5311</v>
      </c>
      <c r="X75" s="671" t="s">
        <v>5312</v>
      </c>
      <c r="Y75" s="678" t="s">
        <v>5313</v>
      </c>
      <c r="Z75" s="671" t="s">
        <v>5314</v>
      </c>
      <c r="AA75" s="678" t="s">
        <v>5315</v>
      </c>
      <c r="AB75" s="671" t="s">
        <v>5316</v>
      </c>
      <c r="AC75" s="678" t="s">
        <v>5317</v>
      </c>
      <c r="AD75" s="671" t="s">
        <v>5318</v>
      </c>
      <c r="AE75" s="678" t="s">
        <v>5319</v>
      </c>
      <c r="AF75" s="671" t="s">
        <v>5320</v>
      </c>
      <c r="AG75" s="678" t="s">
        <v>5321</v>
      </c>
      <c r="AH75" s="671" t="s">
        <v>5322</v>
      </c>
      <c r="AI75" s="678" t="s">
        <v>5323</v>
      </c>
      <c r="AJ75" s="671" t="s">
        <v>5324</v>
      </c>
      <c r="AK75" s="678" t="s">
        <v>5325</v>
      </c>
      <c r="AL75" s="671" t="s">
        <v>5326</v>
      </c>
      <c r="AM75" s="678" t="s">
        <v>5327</v>
      </c>
      <c r="AN75" s="674" t="s">
        <v>5328</v>
      </c>
      <c r="AO75" s="675" t="s">
        <v>5329</v>
      </c>
      <c r="AP75" s="671" t="s">
        <v>5330</v>
      </c>
      <c r="AQ75" t="str">
        <f t="shared" si="9"/>
        <v xml:space="preserve"> * La variable pueblos originarios no puede ser mayor al Total Ambos Sexos. * La variable Migrantes no puede ser mayor al Total Ambos Sexos.</v>
      </c>
      <c r="CB75" s="2465" t="str">
        <f t="shared" si="5"/>
        <v xml:space="preserve"> * La variable pueblos originarios no puede ser mayor al Total Ambos Sexos.</v>
      </c>
      <c r="CC75" s="2465" t="str">
        <f t="shared" si="6"/>
        <v xml:space="preserve"> * La variable Migrantes no puede ser mayor al Total Ambos Sexos.</v>
      </c>
      <c r="CE75" s="1725">
        <f t="shared" si="7"/>
        <v>1</v>
      </c>
      <c r="CF75" s="1725">
        <f t="shared" si="8"/>
        <v>1</v>
      </c>
    </row>
    <row r="76" spans="1:84" ht="15" customHeight="1" x14ac:dyDescent="0.3">
      <c r="A76" s="6234">
        <v>32101647</v>
      </c>
      <c r="B76" s="8597"/>
      <c r="C76" s="676" t="s">
        <v>593</v>
      </c>
      <c r="D76" s="668" t="s">
        <v>5292</v>
      </c>
      <c r="E76" s="677" t="s">
        <v>5293</v>
      </c>
      <c r="F76" s="668" t="s">
        <v>5294</v>
      </c>
      <c r="G76" s="678" t="s">
        <v>5295</v>
      </c>
      <c r="H76" s="671" t="s">
        <v>5296</v>
      </c>
      <c r="I76" s="678" t="s">
        <v>5297</v>
      </c>
      <c r="J76" s="671" t="s">
        <v>5298</v>
      </c>
      <c r="K76" s="678" t="s">
        <v>5299</v>
      </c>
      <c r="L76" s="671" t="s">
        <v>5300</v>
      </c>
      <c r="M76" s="678" t="s">
        <v>5301</v>
      </c>
      <c r="N76" s="671" t="s">
        <v>5302</v>
      </c>
      <c r="O76" s="678" t="s">
        <v>5303</v>
      </c>
      <c r="P76" s="671" t="s">
        <v>5304</v>
      </c>
      <c r="Q76" s="678" t="s">
        <v>5305</v>
      </c>
      <c r="R76" s="671" t="s">
        <v>5306</v>
      </c>
      <c r="S76" s="678" t="s">
        <v>5307</v>
      </c>
      <c r="T76" s="671" t="s">
        <v>5308</v>
      </c>
      <c r="U76" s="678" t="s">
        <v>5309</v>
      </c>
      <c r="V76" s="671" t="s">
        <v>5310</v>
      </c>
      <c r="W76" s="678" t="s">
        <v>5311</v>
      </c>
      <c r="X76" s="671" t="s">
        <v>5312</v>
      </c>
      <c r="Y76" s="678" t="s">
        <v>5313</v>
      </c>
      <c r="Z76" s="671" t="s">
        <v>5314</v>
      </c>
      <c r="AA76" s="678" t="s">
        <v>5315</v>
      </c>
      <c r="AB76" s="671" t="s">
        <v>5316</v>
      </c>
      <c r="AC76" s="678" t="s">
        <v>5317</v>
      </c>
      <c r="AD76" s="671" t="s">
        <v>5318</v>
      </c>
      <c r="AE76" s="678" t="s">
        <v>5319</v>
      </c>
      <c r="AF76" s="671" t="s">
        <v>5320</v>
      </c>
      <c r="AG76" s="678" t="s">
        <v>5321</v>
      </c>
      <c r="AH76" s="671" t="s">
        <v>5322</v>
      </c>
      <c r="AI76" s="678" t="s">
        <v>5323</v>
      </c>
      <c r="AJ76" s="671" t="s">
        <v>5324</v>
      </c>
      <c r="AK76" s="678" t="s">
        <v>5325</v>
      </c>
      <c r="AL76" s="671" t="s">
        <v>5326</v>
      </c>
      <c r="AM76" s="678" t="s">
        <v>5327</v>
      </c>
      <c r="AN76" s="674" t="s">
        <v>5328</v>
      </c>
      <c r="AO76" s="675" t="s">
        <v>5329</v>
      </c>
      <c r="AP76" s="671" t="s">
        <v>5330</v>
      </c>
      <c r="AQ76" t="str">
        <f t="shared" si="9"/>
        <v xml:space="preserve"> * La variable pueblos originarios no puede ser mayor al Total Ambos Sexos. * La variable Migrantes no puede ser mayor al Total Ambos Sexos.</v>
      </c>
      <c r="CB76" s="2465" t="str">
        <f t="shared" si="5"/>
        <v xml:space="preserve"> * La variable pueblos originarios no puede ser mayor al Total Ambos Sexos.</v>
      </c>
      <c r="CC76" s="2465" t="str">
        <f t="shared" si="6"/>
        <v xml:space="preserve"> * La variable Migrantes no puede ser mayor al Total Ambos Sexos.</v>
      </c>
      <c r="CE76" s="1725">
        <f t="shared" si="7"/>
        <v>1</v>
      </c>
      <c r="CF76" s="1725">
        <f t="shared" si="8"/>
        <v>1</v>
      </c>
    </row>
    <row r="77" spans="1:84" x14ac:dyDescent="0.3">
      <c r="A77" s="6234">
        <v>32101648</v>
      </c>
      <c r="B77" s="8597"/>
      <c r="C77" s="679" t="s">
        <v>594</v>
      </c>
      <c r="D77" s="668" t="s">
        <v>5292</v>
      </c>
      <c r="E77" s="677" t="s">
        <v>5293</v>
      </c>
      <c r="F77" s="668" t="s">
        <v>5294</v>
      </c>
      <c r="G77" s="678" t="s">
        <v>5295</v>
      </c>
      <c r="H77" s="671" t="s">
        <v>5296</v>
      </c>
      <c r="I77" s="678" t="s">
        <v>5297</v>
      </c>
      <c r="J77" s="671" t="s">
        <v>5298</v>
      </c>
      <c r="K77" s="678" t="s">
        <v>5299</v>
      </c>
      <c r="L77" s="671" t="s">
        <v>5300</v>
      </c>
      <c r="M77" s="678" t="s">
        <v>5301</v>
      </c>
      <c r="N77" s="671" t="s">
        <v>5302</v>
      </c>
      <c r="O77" s="678" t="s">
        <v>5303</v>
      </c>
      <c r="P77" s="671" t="s">
        <v>5304</v>
      </c>
      <c r="Q77" s="678" t="s">
        <v>5305</v>
      </c>
      <c r="R77" s="671" t="s">
        <v>5306</v>
      </c>
      <c r="S77" s="678" t="s">
        <v>5307</v>
      </c>
      <c r="T77" s="671" t="s">
        <v>5308</v>
      </c>
      <c r="U77" s="678" t="s">
        <v>5309</v>
      </c>
      <c r="V77" s="671" t="s">
        <v>5310</v>
      </c>
      <c r="W77" s="678" t="s">
        <v>5311</v>
      </c>
      <c r="X77" s="671" t="s">
        <v>5312</v>
      </c>
      <c r="Y77" s="678" t="s">
        <v>5313</v>
      </c>
      <c r="Z77" s="671" t="s">
        <v>5314</v>
      </c>
      <c r="AA77" s="678" t="s">
        <v>5315</v>
      </c>
      <c r="AB77" s="671" t="s">
        <v>5316</v>
      </c>
      <c r="AC77" s="678" t="s">
        <v>5317</v>
      </c>
      <c r="AD77" s="671" t="s">
        <v>5318</v>
      </c>
      <c r="AE77" s="678" t="s">
        <v>5319</v>
      </c>
      <c r="AF77" s="671" t="s">
        <v>5320</v>
      </c>
      <c r="AG77" s="678" t="s">
        <v>5321</v>
      </c>
      <c r="AH77" s="671" t="s">
        <v>5322</v>
      </c>
      <c r="AI77" s="678" t="s">
        <v>5323</v>
      </c>
      <c r="AJ77" s="671" t="s">
        <v>5324</v>
      </c>
      <c r="AK77" s="678" t="s">
        <v>5325</v>
      </c>
      <c r="AL77" s="671" t="s">
        <v>5326</v>
      </c>
      <c r="AM77" s="678" t="s">
        <v>5327</v>
      </c>
      <c r="AN77" s="674" t="s">
        <v>5328</v>
      </c>
      <c r="AO77" s="675" t="s">
        <v>5329</v>
      </c>
      <c r="AP77" s="671" t="s">
        <v>5330</v>
      </c>
      <c r="AQ77" t="str">
        <f t="shared" si="9"/>
        <v xml:space="preserve"> * La variable pueblos originarios no puede ser mayor al Total Ambos Sexos. * La variable Migrantes no puede ser mayor al Total Ambos Sexos.</v>
      </c>
      <c r="CB77" s="2465" t="str">
        <f t="shared" si="5"/>
        <v xml:space="preserve"> * La variable pueblos originarios no puede ser mayor al Total Ambos Sexos.</v>
      </c>
      <c r="CC77" s="2465" t="str">
        <f t="shared" si="6"/>
        <v xml:space="preserve"> * La variable Migrantes no puede ser mayor al Total Ambos Sexos.</v>
      </c>
      <c r="CE77" s="1725">
        <f t="shared" si="7"/>
        <v>1</v>
      </c>
      <c r="CF77" s="1725">
        <f t="shared" si="8"/>
        <v>1</v>
      </c>
    </row>
    <row r="78" spans="1:84" ht="15" customHeight="1" x14ac:dyDescent="0.3">
      <c r="A78" s="6234">
        <v>32101649</v>
      </c>
      <c r="B78" s="8597"/>
      <c r="C78" s="710" t="s">
        <v>595</v>
      </c>
      <c r="D78" s="668" t="s">
        <v>5292</v>
      </c>
      <c r="E78" s="677" t="s">
        <v>5293</v>
      </c>
      <c r="F78" s="668" t="s">
        <v>5294</v>
      </c>
      <c r="G78" s="678" t="s">
        <v>5295</v>
      </c>
      <c r="H78" s="671" t="s">
        <v>5296</v>
      </c>
      <c r="I78" s="678" t="s">
        <v>5297</v>
      </c>
      <c r="J78" s="671" t="s">
        <v>5298</v>
      </c>
      <c r="K78" s="678" t="s">
        <v>5299</v>
      </c>
      <c r="L78" s="671" t="s">
        <v>5300</v>
      </c>
      <c r="M78" s="678" t="s">
        <v>5301</v>
      </c>
      <c r="N78" s="671" t="s">
        <v>5302</v>
      </c>
      <c r="O78" s="678" t="s">
        <v>5303</v>
      </c>
      <c r="P78" s="671" t="s">
        <v>5304</v>
      </c>
      <c r="Q78" s="678" t="s">
        <v>5305</v>
      </c>
      <c r="R78" s="671" t="s">
        <v>5306</v>
      </c>
      <c r="S78" s="678" t="s">
        <v>5307</v>
      </c>
      <c r="T78" s="671" t="s">
        <v>5308</v>
      </c>
      <c r="U78" s="678" t="s">
        <v>5309</v>
      </c>
      <c r="V78" s="671" t="s">
        <v>5310</v>
      </c>
      <c r="W78" s="678" t="s">
        <v>5311</v>
      </c>
      <c r="X78" s="671" t="s">
        <v>5312</v>
      </c>
      <c r="Y78" s="678" t="s">
        <v>5313</v>
      </c>
      <c r="Z78" s="671" t="s">
        <v>5314</v>
      </c>
      <c r="AA78" s="678" t="s">
        <v>5315</v>
      </c>
      <c r="AB78" s="671" t="s">
        <v>5316</v>
      </c>
      <c r="AC78" s="678" t="s">
        <v>5317</v>
      </c>
      <c r="AD78" s="671" t="s">
        <v>5318</v>
      </c>
      <c r="AE78" s="678" t="s">
        <v>5319</v>
      </c>
      <c r="AF78" s="671" t="s">
        <v>5320</v>
      </c>
      <c r="AG78" s="678" t="s">
        <v>5321</v>
      </c>
      <c r="AH78" s="671" t="s">
        <v>5322</v>
      </c>
      <c r="AI78" s="678" t="s">
        <v>5323</v>
      </c>
      <c r="AJ78" s="671" t="s">
        <v>5324</v>
      </c>
      <c r="AK78" s="678" t="s">
        <v>5325</v>
      </c>
      <c r="AL78" s="671" t="s">
        <v>5326</v>
      </c>
      <c r="AM78" s="678" t="s">
        <v>5327</v>
      </c>
      <c r="AN78" s="674" t="s">
        <v>5328</v>
      </c>
      <c r="AO78" s="675" t="s">
        <v>5329</v>
      </c>
      <c r="AP78" s="671" t="s">
        <v>5330</v>
      </c>
      <c r="AQ78" t="str">
        <f t="shared" si="9"/>
        <v xml:space="preserve"> * La variable pueblos originarios no puede ser mayor al Total Ambos Sexos. * La variable Migrantes no puede ser mayor al Total Ambos Sexos.</v>
      </c>
      <c r="CB78" s="2465" t="str">
        <f t="shared" si="5"/>
        <v xml:space="preserve"> * La variable pueblos originarios no puede ser mayor al Total Ambos Sexos.</v>
      </c>
      <c r="CC78" s="2465" t="str">
        <f t="shared" si="6"/>
        <v xml:space="preserve"> * La variable Migrantes no puede ser mayor al Total Ambos Sexos.</v>
      </c>
      <c r="CE78" s="1725">
        <f t="shared" si="7"/>
        <v>1</v>
      </c>
      <c r="CF78" s="1725">
        <f t="shared" si="8"/>
        <v>1</v>
      </c>
    </row>
    <row r="79" spans="1:84" ht="15" customHeight="1" x14ac:dyDescent="0.3">
      <c r="A79" s="6234">
        <v>32101650</v>
      </c>
      <c r="B79" s="8597"/>
      <c r="C79" s="676" t="s">
        <v>596</v>
      </c>
      <c r="D79" s="668" t="s">
        <v>5292</v>
      </c>
      <c r="E79" s="677" t="s">
        <v>5293</v>
      </c>
      <c r="F79" s="668" t="s">
        <v>5294</v>
      </c>
      <c r="G79" s="678" t="s">
        <v>5295</v>
      </c>
      <c r="H79" s="671" t="s">
        <v>5296</v>
      </c>
      <c r="I79" s="678" t="s">
        <v>5297</v>
      </c>
      <c r="J79" s="671" t="s">
        <v>5298</v>
      </c>
      <c r="K79" s="678" t="s">
        <v>5299</v>
      </c>
      <c r="L79" s="671" t="s">
        <v>5300</v>
      </c>
      <c r="M79" s="678" t="s">
        <v>5301</v>
      </c>
      <c r="N79" s="671" t="s">
        <v>5302</v>
      </c>
      <c r="O79" s="678" t="s">
        <v>5303</v>
      </c>
      <c r="P79" s="671" t="s">
        <v>5304</v>
      </c>
      <c r="Q79" s="678" t="s">
        <v>5305</v>
      </c>
      <c r="R79" s="671" t="s">
        <v>5306</v>
      </c>
      <c r="S79" s="678" t="s">
        <v>5307</v>
      </c>
      <c r="T79" s="671" t="s">
        <v>5308</v>
      </c>
      <c r="U79" s="678" t="s">
        <v>5309</v>
      </c>
      <c r="V79" s="671" t="s">
        <v>5310</v>
      </c>
      <c r="W79" s="678" t="s">
        <v>5311</v>
      </c>
      <c r="X79" s="671" t="s">
        <v>5312</v>
      </c>
      <c r="Y79" s="678" t="s">
        <v>5313</v>
      </c>
      <c r="Z79" s="671" t="s">
        <v>5314</v>
      </c>
      <c r="AA79" s="678" t="s">
        <v>5315</v>
      </c>
      <c r="AB79" s="671" t="s">
        <v>5316</v>
      </c>
      <c r="AC79" s="678" t="s">
        <v>5317</v>
      </c>
      <c r="AD79" s="671" t="s">
        <v>5318</v>
      </c>
      <c r="AE79" s="678" t="s">
        <v>5319</v>
      </c>
      <c r="AF79" s="671" t="s">
        <v>5320</v>
      </c>
      <c r="AG79" s="678" t="s">
        <v>5321</v>
      </c>
      <c r="AH79" s="671" t="s">
        <v>5322</v>
      </c>
      <c r="AI79" s="678" t="s">
        <v>5323</v>
      </c>
      <c r="AJ79" s="671" t="s">
        <v>5324</v>
      </c>
      <c r="AK79" s="678" t="s">
        <v>5325</v>
      </c>
      <c r="AL79" s="671" t="s">
        <v>5326</v>
      </c>
      <c r="AM79" s="678" t="s">
        <v>5327</v>
      </c>
      <c r="AN79" s="674" t="s">
        <v>5328</v>
      </c>
      <c r="AO79" s="675" t="s">
        <v>5329</v>
      </c>
      <c r="AP79" s="671" t="s">
        <v>5330</v>
      </c>
      <c r="AQ79" t="str">
        <f t="shared" si="9"/>
        <v xml:space="preserve"> * La variable pueblos originarios no puede ser mayor al Total Ambos Sexos. * La variable Migrantes no puede ser mayor al Total Ambos Sexos.</v>
      </c>
      <c r="CB79" s="2465" t="str">
        <f t="shared" si="5"/>
        <v xml:space="preserve"> * La variable pueblos originarios no puede ser mayor al Total Ambos Sexos.</v>
      </c>
      <c r="CC79" s="2465" t="str">
        <f t="shared" si="6"/>
        <v xml:space="preserve"> * La variable Migrantes no puede ser mayor al Total Ambos Sexos.</v>
      </c>
      <c r="CE79" s="1725">
        <f t="shared" si="7"/>
        <v>1</v>
      </c>
      <c r="CF79" s="1725">
        <f t="shared" si="8"/>
        <v>1</v>
      </c>
    </row>
    <row r="80" spans="1:84" ht="15" customHeight="1" x14ac:dyDescent="0.3">
      <c r="A80" s="6234">
        <v>32101651</v>
      </c>
      <c r="B80" s="8597"/>
      <c r="C80" s="676" t="s">
        <v>597</v>
      </c>
      <c r="D80" s="668" t="s">
        <v>5292</v>
      </c>
      <c r="E80" s="677" t="s">
        <v>5293</v>
      </c>
      <c r="F80" s="668" t="s">
        <v>5294</v>
      </c>
      <c r="G80" s="678" t="s">
        <v>5295</v>
      </c>
      <c r="H80" s="671" t="s">
        <v>5296</v>
      </c>
      <c r="I80" s="678" t="s">
        <v>5297</v>
      </c>
      <c r="J80" s="671" t="s">
        <v>5298</v>
      </c>
      <c r="K80" s="678" t="s">
        <v>5299</v>
      </c>
      <c r="L80" s="671" t="s">
        <v>5300</v>
      </c>
      <c r="M80" s="678" t="s">
        <v>5301</v>
      </c>
      <c r="N80" s="671" t="s">
        <v>5302</v>
      </c>
      <c r="O80" s="678" t="s">
        <v>5303</v>
      </c>
      <c r="P80" s="671" t="s">
        <v>5304</v>
      </c>
      <c r="Q80" s="678" t="s">
        <v>5305</v>
      </c>
      <c r="R80" s="671" t="s">
        <v>5306</v>
      </c>
      <c r="S80" s="678" t="s">
        <v>5307</v>
      </c>
      <c r="T80" s="671" t="s">
        <v>5308</v>
      </c>
      <c r="U80" s="678" t="s">
        <v>5309</v>
      </c>
      <c r="V80" s="671" t="s">
        <v>5310</v>
      </c>
      <c r="W80" s="678" t="s">
        <v>5311</v>
      </c>
      <c r="X80" s="671" t="s">
        <v>5312</v>
      </c>
      <c r="Y80" s="678" t="s">
        <v>5313</v>
      </c>
      <c r="Z80" s="671" t="s">
        <v>5314</v>
      </c>
      <c r="AA80" s="678" t="s">
        <v>5315</v>
      </c>
      <c r="AB80" s="671" t="s">
        <v>5316</v>
      </c>
      <c r="AC80" s="678" t="s">
        <v>5317</v>
      </c>
      <c r="AD80" s="671" t="s">
        <v>5318</v>
      </c>
      <c r="AE80" s="678" t="s">
        <v>5319</v>
      </c>
      <c r="AF80" s="671" t="s">
        <v>5320</v>
      </c>
      <c r="AG80" s="678" t="s">
        <v>5321</v>
      </c>
      <c r="AH80" s="671" t="s">
        <v>5322</v>
      </c>
      <c r="AI80" s="678" t="s">
        <v>5323</v>
      </c>
      <c r="AJ80" s="671" t="s">
        <v>5324</v>
      </c>
      <c r="AK80" s="678" t="s">
        <v>5325</v>
      </c>
      <c r="AL80" s="671" t="s">
        <v>5326</v>
      </c>
      <c r="AM80" s="678" t="s">
        <v>5327</v>
      </c>
      <c r="AN80" s="674" t="s">
        <v>5328</v>
      </c>
      <c r="AO80" s="675" t="s">
        <v>5329</v>
      </c>
      <c r="AP80" s="671" t="s">
        <v>5330</v>
      </c>
      <c r="AQ80" t="str">
        <f t="shared" si="9"/>
        <v xml:space="preserve"> * La variable pueblos originarios no puede ser mayor al Total Ambos Sexos. * La variable Migrantes no puede ser mayor al Total Ambos Sexos.</v>
      </c>
      <c r="CB80" s="2465" t="str">
        <f t="shared" si="5"/>
        <v xml:space="preserve"> * La variable pueblos originarios no puede ser mayor al Total Ambos Sexos.</v>
      </c>
      <c r="CC80" s="2465" t="str">
        <f t="shared" si="6"/>
        <v xml:space="preserve"> * La variable Migrantes no puede ser mayor al Total Ambos Sexos.</v>
      </c>
      <c r="CE80" s="1725">
        <f t="shared" si="7"/>
        <v>1</v>
      </c>
      <c r="CF80" s="1725">
        <f t="shared" si="8"/>
        <v>1</v>
      </c>
    </row>
    <row r="81" spans="1:84" ht="15" customHeight="1" x14ac:dyDescent="0.3">
      <c r="A81" s="6234">
        <v>32101652</v>
      </c>
      <c r="B81" s="8597"/>
      <c r="C81" s="680" t="s">
        <v>598</v>
      </c>
      <c r="D81" s="668" t="s">
        <v>5292</v>
      </c>
      <c r="E81" s="677" t="s">
        <v>5293</v>
      </c>
      <c r="F81" s="668" t="s">
        <v>5294</v>
      </c>
      <c r="G81" s="678" t="s">
        <v>5295</v>
      </c>
      <c r="H81" s="671" t="s">
        <v>5296</v>
      </c>
      <c r="I81" s="678" t="s">
        <v>5297</v>
      </c>
      <c r="J81" s="671" t="s">
        <v>5298</v>
      </c>
      <c r="K81" s="678" t="s">
        <v>5299</v>
      </c>
      <c r="L81" s="671" t="s">
        <v>5300</v>
      </c>
      <c r="M81" s="678" t="s">
        <v>5301</v>
      </c>
      <c r="N81" s="671" t="s">
        <v>5302</v>
      </c>
      <c r="O81" s="678" t="s">
        <v>5303</v>
      </c>
      <c r="P81" s="671" t="s">
        <v>5304</v>
      </c>
      <c r="Q81" s="678" t="s">
        <v>5305</v>
      </c>
      <c r="R81" s="671" t="s">
        <v>5306</v>
      </c>
      <c r="S81" s="678" t="s">
        <v>5307</v>
      </c>
      <c r="T81" s="671" t="s">
        <v>5308</v>
      </c>
      <c r="U81" s="678" t="s">
        <v>5309</v>
      </c>
      <c r="V81" s="671" t="s">
        <v>5310</v>
      </c>
      <c r="W81" s="678" t="s">
        <v>5311</v>
      </c>
      <c r="X81" s="671" t="s">
        <v>5312</v>
      </c>
      <c r="Y81" s="678" t="s">
        <v>5313</v>
      </c>
      <c r="Z81" s="671" t="s">
        <v>5314</v>
      </c>
      <c r="AA81" s="678" t="s">
        <v>5315</v>
      </c>
      <c r="AB81" s="671" t="s">
        <v>5316</v>
      </c>
      <c r="AC81" s="678" t="s">
        <v>5317</v>
      </c>
      <c r="AD81" s="671" t="s">
        <v>5318</v>
      </c>
      <c r="AE81" s="678" t="s">
        <v>5319</v>
      </c>
      <c r="AF81" s="671" t="s">
        <v>5320</v>
      </c>
      <c r="AG81" s="678" t="s">
        <v>5321</v>
      </c>
      <c r="AH81" s="671" t="s">
        <v>5322</v>
      </c>
      <c r="AI81" s="678" t="s">
        <v>5323</v>
      </c>
      <c r="AJ81" s="671" t="s">
        <v>5324</v>
      </c>
      <c r="AK81" s="678" t="s">
        <v>5325</v>
      </c>
      <c r="AL81" s="671" t="s">
        <v>5326</v>
      </c>
      <c r="AM81" s="678" t="s">
        <v>5327</v>
      </c>
      <c r="AN81" s="674" t="s">
        <v>5328</v>
      </c>
      <c r="AO81" s="675" t="s">
        <v>5329</v>
      </c>
      <c r="AP81" s="671" t="s">
        <v>5330</v>
      </c>
      <c r="AQ81" t="str">
        <f t="shared" si="9"/>
        <v xml:space="preserve"> * La variable pueblos originarios no puede ser mayor al Total Ambos Sexos. * La variable Migrantes no puede ser mayor al Total Ambos Sexos.</v>
      </c>
      <c r="CB81" s="2465" t="str">
        <f t="shared" si="5"/>
        <v xml:space="preserve"> * La variable pueblos originarios no puede ser mayor al Total Ambos Sexos.</v>
      </c>
      <c r="CC81" s="2465" t="str">
        <f t="shared" si="6"/>
        <v xml:space="preserve"> * La variable Migrantes no puede ser mayor al Total Ambos Sexos.</v>
      </c>
      <c r="CE81" s="1725">
        <f t="shared" si="7"/>
        <v>1</v>
      </c>
      <c r="CF81" s="1725">
        <f t="shared" si="8"/>
        <v>1</v>
      </c>
    </row>
    <row r="82" spans="1:84" ht="15" customHeight="1" x14ac:dyDescent="0.3">
      <c r="A82" s="6234">
        <v>32101653</v>
      </c>
      <c r="B82" s="8597"/>
      <c r="C82" s="681" t="s">
        <v>599</v>
      </c>
      <c r="D82" s="668" t="s">
        <v>5292</v>
      </c>
      <c r="E82" s="677" t="s">
        <v>5293</v>
      </c>
      <c r="F82" s="668" t="s">
        <v>5294</v>
      </c>
      <c r="G82" s="678" t="s">
        <v>5295</v>
      </c>
      <c r="H82" s="671" t="s">
        <v>5296</v>
      </c>
      <c r="I82" s="678" t="s">
        <v>5297</v>
      </c>
      <c r="J82" s="671" t="s">
        <v>5298</v>
      </c>
      <c r="K82" s="678" t="s">
        <v>5299</v>
      </c>
      <c r="L82" s="671" t="s">
        <v>5300</v>
      </c>
      <c r="M82" s="678" t="s">
        <v>5301</v>
      </c>
      <c r="N82" s="671" t="s">
        <v>5302</v>
      </c>
      <c r="O82" s="678" t="s">
        <v>5303</v>
      </c>
      <c r="P82" s="671" t="s">
        <v>5304</v>
      </c>
      <c r="Q82" s="678" t="s">
        <v>5305</v>
      </c>
      <c r="R82" s="671" t="s">
        <v>5306</v>
      </c>
      <c r="S82" s="678" t="s">
        <v>5307</v>
      </c>
      <c r="T82" s="671" t="s">
        <v>5308</v>
      </c>
      <c r="U82" s="678" t="s">
        <v>5309</v>
      </c>
      <c r="V82" s="671" t="s">
        <v>5310</v>
      </c>
      <c r="W82" s="678" t="s">
        <v>5311</v>
      </c>
      <c r="X82" s="671" t="s">
        <v>5312</v>
      </c>
      <c r="Y82" s="678" t="s">
        <v>5313</v>
      </c>
      <c r="Z82" s="671" t="s">
        <v>5314</v>
      </c>
      <c r="AA82" s="678" t="s">
        <v>5315</v>
      </c>
      <c r="AB82" s="671" t="s">
        <v>5316</v>
      </c>
      <c r="AC82" s="678" t="s">
        <v>5317</v>
      </c>
      <c r="AD82" s="671" t="s">
        <v>5318</v>
      </c>
      <c r="AE82" s="678" t="s">
        <v>5319</v>
      </c>
      <c r="AF82" s="671" t="s">
        <v>5320</v>
      </c>
      <c r="AG82" s="678" t="s">
        <v>5321</v>
      </c>
      <c r="AH82" s="671" t="s">
        <v>5322</v>
      </c>
      <c r="AI82" s="678" t="s">
        <v>5323</v>
      </c>
      <c r="AJ82" s="671" t="s">
        <v>5324</v>
      </c>
      <c r="AK82" s="678" t="s">
        <v>5325</v>
      </c>
      <c r="AL82" s="671" t="s">
        <v>5326</v>
      </c>
      <c r="AM82" s="678" t="s">
        <v>5327</v>
      </c>
      <c r="AN82" s="674" t="s">
        <v>5328</v>
      </c>
      <c r="AO82" s="675" t="s">
        <v>5329</v>
      </c>
      <c r="AP82" s="671" t="s">
        <v>5330</v>
      </c>
      <c r="AQ82" t="str">
        <f t="shared" si="9"/>
        <v xml:space="preserve"> * La variable pueblos originarios no puede ser mayor al Total Ambos Sexos. * La variable Migrantes no puede ser mayor al Total Ambos Sexos.</v>
      </c>
      <c r="CB82" s="2465" t="str">
        <f t="shared" si="5"/>
        <v xml:space="preserve"> * La variable pueblos originarios no puede ser mayor al Total Ambos Sexos.</v>
      </c>
      <c r="CC82" s="2465" t="str">
        <f t="shared" si="6"/>
        <v xml:space="preserve"> * La variable Migrantes no puede ser mayor al Total Ambos Sexos.</v>
      </c>
      <c r="CE82" s="1725">
        <f t="shared" si="7"/>
        <v>1</v>
      </c>
      <c r="CF82" s="1725">
        <f t="shared" si="8"/>
        <v>1</v>
      </c>
    </row>
    <row r="83" spans="1:84" ht="15" customHeight="1" x14ac:dyDescent="0.3">
      <c r="A83" s="6234">
        <v>32101654</v>
      </c>
      <c r="B83" s="8598"/>
      <c r="C83" s="696" t="s">
        <v>44</v>
      </c>
      <c r="D83" s="683" t="s">
        <v>5292</v>
      </c>
      <c r="E83" s="684" t="s">
        <v>5293</v>
      </c>
      <c r="F83" s="683" t="s">
        <v>5294</v>
      </c>
      <c r="G83" s="685" t="s">
        <v>5295</v>
      </c>
      <c r="H83" s="686" t="s">
        <v>5296</v>
      </c>
      <c r="I83" s="685" t="s">
        <v>5297</v>
      </c>
      <c r="J83" s="686" t="s">
        <v>5298</v>
      </c>
      <c r="K83" s="685" t="s">
        <v>5299</v>
      </c>
      <c r="L83" s="686" t="s">
        <v>5300</v>
      </c>
      <c r="M83" s="685" t="s">
        <v>5301</v>
      </c>
      <c r="N83" s="686" t="s">
        <v>5302</v>
      </c>
      <c r="O83" s="685" t="s">
        <v>5303</v>
      </c>
      <c r="P83" s="686" t="s">
        <v>5304</v>
      </c>
      <c r="Q83" s="685" t="s">
        <v>5305</v>
      </c>
      <c r="R83" s="686" t="s">
        <v>5306</v>
      </c>
      <c r="S83" s="685" t="s">
        <v>5307</v>
      </c>
      <c r="T83" s="686" t="s">
        <v>5308</v>
      </c>
      <c r="U83" s="685" t="s">
        <v>5309</v>
      </c>
      <c r="V83" s="686" t="s">
        <v>5310</v>
      </c>
      <c r="W83" s="685" t="s">
        <v>5311</v>
      </c>
      <c r="X83" s="686" t="s">
        <v>5312</v>
      </c>
      <c r="Y83" s="685" t="s">
        <v>5313</v>
      </c>
      <c r="Z83" s="686" t="s">
        <v>5314</v>
      </c>
      <c r="AA83" s="685" t="s">
        <v>5315</v>
      </c>
      <c r="AB83" s="686" t="s">
        <v>5316</v>
      </c>
      <c r="AC83" s="685" t="s">
        <v>5317</v>
      </c>
      <c r="AD83" s="686" t="s">
        <v>5318</v>
      </c>
      <c r="AE83" s="685" t="s">
        <v>5319</v>
      </c>
      <c r="AF83" s="686" t="s">
        <v>5320</v>
      </c>
      <c r="AG83" s="685" t="s">
        <v>5321</v>
      </c>
      <c r="AH83" s="686" t="s">
        <v>5322</v>
      </c>
      <c r="AI83" s="685" t="s">
        <v>5323</v>
      </c>
      <c r="AJ83" s="686" t="s">
        <v>5324</v>
      </c>
      <c r="AK83" s="685" t="s">
        <v>5325</v>
      </c>
      <c r="AL83" s="686" t="s">
        <v>5326</v>
      </c>
      <c r="AM83" s="685" t="s">
        <v>5327</v>
      </c>
      <c r="AN83" s="688" t="s">
        <v>5328</v>
      </c>
      <c r="AO83" s="689" t="s">
        <v>5329</v>
      </c>
      <c r="AP83" s="686" t="s">
        <v>5330</v>
      </c>
      <c r="AQ83" t="str">
        <f t="shared" si="9"/>
        <v xml:space="preserve"> * La variable pueblos originarios no puede ser mayor al Total Ambos Sexos. * La variable Migrantes no puede ser mayor al Total Ambos Sexos.</v>
      </c>
      <c r="CB83" s="2465" t="str">
        <f t="shared" si="5"/>
        <v xml:space="preserve"> * La variable pueblos originarios no puede ser mayor al Total Ambos Sexos.</v>
      </c>
      <c r="CC83" s="2465" t="str">
        <f t="shared" si="6"/>
        <v xml:space="preserve"> * La variable Migrantes no puede ser mayor al Total Ambos Sexos.</v>
      </c>
      <c r="CE83" s="1725">
        <f t="shared" si="7"/>
        <v>1</v>
      </c>
      <c r="CF83" s="1725">
        <f t="shared" si="8"/>
        <v>1</v>
      </c>
    </row>
    <row r="84" spans="1:84" ht="15" customHeight="1" x14ac:dyDescent="0.3">
      <c r="A84" s="6234">
        <v>32101655</v>
      </c>
      <c r="B84" s="8583" t="s">
        <v>31</v>
      </c>
      <c r="C84" s="676" t="s">
        <v>600</v>
      </c>
      <c r="D84" s="690" t="s">
        <v>5292</v>
      </c>
      <c r="E84" s="691" t="s">
        <v>5293</v>
      </c>
      <c r="F84" s="690" t="s">
        <v>5294</v>
      </c>
      <c r="G84" s="692" t="s">
        <v>5295</v>
      </c>
      <c r="H84" s="693" t="s">
        <v>5296</v>
      </c>
      <c r="I84" s="692" t="s">
        <v>5297</v>
      </c>
      <c r="J84" s="693" t="s">
        <v>5298</v>
      </c>
      <c r="K84" s="692" t="s">
        <v>5299</v>
      </c>
      <c r="L84" s="693" t="s">
        <v>5300</v>
      </c>
      <c r="M84" s="692" t="s">
        <v>5301</v>
      </c>
      <c r="N84" s="693" t="s">
        <v>5302</v>
      </c>
      <c r="O84" s="692" t="s">
        <v>5303</v>
      </c>
      <c r="P84" s="693" t="s">
        <v>5304</v>
      </c>
      <c r="Q84" s="692" t="s">
        <v>5305</v>
      </c>
      <c r="R84" s="693" t="s">
        <v>5306</v>
      </c>
      <c r="S84" s="692" t="s">
        <v>5307</v>
      </c>
      <c r="T84" s="693" t="s">
        <v>5308</v>
      </c>
      <c r="U84" s="692" t="s">
        <v>5309</v>
      </c>
      <c r="V84" s="693" t="s">
        <v>5310</v>
      </c>
      <c r="W84" s="692" t="s">
        <v>5311</v>
      </c>
      <c r="X84" s="693" t="s">
        <v>5312</v>
      </c>
      <c r="Y84" s="692" t="s">
        <v>5313</v>
      </c>
      <c r="Z84" s="693" t="s">
        <v>5314</v>
      </c>
      <c r="AA84" s="692" t="s">
        <v>5315</v>
      </c>
      <c r="AB84" s="693" t="s">
        <v>5316</v>
      </c>
      <c r="AC84" s="692" t="s">
        <v>5317</v>
      </c>
      <c r="AD84" s="693" t="s">
        <v>5318</v>
      </c>
      <c r="AE84" s="692" t="s">
        <v>5319</v>
      </c>
      <c r="AF84" s="693" t="s">
        <v>5320</v>
      </c>
      <c r="AG84" s="692" t="s">
        <v>5321</v>
      </c>
      <c r="AH84" s="693" t="s">
        <v>5322</v>
      </c>
      <c r="AI84" s="692" t="s">
        <v>5323</v>
      </c>
      <c r="AJ84" s="693" t="s">
        <v>5324</v>
      </c>
      <c r="AK84" s="692" t="s">
        <v>5325</v>
      </c>
      <c r="AL84" s="693" t="s">
        <v>5326</v>
      </c>
      <c r="AM84" s="692" t="s">
        <v>5327</v>
      </c>
      <c r="AN84" s="695" t="s">
        <v>5328</v>
      </c>
      <c r="AO84" s="675" t="s">
        <v>5329</v>
      </c>
      <c r="AP84" s="671" t="s">
        <v>5330</v>
      </c>
      <c r="AQ84" t="str">
        <f t="shared" si="9"/>
        <v xml:space="preserve"> * La variable pueblos originarios no puede ser mayor al Total Ambos Sexos. * La variable Migrantes no puede ser mayor al Total Ambos Sexos.</v>
      </c>
      <c r="CB84" s="2465" t="str">
        <f t="shared" si="5"/>
        <v xml:space="preserve"> * La variable pueblos originarios no puede ser mayor al Total Ambos Sexos.</v>
      </c>
      <c r="CC84" s="2465" t="str">
        <f t="shared" si="6"/>
        <v xml:space="preserve"> * La variable Migrantes no puede ser mayor al Total Ambos Sexos.</v>
      </c>
      <c r="CE84" s="1725">
        <f t="shared" si="7"/>
        <v>1</v>
      </c>
      <c r="CF84" s="1725">
        <f t="shared" si="8"/>
        <v>1</v>
      </c>
    </row>
    <row r="85" spans="1:84" ht="15" customHeight="1" x14ac:dyDescent="0.3">
      <c r="A85" s="6234">
        <v>32101656</v>
      </c>
      <c r="B85" s="8581"/>
      <c r="C85" s="681" t="s">
        <v>601</v>
      </c>
      <c r="D85" s="668" t="s">
        <v>5292</v>
      </c>
      <c r="E85" s="677" t="s">
        <v>5293</v>
      </c>
      <c r="F85" s="668" t="s">
        <v>5294</v>
      </c>
      <c r="G85" s="678" t="s">
        <v>5295</v>
      </c>
      <c r="H85" s="671" t="s">
        <v>5296</v>
      </c>
      <c r="I85" s="678" t="s">
        <v>5297</v>
      </c>
      <c r="J85" s="671" t="s">
        <v>5298</v>
      </c>
      <c r="K85" s="678" t="s">
        <v>5299</v>
      </c>
      <c r="L85" s="671" t="s">
        <v>5300</v>
      </c>
      <c r="M85" s="678" t="s">
        <v>5301</v>
      </c>
      <c r="N85" s="671" t="s">
        <v>5302</v>
      </c>
      <c r="O85" s="678" t="s">
        <v>5303</v>
      </c>
      <c r="P85" s="671" t="s">
        <v>5304</v>
      </c>
      <c r="Q85" s="678" t="s">
        <v>5305</v>
      </c>
      <c r="R85" s="671" t="s">
        <v>5306</v>
      </c>
      <c r="S85" s="678" t="s">
        <v>5307</v>
      </c>
      <c r="T85" s="671" t="s">
        <v>5308</v>
      </c>
      <c r="U85" s="678" t="s">
        <v>5309</v>
      </c>
      <c r="V85" s="671" t="s">
        <v>5310</v>
      </c>
      <c r="W85" s="678" t="s">
        <v>5311</v>
      </c>
      <c r="X85" s="671" t="s">
        <v>5312</v>
      </c>
      <c r="Y85" s="678" t="s">
        <v>5313</v>
      </c>
      <c r="Z85" s="671" t="s">
        <v>5314</v>
      </c>
      <c r="AA85" s="678" t="s">
        <v>5315</v>
      </c>
      <c r="AB85" s="671" t="s">
        <v>5316</v>
      </c>
      <c r="AC85" s="678" t="s">
        <v>5317</v>
      </c>
      <c r="AD85" s="671" t="s">
        <v>5318</v>
      </c>
      <c r="AE85" s="678" t="s">
        <v>5319</v>
      </c>
      <c r="AF85" s="671" t="s">
        <v>5320</v>
      </c>
      <c r="AG85" s="678" t="s">
        <v>5321</v>
      </c>
      <c r="AH85" s="671" t="s">
        <v>5322</v>
      </c>
      <c r="AI85" s="678" t="s">
        <v>5323</v>
      </c>
      <c r="AJ85" s="671" t="s">
        <v>5324</v>
      </c>
      <c r="AK85" s="678" t="s">
        <v>5325</v>
      </c>
      <c r="AL85" s="671" t="s">
        <v>5326</v>
      </c>
      <c r="AM85" s="678" t="s">
        <v>5327</v>
      </c>
      <c r="AN85" s="674" t="s">
        <v>5328</v>
      </c>
      <c r="AO85" s="675" t="s">
        <v>5329</v>
      </c>
      <c r="AP85" s="671" t="s">
        <v>5330</v>
      </c>
      <c r="AQ85" t="str">
        <f t="shared" si="9"/>
        <v xml:space="preserve"> * La variable pueblos originarios no puede ser mayor al Total Ambos Sexos. * La variable Migrantes no puede ser mayor al Total Ambos Sexos.</v>
      </c>
      <c r="CB85" s="2465" t="str">
        <f t="shared" si="5"/>
        <v xml:space="preserve"> * La variable pueblos originarios no puede ser mayor al Total Ambos Sexos.</v>
      </c>
      <c r="CC85" s="2465" t="str">
        <f t="shared" si="6"/>
        <v xml:space="preserve"> * La variable Migrantes no puede ser mayor al Total Ambos Sexos.</v>
      </c>
      <c r="CE85" s="1725">
        <f t="shared" si="7"/>
        <v>1</v>
      </c>
      <c r="CF85" s="1725">
        <f t="shared" si="8"/>
        <v>1</v>
      </c>
    </row>
    <row r="86" spans="1:84" ht="15" customHeight="1" x14ac:dyDescent="0.3">
      <c r="A86" s="6234">
        <v>32101657</v>
      </c>
      <c r="B86" s="8581"/>
      <c r="C86" s="676" t="s">
        <v>602</v>
      </c>
      <c r="D86" s="668" t="s">
        <v>5292</v>
      </c>
      <c r="E86" s="677" t="s">
        <v>5293</v>
      </c>
      <c r="F86" s="668" t="s">
        <v>5294</v>
      </c>
      <c r="G86" s="678" t="s">
        <v>5295</v>
      </c>
      <c r="H86" s="671" t="s">
        <v>5296</v>
      </c>
      <c r="I86" s="678" t="s">
        <v>5297</v>
      </c>
      <c r="J86" s="671" t="s">
        <v>5298</v>
      </c>
      <c r="K86" s="678" t="s">
        <v>5299</v>
      </c>
      <c r="L86" s="671" t="s">
        <v>5300</v>
      </c>
      <c r="M86" s="678" t="s">
        <v>5301</v>
      </c>
      <c r="N86" s="671" t="s">
        <v>5302</v>
      </c>
      <c r="O86" s="678" t="s">
        <v>5303</v>
      </c>
      <c r="P86" s="671" t="s">
        <v>5304</v>
      </c>
      <c r="Q86" s="678" t="s">
        <v>5305</v>
      </c>
      <c r="R86" s="671" t="s">
        <v>5306</v>
      </c>
      <c r="S86" s="678" t="s">
        <v>5307</v>
      </c>
      <c r="T86" s="671" t="s">
        <v>5308</v>
      </c>
      <c r="U86" s="678" t="s">
        <v>5309</v>
      </c>
      <c r="V86" s="671" t="s">
        <v>5310</v>
      </c>
      <c r="W86" s="678" t="s">
        <v>5311</v>
      </c>
      <c r="X86" s="671" t="s">
        <v>5312</v>
      </c>
      <c r="Y86" s="678" t="s">
        <v>5313</v>
      </c>
      <c r="Z86" s="671" t="s">
        <v>5314</v>
      </c>
      <c r="AA86" s="678" t="s">
        <v>5315</v>
      </c>
      <c r="AB86" s="671" t="s">
        <v>5316</v>
      </c>
      <c r="AC86" s="678" t="s">
        <v>5317</v>
      </c>
      <c r="AD86" s="671" t="s">
        <v>5318</v>
      </c>
      <c r="AE86" s="678" t="s">
        <v>5319</v>
      </c>
      <c r="AF86" s="671" t="s">
        <v>5320</v>
      </c>
      <c r="AG86" s="678" t="s">
        <v>5321</v>
      </c>
      <c r="AH86" s="671" t="s">
        <v>5322</v>
      </c>
      <c r="AI86" s="678" t="s">
        <v>5323</v>
      </c>
      <c r="AJ86" s="671" t="s">
        <v>5324</v>
      </c>
      <c r="AK86" s="678" t="s">
        <v>5325</v>
      </c>
      <c r="AL86" s="671" t="s">
        <v>5326</v>
      </c>
      <c r="AM86" s="678" t="s">
        <v>5327</v>
      </c>
      <c r="AN86" s="674" t="s">
        <v>5328</v>
      </c>
      <c r="AO86" s="675" t="s">
        <v>5329</v>
      </c>
      <c r="AP86" s="671" t="s">
        <v>5330</v>
      </c>
      <c r="AQ86" t="str">
        <f t="shared" si="9"/>
        <v xml:space="preserve"> * La variable pueblos originarios no puede ser mayor al Total Ambos Sexos. * La variable Migrantes no puede ser mayor al Total Ambos Sexos.</v>
      </c>
      <c r="CB86" s="2465" t="str">
        <f t="shared" si="5"/>
        <v xml:space="preserve"> * La variable pueblos originarios no puede ser mayor al Total Ambos Sexos.</v>
      </c>
      <c r="CC86" s="2465" t="str">
        <f t="shared" si="6"/>
        <v xml:space="preserve"> * La variable Migrantes no puede ser mayor al Total Ambos Sexos.</v>
      </c>
      <c r="CE86" s="1725">
        <f t="shared" si="7"/>
        <v>1</v>
      </c>
      <c r="CF86" s="1725">
        <f t="shared" si="8"/>
        <v>1</v>
      </c>
    </row>
    <row r="87" spans="1:84" ht="15" customHeight="1" x14ac:dyDescent="0.3">
      <c r="A87" s="6234">
        <v>32101658</v>
      </c>
      <c r="B87" s="8582"/>
      <c r="C87" s="696" t="s">
        <v>628</v>
      </c>
      <c r="D87" s="683" t="s">
        <v>5292</v>
      </c>
      <c r="E87" s="684" t="s">
        <v>5293</v>
      </c>
      <c r="F87" s="683" t="s">
        <v>5294</v>
      </c>
      <c r="G87" s="685" t="s">
        <v>5295</v>
      </c>
      <c r="H87" s="686" t="s">
        <v>5296</v>
      </c>
      <c r="I87" s="685" t="s">
        <v>5297</v>
      </c>
      <c r="J87" s="686" t="s">
        <v>5298</v>
      </c>
      <c r="K87" s="685" t="s">
        <v>5299</v>
      </c>
      <c r="L87" s="686" t="s">
        <v>5300</v>
      </c>
      <c r="M87" s="685" t="s">
        <v>5301</v>
      </c>
      <c r="N87" s="686" t="s">
        <v>5302</v>
      </c>
      <c r="O87" s="685" t="s">
        <v>5303</v>
      </c>
      <c r="P87" s="686" t="s">
        <v>5304</v>
      </c>
      <c r="Q87" s="685" t="s">
        <v>5305</v>
      </c>
      <c r="R87" s="686" t="s">
        <v>5306</v>
      </c>
      <c r="S87" s="685" t="s">
        <v>5307</v>
      </c>
      <c r="T87" s="686" t="s">
        <v>5308</v>
      </c>
      <c r="U87" s="685" t="s">
        <v>5309</v>
      </c>
      <c r="V87" s="686" t="s">
        <v>5310</v>
      </c>
      <c r="W87" s="685" t="s">
        <v>5311</v>
      </c>
      <c r="X87" s="686" t="s">
        <v>5312</v>
      </c>
      <c r="Y87" s="685" t="s">
        <v>5313</v>
      </c>
      <c r="Z87" s="686" t="s">
        <v>5314</v>
      </c>
      <c r="AA87" s="685" t="s">
        <v>5315</v>
      </c>
      <c r="AB87" s="686" t="s">
        <v>5316</v>
      </c>
      <c r="AC87" s="685" t="s">
        <v>5317</v>
      </c>
      <c r="AD87" s="686" t="s">
        <v>5318</v>
      </c>
      <c r="AE87" s="685" t="s">
        <v>5319</v>
      </c>
      <c r="AF87" s="686" t="s">
        <v>5320</v>
      </c>
      <c r="AG87" s="685" t="s">
        <v>5321</v>
      </c>
      <c r="AH87" s="686" t="s">
        <v>5322</v>
      </c>
      <c r="AI87" s="685" t="s">
        <v>5323</v>
      </c>
      <c r="AJ87" s="686" t="s">
        <v>5324</v>
      </c>
      <c r="AK87" s="685" t="s">
        <v>5325</v>
      </c>
      <c r="AL87" s="686" t="s">
        <v>5326</v>
      </c>
      <c r="AM87" s="685" t="s">
        <v>5327</v>
      </c>
      <c r="AN87" s="688" t="s">
        <v>5328</v>
      </c>
      <c r="AO87" s="689" t="s">
        <v>5329</v>
      </c>
      <c r="AP87" s="686" t="s">
        <v>5330</v>
      </c>
      <c r="AQ87" t="str">
        <f t="shared" si="9"/>
        <v xml:space="preserve"> * La variable pueblos originarios no puede ser mayor al Total Ambos Sexos. * La variable Migrantes no puede ser mayor al Total Ambos Sexos.</v>
      </c>
      <c r="CB87" s="2465" t="str">
        <f t="shared" si="5"/>
        <v xml:space="preserve"> * La variable pueblos originarios no puede ser mayor al Total Ambos Sexos.</v>
      </c>
      <c r="CC87" s="2465" t="str">
        <f t="shared" si="6"/>
        <v xml:space="preserve"> * La variable Migrantes no puede ser mayor al Total Ambos Sexos.</v>
      </c>
      <c r="CE87" s="1725">
        <f t="shared" si="7"/>
        <v>1</v>
      </c>
      <c r="CF87" s="1725">
        <f t="shared" si="8"/>
        <v>1</v>
      </c>
    </row>
    <row r="88" spans="1:84" ht="18" customHeight="1" x14ac:dyDescent="0.3">
      <c r="A88" s="6234"/>
      <c r="B88" s="8599" t="s">
        <v>629</v>
      </c>
      <c r="C88" s="8599"/>
      <c r="D88" s="8599"/>
      <c r="E88" s="8599"/>
      <c r="F88" s="8599"/>
      <c r="G88" s="8599"/>
      <c r="H88" s="8599"/>
      <c r="I88" s="8599"/>
      <c r="J88" s="8599"/>
      <c r="K88" s="8599"/>
      <c r="L88" s="8599"/>
      <c r="M88" s="8599"/>
      <c r="N88" s="8599"/>
      <c r="O88" s="8599"/>
      <c r="P88" s="8599"/>
      <c r="Q88" s="8599"/>
      <c r="R88" s="8599"/>
      <c r="S88" s="8599"/>
      <c r="T88" s="8599"/>
      <c r="U88" s="8599"/>
      <c r="V88" s="8599"/>
      <c r="W88" s="8599"/>
      <c r="X88" s="8599"/>
      <c r="Y88" s="8599"/>
      <c r="Z88" s="8599"/>
      <c r="AA88" s="8599"/>
      <c r="AB88" s="8599"/>
      <c r="AC88" s="8599"/>
      <c r="AD88" s="8599"/>
      <c r="AE88" s="8599"/>
      <c r="AF88" s="8599"/>
      <c r="AG88" s="8599"/>
      <c r="AH88" s="8599"/>
      <c r="AI88" s="8599"/>
      <c r="AJ88" s="8599"/>
      <c r="AK88" s="8599"/>
      <c r="AL88" s="8599"/>
      <c r="AM88" s="8599"/>
    </row>
    <row r="89" spans="1:84" x14ac:dyDescent="0.3">
      <c r="A89" s="6234"/>
      <c r="B89" s="8600" t="s">
        <v>137</v>
      </c>
      <c r="C89" s="8603" t="s">
        <v>24</v>
      </c>
      <c r="D89" s="8604"/>
      <c r="E89" s="8605"/>
      <c r="F89" s="8570" t="s">
        <v>30</v>
      </c>
      <c r="G89" s="8571"/>
      <c r="H89" s="8571"/>
      <c r="I89" s="8571"/>
      <c r="J89" s="8571"/>
      <c r="K89" s="8571"/>
      <c r="L89" s="8571"/>
      <c r="M89" s="8571"/>
      <c r="N89" s="8571"/>
      <c r="O89" s="8571"/>
      <c r="P89" s="8571"/>
      <c r="Q89" s="8571"/>
      <c r="R89" s="8571"/>
      <c r="S89" s="8571"/>
      <c r="T89" s="8571"/>
      <c r="U89" s="8571"/>
      <c r="V89" s="8571"/>
      <c r="W89" s="8571"/>
      <c r="X89" s="8571"/>
      <c r="Y89" s="8571"/>
      <c r="Z89" s="8571"/>
      <c r="AA89" s="8571"/>
      <c r="AB89" s="8571"/>
      <c r="AC89" s="8571"/>
      <c r="AD89" s="8571"/>
      <c r="AE89" s="8571"/>
      <c r="AF89" s="8571"/>
      <c r="AG89" s="8571"/>
      <c r="AH89" s="8571"/>
      <c r="AI89" s="8571"/>
      <c r="AJ89" s="8571"/>
      <c r="AK89" s="8571"/>
      <c r="AL89" s="8571"/>
      <c r="AM89" s="8572"/>
      <c r="AN89" s="8489" t="s">
        <v>605</v>
      </c>
      <c r="AO89" s="8606"/>
      <c r="AP89" s="8606"/>
      <c r="AQ89" s="8606"/>
      <c r="AR89" s="8606"/>
      <c r="AS89" s="8606"/>
      <c r="AT89" s="8606"/>
      <c r="AU89" s="8606"/>
      <c r="AV89" s="8606"/>
      <c r="AW89" s="8606"/>
      <c r="AX89" s="8607"/>
    </row>
    <row r="90" spans="1:84" x14ac:dyDescent="0.3">
      <c r="A90" s="6234"/>
      <c r="B90" s="8601"/>
      <c r="C90" s="8567"/>
      <c r="D90" s="8568"/>
      <c r="E90" s="8569"/>
      <c r="F90" s="8576" t="s">
        <v>36</v>
      </c>
      <c r="G90" s="8577"/>
      <c r="H90" s="8578" t="s">
        <v>37</v>
      </c>
      <c r="I90" s="8577"/>
      <c r="J90" s="8578" t="s">
        <v>38</v>
      </c>
      <c r="K90" s="8577"/>
      <c r="L90" s="8578" t="s">
        <v>4</v>
      </c>
      <c r="M90" s="8577"/>
      <c r="N90" s="8578" t="s">
        <v>5</v>
      </c>
      <c r="O90" s="8577"/>
      <c r="P90" s="8578" t="s">
        <v>560</v>
      </c>
      <c r="Q90" s="8577"/>
      <c r="R90" s="8578" t="s">
        <v>561</v>
      </c>
      <c r="S90" s="8577"/>
      <c r="T90" s="8578" t="s">
        <v>8</v>
      </c>
      <c r="U90" s="8577"/>
      <c r="V90" s="8578" t="s">
        <v>9</v>
      </c>
      <c r="W90" s="8577"/>
      <c r="X90" s="8578" t="s">
        <v>576</v>
      </c>
      <c r="Y90" s="8577"/>
      <c r="Z90" s="8578" t="s">
        <v>11</v>
      </c>
      <c r="AA90" s="8577"/>
      <c r="AB90" s="8578" t="s">
        <v>18</v>
      </c>
      <c r="AC90" s="8577"/>
      <c r="AD90" s="8578" t="s">
        <v>19</v>
      </c>
      <c r="AE90" s="8577"/>
      <c r="AF90" s="8578" t="s">
        <v>20</v>
      </c>
      <c r="AG90" s="8577"/>
      <c r="AH90" s="8578" t="s">
        <v>70</v>
      </c>
      <c r="AI90" s="8577"/>
      <c r="AJ90" s="8578" t="s">
        <v>71</v>
      </c>
      <c r="AK90" s="8577"/>
      <c r="AL90" s="8579" t="s">
        <v>32</v>
      </c>
      <c r="AM90" s="8572"/>
      <c r="AN90" s="8608"/>
      <c r="AO90" s="8608"/>
      <c r="AP90" s="8608"/>
      <c r="AQ90" s="8608"/>
      <c r="AR90" s="8608"/>
      <c r="AS90" s="8608"/>
      <c r="AT90" s="8608"/>
      <c r="AU90" s="8608"/>
      <c r="AV90" s="8608"/>
      <c r="AW90" s="8608"/>
      <c r="AX90" s="8609"/>
    </row>
    <row r="91" spans="1:84" ht="20.399999999999999" x14ac:dyDescent="0.3">
      <c r="A91" s="6234"/>
      <c r="B91" s="8602"/>
      <c r="C91" s="662" t="s">
        <v>26</v>
      </c>
      <c r="D91" s="2566" t="s">
        <v>22</v>
      </c>
      <c r="E91" s="2567" t="s">
        <v>27</v>
      </c>
      <c r="F91" s="656" t="s">
        <v>22</v>
      </c>
      <c r="G91" s="661" t="s">
        <v>27</v>
      </c>
      <c r="H91" s="2568" t="s">
        <v>22</v>
      </c>
      <c r="I91" s="661" t="s">
        <v>27</v>
      </c>
      <c r="J91" s="656" t="s">
        <v>22</v>
      </c>
      <c r="K91" s="661" t="s">
        <v>27</v>
      </c>
      <c r="L91" s="656" t="s">
        <v>22</v>
      </c>
      <c r="M91" s="661" t="s">
        <v>27</v>
      </c>
      <c r="N91" s="656" t="s">
        <v>22</v>
      </c>
      <c r="O91" s="661" t="s">
        <v>27</v>
      </c>
      <c r="P91" s="656" t="s">
        <v>22</v>
      </c>
      <c r="Q91" s="661" t="s">
        <v>27</v>
      </c>
      <c r="R91" s="656" t="s">
        <v>22</v>
      </c>
      <c r="S91" s="661" t="s">
        <v>27</v>
      </c>
      <c r="T91" s="656" t="s">
        <v>22</v>
      </c>
      <c r="U91" s="661" t="s">
        <v>27</v>
      </c>
      <c r="V91" s="656" t="s">
        <v>22</v>
      </c>
      <c r="W91" s="661" t="s">
        <v>27</v>
      </c>
      <c r="X91" s="656" t="s">
        <v>22</v>
      </c>
      <c r="Y91" s="661" t="s">
        <v>27</v>
      </c>
      <c r="Z91" s="656" t="s">
        <v>22</v>
      </c>
      <c r="AA91" s="661" t="s">
        <v>27</v>
      </c>
      <c r="AB91" s="656" t="s">
        <v>22</v>
      </c>
      <c r="AC91" s="661" t="s">
        <v>27</v>
      </c>
      <c r="AD91" s="656" t="s">
        <v>22</v>
      </c>
      <c r="AE91" s="661" t="s">
        <v>27</v>
      </c>
      <c r="AF91" s="656" t="s">
        <v>22</v>
      </c>
      <c r="AG91" s="661" t="s">
        <v>27</v>
      </c>
      <c r="AH91" s="656" t="s">
        <v>22</v>
      </c>
      <c r="AI91" s="661" t="s">
        <v>27</v>
      </c>
      <c r="AJ91" s="656" t="s">
        <v>22</v>
      </c>
      <c r="AK91" s="661" t="s">
        <v>27</v>
      </c>
      <c r="AL91" s="656" t="s">
        <v>22</v>
      </c>
      <c r="AM91" s="666" t="s">
        <v>27</v>
      </c>
      <c r="AN91" s="2569" t="s">
        <v>630</v>
      </c>
      <c r="AO91" s="2570" t="s">
        <v>631</v>
      </c>
      <c r="AP91" s="2570" t="s">
        <v>632</v>
      </c>
      <c r="AQ91" s="2570" t="s">
        <v>277</v>
      </c>
      <c r="AR91" s="5836" t="s">
        <v>633</v>
      </c>
      <c r="AS91" s="5838" t="s">
        <v>606</v>
      </c>
      <c r="AT91" s="5837" t="s">
        <v>247</v>
      </c>
      <c r="AU91" s="2570" t="s">
        <v>634</v>
      </c>
      <c r="AV91" s="2570" t="s">
        <v>635</v>
      </c>
      <c r="AW91" s="2570" t="s">
        <v>62</v>
      </c>
      <c r="AX91" s="2571" t="s">
        <v>28</v>
      </c>
    </row>
    <row r="92" spans="1:84" x14ac:dyDescent="0.3">
      <c r="A92" s="6234">
        <v>32101659</v>
      </c>
      <c r="B92" s="711" t="s">
        <v>636</v>
      </c>
      <c r="C92" s="712" t="s">
        <v>5292</v>
      </c>
      <c r="D92" s="669" t="s">
        <v>5293</v>
      </c>
      <c r="E92" s="713" t="s">
        <v>5294</v>
      </c>
      <c r="F92" s="714" t="s">
        <v>5295</v>
      </c>
      <c r="G92" s="715" t="s">
        <v>5296</v>
      </c>
      <c r="H92" s="716" t="s">
        <v>5297</v>
      </c>
      <c r="I92" s="717" t="s">
        <v>5298</v>
      </c>
      <c r="J92" s="670" t="s">
        <v>5299</v>
      </c>
      <c r="K92" s="717" t="s">
        <v>5300</v>
      </c>
      <c r="L92" s="670" t="s">
        <v>5301</v>
      </c>
      <c r="M92" s="717" t="s">
        <v>5302</v>
      </c>
      <c r="N92" s="670" t="s">
        <v>5303</v>
      </c>
      <c r="O92" s="717" t="s">
        <v>5304</v>
      </c>
      <c r="P92" s="670" t="s">
        <v>5305</v>
      </c>
      <c r="Q92" s="717" t="s">
        <v>5306</v>
      </c>
      <c r="R92" s="670" t="s">
        <v>5307</v>
      </c>
      <c r="S92" s="717" t="s">
        <v>5308</v>
      </c>
      <c r="T92" s="670" t="s">
        <v>5309</v>
      </c>
      <c r="U92" s="717" t="s">
        <v>5310</v>
      </c>
      <c r="V92" s="670" t="s">
        <v>5311</v>
      </c>
      <c r="W92" s="717" t="s">
        <v>5312</v>
      </c>
      <c r="X92" s="670" t="s">
        <v>5313</v>
      </c>
      <c r="Y92" s="717" t="s">
        <v>5314</v>
      </c>
      <c r="Z92" s="670" t="s">
        <v>5315</v>
      </c>
      <c r="AA92" s="717" t="s">
        <v>5316</v>
      </c>
      <c r="AB92" s="670" t="s">
        <v>5317</v>
      </c>
      <c r="AC92" s="717" t="s">
        <v>5318</v>
      </c>
      <c r="AD92" s="670" t="s">
        <v>5319</v>
      </c>
      <c r="AE92" s="717" t="s">
        <v>5320</v>
      </c>
      <c r="AF92" s="670" t="s">
        <v>5321</v>
      </c>
      <c r="AG92" s="717" t="s">
        <v>5322</v>
      </c>
      <c r="AH92" s="670" t="s">
        <v>5323</v>
      </c>
      <c r="AI92" s="717" t="s">
        <v>5324</v>
      </c>
      <c r="AJ92" s="670" t="s">
        <v>5325</v>
      </c>
      <c r="AK92" s="717" t="s">
        <v>5326</v>
      </c>
      <c r="AL92" s="670" t="s">
        <v>5327</v>
      </c>
      <c r="AM92" s="718" t="s">
        <v>5328</v>
      </c>
      <c r="AN92" s="719" t="s">
        <v>5329</v>
      </c>
      <c r="AO92" s="720" t="s">
        <v>5330</v>
      </c>
      <c r="AP92" s="720" t="s">
        <v>5331</v>
      </c>
      <c r="AQ92" s="720" t="s">
        <v>5332</v>
      </c>
      <c r="AR92" s="720" t="s">
        <v>5333</v>
      </c>
      <c r="AS92" s="720" t="s">
        <v>5334</v>
      </c>
      <c r="AT92" s="720" t="s">
        <v>5335</v>
      </c>
      <c r="AU92" s="720" t="s">
        <v>5336</v>
      </c>
      <c r="AV92" s="720" t="s">
        <v>5337</v>
      </c>
      <c r="AW92" s="720" t="s">
        <v>5338</v>
      </c>
      <c r="AX92" s="715" t="s">
        <v>5339</v>
      </c>
    </row>
    <row r="93" spans="1:84" x14ac:dyDescent="0.3">
      <c r="A93" s="6234">
        <v>32101660</v>
      </c>
      <c r="B93" s="711" t="s">
        <v>637</v>
      </c>
      <c r="C93" s="698" t="s">
        <v>5292</v>
      </c>
      <c r="D93" s="677" t="s">
        <v>5293</v>
      </c>
      <c r="E93" s="721" t="s">
        <v>5294</v>
      </c>
      <c r="F93" s="722" t="s">
        <v>5295</v>
      </c>
      <c r="G93" s="723" t="s">
        <v>5296</v>
      </c>
      <c r="H93" s="675" t="s">
        <v>5297</v>
      </c>
      <c r="I93" s="671" t="s">
        <v>5298</v>
      </c>
      <c r="J93" s="678" t="s">
        <v>5299</v>
      </c>
      <c r="K93" s="671" t="s">
        <v>5300</v>
      </c>
      <c r="L93" s="678" t="s">
        <v>5301</v>
      </c>
      <c r="M93" s="671" t="s">
        <v>5302</v>
      </c>
      <c r="N93" s="678" t="s">
        <v>5303</v>
      </c>
      <c r="O93" s="671" t="s">
        <v>5304</v>
      </c>
      <c r="P93" s="678" t="s">
        <v>5305</v>
      </c>
      <c r="Q93" s="671" t="s">
        <v>5306</v>
      </c>
      <c r="R93" s="678" t="s">
        <v>5307</v>
      </c>
      <c r="S93" s="671" t="s">
        <v>5308</v>
      </c>
      <c r="T93" s="678" t="s">
        <v>5309</v>
      </c>
      <c r="U93" s="671" t="s">
        <v>5310</v>
      </c>
      <c r="V93" s="678" t="s">
        <v>5311</v>
      </c>
      <c r="W93" s="671" t="s">
        <v>5312</v>
      </c>
      <c r="X93" s="678" t="s">
        <v>5313</v>
      </c>
      <c r="Y93" s="671" t="s">
        <v>5314</v>
      </c>
      <c r="Z93" s="678" t="s">
        <v>5315</v>
      </c>
      <c r="AA93" s="671" t="s">
        <v>5316</v>
      </c>
      <c r="AB93" s="678" t="s">
        <v>5317</v>
      </c>
      <c r="AC93" s="671" t="s">
        <v>5318</v>
      </c>
      <c r="AD93" s="678" t="s">
        <v>5319</v>
      </c>
      <c r="AE93" s="671" t="s">
        <v>5320</v>
      </c>
      <c r="AF93" s="678" t="s">
        <v>5321</v>
      </c>
      <c r="AG93" s="671" t="s">
        <v>5322</v>
      </c>
      <c r="AH93" s="678" t="s">
        <v>5323</v>
      </c>
      <c r="AI93" s="671" t="s">
        <v>5324</v>
      </c>
      <c r="AJ93" s="678" t="s">
        <v>5325</v>
      </c>
      <c r="AK93" s="671" t="s">
        <v>5326</v>
      </c>
      <c r="AL93" s="678" t="s">
        <v>5327</v>
      </c>
      <c r="AM93" s="674" t="s">
        <v>5328</v>
      </c>
      <c r="AN93" s="724" t="s">
        <v>5329</v>
      </c>
      <c r="AO93" s="725" t="s">
        <v>5330</v>
      </c>
      <c r="AP93" s="725" t="s">
        <v>5331</v>
      </c>
      <c r="AQ93" s="725" t="s">
        <v>5332</v>
      </c>
      <c r="AR93" s="725" t="s">
        <v>5333</v>
      </c>
      <c r="AS93" s="725" t="s">
        <v>5334</v>
      </c>
      <c r="AT93" s="725" t="s">
        <v>5335</v>
      </c>
      <c r="AU93" s="725" t="s">
        <v>5336</v>
      </c>
      <c r="AV93" s="725" t="s">
        <v>5337</v>
      </c>
      <c r="AW93" s="725" t="s">
        <v>5338</v>
      </c>
      <c r="AX93" s="723" t="s">
        <v>5339</v>
      </c>
    </row>
    <row r="94" spans="1:84" x14ac:dyDescent="0.3">
      <c r="A94" s="6234">
        <v>32101661</v>
      </c>
      <c r="B94" s="711" t="s">
        <v>638</v>
      </c>
      <c r="C94" s="698" t="s">
        <v>5292</v>
      </c>
      <c r="D94" s="677" t="s">
        <v>5293</v>
      </c>
      <c r="E94" s="721" t="s">
        <v>5294</v>
      </c>
      <c r="F94" s="722" t="s">
        <v>5295</v>
      </c>
      <c r="G94" s="723" t="s">
        <v>5296</v>
      </c>
      <c r="H94" s="675" t="s">
        <v>5297</v>
      </c>
      <c r="I94" s="671" t="s">
        <v>5298</v>
      </c>
      <c r="J94" s="678" t="s">
        <v>5299</v>
      </c>
      <c r="K94" s="671" t="s">
        <v>5300</v>
      </c>
      <c r="L94" s="678" t="s">
        <v>5301</v>
      </c>
      <c r="M94" s="671" t="s">
        <v>5302</v>
      </c>
      <c r="N94" s="678" t="s">
        <v>5303</v>
      </c>
      <c r="O94" s="671" t="s">
        <v>5304</v>
      </c>
      <c r="P94" s="678" t="s">
        <v>5305</v>
      </c>
      <c r="Q94" s="671" t="s">
        <v>5306</v>
      </c>
      <c r="R94" s="678" t="s">
        <v>5307</v>
      </c>
      <c r="S94" s="671" t="s">
        <v>5308</v>
      </c>
      <c r="T94" s="678" t="s">
        <v>5309</v>
      </c>
      <c r="U94" s="671" t="s">
        <v>5310</v>
      </c>
      <c r="V94" s="678" t="s">
        <v>5311</v>
      </c>
      <c r="W94" s="671" t="s">
        <v>5312</v>
      </c>
      <c r="X94" s="678" t="s">
        <v>5313</v>
      </c>
      <c r="Y94" s="671" t="s">
        <v>5314</v>
      </c>
      <c r="Z94" s="678" t="s">
        <v>5315</v>
      </c>
      <c r="AA94" s="671" t="s">
        <v>5316</v>
      </c>
      <c r="AB94" s="678" t="s">
        <v>5317</v>
      </c>
      <c r="AC94" s="671" t="s">
        <v>5318</v>
      </c>
      <c r="AD94" s="678" t="s">
        <v>5319</v>
      </c>
      <c r="AE94" s="671" t="s">
        <v>5320</v>
      </c>
      <c r="AF94" s="678" t="s">
        <v>5321</v>
      </c>
      <c r="AG94" s="671" t="s">
        <v>5322</v>
      </c>
      <c r="AH94" s="678" t="s">
        <v>5323</v>
      </c>
      <c r="AI94" s="671" t="s">
        <v>5324</v>
      </c>
      <c r="AJ94" s="678" t="s">
        <v>5325</v>
      </c>
      <c r="AK94" s="671" t="s">
        <v>5326</v>
      </c>
      <c r="AL94" s="678" t="s">
        <v>5327</v>
      </c>
      <c r="AM94" s="674" t="s">
        <v>5328</v>
      </c>
      <c r="AN94" s="724" t="s">
        <v>5329</v>
      </c>
      <c r="AO94" s="725" t="s">
        <v>5330</v>
      </c>
      <c r="AP94" s="725" t="s">
        <v>5331</v>
      </c>
      <c r="AQ94" s="725" t="s">
        <v>5332</v>
      </c>
      <c r="AR94" s="725" t="s">
        <v>5333</v>
      </c>
      <c r="AS94" s="725" t="s">
        <v>5334</v>
      </c>
      <c r="AT94" s="725" t="s">
        <v>5335</v>
      </c>
      <c r="AU94" s="725" t="s">
        <v>5336</v>
      </c>
      <c r="AV94" s="725" t="s">
        <v>5337</v>
      </c>
      <c r="AW94" s="725" t="s">
        <v>5338</v>
      </c>
      <c r="AX94" s="723" t="s">
        <v>5339</v>
      </c>
    </row>
    <row r="95" spans="1:84" x14ac:dyDescent="0.3">
      <c r="A95" s="6234">
        <v>32101662</v>
      </c>
      <c r="B95" s="711" t="s">
        <v>639</v>
      </c>
      <c r="C95" s="698" t="s">
        <v>5292</v>
      </c>
      <c r="D95" s="677" t="s">
        <v>5293</v>
      </c>
      <c r="E95" s="721" t="s">
        <v>5294</v>
      </c>
      <c r="F95" s="722" t="s">
        <v>5295</v>
      </c>
      <c r="G95" s="723" t="s">
        <v>5296</v>
      </c>
      <c r="H95" s="675" t="s">
        <v>5297</v>
      </c>
      <c r="I95" s="671" t="s">
        <v>5298</v>
      </c>
      <c r="J95" s="678" t="s">
        <v>5299</v>
      </c>
      <c r="K95" s="671" t="s">
        <v>5300</v>
      </c>
      <c r="L95" s="678" t="s">
        <v>5301</v>
      </c>
      <c r="M95" s="671" t="s">
        <v>5302</v>
      </c>
      <c r="N95" s="678" t="s">
        <v>5303</v>
      </c>
      <c r="O95" s="671" t="s">
        <v>5304</v>
      </c>
      <c r="P95" s="678" t="s">
        <v>5305</v>
      </c>
      <c r="Q95" s="671" t="s">
        <v>5306</v>
      </c>
      <c r="R95" s="678" t="s">
        <v>5307</v>
      </c>
      <c r="S95" s="671" t="s">
        <v>5308</v>
      </c>
      <c r="T95" s="678" t="s">
        <v>5309</v>
      </c>
      <c r="U95" s="671" t="s">
        <v>5310</v>
      </c>
      <c r="V95" s="678" t="s">
        <v>5311</v>
      </c>
      <c r="W95" s="671" t="s">
        <v>5312</v>
      </c>
      <c r="X95" s="678" t="s">
        <v>5313</v>
      </c>
      <c r="Y95" s="671" t="s">
        <v>5314</v>
      </c>
      <c r="Z95" s="678" t="s">
        <v>5315</v>
      </c>
      <c r="AA95" s="671" t="s">
        <v>5316</v>
      </c>
      <c r="AB95" s="678" t="s">
        <v>5317</v>
      </c>
      <c r="AC95" s="671" t="s">
        <v>5318</v>
      </c>
      <c r="AD95" s="678" t="s">
        <v>5319</v>
      </c>
      <c r="AE95" s="671" t="s">
        <v>5320</v>
      </c>
      <c r="AF95" s="678" t="s">
        <v>5321</v>
      </c>
      <c r="AG95" s="671" t="s">
        <v>5322</v>
      </c>
      <c r="AH95" s="678" t="s">
        <v>5323</v>
      </c>
      <c r="AI95" s="671" t="s">
        <v>5324</v>
      </c>
      <c r="AJ95" s="678" t="s">
        <v>5325</v>
      </c>
      <c r="AK95" s="671" t="s">
        <v>5326</v>
      </c>
      <c r="AL95" s="678" t="s">
        <v>5327</v>
      </c>
      <c r="AM95" s="674" t="s">
        <v>5328</v>
      </c>
      <c r="AN95" s="724" t="s">
        <v>5329</v>
      </c>
      <c r="AO95" s="725" t="s">
        <v>5330</v>
      </c>
      <c r="AP95" s="725" t="s">
        <v>5331</v>
      </c>
      <c r="AQ95" s="725" t="s">
        <v>5332</v>
      </c>
      <c r="AR95" s="725" t="s">
        <v>5333</v>
      </c>
      <c r="AS95" s="725" t="s">
        <v>5334</v>
      </c>
      <c r="AT95" s="725" t="s">
        <v>5335</v>
      </c>
      <c r="AU95" s="725" t="s">
        <v>5336</v>
      </c>
      <c r="AV95" s="725" t="s">
        <v>5337</v>
      </c>
      <c r="AW95" s="725" t="s">
        <v>5338</v>
      </c>
      <c r="AX95" s="723" t="s">
        <v>5339</v>
      </c>
    </row>
    <row r="96" spans="1:84" x14ac:dyDescent="0.3">
      <c r="A96" s="6234">
        <v>32101663</v>
      </c>
      <c r="B96" s="711" t="s">
        <v>640</v>
      </c>
      <c r="C96" s="698" t="s">
        <v>5292</v>
      </c>
      <c r="D96" s="677" t="s">
        <v>5293</v>
      </c>
      <c r="E96" s="721" t="s">
        <v>5294</v>
      </c>
      <c r="F96" s="722" t="s">
        <v>5295</v>
      </c>
      <c r="G96" s="723" t="s">
        <v>5296</v>
      </c>
      <c r="H96" s="675" t="s">
        <v>5297</v>
      </c>
      <c r="I96" s="671" t="s">
        <v>5298</v>
      </c>
      <c r="J96" s="678" t="s">
        <v>5299</v>
      </c>
      <c r="K96" s="671" t="s">
        <v>5300</v>
      </c>
      <c r="L96" s="678" t="s">
        <v>5301</v>
      </c>
      <c r="M96" s="671" t="s">
        <v>5302</v>
      </c>
      <c r="N96" s="678" t="s">
        <v>5303</v>
      </c>
      <c r="O96" s="671" t="s">
        <v>5304</v>
      </c>
      <c r="P96" s="678" t="s">
        <v>5305</v>
      </c>
      <c r="Q96" s="671" t="s">
        <v>5306</v>
      </c>
      <c r="R96" s="678" t="s">
        <v>5307</v>
      </c>
      <c r="S96" s="671" t="s">
        <v>5308</v>
      </c>
      <c r="T96" s="678" t="s">
        <v>5309</v>
      </c>
      <c r="U96" s="671" t="s">
        <v>5310</v>
      </c>
      <c r="V96" s="678" t="s">
        <v>5311</v>
      </c>
      <c r="W96" s="671" t="s">
        <v>5312</v>
      </c>
      <c r="X96" s="678" t="s">
        <v>5313</v>
      </c>
      <c r="Y96" s="671" t="s">
        <v>5314</v>
      </c>
      <c r="Z96" s="678" t="s">
        <v>5315</v>
      </c>
      <c r="AA96" s="671" t="s">
        <v>5316</v>
      </c>
      <c r="AB96" s="678" t="s">
        <v>5317</v>
      </c>
      <c r="AC96" s="671" t="s">
        <v>5318</v>
      </c>
      <c r="AD96" s="678" t="s">
        <v>5319</v>
      </c>
      <c r="AE96" s="671" t="s">
        <v>5320</v>
      </c>
      <c r="AF96" s="678" t="s">
        <v>5321</v>
      </c>
      <c r="AG96" s="671" t="s">
        <v>5322</v>
      </c>
      <c r="AH96" s="678" t="s">
        <v>5323</v>
      </c>
      <c r="AI96" s="671" t="s">
        <v>5324</v>
      </c>
      <c r="AJ96" s="678" t="s">
        <v>5325</v>
      </c>
      <c r="AK96" s="671" t="s">
        <v>5326</v>
      </c>
      <c r="AL96" s="678" t="s">
        <v>5327</v>
      </c>
      <c r="AM96" s="674" t="s">
        <v>5328</v>
      </c>
      <c r="AN96" s="724" t="s">
        <v>5329</v>
      </c>
      <c r="AO96" s="725" t="s">
        <v>5330</v>
      </c>
      <c r="AP96" s="725" t="s">
        <v>5331</v>
      </c>
      <c r="AQ96" s="725" t="s">
        <v>5332</v>
      </c>
      <c r="AR96" s="725" t="s">
        <v>5333</v>
      </c>
      <c r="AS96" s="725" t="s">
        <v>5334</v>
      </c>
      <c r="AT96" s="725" t="s">
        <v>5335</v>
      </c>
      <c r="AU96" s="725" t="s">
        <v>5336</v>
      </c>
      <c r="AV96" s="725" t="s">
        <v>5337</v>
      </c>
      <c r="AW96" s="725" t="s">
        <v>5338</v>
      </c>
      <c r="AX96" s="723" t="s">
        <v>5339</v>
      </c>
    </row>
    <row r="97" spans="1:50" x14ac:dyDescent="0.3">
      <c r="A97" s="6234">
        <v>32101664</v>
      </c>
      <c r="B97" s="711" t="s">
        <v>641</v>
      </c>
      <c r="C97" s="698" t="s">
        <v>5292</v>
      </c>
      <c r="D97" s="677" t="s">
        <v>5293</v>
      </c>
      <c r="E97" s="721" t="s">
        <v>5294</v>
      </c>
      <c r="F97" s="722" t="s">
        <v>5295</v>
      </c>
      <c r="G97" s="723" t="s">
        <v>5296</v>
      </c>
      <c r="H97" s="675" t="s">
        <v>5297</v>
      </c>
      <c r="I97" s="671" t="s">
        <v>5298</v>
      </c>
      <c r="J97" s="678" t="s">
        <v>5299</v>
      </c>
      <c r="K97" s="671" t="s">
        <v>5300</v>
      </c>
      <c r="L97" s="678" t="s">
        <v>5301</v>
      </c>
      <c r="M97" s="671" t="s">
        <v>5302</v>
      </c>
      <c r="N97" s="678" t="s">
        <v>5303</v>
      </c>
      <c r="O97" s="671" t="s">
        <v>5304</v>
      </c>
      <c r="P97" s="678" t="s">
        <v>5305</v>
      </c>
      <c r="Q97" s="671" t="s">
        <v>5306</v>
      </c>
      <c r="R97" s="678" t="s">
        <v>5307</v>
      </c>
      <c r="S97" s="671" t="s">
        <v>5308</v>
      </c>
      <c r="T97" s="678" t="s">
        <v>5309</v>
      </c>
      <c r="U97" s="671" t="s">
        <v>5310</v>
      </c>
      <c r="V97" s="678" t="s">
        <v>5311</v>
      </c>
      <c r="W97" s="671" t="s">
        <v>5312</v>
      </c>
      <c r="X97" s="678" t="s">
        <v>5313</v>
      </c>
      <c r="Y97" s="671" t="s">
        <v>5314</v>
      </c>
      <c r="Z97" s="678" t="s">
        <v>5315</v>
      </c>
      <c r="AA97" s="671" t="s">
        <v>5316</v>
      </c>
      <c r="AB97" s="678" t="s">
        <v>5317</v>
      </c>
      <c r="AC97" s="671" t="s">
        <v>5318</v>
      </c>
      <c r="AD97" s="678" t="s">
        <v>5319</v>
      </c>
      <c r="AE97" s="671" t="s">
        <v>5320</v>
      </c>
      <c r="AF97" s="678" t="s">
        <v>5321</v>
      </c>
      <c r="AG97" s="671" t="s">
        <v>5322</v>
      </c>
      <c r="AH97" s="678" t="s">
        <v>5323</v>
      </c>
      <c r="AI97" s="671" t="s">
        <v>5324</v>
      </c>
      <c r="AJ97" s="678" t="s">
        <v>5325</v>
      </c>
      <c r="AK97" s="671" t="s">
        <v>5326</v>
      </c>
      <c r="AL97" s="678" t="s">
        <v>5327</v>
      </c>
      <c r="AM97" s="674" t="s">
        <v>5328</v>
      </c>
      <c r="AN97" s="724" t="s">
        <v>5329</v>
      </c>
      <c r="AO97" s="725" t="s">
        <v>5330</v>
      </c>
      <c r="AP97" s="725" t="s">
        <v>5331</v>
      </c>
      <c r="AQ97" s="725" t="s">
        <v>5332</v>
      </c>
      <c r="AR97" s="725" t="s">
        <v>5333</v>
      </c>
      <c r="AS97" s="725" t="s">
        <v>5334</v>
      </c>
      <c r="AT97" s="725" t="s">
        <v>5335</v>
      </c>
      <c r="AU97" s="725" t="s">
        <v>5336</v>
      </c>
      <c r="AV97" s="725" t="s">
        <v>5337</v>
      </c>
      <c r="AW97" s="725" t="s">
        <v>5338</v>
      </c>
      <c r="AX97" s="723" t="s">
        <v>5339</v>
      </c>
    </row>
    <row r="98" spans="1:50" x14ac:dyDescent="0.3">
      <c r="A98" s="6234">
        <v>32101665</v>
      </c>
      <c r="B98" s="711" t="s">
        <v>642</v>
      </c>
      <c r="C98" s="698" t="s">
        <v>5292</v>
      </c>
      <c r="D98" s="677" t="s">
        <v>5293</v>
      </c>
      <c r="E98" s="721" t="s">
        <v>5294</v>
      </c>
      <c r="F98" s="722" t="s">
        <v>5295</v>
      </c>
      <c r="G98" s="723" t="s">
        <v>5296</v>
      </c>
      <c r="H98" s="675" t="s">
        <v>5297</v>
      </c>
      <c r="I98" s="671" t="s">
        <v>5298</v>
      </c>
      <c r="J98" s="678" t="s">
        <v>5299</v>
      </c>
      <c r="K98" s="671" t="s">
        <v>5300</v>
      </c>
      <c r="L98" s="678" t="s">
        <v>5301</v>
      </c>
      <c r="M98" s="671" t="s">
        <v>5302</v>
      </c>
      <c r="N98" s="678" t="s">
        <v>5303</v>
      </c>
      <c r="O98" s="671" t="s">
        <v>5304</v>
      </c>
      <c r="P98" s="678" t="s">
        <v>5305</v>
      </c>
      <c r="Q98" s="671" t="s">
        <v>5306</v>
      </c>
      <c r="R98" s="678" t="s">
        <v>5307</v>
      </c>
      <c r="S98" s="671" t="s">
        <v>5308</v>
      </c>
      <c r="T98" s="678" t="s">
        <v>5309</v>
      </c>
      <c r="U98" s="671" t="s">
        <v>5310</v>
      </c>
      <c r="V98" s="678" t="s">
        <v>5311</v>
      </c>
      <c r="W98" s="671" t="s">
        <v>5312</v>
      </c>
      <c r="X98" s="678" t="s">
        <v>5313</v>
      </c>
      <c r="Y98" s="671" t="s">
        <v>5314</v>
      </c>
      <c r="Z98" s="678" t="s">
        <v>5315</v>
      </c>
      <c r="AA98" s="671" t="s">
        <v>5316</v>
      </c>
      <c r="AB98" s="678" t="s">
        <v>5317</v>
      </c>
      <c r="AC98" s="671" t="s">
        <v>5318</v>
      </c>
      <c r="AD98" s="678" t="s">
        <v>5319</v>
      </c>
      <c r="AE98" s="671" t="s">
        <v>5320</v>
      </c>
      <c r="AF98" s="678" t="s">
        <v>5321</v>
      </c>
      <c r="AG98" s="671" t="s">
        <v>5322</v>
      </c>
      <c r="AH98" s="678" t="s">
        <v>5323</v>
      </c>
      <c r="AI98" s="671" t="s">
        <v>5324</v>
      </c>
      <c r="AJ98" s="678" t="s">
        <v>5325</v>
      </c>
      <c r="AK98" s="671" t="s">
        <v>5326</v>
      </c>
      <c r="AL98" s="678" t="s">
        <v>5327</v>
      </c>
      <c r="AM98" s="674" t="s">
        <v>5328</v>
      </c>
      <c r="AN98" s="724" t="s">
        <v>5329</v>
      </c>
      <c r="AO98" s="725" t="s">
        <v>5330</v>
      </c>
      <c r="AP98" s="725" t="s">
        <v>5331</v>
      </c>
      <c r="AQ98" s="725" t="s">
        <v>5332</v>
      </c>
      <c r="AR98" s="725" t="s">
        <v>5333</v>
      </c>
      <c r="AS98" s="725" t="s">
        <v>5334</v>
      </c>
      <c r="AT98" s="725" t="s">
        <v>5335</v>
      </c>
      <c r="AU98" s="725" t="s">
        <v>5336</v>
      </c>
      <c r="AV98" s="725" t="s">
        <v>5337</v>
      </c>
      <c r="AW98" s="725" t="s">
        <v>5338</v>
      </c>
      <c r="AX98" s="723" t="s">
        <v>5339</v>
      </c>
    </row>
    <row r="99" spans="1:50" x14ac:dyDescent="0.3">
      <c r="A99" s="6234">
        <v>32101666</v>
      </c>
      <c r="B99" s="711" t="s">
        <v>643</v>
      </c>
      <c r="C99" s="698" t="s">
        <v>5292</v>
      </c>
      <c r="D99" s="726" t="s">
        <v>5293</v>
      </c>
      <c r="E99" s="727" t="s">
        <v>5294</v>
      </c>
      <c r="F99" s="728" t="s">
        <v>5295</v>
      </c>
      <c r="G99" s="729" t="s">
        <v>5296</v>
      </c>
      <c r="H99" s="730" t="s">
        <v>5297</v>
      </c>
      <c r="I99" s="731" t="s">
        <v>5298</v>
      </c>
      <c r="J99" s="732" t="s">
        <v>5299</v>
      </c>
      <c r="K99" s="731" t="s">
        <v>5300</v>
      </c>
      <c r="L99" s="732" t="s">
        <v>5301</v>
      </c>
      <c r="M99" s="731" t="s">
        <v>5302</v>
      </c>
      <c r="N99" s="732" t="s">
        <v>5303</v>
      </c>
      <c r="O99" s="731" t="s">
        <v>5304</v>
      </c>
      <c r="P99" s="732" t="s">
        <v>5305</v>
      </c>
      <c r="Q99" s="731" t="s">
        <v>5306</v>
      </c>
      <c r="R99" s="732" t="s">
        <v>5307</v>
      </c>
      <c r="S99" s="731" t="s">
        <v>5308</v>
      </c>
      <c r="T99" s="732" t="s">
        <v>5309</v>
      </c>
      <c r="U99" s="731" t="s">
        <v>5310</v>
      </c>
      <c r="V99" s="732" t="s">
        <v>5311</v>
      </c>
      <c r="W99" s="731" t="s">
        <v>5312</v>
      </c>
      <c r="X99" s="732" t="s">
        <v>5313</v>
      </c>
      <c r="Y99" s="731" t="s">
        <v>5314</v>
      </c>
      <c r="Z99" s="732" t="s">
        <v>5315</v>
      </c>
      <c r="AA99" s="731" t="s">
        <v>5316</v>
      </c>
      <c r="AB99" s="732" t="s">
        <v>5317</v>
      </c>
      <c r="AC99" s="731" t="s">
        <v>5318</v>
      </c>
      <c r="AD99" s="732" t="s">
        <v>5319</v>
      </c>
      <c r="AE99" s="731" t="s">
        <v>5320</v>
      </c>
      <c r="AF99" s="732" t="s">
        <v>5321</v>
      </c>
      <c r="AG99" s="731" t="s">
        <v>5322</v>
      </c>
      <c r="AH99" s="732" t="s">
        <v>5323</v>
      </c>
      <c r="AI99" s="731" t="s">
        <v>5324</v>
      </c>
      <c r="AJ99" s="732" t="s">
        <v>5325</v>
      </c>
      <c r="AK99" s="731" t="s">
        <v>5326</v>
      </c>
      <c r="AL99" s="732" t="s">
        <v>5327</v>
      </c>
      <c r="AM99" s="733" t="s">
        <v>5328</v>
      </c>
      <c r="AN99" s="734" t="s">
        <v>5329</v>
      </c>
      <c r="AO99" s="735" t="s">
        <v>5330</v>
      </c>
      <c r="AP99" s="735" t="s">
        <v>5331</v>
      </c>
      <c r="AQ99" s="735" t="s">
        <v>5332</v>
      </c>
      <c r="AR99" s="735" t="s">
        <v>5333</v>
      </c>
      <c r="AS99" s="735" t="s">
        <v>5334</v>
      </c>
      <c r="AT99" s="735" t="s">
        <v>5335</v>
      </c>
      <c r="AU99" s="735" t="s">
        <v>5336</v>
      </c>
      <c r="AV99" s="735" t="s">
        <v>5337</v>
      </c>
      <c r="AW99" s="735" t="s">
        <v>5338</v>
      </c>
      <c r="AX99" s="729" t="s">
        <v>5339</v>
      </c>
    </row>
    <row r="100" spans="1:50" x14ac:dyDescent="0.3">
      <c r="A100" s="6234">
        <v>32101667</v>
      </c>
      <c r="B100" s="711" t="s">
        <v>644</v>
      </c>
      <c r="C100" s="698" t="s">
        <v>5292</v>
      </c>
      <c r="D100" s="677" t="s">
        <v>5293</v>
      </c>
      <c r="E100" s="736" t="s">
        <v>5294</v>
      </c>
      <c r="F100" s="722" t="s">
        <v>5295</v>
      </c>
      <c r="G100" s="723" t="s">
        <v>5296</v>
      </c>
      <c r="H100" s="675" t="s">
        <v>5297</v>
      </c>
      <c r="I100" s="671" t="s">
        <v>5298</v>
      </c>
      <c r="J100" s="678" t="s">
        <v>5299</v>
      </c>
      <c r="K100" s="671" t="s">
        <v>5300</v>
      </c>
      <c r="L100" s="678" t="s">
        <v>5301</v>
      </c>
      <c r="M100" s="671" t="s">
        <v>5302</v>
      </c>
      <c r="N100" s="678" t="s">
        <v>5303</v>
      </c>
      <c r="O100" s="671" t="s">
        <v>5304</v>
      </c>
      <c r="P100" s="678" t="s">
        <v>5305</v>
      </c>
      <c r="Q100" s="671" t="s">
        <v>5306</v>
      </c>
      <c r="R100" s="678" t="s">
        <v>5307</v>
      </c>
      <c r="S100" s="671" t="s">
        <v>5308</v>
      </c>
      <c r="T100" s="678" t="s">
        <v>5309</v>
      </c>
      <c r="U100" s="671" t="s">
        <v>5310</v>
      </c>
      <c r="V100" s="678" t="s">
        <v>5311</v>
      </c>
      <c r="W100" s="671" t="s">
        <v>5312</v>
      </c>
      <c r="X100" s="678" t="s">
        <v>5313</v>
      </c>
      <c r="Y100" s="671" t="s">
        <v>5314</v>
      </c>
      <c r="Z100" s="678" t="s">
        <v>5315</v>
      </c>
      <c r="AA100" s="671" t="s">
        <v>5316</v>
      </c>
      <c r="AB100" s="678" t="s">
        <v>5317</v>
      </c>
      <c r="AC100" s="671" t="s">
        <v>5318</v>
      </c>
      <c r="AD100" s="678" t="s">
        <v>5319</v>
      </c>
      <c r="AE100" s="671" t="s">
        <v>5320</v>
      </c>
      <c r="AF100" s="678" t="s">
        <v>5321</v>
      </c>
      <c r="AG100" s="671" t="s">
        <v>5322</v>
      </c>
      <c r="AH100" s="678" t="s">
        <v>5323</v>
      </c>
      <c r="AI100" s="671" t="s">
        <v>5324</v>
      </c>
      <c r="AJ100" s="678" t="s">
        <v>5325</v>
      </c>
      <c r="AK100" s="671" t="s">
        <v>5326</v>
      </c>
      <c r="AL100" s="678" t="s">
        <v>5327</v>
      </c>
      <c r="AM100" s="674" t="s">
        <v>5328</v>
      </c>
      <c r="AN100" s="724" t="s">
        <v>5329</v>
      </c>
      <c r="AO100" s="725" t="s">
        <v>5330</v>
      </c>
      <c r="AP100" s="725" t="s">
        <v>5331</v>
      </c>
      <c r="AQ100" s="725" t="s">
        <v>5332</v>
      </c>
      <c r="AR100" s="725" t="s">
        <v>5333</v>
      </c>
      <c r="AS100" s="725" t="s">
        <v>5334</v>
      </c>
      <c r="AT100" s="725" t="s">
        <v>5335</v>
      </c>
      <c r="AU100" s="725" t="s">
        <v>5336</v>
      </c>
      <c r="AV100" s="725" t="s">
        <v>5337</v>
      </c>
      <c r="AW100" s="725" t="s">
        <v>5338</v>
      </c>
      <c r="AX100" s="723" t="s">
        <v>5339</v>
      </c>
    </row>
    <row r="101" spans="1:50" x14ac:dyDescent="0.3">
      <c r="A101" s="6234">
        <v>32101668</v>
      </c>
      <c r="B101" s="711" t="s">
        <v>645</v>
      </c>
      <c r="C101" s="698" t="s">
        <v>5292</v>
      </c>
      <c r="D101" s="677" t="s">
        <v>5293</v>
      </c>
      <c r="E101" s="736" t="s">
        <v>5294</v>
      </c>
      <c r="F101" s="722" t="s">
        <v>5295</v>
      </c>
      <c r="G101" s="723" t="s">
        <v>5296</v>
      </c>
      <c r="H101" s="675" t="s">
        <v>5297</v>
      </c>
      <c r="I101" s="671" t="s">
        <v>5298</v>
      </c>
      <c r="J101" s="678" t="s">
        <v>5299</v>
      </c>
      <c r="K101" s="671" t="s">
        <v>5300</v>
      </c>
      <c r="L101" s="678" t="s">
        <v>5301</v>
      </c>
      <c r="M101" s="671" t="s">
        <v>5302</v>
      </c>
      <c r="N101" s="678" t="s">
        <v>5303</v>
      </c>
      <c r="O101" s="671" t="s">
        <v>5304</v>
      </c>
      <c r="P101" s="678" t="s">
        <v>5305</v>
      </c>
      <c r="Q101" s="671" t="s">
        <v>5306</v>
      </c>
      <c r="R101" s="678" t="s">
        <v>5307</v>
      </c>
      <c r="S101" s="671" t="s">
        <v>5308</v>
      </c>
      <c r="T101" s="678" t="s">
        <v>5309</v>
      </c>
      <c r="U101" s="671" t="s">
        <v>5310</v>
      </c>
      <c r="V101" s="678" t="s">
        <v>5311</v>
      </c>
      <c r="W101" s="671" t="s">
        <v>5312</v>
      </c>
      <c r="X101" s="678" t="s">
        <v>5313</v>
      </c>
      <c r="Y101" s="671" t="s">
        <v>5314</v>
      </c>
      <c r="Z101" s="678" t="s">
        <v>5315</v>
      </c>
      <c r="AA101" s="671" t="s">
        <v>5316</v>
      </c>
      <c r="AB101" s="678" t="s">
        <v>5317</v>
      </c>
      <c r="AC101" s="671" t="s">
        <v>5318</v>
      </c>
      <c r="AD101" s="678" t="s">
        <v>5319</v>
      </c>
      <c r="AE101" s="671" t="s">
        <v>5320</v>
      </c>
      <c r="AF101" s="678" t="s">
        <v>5321</v>
      </c>
      <c r="AG101" s="671" t="s">
        <v>5322</v>
      </c>
      <c r="AH101" s="678" t="s">
        <v>5323</v>
      </c>
      <c r="AI101" s="671" t="s">
        <v>5324</v>
      </c>
      <c r="AJ101" s="678" t="s">
        <v>5325</v>
      </c>
      <c r="AK101" s="671" t="s">
        <v>5326</v>
      </c>
      <c r="AL101" s="678" t="s">
        <v>5327</v>
      </c>
      <c r="AM101" s="674" t="s">
        <v>5328</v>
      </c>
      <c r="AN101" s="724" t="s">
        <v>5329</v>
      </c>
      <c r="AO101" s="725" t="s">
        <v>5330</v>
      </c>
      <c r="AP101" s="725" t="s">
        <v>5331</v>
      </c>
      <c r="AQ101" s="725" t="s">
        <v>5332</v>
      </c>
      <c r="AR101" s="725" t="s">
        <v>5333</v>
      </c>
      <c r="AS101" s="725" t="s">
        <v>5334</v>
      </c>
      <c r="AT101" s="725" t="s">
        <v>5335</v>
      </c>
      <c r="AU101" s="725" t="s">
        <v>5336</v>
      </c>
      <c r="AV101" s="725" t="s">
        <v>5337</v>
      </c>
      <c r="AW101" s="725" t="s">
        <v>5338</v>
      </c>
      <c r="AX101" s="723" t="s">
        <v>5339</v>
      </c>
    </row>
    <row r="102" spans="1:50" x14ac:dyDescent="0.3">
      <c r="A102" s="6234">
        <v>32101669</v>
      </c>
      <c r="B102" s="711" t="s">
        <v>646</v>
      </c>
      <c r="C102" s="698" t="s">
        <v>5292</v>
      </c>
      <c r="D102" s="677" t="s">
        <v>5293</v>
      </c>
      <c r="E102" s="736" t="s">
        <v>5294</v>
      </c>
      <c r="F102" s="722" t="s">
        <v>5295</v>
      </c>
      <c r="G102" s="723" t="s">
        <v>5296</v>
      </c>
      <c r="H102" s="675" t="s">
        <v>5297</v>
      </c>
      <c r="I102" s="671" t="s">
        <v>5298</v>
      </c>
      <c r="J102" s="678" t="s">
        <v>5299</v>
      </c>
      <c r="K102" s="671" t="s">
        <v>5300</v>
      </c>
      <c r="L102" s="678" t="s">
        <v>5301</v>
      </c>
      <c r="M102" s="671" t="s">
        <v>5302</v>
      </c>
      <c r="N102" s="678" t="s">
        <v>5303</v>
      </c>
      <c r="O102" s="671" t="s">
        <v>5304</v>
      </c>
      <c r="P102" s="678" t="s">
        <v>5305</v>
      </c>
      <c r="Q102" s="671" t="s">
        <v>5306</v>
      </c>
      <c r="R102" s="678" t="s">
        <v>5307</v>
      </c>
      <c r="S102" s="671" t="s">
        <v>5308</v>
      </c>
      <c r="T102" s="678" t="s">
        <v>5309</v>
      </c>
      <c r="U102" s="671" t="s">
        <v>5310</v>
      </c>
      <c r="V102" s="678" t="s">
        <v>5311</v>
      </c>
      <c r="W102" s="671" t="s">
        <v>5312</v>
      </c>
      <c r="X102" s="678" t="s">
        <v>5313</v>
      </c>
      <c r="Y102" s="671" t="s">
        <v>5314</v>
      </c>
      <c r="Z102" s="678" t="s">
        <v>5315</v>
      </c>
      <c r="AA102" s="671" t="s">
        <v>5316</v>
      </c>
      <c r="AB102" s="678" t="s">
        <v>5317</v>
      </c>
      <c r="AC102" s="671" t="s">
        <v>5318</v>
      </c>
      <c r="AD102" s="678" t="s">
        <v>5319</v>
      </c>
      <c r="AE102" s="671" t="s">
        <v>5320</v>
      </c>
      <c r="AF102" s="678" t="s">
        <v>5321</v>
      </c>
      <c r="AG102" s="671" t="s">
        <v>5322</v>
      </c>
      <c r="AH102" s="678" t="s">
        <v>5323</v>
      </c>
      <c r="AI102" s="671" t="s">
        <v>5324</v>
      </c>
      <c r="AJ102" s="678" t="s">
        <v>5325</v>
      </c>
      <c r="AK102" s="671" t="s">
        <v>5326</v>
      </c>
      <c r="AL102" s="678" t="s">
        <v>5327</v>
      </c>
      <c r="AM102" s="674" t="s">
        <v>5328</v>
      </c>
      <c r="AN102" s="724" t="s">
        <v>5329</v>
      </c>
      <c r="AO102" s="725" t="s">
        <v>5330</v>
      </c>
      <c r="AP102" s="725" t="s">
        <v>5331</v>
      </c>
      <c r="AQ102" s="725" t="s">
        <v>5332</v>
      </c>
      <c r="AR102" s="725" t="s">
        <v>5333</v>
      </c>
      <c r="AS102" s="725" t="s">
        <v>5334</v>
      </c>
      <c r="AT102" s="725" t="s">
        <v>5335</v>
      </c>
      <c r="AU102" s="725" t="s">
        <v>5336</v>
      </c>
      <c r="AV102" s="725" t="s">
        <v>5337</v>
      </c>
      <c r="AW102" s="725" t="s">
        <v>5338</v>
      </c>
      <c r="AX102" s="723" t="s">
        <v>5339</v>
      </c>
    </row>
    <row r="103" spans="1:50" x14ac:dyDescent="0.3">
      <c r="A103" s="6234">
        <v>32101670</v>
      </c>
      <c r="B103" s="737" t="s">
        <v>647</v>
      </c>
      <c r="C103" s="738" t="s">
        <v>5292</v>
      </c>
      <c r="D103" s="739" t="s">
        <v>5293</v>
      </c>
      <c r="E103" s="740" t="s">
        <v>5294</v>
      </c>
      <c r="F103" s="741" t="s">
        <v>5295</v>
      </c>
      <c r="G103" s="742" t="s">
        <v>5296</v>
      </c>
      <c r="H103" s="743" t="s">
        <v>5297</v>
      </c>
      <c r="I103" s="744" t="s">
        <v>5298</v>
      </c>
      <c r="J103" s="745" t="s">
        <v>5299</v>
      </c>
      <c r="K103" s="744" t="s">
        <v>5300</v>
      </c>
      <c r="L103" s="745" t="s">
        <v>5301</v>
      </c>
      <c r="M103" s="744" t="s">
        <v>5302</v>
      </c>
      <c r="N103" s="745" t="s">
        <v>5303</v>
      </c>
      <c r="O103" s="744" t="s">
        <v>5304</v>
      </c>
      <c r="P103" s="745" t="s">
        <v>5305</v>
      </c>
      <c r="Q103" s="744" t="s">
        <v>5306</v>
      </c>
      <c r="R103" s="745" t="s">
        <v>5307</v>
      </c>
      <c r="S103" s="744" t="s">
        <v>5308</v>
      </c>
      <c r="T103" s="745" t="s">
        <v>5309</v>
      </c>
      <c r="U103" s="744" t="s">
        <v>5310</v>
      </c>
      <c r="V103" s="745" t="s">
        <v>5311</v>
      </c>
      <c r="W103" s="744" t="s">
        <v>5312</v>
      </c>
      <c r="X103" s="745" t="s">
        <v>5313</v>
      </c>
      <c r="Y103" s="744" t="s">
        <v>5314</v>
      </c>
      <c r="Z103" s="745" t="s">
        <v>5315</v>
      </c>
      <c r="AA103" s="744" t="s">
        <v>5316</v>
      </c>
      <c r="AB103" s="745" t="s">
        <v>5317</v>
      </c>
      <c r="AC103" s="744" t="s">
        <v>5318</v>
      </c>
      <c r="AD103" s="745" t="s">
        <v>5319</v>
      </c>
      <c r="AE103" s="744" t="s">
        <v>5320</v>
      </c>
      <c r="AF103" s="745" t="s">
        <v>5321</v>
      </c>
      <c r="AG103" s="744" t="s">
        <v>5322</v>
      </c>
      <c r="AH103" s="745" t="s">
        <v>5323</v>
      </c>
      <c r="AI103" s="744" t="s">
        <v>5324</v>
      </c>
      <c r="AJ103" s="745" t="s">
        <v>5325</v>
      </c>
      <c r="AK103" s="744" t="s">
        <v>5326</v>
      </c>
      <c r="AL103" s="745" t="s">
        <v>5327</v>
      </c>
      <c r="AM103" s="746" t="s">
        <v>5328</v>
      </c>
      <c r="AN103" s="747" t="s">
        <v>5329</v>
      </c>
      <c r="AO103" s="748" t="s">
        <v>5330</v>
      </c>
      <c r="AP103" s="748" t="s">
        <v>5331</v>
      </c>
      <c r="AQ103" s="748" t="s">
        <v>5332</v>
      </c>
      <c r="AR103" s="748" t="s">
        <v>5333</v>
      </c>
      <c r="AS103" s="748" t="s">
        <v>5334</v>
      </c>
      <c r="AT103" s="748" t="s">
        <v>5335</v>
      </c>
      <c r="AU103" s="748" t="s">
        <v>5336</v>
      </c>
      <c r="AV103" s="748" t="s">
        <v>5337</v>
      </c>
      <c r="AW103" s="748" t="s">
        <v>5338</v>
      </c>
      <c r="AX103" s="742" t="s">
        <v>5339</v>
      </c>
    </row>
    <row r="104" spans="1:50" ht="18" customHeight="1" x14ac:dyDescent="0.3">
      <c r="A104" s="6234"/>
      <c r="B104" s="8619" t="s">
        <v>648</v>
      </c>
      <c r="C104" s="8619"/>
      <c r="D104" s="8619"/>
      <c r="E104" s="8619"/>
      <c r="F104" s="8619"/>
      <c r="G104" s="8619"/>
      <c r="H104" s="8619"/>
      <c r="I104" s="8619"/>
      <c r="J104" s="8619"/>
    </row>
    <row r="105" spans="1:50" x14ac:dyDescent="0.3">
      <c r="A105" s="6234"/>
      <c r="B105" s="8613" t="s">
        <v>137</v>
      </c>
      <c r="C105" s="8610" t="s">
        <v>649</v>
      </c>
      <c r="D105" s="8611"/>
      <c r="E105" s="8611"/>
      <c r="F105" s="8612"/>
      <c r="G105" s="8610" t="s">
        <v>650</v>
      </c>
      <c r="H105" s="8611"/>
      <c r="I105" s="8611"/>
      <c r="J105" s="8612"/>
    </row>
    <row r="106" spans="1:50" ht="20.399999999999999" x14ac:dyDescent="0.3">
      <c r="A106" s="6234"/>
      <c r="B106" s="8614"/>
      <c r="C106" s="749" t="s">
        <v>651</v>
      </c>
      <c r="D106" s="749" t="s">
        <v>652</v>
      </c>
      <c r="E106" s="750" t="s">
        <v>653</v>
      </c>
      <c r="F106" s="750" t="s">
        <v>654</v>
      </c>
      <c r="G106" s="750" t="s">
        <v>651</v>
      </c>
      <c r="H106" s="750" t="s">
        <v>655</v>
      </c>
      <c r="I106" s="750" t="s">
        <v>653</v>
      </c>
      <c r="J106" s="750" t="s">
        <v>654</v>
      </c>
    </row>
    <row r="107" spans="1:50" x14ac:dyDescent="0.3">
      <c r="A107" s="6234">
        <v>32101671</v>
      </c>
      <c r="B107" s="667" t="s">
        <v>656</v>
      </c>
      <c r="C107" s="693" t="s">
        <v>5292</v>
      </c>
      <c r="D107" s="693" t="s">
        <v>5293</v>
      </c>
      <c r="E107" s="693" t="s">
        <v>5294</v>
      </c>
      <c r="F107" s="693" t="s">
        <v>5295</v>
      </c>
      <c r="G107" s="693" t="s">
        <v>5296</v>
      </c>
      <c r="H107" s="693" t="s">
        <v>5297</v>
      </c>
      <c r="I107" s="693" t="s">
        <v>5298</v>
      </c>
      <c r="J107" s="693" t="s">
        <v>5299</v>
      </c>
    </row>
    <row r="108" spans="1:50" x14ac:dyDescent="0.3">
      <c r="A108" s="6234">
        <v>32101672</v>
      </c>
      <c r="B108" s="682" t="s">
        <v>657</v>
      </c>
      <c r="C108" s="751" t="s">
        <v>5292</v>
      </c>
      <c r="D108" s="686" t="s">
        <v>5293</v>
      </c>
      <c r="E108" s="686" t="s">
        <v>5294</v>
      </c>
      <c r="F108" s="686" t="s">
        <v>5295</v>
      </c>
      <c r="G108" s="752" t="s">
        <v>5296</v>
      </c>
      <c r="H108" s="752" t="s">
        <v>5297</v>
      </c>
      <c r="I108" s="752" t="s">
        <v>5298</v>
      </c>
      <c r="J108" s="752" t="s">
        <v>5299</v>
      </c>
    </row>
    <row r="109" spans="1:50" ht="18" customHeight="1" x14ac:dyDescent="0.3">
      <c r="A109" s="6234"/>
      <c r="B109" s="8584" t="s">
        <v>658</v>
      </c>
      <c r="C109" s="8584"/>
      <c r="D109" s="8584"/>
      <c r="E109" s="8584"/>
      <c r="F109" s="8584"/>
      <c r="G109" s="8584"/>
      <c r="H109" s="8584"/>
      <c r="I109" s="8584"/>
      <c r="J109" s="8584"/>
    </row>
    <row r="110" spans="1:50" x14ac:dyDescent="0.3">
      <c r="A110" s="6234"/>
      <c r="B110" s="753"/>
      <c r="C110" s="8610" t="s">
        <v>649</v>
      </c>
      <c r="D110" s="8611"/>
      <c r="E110" s="8611"/>
      <c r="F110" s="8612"/>
      <c r="G110" s="8610" t="s">
        <v>650</v>
      </c>
      <c r="H110" s="8611"/>
      <c r="I110" s="8611"/>
      <c r="J110" s="8612"/>
    </row>
    <row r="111" spans="1:50" ht="20.399999999999999" x14ac:dyDescent="0.3">
      <c r="A111" s="6234"/>
      <c r="B111" s="753"/>
      <c r="C111" s="749" t="s">
        <v>651</v>
      </c>
      <c r="D111" s="749" t="s">
        <v>652</v>
      </c>
      <c r="E111" s="750" t="s">
        <v>653</v>
      </c>
      <c r="F111" s="750" t="s">
        <v>654</v>
      </c>
      <c r="G111" s="750" t="s">
        <v>651</v>
      </c>
      <c r="H111" s="754" t="s">
        <v>655</v>
      </c>
      <c r="I111" s="750" t="s">
        <v>653</v>
      </c>
      <c r="J111" s="750" t="s">
        <v>654</v>
      </c>
    </row>
    <row r="112" spans="1:50" x14ac:dyDescent="0.3">
      <c r="A112" s="6234">
        <v>32101673</v>
      </c>
      <c r="B112" s="667" t="s">
        <v>659</v>
      </c>
      <c r="C112" s="755" t="s">
        <v>5292</v>
      </c>
      <c r="D112" s="755" t="s">
        <v>5293</v>
      </c>
      <c r="E112" s="755" t="s">
        <v>5294</v>
      </c>
      <c r="F112" s="755" t="s">
        <v>5295</v>
      </c>
      <c r="G112" s="693" t="s">
        <v>5296</v>
      </c>
      <c r="H112" s="693" t="s">
        <v>5297</v>
      </c>
      <c r="I112" s="693" t="s">
        <v>5298</v>
      </c>
      <c r="J112" s="693" t="s">
        <v>5299</v>
      </c>
    </row>
    <row r="113" spans="1:10" x14ac:dyDescent="0.3">
      <c r="A113" s="6234">
        <v>32101674</v>
      </c>
      <c r="B113" s="682" t="s">
        <v>660</v>
      </c>
      <c r="C113" s="686" t="s">
        <v>5292</v>
      </c>
      <c r="D113" s="686" t="s">
        <v>5293</v>
      </c>
      <c r="E113" s="686" t="s">
        <v>5294</v>
      </c>
      <c r="F113" s="686" t="s">
        <v>5295</v>
      </c>
      <c r="G113" s="752" t="s">
        <v>5296</v>
      </c>
      <c r="H113" s="752" t="s">
        <v>5297</v>
      </c>
      <c r="I113" s="752" t="s">
        <v>5298</v>
      </c>
      <c r="J113" s="752" t="s">
        <v>5299</v>
      </c>
    </row>
    <row r="114" spans="1:10" ht="18" customHeight="1" x14ac:dyDescent="0.3">
      <c r="A114" s="6234"/>
      <c r="B114" s="8584" t="s">
        <v>661</v>
      </c>
      <c r="C114" s="8584"/>
      <c r="D114" s="8584"/>
      <c r="E114" s="8584"/>
      <c r="F114" s="8584"/>
      <c r="G114" s="8584"/>
      <c r="H114" s="8584"/>
    </row>
    <row r="115" spans="1:10" ht="20.399999999999999" x14ac:dyDescent="0.3">
      <c r="A115" s="6234"/>
      <c r="B115" s="8613" t="s">
        <v>662</v>
      </c>
      <c r="C115" s="8615" t="s">
        <v>649</v>
      </c>
      <c r="D115" s="8616"/>
      <c r="E115" s="8615" t="s">
        <v>663</v>
      </c>
      <c r="F115" s="8617"/>
      <c r="G115" s="8618"/>
      <c r="H115" s="756" t="s">
        <v>664</v>
      </c>
    </row>
    <row r="116" spans="1:10" ht="20.399999999999999" x14ac:dyDescent="0.3">
      <c r="A116" s="6234"/>
      <c r="B116" s="8614"/>
      <c r="C116" s="757" t="s">
        <v>665</v>
      </c>
      <c r="D116" s="757" t="s">
        <v>666</v>
      </c>
      <c r="E116" s="757" t="s">
        <v>445</v>
      </c>
      <c r="F116" s="756" t="s">
        <v>304</v>
      </c>
      <c r="G116" s="756" t="s">
        <v>667</v>
      </c>
      <c r="H116" s="757" t="s">
        <v>668</v>
      </c>
    </row>
    <row r="117" spans="1:10" x14ac:dyDescent="0.3">
      <c r="A117" s="6234">
        <v>32101675</v>
      </c>
      <c r="B117" s="667" t="s">
        <v>669</v>
      </c>
      <c r="C117" s="717" t="s">
        <v>5292</v>
      </c>
      <c r="D117" s="717" t="s">
        <v>5293</v>
      </c>
      <c r="E117" s="758" t="s">
        <v>5294</v>
      </c>
      <c r="F117" s="717" t="s">
        <v>5295</v>
      </c>
      <c r="G117" s="717" t="s">
        <v>5296</v>
      </c>
      <c r="H117" s="717" t="s">
        <v>5297</v>
      </c>
    </row>
    <row r="118" spans="1:10" x14ac:dyDescent="0.3">
      <c r="A118" s="6234">
        <v>32101676</v>
      </c>
      <c r="B118" s="676" t="s">
        <v>670</v>
      </c>
      <c r="C118" s="759" t="s">
        <v>5292</v>
      </c>
      <c r="D118" s="671" t="s">
        <v>5293</v>
      </c>
      <c r="E118" s="671" t="s">
        <v>5294</v>
      </c>
      <c r="F118" s="671" t="s">
        <v>5295</v>
      </c>
      <c r="G118" s="759" t="s">
        <v>5296</v>
      </c>
      <c r="H118" s="671" t="s">
        <v>5297</v>
      </c>
    </row>
    <row r="119" spans="1:10" x14ac:dyDescent="0.3">
      <c r="A119" s="6234">
        <v>32101677</v>
      </c>
      <c r="B119" s="676" t="s">
        <v>671</v>
      </c>
      <c r="C119" s="760" t="s">
        <v>5292</v>
      </c>
      <c r="D119" s="760" t="s">
        <v>5293</v>
      </c>
      <c r="E119" s="761" t="s">
        <v>5294</v>
      </c>
      <c r="F119" s="761" t="s">
        <v>5295</v>
      </c>
      <c r="G119" s="760" t="s">
        <v>5296</v>
      </c>
      <c r="H119" s="760" t="s">
        <v>5297</v>
      </c>
    </row>
    <row r="120" spans="1:10" x14ac:dyDescent="0.3">
      <c r="A120" s="6234">
        <v>32101678</v>
      </c>
      <c r="B120" s="696" t="s">
        <v>672</v>
      </c>
      <c r="C120" s="762" t="s">
        <v>5292</v>
      </c>
      <c r="D120" s="762" t="s">
        <v>5293</v>
      </c>
      <c r="E120" s="762" t="s">
        <v>5294</v>
      </c>
      <c r="F120" s="763" t="s">
        <v>5295</v>
      </c>
      <c r="G120" s="763" t="s">
        <v>5296</v>
      </c>
      <c r="H120" s="762" t="s">
        <v>5297</v>
      </c>
    </row>
    <row r="150" spans="2:3" hidden="1" x14ac:dyDescent="0.3">
      <c r="B150" s="4463">
        <f>SUM(D13:D39,C44:C55,D61:D87,C92:C103,C107:J108,C112:J113,C117:H120)</f>
        <v>0</v>
      </c>
      <c r="C150" s="4437">
        <f>SUM(CE13:CF103)</f>
        <v>108</v>
      </c>
    </row>
  </sheetData>
  <mergeCells count="108">
    <mergeCell ref="B109:J109"/>
    <mergeCell ref="C110:F110"/>
    <mergeCell ref="G110:J110"/>
    <mergeCell ref="B114:H114"/>
    <mergeCell ref="B115:B116"/>
    <mergeCell ref="C115:D115"/>
    <mergeCell ref="E115:G115"/>
    <mergeCell ref="AH90:AI90"/>
    <mergeCell ref="AJ90:AK90"/>
    <mergeCell ref="B104:J104"/>
    <mergeCell ref="B105:B106"/>
    <mergeCell ref="C105:F105"/>
    <mergeCell ref="G105:J105"/>
    <mergeCell ref="V90:W90"/>
    <mergeCell ref="X90:Y90"/>
    <mergeCell ref="Z90:AA90"/>
    <mergeCell ref="AB90:AC90"/>
    <mergeCell ref="AD90:AE90"/>
    <mergeCell ref="J90:K90"/>
    <mergeCell ref="L90:M90"/>
    <mergeCell ref="N90:O90"/>
    <mergeCell ref="P90:Q90"/>
    <mergeCell ref="R90:S90"/>
    <mergeCell ref="T90:U90"/>
    <mergeCell ref="B61:B83"/>
    <mergeCell ref="B84:B87"/>
    <mergeCell ref="B88:AM88"/>
    <mergeCell ref="B89:B91"/>
    <mergeCell ref="C89:E90"/>
    <mergeCell ref="F89:AM89"/>
    <mergeCell ref="AN89:AX90"/>
    <mergeCell ref="F90:G90"/>
    <mergeCell ref="H90:I90"/>
    <mergeCell ref="AL90:AM90"/>
    <mergeCell ref="AF90:AG90"/>
    <mergeCell ref="B57:AN57"/>
    <mergeCell ref="B58:C60"/>
    <mergeCell ref="D58:F59"/>
    <mergeCell ref="G58:AN58"/>
    <mergeCell ref="AO58:AO60"/>
    <mergeCell ref="AP58:AP60"/>
    <mergeCell ref="G59:H59"/>
    <mergeCell ref="I59:J59"/>
    <mergeCell ref="K59:L59"/>
    <mergeCell ref="M59:N59"/>
    <mergeCell ref="AM59:AN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D42:AE42"/>
    <mergeCell ref="AF42:AG42"/>
    <mergeCell ref="AH42:AI42"/>
    <mergeCell ref="AJ42:AK42"/>
    <mergeCell ref="AL42:AM42"/>
    <mergeCell ref="B56:AP56"/>
    <mergeCell ref="R42:S42"/>
    <mergeCell ref="T42:U42"/>
    <mergeCell ref="V42:W42"/>
    <mergeCell ref="X42:Y42"/>
    <mergeCell ref="Z42:AA42"/>
    <mergeCell ref="AB42:AC42"/>
    <mergeCell ref="B41:B43"/>
    <mergeCell ref="C41:E42"/>
    <mergeCell ref="F41:AM41"/>
    <mergeCell ref="AN41:AX42"/>
    <mergeCell ref="F42:G42"/>
    <mergeCell ref="H42:I42"/>
    <mergeCell ref="J42:K42"/>
    <mergeCell ref="L42:M42"/>
    <mergeCell ref="N42:O42"/>
    <mergeCell ref="P42:Q42"/>
    <mergeCell ref="B13:B35"/>
    <mergeCell ref="B36:B39"/>
    <mergeCell ref="B40:AM40"/>
    <mergeCell ref="W11:X11"/>
    <mergeCell ref="Y11:Z11"/>
    <mergeCell ref="AA11:AB11"/>
    <mergeCell ref="AC11:AD11"/>
    <mergeCell ref="AE11:AF11"/>
    <mergeCell ref="AG11:AH11"/>
    <mergeCell ref="K11:L11"/>
    <mergeCell ref="M11:N11"/>
    <mergeCell ref="O11:P11"/>
    <mergeCell ref="Q11:R11"/>
    <mergeCell ref="S11:T11"/>
    <mergeCell ref="U11:V11"/>
    <mergeCell ref="B6:AD6"/>
    <mergeCell ref="B8:AP8"/>
    <mergeCell ref="B9:AP9"/>
    <mergeCell ref="B10:C12"/>
    <mergeCell ref="D10:F11"/>
    <mergeCell ref="G10:AN10"/>
    <mergeCell ref="AO10:AO12"/>
    <mergeCell ref="AP10:AP12"/>
    <mergeCell ref="G11:H11"/>
    <mergeCell ref="I11:J11"/>
    <mergeCell ref="AI11:AJ11"/>
    <mergeCell ref="AK11:AL11"/>
    <mergeCell ref="AM11:AN11"/>
  </mergeCells>
  <dataValidations count="3">
    <dataValidation type="whole" operator="greaterThanOrEqual" allowBlank="1" showErrorMessage="1" error="Sólo ingrese números enteros." sqref="C107:F108 G107:J107 C113:F113 G112:J112" xr:uid="{00000000-0002-0000-1A00-000000000000}">
      <formula1>0</formula1>
    </dataValidation>
    <dataValidation type="whole" operator="greaterThanOrEqual" allowBlank="1" showErrorMessage="1" error="Sólo ingrese números enteros." prompt="Valor no Permitido" sqref="G13:AP39 F44:AX55 G61:AP87 F92:AX103 F117:F120 D118 C117:D117 G120 E118:E119 G117 H117:H118" xr:uid="{00000000-0002-0000-1A00-000001000000}">
      <formula1>0</formula1>
    </dataValidation>
    <dataValidation allowBlank="1" prompt="Valor no Permitido" sqref="B6 B8:B10 D10:F39 B13:C39 G10:AP12 B40:B58 F41:AX43 C41:E55 B61:C87 D58:F87 G58:AP60 C89:E103 F89:AX91 B88:B120 G108:J108 C105:J106 G113:J113 G110:J111 C110:F112 C118:C120 C115:H116 H119:H120 G118:G119 E117 E120 D119:D120 CB44:CJ44 CB45:CB55 CE45:CE55 CB92:CE103 AE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D12" sqref="D12"/>
    </sheetView>
  </sheetViews>
  <sheetFormatPr baseColWidth="10" defaultColWidth="11.44140625" defaultRowHeight="12.6" x14ac:dyDescent="0.2"/>
  <cols>
    <col min="1" max="2" width="1.88671875" style="4573" customWidth="1"/>
    <col min="3" max="3" width="34" style="4573" customWidth="1"/>
    <col min="4" max="4" width="19.44140625" style="4573" customWidth="1"/>
    <col min="5" max="5" width="38.6640625" style="4573" customWidth="1"/>
    <col min="6" max="6" width="27.44140625" style="4573" customWidth="1"/>
    <col min="7" max="15" width="11.44140625" style="4573"/>
    <col min="16" max="146" width="11.44140625" style="4572"/>
    <col min="147" max="16384" width="11.44140625" style="4573"/>
  </cols>
  <sheetData>
    <row r="1" spans="1:15" ht="33" customHeight="1" x14ac:dyDescent="0.2">
      <c r="A1" s="4572"/>
      <c r="B1" s="4572"/>
      <c r="C1" s="8620" t="s">
        <v>3869</v>
      </c>
      <c r="D1" s="8621"/>
      <c r="E1" s="8622"/>
      <c r="F1" s="4572"/>
      <c r="G1" s="4572"/>
      <c r="H1" s="4572"/>
      <c r="I1" s="4572"/>
      <c r="J1" s="4572"/>
      <c r="K1" s="4572"/>
      <c r="L1" s="4572"/>
      <c r="M1" s="4572"/>
      <c r="N1" s="4572"/>
      <c r="O1" s="4572"/>
    </row>
    <row r="2" spans="1:15" ht="42.75" customHeight="1" x14ac:dyDescent="0.2">
      <c r="A2" s="4572"/>
      <c r="B2" s="4572"/>
      <c r="C2" s="5400" t="str">
        <f>CONCATENATE("ESTABLECIMIENTO: ",NOMBRE!B3," - ",NOMBRE!C3,NOMBRE!D3,NOMBRE!E3,NOMBRE!F3,NOMBRE!G3,NOMBRE!H3,NOMBRE!I3," 
  "," / MES:  ",NOMBRE!B6,"  / AÑO:  ",NOMBRE!B7)</f>
        <v>ESTABLECIMIENTO:  - Falta Cód. Est. 
   / MES:    / AÑO:  2024</v>
      </c>
      <c r="D2" s="4572"/>
      <c r="E2" s="4572"/>
      <c r="F2" s="4572"/>
      <c r="G2" s="4572"/>
      <c r="H2" s="4572"/>
      <c r="I2" s="4572"/>
      <c r="J2" s="4572"/>
      <c r="K2" s="4572"/>
      <c r="L2" s="4572"/>
      <c r="M2" s="4572"/>
      <c r="N2" s="4572"/>
      <c r="O2" s="4572"/>
    </row>
    <row r="3" spans="1:15" ht="34.5" customHeight="1" x14ac:dyDescent="0.2">
      <c r="A3" s="4572"/>
      <c r="B3" s="4572"/>
      <c r="C3" s="4574" t="s">
        <v>3811</v>
      </c>
      <c r="D3" s="4574" t="s">
        <v>3812</v>
      </c>
      <c r="E3" s="4575" t="s">
        <v>3813</v>
      </c>
      <c r="F3" s="4572"/>
      <c r="G3" s="4572"/>
      <c r="H3" s="4572"/>
      <c r="I3" s="4572"/>
      <c r="J3" s="4572"/>
      <c r="K3" s="4572"/>
      <c r="L3" s="4572"/>
      <c r="M3" s="4572"/>
      <c r="N3" s="4572"/>
      <c r="O3" s="4572"/>
    </row>
    <row r="4" spans="1:15" ht="22.5" customHeight="1" x14ac:dyDescent="0.3">
      <c r="A4" s="4572"/>
      <c r="B4" s="4572"/>
      <c r="C4" s="4576" t="s">
        <v>3814</v>
      </c>
      <c r="D4" s="4610">
        <f>NOMBRE!A32</f>
        <v>3</v>
      </c>
      <c r="E4" s="4572"/>
      <c r="F4" s="4572"/>
      <c r="G4" s="4572"/>
      <c r="H4" s="4572"/>
      <c r="I4" s="4572"/>
      <c r="J4" s="4572"/>
      <c r="K4" s="4572"/>
      <c r="L4" s="4572"/>
      <c r="M4" s="4572"/>
      <c r="N4" s="4572"/>
      <c r="O4" s="4572"/>
    </row>
    <row r="5" spans="1:15" ht="22.5" customHeight="1" x14ac:dyDescent="0.3">
      <c r="A5" s="4572"/>
      <c r="B5" s="4572"/>
      <c r="C5" s="4576" t="s">
        <v>3815</v>
      </c>
      <c r="D5" s="4611" t="e">
        <f>'A01'!C151</f>
        <v>#VALUE!</v>
      </c>
      <c r="E5" s="4577" t="str">
        <f>IF('A01'!B151=0,"SIN DATOS","")</f>
        <v>SIN DATOS</v>
      </c>
      <c r="F5" s="4572"/>
      <c r="G5" s="4572"/>
      <c r="H5" s="4572"/>
      <c r="I5" s="4572"/>
      <c r="J5" s="4572"/>
      <c r="K5" s="4572"/>
      <c r="L5" s="4572"/>
      <c r="M5" s="4572"/>
      <c r="N5" s="4572"/>
      <c r="O5" s="4572"/>
    </row>
    <row r="6" spans="1:15" ht="22.5" customHeight="1" x14ac:dyDescent="0.3">
      <c r="A6" s="4572"/>
      <c r="B6" s="4572"/>
      <c r="C6" s="4576" t="s">
        <v>3816</v>
      </c>
      <c r="D6" s="4611">
        <f>'A02'!C51</f>
        <v>28</v>
      </c>
      <c r="E6" s="4577" t="str">
        <f>IF('A02'!B51=0,"SIN DATOS","")</f>
        <v>SIN DATOS</v>
      </c>
      <c r="F6" s="4572"/>
      <c r="G6" s="4572"/>
      <c r="H6" s="4572"/>
      <c r="I6" s="4572"/>
      <c r="J6" s="4572"/>
      <c r="K6" s="4572"/>
      <c r="L6" s="4572"/>
      <c r="M6" s="4572"/>
      <c r="N6" s="4572"/>
      <c r="O6" s="4572"/>
    </row>
    <row r="7" spans="1:15" ht="22.5" customHeight="1" x14ac:dyDescent="0.3">
      <c r="A7" s="4572"/>
      <c r="B7" s="4572"/>
      <c r="C7" s="4576" t="s">
        <v>3817</v>
      </c>
      <c r="D7" s="4612" t="e">
        <f>'A03'!C346</f>
        <v>#VALUE!</v>
      </c>
      <c r="E7" s="4577" t="e">
        <f>IF('A03'!B346=0,"SIN DATOS","")</f>
        <v>#VALUE!</v>
      </c>
      <c r="F7" s="4572"/>
      <c r="G7" s="4572"/>
      <c r="H7" s="4572"/>
      <c r="I7" s="4572"/>
      <c r="J7" s="4572"/>
      <c r="K7" s="4572"/>
      <c r="L7" s="4572"/>
      <c r="M7" s="4572"/>
      <c r="N7" s="4572"/>
      <c r="O7" s="4572"/>
    </row>
    <row r="8" spans="1:15" ht="22.5" customHeight="1" x14ac:dyDescent="0.3">
      <c r="A8" s="4572"/>
      <c r="B8" s="4572"/>
      <c r="C8" s="4576" t="s">
        <v>3818</v>
      </c>
      <c r="D8" s="4611" t="e">
        <f>'A04'!C200</f>
        <v>#VALUE!</v>
      </c>
      <c r="E8" s="4577" t="str">
        <f>IF('A04'!B200=0,"SIN DATOS","")</f>
        <v>SIN DATOS</v>
      </c>
      <c r="F8" s="4572"/>
      <c r="G8" s="4572"/>
      <c r="H8" s="4572"/>
      <c r="I8" s="4572"/>
      <c r="J8" s="4572"/>
      <c r="K8" s="4572"/>
      <c r="L8" s="4572"/>
      <c r="M8" s="4572"/>
      <c r="N8" s="4572"/>
      <c r="O8" s="4572"/>
    </row>
    <row r="9" spans="1:15" ht="22.5" customHeight="1" x14ac:dyDescent="0.3">
      <c r="A9" s="4572"/>
      <c r="B9" s="4572"/>
      <c r="C9" s="4576" t="s">
        <v>3819</v>
      </c>
      <c r="D9" s="4611" t="e">
        <f>'A05'!C400</f>
        <v>#VALUE!</v>
      </c>
      <c r="E9" s="4577" t="str">
        <f>IF('A05'!B400=0,"SIN DATOS","")</f>
        <v>SIN DATOS</v>
      </c>
      <c r="F9" s="4572"/>
      <c r="G9" s="4572"/>
      <c r="H9" s="4572"/>
      <c r="I9" s="4572"/>
      <c r="J9" s="4572"/>
      <c r="K9" s="4572"/>
      <c r="L9" s="4572"/>
      <c r="M9" s="4572"/>
      <c r="N9" s="4572"/>
      <c r="O9" s="4572"/>
    </row>
    <row r="10" spans="1:15" ht="22.5" customHeight="1" x14ac:dyDescent="0.3">
      <c r="A10" s="4572"/>
      <c r="B10" s="4572"/>
      <c r="C10" s="4576" t="s">
        <v>3820</v>
      </c>
      <c r="D10" s="4611">
        <f>'A06'!C197</f>
        <v>244</v>
      </c>
      <c r="E10" s="4577" t="str">
        <f>IF('A06'!B197=0,"SIN DATOS","")</f>
        <v>SIN DATOS</v>
      </c>
      <c r="F10" s="4572"/>
      <c r="G10" s="4572"/>
      <c r="H10" s="4572"/>
      <c r="I10" s="4572"/>
      <c r="J10" s="4572"/>
      <c r="K10" s="4572"/>
      <c r="L10" s="4572"/>
      <c r="M10" s="4572"/>
      <c r="N10" s="4572"/>
      <c r="O10" s="4572"/>
    </row>
    <row r="11" spans="1:15" ht="22.5" customHeight="1" x14ac:dyDescent="0.3">
      <c r="A11" s="4572"/>
      <c r="B11" s="4572"/>
      <c r="C11" s="4576" t="s">
        <v>3821</v>
      </c>
      <c r="D11" s="4611" t="e">
        <f>'A07'!C249</f>
        <v>#VALUE!</v>
      </c>
      <c r="E11" s="4577" t="str">
        <f>IF('A07'!B249=0,"SIN DATOS","")</f>
        <v>SIN DATOS</v>
      </c>
      <c r="F11" s="4572"/>
      <c r="G11" s="4572"/>
      <c r="H11" s="4572"/>
      <c r="I11" s="4572"/>
      <c r="J11" s="4572"/>
      <c r="K11" s="4572"/>
      <c r="L11" s="4572"/>
      <c r="M11" s="4572"/>
      <c r="N11" s="4572"/>
      <c r="O11" s="4572"/>
    </row>
    <row r="12" spans="1:15" ht="22.5" customHeight="1" x14ac:dyDescent="0.3">
      <c r="A12" s="4572"/>
      <c r="B12" s="4572"/>
      <c r="C12" s="4576" t="s">
        <v>3822</v>
      </c>
      <c r="D12" s="4611" t="e">
        <f>'A08'!C248</f>
        <v>#VALUE!</v>
      </c>
      <c r="E12" s="4577" t="str">
        <f>IF('A08'!B248=0,"SIN DATOS","")</f>
        <v>SIN DATOS</v>
      </c>
      <c r="F12" s="4572"/>
      <c r="G12" s="4572"/>
      <c r="H12" s="4572"/>
      <c r="I12" s="4572"/>
      <c r="J12" s="4572"/>
      <c r="K12" s="4572"/>
      <c r="L12" s="4572"/>
      <c r="M12" s="4572"/>
      <c r="N12" s="4572"/>
      <c r="O12" s="4572"/>
    </row>
    <row r="13" spans="1:15" ht="22.5" customHeight="1" x14ac:dyDescent="0.3">
      <c r="A13" s="4572"/>
      <c r="B13" s="4572"/>
      <c r="C13" s="4576" t="s">
        <v>3823</v>
      </c>
      <c r="D13" s="4611" t="e">
        <f>'A09'!C350</f>
        <v>#VALUE!</v>
      </c>
      <c r="E13" s="4577" t="e">
        <f>IF('A09'!B350=0,"SIN DATOS","")</f>
        <v>#VALUE!</v>
      </c>
      <c r="F13" s="4572"/>
      <c r="G13" s="4572"/>
      <c r="H13" s="4572"/>
      <c r="I13" s="4572"/>
      <c r="J13" s="4572"/>
      <c r="K13" s="4572"/>
      <c r="L13" s="4572"/>
      <c r="M13" s="4572"/>
      <c r="N13" s="4572"/>
      <c r="O13" s="4572"/>
    </row>
    <row r="14" spans="1:15" ht="22.5" customHeight="1" x14ac:dyDescent="0.3">
      <c r="A14" s="4572"/>
      <c r="B14" s="4572"/>
      <c r="C14" s="4576" t="s">
        <v>3824</v>
      </c>
      <c r="D14" s="4611" t="e">
        <f>'A11'!C350</f>
        <v>#VALUE!</v>
      </c>
      <c r="E14" s="4577" t="str">
        <f>IF('A11'!B350=0,"SIN DATOS","")</f>
        <v>SIN DATOS</v>
      </c>
      <c r="F14" s="4572"/>
      <c r="G14" s="4572"/>
      <c r="H14" s="4572"/>
      <c r="I14" s="4572"/>
      <c r="J14" s="4572"/>
      <c r="K14" s="4572"/>
      <c r="L14" s="4572"/>
      <c r="M14" s="4572"/>
      <c r="N14" s="4572"/>
      <c r="O14" s="4572"/>
    </row>
    <row r="15" spans="1:15" ht="22.5" customHeight="1" x14ac:dyDescent="0.3">
      <c r="A15" s="4572"/>
      <c r="B15" s="4572"/>
      <c r="C15" s="4576" t="s">
        <v>3825</v>
      </c>
      <c r="D15" s="4611">
        <f>A11a!C150</f>
        <v>104</v>
      </c>
      <c r="E15" s="4577" t="str">
        <f>IF(A11a!B150=0,"SIN DATOS","")</f>
        <v>SIN DATOS</v>
      </c>
      <c r="F15" s="4572"/>
      <c r="G15" s="4572"/>
      <c r="H15" s="4572"/>
      <c r="I15" s="4572"/>
      <c r="J15" s="4572"/>
      <c r="K15" s="4572"/>
      <c r="L15" s="4572"/>
      <c r="M15" s="4572"/>
      <c r="N15" s="4572"/>
      <c r="O15" s="4572"/>
    </row>
    <row r="16" spans="1:15" ht="22.5" customHeight="1" x14ac:dyDescent="0.3">
      <c r="A16" s="4572"/>
      <c r="B16" s="4572"/>
      <c r="C16" s="4576" t="s">
        <v>3826</v>
      </c>
      <c r="D16" s="4611" t="e">
        <f>A19a!C207</f>
        <v>#VALUE!</v>
      </c>
      <c r="E16" s="4577" t="str">
        <f>IF(A19a!B207=0,"SIN DATOS","")</f>
        <v>SIN DATOS</v>
      </c>
      <c r="F16" s="4572"/>
      <c r="G16" s="4572"/>
      <c r="H16" s="4572"/>
      <c r="I16" s="4572"/>
      <c r="J16" s="4572"/>
      <c r="K16" s="4572"/>
      <c r="L16" s="4572"/>
      <c r="M16" s="4572"/>
      <c r="N16" s="4572"/>
      <c r="O16" s="4572"/>
    </row>
    <row r="17" spans="1:15" ht="22.5" customHeight="1" x14ac:dyDescent="0.3">
      <c r="A17" s="4572"/>
      <c r="B17" s="4572"/>
      <c r="C17" s="4576" t="s">
        <v>3827</v>
      </c>
      <c r="D17" s="4611">
        <f>A19b!C90</f>
        <v>36</v>
      </c>
      <c r="E17" s="4577" t="e">
        <f>IF(A19b!B90=0,"SIN DATOS","")</f>
        <v>#VALUE!</v>
      </c>
      <c r="F17" s="4572"/>
      <c r="G17" s="4572"/>
      <c r="H17" s="4572"/>
      <c r="I17" s="4572"/>
      <c r="J17" s="4572"/>
      <c r="K17" s="4572"/>
      <c r="L17" s="4572"/>
      <c r="M17" s="4572"/>
      <c r="N17" s="4572"/>
      <c r="O17" s="4572"/>
    </row>
    <row r="18" spans="1:15" ht="22.5" customHeight="1" x14ac:dyDescent="0.3">
      <c r="A18" s="4572"/>
      <c r="B18" s="4572"/>
      <c r="C18" s="4576" t="s">
        <v>3828</v>
      </c>
      <c r="D18" s="4613" t="e">
        <f>'A21'!C201</f>
        <v>#VALUE!</v>
      </c>
      <c r="E18" s="4577" t="str">
        <f>IF('A21'!B201=0,"SIN DATOS","")</f>
        <v>SIN DATOS</v>
      </c>
      <c r="F18" s="4572"/>
      <c r="G18" s="4572"/>
      <c r="H18" s="4572"/>
      <c r="I18" s="4572"/>
      <c r="J18" s="4572"/>
      <c r="K18" s="4572"/>
      <c r="L18" s="4572"/>
      <c r="M18" s="4572"/>
      <c r="N18" s="4572"/>
      <c r="O18" s="4572"/>
    </row>
    <row r="19" spans="1:15" ht="22.5" customHeight="1" x14ac:dyDescent="0.3">
      <c r="A19" s="4572"/>
      <c r="B19" s="4572"/>
      <c r="C19" s="4576" t="s">
        <v>3829</v>
      </c>
      <c r="D19" s="4614" t="e">
        <f>'A23'!C215</f>
        <v>#VALUE!</v>
      </c>
      <c r="E19" s="4577" t="str">
        <f>IF('A23'!B215=0,"SIN DATOS","")</f>
        <v>SIN DATOS</v>
      </c>
      <c r="F19" s="4572"/>
      <c r="G19" s="4572"/>
      <c r="H19" s="4572"/>
      <c r="I19" s="4572"/>
      <c r="J19" s="4572"/>
      <c r="K19" s="4572"/>
      <c r="L19" s="4572"/>
      <c r="M19" s="4572"/>
      <c r="N19" s="4572"/>
      <c r="O19" s="4572"/>
    </row>
    <row r="20" spans="1:15" ht="22.5" customHeight="1" x14ac:dyDescent="0.3">
      <c r="A20" s="4572"/>
      <c r="B20" s="4572"/>
      <c r="C20" s="4576" t="s">
        <v>3830</v>
      </c>
      <c r="D20" s="4613" t="e">
        <f>'A24'!C160</f>
        <v>#VALUE!</v>
      </c>
      <c r="E20" s="4577" t="str">
        <f>IF('A24'!B160=0,"SIN DATOS","")</f>
        <v>SIN DATOS</v>
      </c>
      <c r="F20" s="4572"/>
      <c r="G20" s="4572"/>
      <c r="H20" s="4572"/>
      <c r="I20" s="4572"/>
      <c r="J20" s="4572"/>
      <c r="K20" s="4572"/>
      <c r="L20" s="4572"/>
      <c r="M20" s="4572"/>
      <c r="N20" s="4572"/>
      <c r="O20" s="4572"/>
    </row>
    <row r="21" spans="1:15" ht="22.5" customHeight="1" x14ac:dyDescent="0.3">
      <c r="A21" s="4572"/>
      <c r="B21" s="4572"/>
      <c r="C21" s="4576" t="s">
        <v>3831</v>
      </c>
      <c r="D21" s="4613">
        <f>'A25'!C320</f>
        <v>0</v>
      </c>
      <c r="E21" s="4577" t="e">
        <f>IF('A25'!B320=0,"SIN DATOS","")</f>
        <v>#VALUE!</v>
      </c>
      <c r="F21" s="4572"/>
      <c r="G21" s="4572"/>
      <c r="H21" s="4572"/>
      <c r="I21" s="4572"/>
      <c r="J21" s="4572"/>
      <c r="K21" s="4572"/>
      <c r="L21" s="4572"/>
      <c r="M21" s="4572"/>
      <c r="N21" s="4572"/>
      <c r="O21" s="4572"/>
    </row>
    <row r="22" spans="1:15" ht="22.5" customHeight="1" x14ac:dyDescent="0.3">
      <c r="A22" s="4572"/>
      <c r="B22" s="4572"/>
      <c r="C22" s="4576" t="s">
        <v>3832</v>
      </c>
      <c r="D22" s="4613" t="e">
        <f>'A26'!C149</f>
        <v>#VALUE!</v>
      </c>
      <c r="E22" s="4577" t="str">
        <f>IF('A26'!B149=0,"SIN DATOS","")</f>
        <v>SIN DATOS</v>
      </c>
      <c r="F22" s="4572"/>
      <c r="G22" s="4572"/>
      <c r="H22" s="4572"/>
      <c r="I22" s="4572"/>
      <c r="J22" s="4572"/>
      <c r="K22" s="4572"/>
      <c r="L22" s="4572"/>
      <c r="M22" s="4572"/>
      <c r="N22" s="4572"/>
      <c r="O22" s="4572"/>
    </row>
    <row r="23" spans="1:15" ht="22.5" customHeight="1" x14ac:dyDescent="0.3">
      <c r="A23" s="4572"/>
      <c r="B23" s="4572"/>
      <c r="C23" s="4576" t="s">
        <v>3833</v>
      </c>
      <c r="D23" s="4613" t="e">
        <f>'A27'!C229</f>
        <v>#VALUE!</v>
      </c>
      <c r="E23" s="4577" t="str">
        <f>IF('A27'!B229=0,"SIN DATOS","")</f>
        <v>SIN DATOS</v>
      </c>
      <c r="F23" s="4572"/>
      <c r="G23" s="4572"/>
      <c r="H23" s="4572"/>
      <c r="I23" s="4572"/>
      <c r="J23" s="4572"/>
      <c r="K23" s="4572"/>
      <c r="L23" s="4572"/>
      <c r="M23" s="4572"/>
      <c r="N23" s="4572"/>
      <c r="O23" s="4572"/>
    </row>
    <row r="24" spans="1:15" ht="22.5" customHeight="1" x14ac:dyDescent="0.3">
      <c r="A24" s="4572"/>
      <c r="B24" s="4572"/>
      <c r="C24" s="4576" t="s">
        <v>3834</v>
      </c>
      <c r="D24" s="4613" t="e">
        <f>'A28'!C349</f>
        <v>#VALUE!</v>
      </c>
      <c r="E24" s="4577" t="str">
        <f>IF('A28'!B349=0,"SIN DATOS","")</f>
        <v>SIN DATOS</v>
      </c>
      <c r="F24" s="4572"/>
      <c r="G24" s="4572"/>
      <c r="H24" s="4572"/>
      <c r="I24" s="4572"/>
      <c r="J24" s="4572"/>
      <c r="K24" s="4572"/>
      <c r="L24" s="4572"/>
      <c r="M24" s="4572"/>
      <c r="N24" s="4572"/>
      <c r="O24" s="4572"/>
    </row>
    <row r="25" spans="1:15" ht="22.5" customHeight="1" x14ac:dyDescent="0.3">
      <c r="A25" s="4572"/>
      <c r="B25" s="4572"/>
      <c r="C25" s="4576" t="s">
        <v>3835</v>
      </c>
      <c r="D25" s="4613">
        <f>'A29'!C198</f>
        <v>90</v>
      </c>
      <c r="E25" s="4577" t="str">
        <f>IF('A29'!B198=0,"SIN DATOS","")</f>
        <v>SIN DATOS</v>
      </c>
      <c r="F25" s="4572"/>
      <c r="G25" s="4572"/>
      <c r="H25" s="4572"/>
      <c r="I25" s="4572"/>
      <c r="J25" s="4572"/>
      <c r="K25" s="4572"/>
      <c r="L25" s="4572"/>
      <c r="M25" s="4572"/>
      <c r="N25" s="4572"/>
      <c r="O25" s="4572"/>
    </row>
    <row r="26" spans="1:15" ht="22.5" customHeight="1" x14ac:dyDescent="0.3">
      <c r="A26" s="4572"/>
      <c r="B26" s="4572"/>
      <c r="C26" s="4576" t="s">
        <v>3836</v>
      </c>
      <c r="D26" s="4613">
        <f>'A30'!C180</f>
        <v>0</v>
      </c>
      <c r="E26" s="4577" t="str">
        <f>IF('A30'!B180=0,"SIN DATOS","")</f>
        <v>SIN DATOS</v>
      </c>
      <c r="F26" s="4572"/>
      <c r="G26" s="4572"/>
      <c r="H26" s="4572"/>
      <c r="I26" s="4572"/>
      <c r="J26" s="4572"/>
      <c r="K26" s="4572"/>
      <c r="L26" s="4572"/>
      <c r="M26" s="4572"/>
      <c r="N26" s="4572"/>
      <c r="O26" s="4572"/>
    </row>
    <row r="27" spans="1:15" ht="22.5" customHeight="1" x14ac:dyDescent="0.3">
      <c r="A27" s="4572"/>
      <c r="B27" s="4572"/>
      <c r="C27" s="4576" t="s">
        <v>3837</v>
      </c>
      <c r="D27" s="4613">
        <f>A30AR!C150</f>
        <v>0</v>
      </c>
      <c r="E27" s="4577" t="e">
        <f>IF(A30AR!B150=0,"SIN DATOS","")</f>
        <v>#VALUE!</v>
      </c>
      <c r="F27" s="4572"/>
      <c r="G27" s="4572"/>
      <c r="H27" s="4572"/>
      <c r="I27" s="4572"/>
      <c r="J27" s="4572"/>
      <c r="K27" s="4572"/>
      <c r="L27" s="4572"/>
      <c r="M27" s="4572"/>
      <c r="N27" s="4572"/>
      <c r="O27" s="4572"/>
    </row>
    <row r="28" spans="1:15" ht="22.5" customHeight="1" x14ac:dyDescent="0.3">
      <c r="A28" s="4572"/>
      <c r="B28" s="4572"/>
      <c r="C28" s="4576" t="s">
        <v>3838</v>
      </c>
      <c r="D28" s="4613">
        <f>'A31'!C130</f>
        <v>120</v>
      </c>
      <c r="E28" s="4577" t="str">
        <f>IF('A31'!B130=0,"SIN DATOS","")</f>
        <v>SIN DATOS</v>
      </c>
      <c r="F28" s="4572"/>
      <c r="G28" s="4572"/>
      <c r="H28" s="4572"/>
      <c r="I28" s="4572"/>
      <c r="J28" s="4572"/>
      <c r="K28" s="4572"/>
      <c r="L28" s="4572"/>
      <c r="M28" s="4572"/>
      <c r="N28" s="4572"/>
      <c r="O28" s="4572"/>
    </row>
    <row r="29" spans="1:15" ht="22.5" customHeight="1" x14ac:dyDescent="0.3">
      <c r="A29" s="4572"/>
      <c r="B29" s="4572"/>
      <c r="C29" s="4576" t="s">
        <v>3839</v>
      </c>
      <c r="D29" s="4613" t="e">
        <f>'A32'!C240</f>
        <v>#VALUE!</v>
      </c>
      <c r="E29" s="4577" t="str">
        <f>IF('A32'!B240=0,"SIN DATOS","")</f>
        <v>SIN DATOS</v>
      </c>
      <c r="F29" s="4572"/>
      <c r="G29" s="4572"/>
      <c r="H29" s="4572"/>
      <c r="I29" s="4572"/>
      <c r="J29" s="4572"/>
      <c r="K29" s="4572"/>
      <c r="L29" s="4572"/>
      <c r="M29" s="4572"/>
      <c r="N29" s="4572"/>
      <c r="O29" s="4572"/>
    </row>
    <row r="30" spans="1:15" ht="22.5" customHeight="1" thickBot="1" x14ac:dyDescent="0.35">
      <c r="A30" s="4572"/>
      <c r="B30" s="4572"/>
      <c r="C30" s="4578" t="s">
        <v>3840</v>
      </c>
      <c r="D30" s="4615">
        <f>'A33'!C150</f>
        <v>108</v>
      </c>
      <c r="E30" s="4577" t="str">
        <f>IF('A33'!B150=0,"SIN DATOS","")</f>
        <v>SIN DATOS</v>
      </c>
      <c r="F30" s="4572"/>
      <c r="G30" s="4572"/>
      <c r="H30" s="4572"/>
      <c r="I30" s="4572"/>
      <c r="J30" s="4572"/>
      <c r="K30" s="4572"/>
      <c r="L30" s="4572"/>
      <c r="M30" s="4572"/>
      <c r="N30" s="4572"/>
      <c r="O30" s="4572"/>
    </row>
    <row r="31" spans="1:15" ht="27.75" customHeight="1" thickTop="1" x14ac:dyDescent="0.2">
      <c r="A31" s="4572"/>
      <c r="B31" s="4572"/>
      <c r="C31" s="4580" t="s">
        <v>24</v>
      </c>
      <c r="D31" s="4616" t="e">
        <f>SUM(D4:D30)</f>
        <v>#VALUE!</v>
      </c>
      <c r="E31" s="4572"/>
      <c r="F31" s="4572"/>
      <c r="G31" s="4572"/>
      <c r="H31" s="4572"/>
      <c r="I31" s="4572"/>
      <c r="J31" s="4572"/>
      <c r="K31" s="4572"/>
      <c r="L31" s="4572"/>
      <c r="M31" s="4572"/>
      <c r="N31" s="4572"/>
      <c r="O31" s="4572"/>
    </row>
    <row r="32" spans="1:15" x14ac:dyDescent="0.2">
      <c r="A32" s="4572"/>
      <c r="B32" s="4572"/>
      <c r="C32" s="4572"/>
      <c r="D32" s="4572"/>
      <c r="E32" s="4572"/>
      <c r="F32" s="4572"/>
      <c r="G32" s="4572"/>
      <c r="H32" s="4572"/>
      <c r="I32" s="4572"/>
      <c r="J32" s="4572"/>
      <c r="K32" s="4572"/>
      <c r="L32" s="4572"/>
      <c r="M32" s="4572"/>
      <c r="N32" s="4572"/>
      <c r="O32" s="4572"/>
    </row>
    <row r="33" spans="1:15" x14ac:dyDescent="0.2">
      <c r="A33" s="4572"/>
      <c r="B33" s="4572"/>
      <c r="C33" s="4572"/>
      <c r="D33" s="4572"/>
      <c r="E33" s="4572"/>
      <c r="F33" s="4572"/>
      <c r="G33" s="4572"/>
      <c r="H33" s="4572"/>
      <c r="I33" s="4572"/>
      <c r="J33" s="4572"/>
      <c r="K33" s="4572"/>
      <c r="L33" s="4572"/>
      <c r="M33" s="4572"/>
      <c r="N33" s="4572"/>
      <c r="O33" s="4572"/>
    </row>
    <row r="34" spans="1:15" x14ac:dyDescent="0.2">
      <c r="A34" s="4572"/>
      <c r="B34" s="4572"/>
      <c r="C34" s="4572"/>
      <c r="D34" s="4572"/>
      <c r="E34" s="4572"/>
      <c r="F34" s="4572"/>
      <c r="G34" s="4572"/>
      <c r="H34" s="4572"/>
      <c r="I34" s="4572"/>
      <c r="J34" s="4572"/>
      <c r="K34" s="4572"/>
      <c r="L34" s="4572"/>
      <c r="M34" s="4572"/>
      <c r="N34" s="4572"/>
      <c r="O34" s="4572"/>
    </row>
    <row r="35" spans="1:15" x14ac:dyDescent="0.2">
      <c r="A35" s="4572"/>
      <c r="B35" s="4572"/>
      <c r="C35" s="4572"/>
      <c r="D35" s="4572"/>
      <c r="E35" s="4572"/>
      <c r="F35" s="4572"/>
      <c r="G35" s="4572"/>
      <c r="H35" s="4572"/>
      <c r="I35" s="4572"/>
      <c r="J35" s="4572"/>
      <c r="K35" s="4572"/>
      <c r="L35" s="4572"/>
      <c r="M35" s="4572"/>
      <c r="N35" s="4572"/>
      <c r="O35" s="4572"/>
    </row>
    <row r="36" spans="1:15" x14ac:dyDescent="0.2">
      <c r="A36" s="4572"/>
      <c r="B36" s="4572"/>
      <c r="C36" s="4572"/>
      <c r="D36" s="4572"/>
      <c r="E36" s="4572"/>
      <c r="F36" s="4572"/>
      <c r="G36" s="4572"/>
      <c r="H36" s="4572"/>
      <c r="I36" s="4572"/>
      <c r="J36" s="4572"/>
      <c r="K36" s="4572"/>
      <c r="L36" s="4572"/>
      <c r="M36" s="4572"/>
      <c r="N36" s="4572"/>
      <c r="O36" s="4572"/>
    </row>
    <row r="37" spans="1:15" x14ac:dyDescent="0.2">
      <c r="A37" s="4572"/>
      <c r="B37" s="4572"/>
      <c r="C37" s="4572"/>
      <c r="D37" s="4572"/>
      <c r="E37" s="4572"/>
      <c r="F37" s="4572"/>
      <c r="G37" s="4572"/>
      <c r="H37" s="4572"/>
      <c r="I37" s="4572"/>
      <c r="J37" s="4572"/>
      <c r="K37" s="4572"/>
      <c r="L37" s="4572"/>
      <c r="M37" s="4572"/>
      <c r="N37" s="4572"/>
      <c r="O37" s="4572"/>
    </row>
    <row r="38" spans="1:15" x14ac:dyDescent="0.2">
      <c r="A38" s="4572"/>
      <c r="B38" s="4572"/>
      <c r="C38" s="4572"/>
      <c r="D38" s="4572"/>
      <c r="E38" s="4572"/>
      <c r="F38" s="4572"/>
      <c r="G38" s="4572"/>
      <c r="H38" s="4572"/>
      <c r="I38" s="4572"/>
      <c r="J38" s="4572"/>
      <c r="K38" s="4572"/>
      <c r="L38" s="4572"/>
      <c r="M38" s="4572"/>
      <c r="N38" s="4572"/>
      <c r="O38" s="4572"/>
    </row>
    <row r="39" spans="1:15" x14ac:dyDescent="0.2">
      <c r="A39" s="4572"/>
      <c r="B39" s="4572"/>
      <c r="C39" s="4572"/>
      <c r="D39" s="4572"/>
      <c r="E39" s="4572"/>
      <c r="F39" s="4572"/>
      <c r="G39" s="4572"/>
      <c r="H39" s="4572"/>
      <c r="I39" s="4572"/>
      <c r="J39" s="4572"/>
      <c r="K39" s="4572"/>
      <c r="L39" s="4572"/>
      <c r="M39" s="4572"/>
      <c r="N39" s="4572"/>
      <c r="O39" s="4572"/>
    </row>
    <row r="40" spans="1:15" x14ac:dyDescent="0.2">
      <c r="A40" s="4572"/>
      <c r="B40" s="4572"/>
      <c r="C40" s="4572"/>
      <c r="D40" s="4572"/>
      <c r="E40" s="4572"/>
      <c r="F40" s="4572"/>
      <c r="G40" s="4572"/>
      <c r="H40" s="4572"/>
      <c r="I40" s="4572"/>
      <c r="J40" s="4572"/>
      <c r="K40" s="4572"/>
      <c r="L40" s="4572"/>
      <c r="M40" s="4572"/>
      <c r="N40" s="4572"/>
      <c r="O40" s="4572"/>
    </row>
    <row r="41" spans="1:15" x14ac:dyDescent="0.2">
      <c r="A41" s="4572"/>
      <c r="B41" s="4572"/>
      <c r="C41" s="4572"/>
      <c r="D41" s="4572"/>
      <c r="E41" s="4572"/>
      <c r="F41" s="4572"/>
      <c r="G41" s="4572"/>
      <c r="H41" s="4572"/>
      <c r="I41" s="4572"/>
      <c r="J41" s="4572"/>
      <c r="K41" s="4572"/>
      <c r="L41" s="4572"/>
      <c r="M41" s="4572"/>
      <c r="N41" s="4572"/>
      <c r="O41" s="4572"/>
    </row>
    <row r="42" spans="1:15" x14ac:dyDescent="0.2">
      <c r="A42" s="4572"/>
      <c r="B42" s="4572"/>
      <c r="C42" s="4572"/>
      <c r="D42" s="4572"/>
      <c r="E42" s="4572"/>
      <c r="F42" s="4572"/>
      <c r="G42" s="4572"/>
      <c r="H42" s="4572"/>
      <c r="I42" s="4572"/>
      <c r="J42" s="4572"/>
      <c r="K42" s="4572"/>
      <c r="L42" s="4572"/>
      <c r="M42" s="4572"/>
      <c r="N42" s="4572"/>
      <c r="O42" s="4572"/>
    </row>
    <row r="43" spans="1:15" x14ac:dyDescent="0.2">
      <c r="A43" s="4572"/>
      <c r="B43" s="4572"/>
      <c r="C43" s="4572"/>
      <c r="D43" s="4572"/>
      <c r="E43" s="4572"/>
      <c r="F43" s="4572"/>
      <c r="G43" s="4572"/>
      <c r="H43" s="4572"/>
      <c r="I43" s="4572"/>
      <c r="J43" s="4572"/>
      <c r="K43" s="4572"/>
      <c r="L43" s="4572"/>
      <c r="M43" s="4572"/>
      <c r="N43" s="4572"/>
      <c r="O43" s="4572"/>
    </row>
    <row r="44" spans="1:15" x14ac:dyDescent="0.2">
      <c r="A44" s="4572"/>
      <c r="B44" s="4572"/>
      <c r="C44" s="4572"/>
      <c r="D44" s="4572"/>
      <c r="E44" s="4572"/>
      <c r="F44" s="4572"/>
      <c r="G44" s="4572"/>
      <c r="H44" s="4572"/>
      <c r="I44" s="4572"/>
      <c r="J44" s="4572"/>
      <c r="K44" s="4572"/>
      <c r="L44" s="4572"/>
      <c r="M44" s="4572"/>
      <c r="N44" s="4572"/>
      <c r="O44" s="4572"/>
    </row>
    <row r="45" spans="1:15" x14ac:dyDescent="0.2">
      <c r="A45" s="4572"/>
      <c r="B45" s="4572"/>
      <c r="C45" s="4572"/>
      <c r="D45" s="4572"/>
      <c r="E45" s="4572"/>
      <c r="F45" s="4572"/>
      <c r="G45" s="4572"/>
      <c r="H45" s="4572"/>
      <c r="I45" s="4572"/>
      <c r="J45" s="4572"/>
      <c r="K45" s="4572"/>
      <c r="L45" s="4572"/>
      <c r="M45" s="4572"/>
      <c r="N45" s="4572"/>
      <c r="O45" s="4572"/>
    </row>
    <row r="46" spans="1:15" x14ac:dyDescent="0.2">
      <c r="A46" s="4572"/>
      <c r="B46" s="4572"/>
      <c r="C46" s="4572"/>
      <c r="D46" s="4572"/>
      <c r="E46" s="4572"/>
      <c r="F46" s="4572"/>
      <c r="G46" s="4572"/>
      <c r="H46" s="4572"/>
      <c r="I46" s="4572"/>
      <c r="J46" s="4572"/>
      <c r="K46" s="4572"/>
      <c r="L46" s="4572"/>
      <c r="M46" s="4572"/>
      <c r="N46" s="4572"/>
      <c r="O46" s="4572"/>
    </row>
    <row r="47" spans="1:15" x14ac:dyDescent="0.2">
      <c r="A47" s="4572"/>
      <c r="B47" s="4572"/>
      <c r="C47" s="4572"/>
      <c r="D47" s="4572"/>
      <c r="E47" s="4572"/>
      <c r="F47" s="4572"/>
      <c r="G47" s="4572"/>
      <c r="H47" s="4572"/>
      <c r="I47" s="4572"/>
      <c r="J47" s="4572"/>
      <c r="K47" s="4572"/>
      <c r="L47" s="4572"/>
      <c r="M47" s="4572"/>
      <c r="N47" s="4572"/>
      <c r="O47" s="4572"/>
    </row>
    <row r="48" spans="1:15" x14ac:dyDescent="0.2">
      <c r="A48" s="4572"/>
      <c r="B48" s="4572"/>
      <c r="C48" s="4572"/>
      <c r="D48" s="4572"/>
      <c r="E48" s="4572"/>
      <c r="F48" s="4572"/>
      <c r="G48" s="4572"/>
      <c r="H48" s="4572"/>
      <c r="I48" s="4572"/>
      <c r="J48" s="4572"/>
      <c r="K48" s="4572"/>
      <c r="L48" s="4572"/>
      <c r="M48" s="4572"/>
      <c r="N48" s="4572"/>
      <c r="O48" s="4572"/>
    </row>
    <row r="49" spans="1:15" x14ac:dyDescent="0.2">
      <c r="A49" s="4572"/>
      <c r="B49" s="4572"/>
      <c r="C49" s="4572"/>
      <c r="D49" s="4572"/>
      <c r="E49" s="4572"/>
      <c r="F49" s="4572"/>
      <c r="G49" s="4572"/>
      <c r="H49" s="4572"/>
      <c r="I49" s="4572"/>
      <c r="J49" s="4572"/>
      <c r="K49" s="4572"/>
      <c r="L49" s="4572"/>
      <c r="M49" s="4572"/>
      <c r="N49" s="4572"/>
      <c r="O49" s="4572"/>
    </row>
    <row r="50" spans="1:15" x14ac:dyDescent="0.2">
      <c r="A50" s="4572"/>
      <c r="B50" s="4572"/>
      <c r="C50" s="4572"/>
      <c r="D50" s="4572"/>
      <c r="E50" s="4572"/>
      <c r="F50" s="4572"/>
      <c r="G50" s="4572"/>
      <c r="H50" s="4572"/>
      <c r="I50" s="4572"/>
      <c r="J50" s="4572"/>
      <c r="K50" s="4572"/>
      <c r="L50" s="4572"/>
      <c r="M50" s="4572"/>
      <c r="N50" s="4572"/>
      <c r="O50" s="4572"/>
    </row>
    <row r="51" spans="1:15" x14ac:dyDescent="0.2">
      <c r="A51" s="4572"/>
      <c r="B51" s="4572"/>
      <c r="C51" s="4572"/>
      <c r="D51" s="4572"/>
      <c r="E51" s="4572"/>
      <c r="F51" s="4572"/>
      <c r="G51" s="4572"/>
      <c r="H51" s="4572"/>
      <c r="I51" s="4572"/>
      <c r="J51" s="4572"/>
      <c r="K51" s="4572"/>
      <c r="L51" s="4572"/>
      <c r="M51" s="4572"/>
      <c r="N51" s="4572"/>
      <c r="O51" s="4572"/>
    </row>
    <row r="52" spans="1:15" x14ac:dyDescent="0.2">
      <c r="A52" s="4572"/>
      <c r="B52" s="4572"/>
      <c r="C52" s="4572"/>
      <c r="D52" s="4572"/>
      <c r="E52" s="4572"/>
      <c r="F52" s="4572"/>
      <c r="G52" s="4572"/>
      <c r="H52" s="4572"/>
      <c r="I52" s="4572"/>
      <c r="J52" s="4572"/>
      <c r="K52" s="4572"/>
      <c r="L52" s="4572"/>
      <c r="M52" s="4572"/>
      <c r="N52" s="4572"/>
      <c r="O52" s="4572"/>
    </row>
    <row r="53" spans="1:15" x14ac:dyDescent="0.2">
      <c r="A53" s="4572"/>
      <c r="B53" s="4572"/>
      <c r="C53" s="4572"/>
      <c r="D53" s="4572"/>
      <c r="E53" s="4572"/>
      <c r="F53" s="4572"/>
      <c r="G53" s="4572"/>
      <c r="H53" s="4572"/>
      <c r="I53" s="4572"/>
      <c r="J53" s="4572"/>
      <c r="K53" s="4572"/>
      <c r="L53" s="4572"/>
      <c r="M53" s="4572"/>
      <c r="N53" s="4572"/>
      <c r="O53" s="4572"/>
    </row>
    <row r="54" spans="1:15" x14ac:dyDescent="0.2">
      <c r="A54" s="4572"/>
      <c r="B54" s="4572"/>
      <c r="C54" s="4572"/>
      <c r="D54" s="4572"/>
      <c r="E54" s="4572"/>
      <c r="F54" s="4572"/>
      <c r="G54" s="4572"/>
      <c r="H54" s="4572"/>
      <c r="I54" s="4572"/>
      <c r="J54" s="4572"/>
      <c r="K54" s="4572"/>
      <c r="L54" s="4572"/>
      <c r="M54" s="4572"/>
      <c r="N54" s="4572"/>
      <c r="O54" s="4572"/>
    </row>
    <row r="55" spans="1:15" x14ac:dyDescent="0.2">
      <c r="A55" s="4572"/>
      <c r="B55" s="4572"/>
      <c r="C55" s="4572"/>
      <c r="D55" s="4572"/>
      <c r="E55" s="4572"/>
      <c r="F55" s="4572"/>
      <c r="G55" s="4572"/>
      <c r="H55" s="4572"/>
      <c r="I55" s="4572"/>
      <c r="J55" s="4572"/>
      <c r="K55" s="4572"/>
      <c r="L55" s="4572"/>
      <c r="M55" s="4572"/>
      <c r="N55" s="4572"/>
      <c r="O55" s="4572"/>
    </row>
    <row r="56" spans="1:15" x14ac:dyDescent="0.2">
      <c r="A56" s="4572"/>
      <c r="B56" s="4572"/>
      <c r="C56" s="4572"/>
      <c r="D56" s="4572"/>
      <c r="E56" s="4572"/>
      <c r="F56" s="4572"/>
      <c r="G56" s="4572"/>
      <c r="H56" s="4572"/>
      <c r="I56" s="4572"/>
      <c r="J56" s="4572"/>
      <c r="K56" s="4572"/>
      <c r="L56" s="4572"/>
      <c r="M56" s="4572"/>
      <c r="N56" s="4572"/>
      <c r="O56" s="4572"/>
    </row>
    <row r="57" spans="1:15" x14ac:dyDescent="0.2">
      <c r="A57" s="4572"/>
      <c r="B57" s="4572"/>
      <c r="C57" s="4572"/>
      <c r="D57" s="4572"/>
      <c r="E57" s="4572"/>
      <c r="F57" s="4572"/>
      <c r="G57" s="4572"/>
      <c r="H57" s="4572"/>
      <c r="I57" s="4572"/>
      <c r="J57" s="4572"/>
      <c r="K57" s="4572"/>
      <c r="L57" s="4572"/>
      <c r="M57" s="4572"/>
      <c r="N57" s="4572"/>
      <c r="O57" s="4572"/>
    </row>
    <row r="58" spans="1:15" x14ac:dyDescent="0.2">
      <c r="A58" s="4572"/>
      <c r="B58" s="4572"/>
      <c r="C58" s="4572"/>
      <c r="D58" s="4572"/>
      <c r="E58" s="4572"/>
      <c r="F58" s="4572"/>
      <c r="G58" s="4572"/>
      <c r="H58" s="4572"/>
      <c r="I58" s="4572"/>
      <c r="J58" s="4572"/>
      <c r="K58" s="4572"/>
      <c r="L58" s="4572"/>
      <c r="M58" s="4572"/>
      <c r="N58" s="4572"/>
      <c r="O58" s="4572"/>
    </row>
    <row r="59" spans="1:15" x14ac:dyDescent="0.2">
      <c r="A59" s="4572"/>
      <c r="B59" s="4572"/>
      <c r="C59" s="4572"/>
      <c r="D59" s="4572"/>
      <c r="E59" s="4572"/>
      <c r="F59" s="4572"/>
      <c r="G59" s="4572"/>
      <c r="H59" s="4572"/>
      <c r="I59" s="4572"/>
      <c r="J59" s="4572"/>
      <c r="K59" s="4572"/>
      <c r="L59" s="4572"/>
      <c r="M59" s="4572"/>
      <c r="N59" s="4572"/>
      <c r="O59" s="4572"/>
    </row>
    <row r="60" spans="1:15" x14ac:dyDescent="0.2">
      <c r="A60" s="4572"/>
      <c r="B60" s="4572"/>
      <c r="C60" s="4572"/>
      <c r="D60" s="4572"/>
      <c r="E60" s="4572"/>
      <c r="F60" s="4572"/>
      <c r="G60" s="4572"/>
      <c r="H60" s="4572"/>
      <c r="I60" s="4572"/>
      <c r="J60" s="4572"/>
      <c r="K60" s="4572"/>
      <c r="L60" s="4572"/>
      <c r="M60" s="4572"/>
      <c r="N60" s="4572"/>
      <c r="O60" s="4572"/>
    </row>
    <row r="61" spans="1:15" x14ac:dyDescent="0.2">
      <c r="A61" s="4572"/>
      <c r="B61" s="4572"/>
      <c r="C61" s="4572"/>
      <c r="D61" s="4572"/>
      <c r="E61" s="4572"/>
      <c r="F61" s="4572"/>
      <c r="G61" s="4572"/>
      <c r="H61" s="4572"/>
      <c r="I61" s="4572"/>
      <c r="J61" s="4572"/>
      <c r="K61" s="4572"/>
      <c r="L61" s="4572"/>
      <c r="M61" s="4572"/>
      <c r="N61" s="4572"/>
      <c r="O61" s="4572"/>
    </row>
    <row r="62" spans="1:15" x14ac:dyDescent="0.2">
      <c r="A62" s="4572"/>
      <c r="B62" s="4572"/>
      <c r="C62" s="4572"/>
      <c r="D62" s="4572"/>
      <c r="E62" s="4572"/>
      <c r="F62" s="4572"/>
      <c r="G62" s="4572"/>
      <c r="H62" s="4572"/>
      <c r="I62" s="4572"/>
      <c r="J62" s="4572"/>
      <c r="K62" s="4572"/>
      <c r="L62" s="4572"/>
      <c r="M62" s="4572"/>
      <c r="N62" s="4572"/>
      <c r="O62" s="4572"/>
    </row>
    <row r="63" spans="1:15" x14ac:dyDescent="0.2">
      <c r="A63" s="4572"/>
      <c r="B63" s="4572"/>
      <c r="C63" s="4572"/>
      <c r="D63" s="4572"/>
      <c r="E63" s="4572"/>
      <c r="F63" s="4572"/>
      <c r="G63" s="4572"/>
      <c r="H63" s="4572"/>
      <c r="I63" s="4572"/>
      <c r="J63" s="4572"/>
      <c r="K63" s="4572"/>
      <c r="L63" s="4572"/>
      <c r="M63" s="4572"/>
      <c r="N63" s="4572"/>
      <c r="O63" s="4572"/>
    </row>
    <row r="64" spans="1:15" x14ac:dyDescent="0.2">
      <c r="A64" s="4572"/>
      <c r="B64" s="4572"/>
      <c r="C64" s="4572"/>
      <c r="D64" s="4572"/>
      <c r="E64" s="4572"/>
      <c r="F64" s="4572"/>
      <c r="G64" s="4572"/>
      <c r="H64" s="4572"/>
      <c r="I64" s="4572"/>
      <c r="J64" s="4572"/>
      <c r="K64" s="4572"/>
      <c r="L64" s="4572"/>
      <c r="M64" s="4572"/>
      <c r="N64" s="4572"/>
      <c r="O64" s="4572"/>
    </row>
    <row r="141" spans="16:146" s="4579" customFormat="1" x14ac:dyDescent="0.2">
      <c r="P141" s="4572"/>
      <c r="Q141" s="4572"/>
      <c r="R141" s="4572"/>
      <c r="S141" s="4572"/>
      <c r="T141" s="4572"/>
      <c r="U141" s="4572"/>
      <c r="V141" s="4572"/>
      <c r="W141" s="4572"/>
      <c r="X141" s="4572"/>
      <c r="Y141" s="4572"/>
      <c r="Z141" s="4572"/>
      <c r="AA141" s="4572"/>
      <c r="AB141" s="4572"/>
      <c r="AC141" s="4572"/>
      <c r="AD141" s="4572"/>
      <c r="AE141" s="4572"/>
      <c r="AF141" s="4572"/>
      <c r="AG141" s="4572"/>
      <c r="AH141" s="4572"/>
      <c r="AI141" s="4572"/>
      <c r="AJ141" s="4572"/>
      <c r="AK141" s="4572"/>
      <c r="AL141" s="4572"/>
      <c r="AM141" s="4572"/>
      <c r="AN141" s="4572"/>
      <c r="AO141" s="4572"/>
      <c r="AP141" s="4572"/>
      <c r="AQ141" s="4572"/>
      <c r="AR141" s="4572"/>
      <c r="AS141" s="4572"/>
      <c r="AT141" s="4572"/>
      <c r="AU141" s="4572"/>
      <c r="AV141" s="4572"/>
      <c r="AW141" s="4572"/>
      <c r="AX141" s="4572"/>
      <c r="AY141" s="4572"/>
      <c r="AZ141" s="4572"/>
      <c r="BA141" s="4572"/>
      <c r="BB141" s="4572"/>
      <c r="BC141" s="4572"/>
      <c r="BD141" s="4572"/>
      <c r="BE141" s="4572"/>
      <c r="BF141" s="4572"/>
      <c r="BG141" s="4572"/>
      <c r="BH141" s="4572"/>
      <c r="BI141" s="4572"/>
      <c r="BJ141" s="4572"/>
      <c r="BK141" s="4572"/>
      <c r="BL141" s="4572"/>
      <c r="BM141" s="4572"/>
      <c r="BN141" s="4572"/>
      <c r="BO141" s="4572"/>
      <c r="BP141" s="4572"/>
      <c r="BQ141" s="4572"/>
      <c r="BR141" s="4572"/>
      <c r="BS141" s="4572"/>
      <c r="BT141" s="4572"/>
      <c r="BU141" s="4572"/>
      <c r="BV141" s="4572"/>
      <c r="BW141" s="4572"/>
      <c r="BX141" s="4572"/>
      <c r="BY141" s="4572"/>
      <c r="BZ141" s="4572"/>
      <c r="CA141" s="4572"/>
      <c r="CB141" s="4572"/>
      <c r="CC141" s="4572"/>
      <c r="CD141" s="4572"/>
      <c r="CE141" s="4572"/>
      <c r="CF141" s="4572"/>
      <c r="CG141" s="4572"/>
      <c r="CH141" s="4572"/>
      <c r="CI141" s="4572"/>
      <c r="CJ141" s="4572"/>
      <c r="CK141" s="4572"/>
      <c r="CL141" s="4572"/>
      <c r="CM141" s="4572"/>
      <c r="CN141" s="4572"/>
      <c r="CO141" s="4572"/>
      <c r="CP141" s="4572"/>
      <c r="CQ141" s="4572"/>
      <c r="CR141" s="4572"/>
      <c r="CS141" s="4572"/>
      <c r="CT141" s="4572"/>
      <c r="CU141" s="4572"/>
      <c r="CV141" s="4572"/>
      <c r="CW141" s="4572"/>
      <c r="CX141" s="4572"/>
      <c r="CY141" s="4572"/>
      <c r="CZ141" s="4572"/>
      <c r="DA141" s="4572"/>
      <c r="DB141" s="4572"/>
      <c r="DC141" s="4572"/>
      <c r="DD141" s="4572"/>
      <c r="DE141" s="4572"/>
      <c r="DF141" s="4572"/>
      <c r="DG141" s="4572"/>
      <c r="DH141" s="4572"/>
      <c r="DI141" s="4572"/>
      <c r="DJ141" s="4572"/>
      <c r="DK141" s="4572"/>
      <c r="DL141" s="4572"/>
      <c r="DM141" s="4572"/>
      <c r="DN141" s="4572"/>
      <c r="DO141" s="4572"/>
      <c r="DP141" s="4572"/>
      <c r="DQ141" s="4572"/>
      <c r="DR141" s="4572"/>
      <c r="DS141" s="4572"/>
      <c r="DT141" s="4572"/>
      <c r="DU141" s="4572"/>
      <c r="DV141" s="4572"/>
      <c r="DW141" s="4572"/>
      <c r="DX141" s="4572"/>
      <c r="DY141" s="4572"/>
      <c r="DZ141" s="4572"/>
      <c r="EA141" s="4572"/>
      <c r="EB141" s="4572"/>
      <c r="EC141" s="4572"/>
      <c r="ED141" s="4572"/>
      <c r="EE141" s="4572"/>
      <c r="EF141" s="4572"/>
      <c r="EG141" s="4572"/>
      <c r="EH141" s="4572"/>
      <c r="EI141" s="4572"/>
      <c r="EJ141" s="4572"/>
      <c r="EK141" s="4572"/>
      <c r="EL141" s="4572"/>
      <c r="EM141" s="4572"/>
      <c r="EN141" s="4572"/>
      <c r="EO141" s="4572"/>
      <c r="EP141" s="4572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4.4" x14ac:dyDescent="0.3"/>
  <cols>
    <col min="1" max="1" width="15.6640625" customWidth="1"/>
    <col min="2" max="2" width="43.5546875" customWidth="1"/>
    <col min="3" max="3" width="3.44140625" customWidth="1"/>
    <col min="4" max="4" width="3.6640625" customWidth="1"/>
    <col min="5" max="5" width="25.5546875" customWidth="1"/>
    <col min="6" max="6" width="15.6640625" customWidth="1"/>
  </cols>
  <sheetData>
    <row r="1" spans="1:6" ht="48.75" customHeight="1" x14ac:dyDescent="0.3">
      <c r="A1" s="8623" t="s">
        <v>3882</v>
      </c>
      <c r="B1" s="8624"/>
      <c r="C1" s="8624"/>
      <c r="D1" s="8624"/>
      <c r="E1" s="8624"/>
      <c r="F1" s="8625"/>
    </row>
    <row r="3" spans="1:6" x14ac:dyDescent="0.3">
      <c r="A3" s="5398" t="str">
        <f>CONCATENATE("ESTABLECIMIENTO: ",NOMBRE!B3," - ",NOMBRE!C3,NOMBRE!D3,NOMBRE!E3,NOMBRE!F3,NOMBRE!G3,NOMBRE!H3,NOMBRE!I3," 
  "," / MES:  ",NOMBRE!B6,"  / AÑO:  ",NOMBRE!B7)</f>
        <v>ESTABLECIMIENTO:  - Falta Cód. Est. 
   / MES:    / AÑO:  2024</v>
      </c>
    </row>
    <row r="5" spans="1:6" ht="58.5" customHeight="1" x14ac:dyDescent="0.3">
      <c r="B5" s="5399" t="s">
        <v>3883</v>
      </c>
      <c r="E5" s="5399"/>
    </row>
    <row r="7" spans="1:6" x14ac:dyDescent="0.3">
      <c r="B7" s="8626" t="e">
        <f>IF(Control!D31&gt;0,"ANTES DE EJECUTAR LA MACRO REVISE LA HOJA CONTROL, EXISTEN ERRORES","")</f>
        <v>#VALUE!</v>
      </c>
      <c r="C7" s="8627"/>
      <c r="D7" s="8627"/>
      <c r="E7" s="8628"/>
    </row>
    <row r="8" spans="1:6" x14ac:dyDescent="0.3">
      <c r="B8" s="8629"/>
      <c r="C8" s="8630"/>
      <c r="D8" s="8630"/>
      <c r="E8" s="8631"/>
    </row>
    <row r="10" spans="1:6" x14ac:dyDescent="0.3">
      <c r="B10" s="5668" t="s">
        <v>3888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137160</xdr:colOff>
                    <xdr:row>4</xdr:row>
                    <xdr:rowOff>121920</xdr:rowOff>
                  </from>
                  <to>
                    <xdr:col>4</xdr:col>
                    <xdr:colOff>1584960</xdr:colOff>
                    <xdr:row>4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Gloria Sepulveda</cp:lastModifiedBy>
  <dcterms:created xsi:type="dcterms:W3CDTF">2023-04-14T14:34:58Z</dcterms:created>
  <dcterms:modified xsi:type="dcterms:W3CDTF">2024-02-20T21:19:37Z</dcterms:modified>
</cp:coreProperties>
</file>